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9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1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charts/_rels/chart1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10.xml" ContentType="application/vnd.openxmlformats-officedocument.drawingml.chart+xml"/>
  <Override PartName="/xl/charts/chart6.xml" ContentType="application/vnd.openxmlformats-officedocument.drawingml.chart+xml"/>
  <Override PartName="/xl/charts/chart11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sharedStrings.xml" ContentType="application/vnd.openxmlformats-officedocument.spreadsheetml.sharedStrings+xml"/>
  <Override PartName="/xl/ctrlProps/ctrlProps3.xml" ContentType="application/vnd.ms-excel.controlproperties+xml"/>
  <Override PartName="/xl/ctrlProps/ctrlProps4.xml" ContentType="application/vnd.ms-excel.controlproperties+xml"/>
  <Override PartName="/xl/comments1.xml" ContentType="application/vnd.openxmlformats-officedocument.spreadsheetml.comments+xml"/>
  <Override PartName="/xl/drawings/_rels/drawing13.xml.rels" ContentType="application/vnd.openxmlformats-package.relationships+xml"/>
  <Override PartName="/xl/drawings/_rels/drawing8.xml.rels" ContentType="application/vnd.openxmlformats-package.relationships+xml"/>
  <Override PartName="/xl/drawings/_rels/drawing9.xml.rels" ContentType="application/vnd.openxmlformats-package.relationships+xml"/>
  <Override PartName="/xl/drawings/_rels/drawing12.xml.rels" ContentType="application/vnd.openxmlformats-package.relationships+xml"/>
  <Override PartName="/xl/drawings/_rels/drawing7.xml.rels" ContentType="application/vnd.openxmlformats-package.relationships+xml"/>
  <Override PartName="/xl/drawings/_rels/drawing11.xml.rels" ContentType="application/vnd.openxmlformats-package.relationships+xml"/>
  <Override PartName="/xl/drawings/_rels/drawing6.xml.rels" ContentType="application/vnd.openxmlformats-package.relationships+xml"/>
  <Override PartName="/xl/drawings/_rels/drawing10.xml.rels" ContentType="application/vnd.openxmlformats-package.relationships+xml"/>
  <Override PartName="/xl/drawings/_rels/drawing5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ml.chartshapes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10.xml" ContentType="application/vnd.openxmlformats-officedocument.drawing+xml"/>
  <Override PartName="/xl/drawings/drawing7.xml" ContentType="application/vnd.openxmlformats-officedocument.drawing+xml"/>
  <Override PartName="/xl/drawings/drawing11.xml" ContentType="application/vnd.openxmlformats-officedocument.drawing+xml"/>
  <Override PartName="/xl/drawings/drawing8.xml" ContentType="application/vnd.openxmlformats-officedocument.drawing+xml"/>
  <Override PartName="/xl/drawings/drawing12.xml" ContentType="application/vnd.openxmlformats-officedocument.drawing+xml"/>
  <Override PartName="/xl/drawings/drawing9.xml" ContentType="application/vnd.openxmlformats-officedocument.drawing+xml"/>
  <Override PartName="/xl/drawings/drawing13.xml" ContentType="application/vnd.openxmlformats-officedocument.drawing+xml"/>
  <Override PartName="/xl/_rels/workbook.xml.rels" ContentType="application/vnd.openxmlformats-package.relationships+xml"/>
  <Override PartName="/xl/media/image11.jpeg" ContentType="image/jpeg"/>
  <Override PartName="/xl/media/image4.wmf" ContentType="image/x-wmf"/>
  <Override PartName="/xl/media/image9.wmf" ContentType="image/x-wmf"/>
  <Override PartName="/xl/media/image8.gif" ContentType="image/gif"/>
  <Override PartName="/xl/media/image22.png" ContentType="image/png"/>
  <Override PartName="/xl/media/image7.wmf" ContentType="image/x-wmf"/>
  <Override PartName="/xl/media/image15.jpeg" ContentType="image/jpeg"/>
  <Override PartName="/xl/media/image12.jpeg" ContentType="image/jpeg"/>
  <Override PartName="/xl/media/image10.wmf" ContentType="image/x-wmf"/>
  <Override PartName="/xl/media/image25.png" ContentType="image/png"/>
  <Override PartName="/xl/media/image6.wmf" ContentType="image/x-wmf"/>
  <Override PartName="/xl/media/image1.jpeg" ContentType="image/jpeg"/>
  <Override PartName="/xl/media/image13.jpeg" ContentType="image/jpeg"/>
  <Override PartName="/xl/media/image3.jpeg" ContentType="image/jpeg"/>
  <Override PartName="/xl/media/image27.wmf" ContentType="image/x-wmf"/>
  <Override PartName="/xl/media/image24.png" ContentType="image/png"/>
  <Override PartName="/xl/media/image21.png" ContentType="image/png"/>
  <Override PartName="/xl/media/image19.jpeg" ContentType="image/jpeg"/>
  <Override PartName="/xl/media/image5.wmf" ContentType="image/x-wmf"/>
  <Override PartName="/xl/media/image18.jpeg" ContentType="image/jpeg"/>
  <Override PartName="/xl/media/image20.jpeg" ContentType="image/jpeg"/>
  <Override PartName="/xl/media/image17.jpeg" ContentType="image/jpeg"/>
  <Override PartName="/xl/media/image16.jpeg" ContentType="image/jpeg"/>
  <Override PartName="/xl/media/image26.wmf" ContentType="image/x-wmf"/>
  <Override PartName="/xl/media/image23.png" ContentType="image/png"/>
  <Override PartName="/xl/media/image14.jpeg" ContentType="image/jpeg"/>
  <Override PartName="/xl/media/image2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esign Converter" sheetId="1" state="visible" r:id="rId4"/>
    <sheet name="BOM &amp; Schematic" sheetId="2" state="visible" r:id="rId5"/>
    <sheet name="Licenses" sheetId="3" state="visible" r:id="rId6"/>
    <sheet name="EVMs" sheetId="4" state="hidden" r:id="rId7"/>
    <sheet name="Variable Management" sheetId="5" state="hidden" r:id="rId8"/>
    <sheet name="Schematic Management" sheetId="6" state="hidden" r:id="rId9"/>
    <sheet name="Efficiency Plot Management" sheetId="7" state="hidden" r:id="rId10"/>
    <sheet name="Efficiency vs VIN Calculations" sheetId="8" state="hidden" r:id="rId11"/>
    <sheet name="Efficiency vs Load Calculations" sheetId="9" state="hidden" r:id="rId12"/>
    <sheet name="Stability Calculations" sheetId="10" state="hidden" r:id="rId13"/>
    <sheet name="Standard Value Calculator" sheetId="11" state="hidden" r:id="rId14"/>
    <sheet name="Snubber" sheetId="12" state="hidden" r:id="rId15"/>
    <sheet name="Parallel Output Caps" sheetId="13" state="hidden" r:id="rId16"/>
  </sheets>
  <externalReferences>
    <externalReference r:id="rId17"/>
  </externalReferences>
  <definedNames>
    <definedName function="false" hidden="false" localSheetId="1" name="_xlnm.Print_Area" vbProcedure="false">'BOM &amp; Schematic'!$A$1:$J$81</definedName>
    <definedName function="false" hidden="false" localSheetId="0" name="_xlnm.Print_Area" vbProcedure="false">'Design Converter'!$A$1:$Q$114</definedName>
    <definedName function="false" hidden="false" name="Acs" vbProcedure="false">'Variable Management'!$B$294</definedName>
    <definedName function="false" hidden="false" name="Adc" vbProcedure="false">'Stability Calculations'!$Q$3</definedName>
    <definedName function="false" hidden="false" name="AEA" vbProcedure="false">'Variable Management'!$B$292</definedName>
    <definedName function="false" hidden="false" name="Afb" vbProcedure="false">'Variable Management'!$B$293</definedName>
    <definedName function="false" hidden="false" name="Am" vbProcedure="false">'Variable Management'!$B$297</definedName>
    <definedName function="false" hidden="false" name="Am_boost" vbProcedure="false">'Variable Management'!$B$296</definedName>
    <definedName function="false" hidden="false" name="Am_buck" vbProcedure="false">'Variable Management'!$B$295</definedName>
    <definedName function="false" hidden="false" name="Boost_CS_Threshold" vbProcedure="false">'Variable Management'!$B$112</definedName>
    <definedName function="false" hidden="false" name="Boost_CS_Threshold_max" vbProcedure="false">'Variable Management'!$B$113</definedName>
    <definedName function="false" hidden="false" name="Boost_CS_Threshold_min" vbProcedure="false">'Variable Management'!$B$111</definedName>
    <definedName function="false" hidden="false" name="Buck_CS_threshold" vbProcedure="false">'Variable Management'!$B$108</definedName>
    <definedName function="false" hidden="false" name="Buck_CS_threshold_max" vbProcedure="false">'Variable Management'!$B$109</definedName>
    <definedName function="false" hidden="false" name="Buck_CS_threshold_min" vbProcedure="false">'Variable Management'!$B$107</definedName>
    <definedName function="false" hidden="false" name="Cb" vbProcedure="false">'Variable Management'!$B$233</definedName>
    <definedName function="false" hidden="false" name="Cbw" vbProcedure="false">'Variable Management'!$B$288</definedName>
    <definedName function="false" hidden="false" name="Cby" vbProcedure="false">'Variable Management'!$B$232</definedName>
    <definedName function="false" hidden="false" name="Cc1ea" vbProcedure="false">'Variable Management'!$B$318</definedName>
    <definedName function="false" hidden="false" name="Cc1ea_u" vbProcedure="false">'Variable Management'!$B$323</definedName>
    <definedName function="false" hidden="false" name="Cc2ea" vbProcedure="false">'Variable Management'!$B$319</definedName>
    <definedName function="false" hidden="false" name="Cc2ea_u" vbProcedure="false">'Variable Management'!$B$324</definedName>
    <definedName function="false" hidden="false" name="Cdither" vbProcedure="false">'Variable Management'!$B$232</definedName>
    <definedName function="false" hidden="false" name="CFG" vbProcedure="false">'[1]Variable Management'!$O$10</definedName>
    <definedName function="false" hidden="false" name="Cin" vbProcedure="false">'Variable Management'!$B$189</definedName>
    <definedName function="false" hidden="false" name="CinEsrMax" vbProcedure="false">'Variable Management'!$B$192</definedName>
    <definedName function="false" hidden="false" name="Cinmin" vbProcedure="false">'Variable Management'!$B$187</definedName>
    <definedName function="false" hidden="false" name="Constant_Current_Loop_Setpoint" vbProcedure="false">'Variable Management'!$B$154</definedName>
    <definedName function="false" hidden="false" name="Cout" vbProcedure="false">'Variable Management'!$B$169</definedName>
    <definedName function="false" hidden="false" name="CoutEsr" vbProcedure="false">'Variable Management'!$B$173</definedName>
    <definedName function="false" hidden="false" name="CoutEsrMax" vbProcedure="false">'Variable Management'!$B$170</definedName>
    <definedName function="false" hidden="false" name="Coutmin" vbProcedure="false">'Variable Management'!$B$167</definedName>
    <definedName function="false" hidden="false" name="CSAmp_gain" vbProcedure="false">'Variable Management'!$B$237</definedName>
    <definedName function="false" hidden="false" name="Csb" vbProcedure="false">'Variable Management'!$B$230</definedName>
    <definedName function="false" hidden="false" name="Csby" vbProcedure="false">'Variable Management'!$B$231</definedName>
    <definedName function="false" hidden="false" name="Csideal" vbProcedure="false">'Variable Management'!$B$139</definedName>
    <definedName function="false" hidden="false" name="Cslope" vbProcedure="false">'Variable Management'!$B$141</definedName>
    <definedName function="false" hidden="false" name="Cslope_ideal" vbProcedure="false">'Variable Management'!$B$139</definedName>
    <definedName function="false" hidden="false" name="Css" vbProcedure="false">'Variable Management'!$B$205</definedName>
    <definedName function="false" hidden="false" name="Css_u" vbProcedure="false">'Variable Management'!$B$206</definedName>
    <definedName function="false" hidden="false" name="Deadtime" vbProcedure="false">'Variable Management'!$B$361</definedName>
    <definedName function="false" hidden="false" name="DITHER" vbProcedure="false">'Variable Management'!$O$10</definedName>
    <definedName function="false" hidden="false" name="Doff1" vbProcedure="false">'Variable Management'!$B$49</definedName>
    <definedName function="false" hidden="false" name="Doff2" vbProcedure="false">'Variable Management'!$B$70</definedName>
    <definedName function="false" hidden="false" name="Don_buckboost" vbProcedure="false">'Variable Management'!$B$54</definedName>
    <definedName function="false" hidden="false" name="Don_Vinmax" vbProcedure="false">'Variable Management'!$B$53</definedName>
    <definedName function="false" hidden="false" name="Don_Vinmax_2" vbProcedure="false">'Variable Management'!$B$74</definedName>
    <definedName function="false" hidden="false" name="Don_Vinmin" vbProcedure="false">'Variable Management'!$B$51</definedName>
    <definedName function="false" hidden="false" name="Don_Vinmin_2" vbProcedure="false">'Variable Management'!$B$72</definedName>
    <definedName function="false" hidden="false" name="Don_Vinnom" vbProcedure="false">'Variable Management'!$B$52</definedName>
    <definedName function="false" hidden="false" name="Don_Vinnom_2" vbProcedure="false">'Variable Management'!$B$73</definedName>
    <definedName function="false" hidden="false" name="D_max_buck_BB" vbProcedure="false">'Variable Management'!$B$34</definedName>
    <definedName function="false" hidden="false" name="D_max_buck_enterBB" vbProcedure="false">'Variable Management'!$B$38</definedName>
    <definedName function="false" hidden="false" name="D_max_exitBB_to_buck" vbProcedure="false">'Variable Management'!$B$37</definedName>
    <definedName function="false" hidden="false" name="D_min_boost" vbProcedure="false">'Variable Management'!$B$32</definedName>
    <definedName function="false" hidden="false" name="D_min_boost_exitBB_to_buck" vbProcedure="false">'Variable Management'!$B$36</definedName>
    <definedName function="false" hidden="false" name="Efficiency" vbProcedure="false">'Variable Management'!$B$16</definedName>
    <definedName function="false" hidden="false" name="EFF_IOUT" vbProcedure="false">'Efficiency Plot Management'!$B$5</definedName>
    <definedName function="false" hidden="false" name="EFF_VIN" vbProcedure="false">'Efficiency Plot Management'!$B$7</definedName>
    <definedName function="false" hidden="false" name="Fcross" vbProcedure="false">'Variable Management'!$B$316</definedName>
    <definedName function="false" hidden="false" name="Fdither" vbProcedure="false">'Variable Management'!$B$230</definedName>
    <definedName function="false" hidden="false" name="Fesr" vbProcedure="false">'Variable Management'!$B$312</definedName>
    <definedName function="false" hidden="false" name="Fload_boost" vbProcedure="false">'[1]Variable Management'!$B$307</definedName>
    <definedName function="false" hidden="false" name="Fload_buck" vbProcedure="false">'[1]Variable Management'!$B$306</definedName>
    <definedName function="false" hidden="false" name="Fload_u" vbProcedure="false">'Variable Management'!$B$306</definedName>
    <definedName function="false" hidden="false" name="Fp1_u" vbProcedure="false">'Variable Management'!$B$310</definedName>
    <definedName function="false" hidden="false" name="Fp2_u" vbProcedure="false">'Variable Management'!$B$311</definedName>
    <definedName function="false" hidden="false" name="Fp_dominant" vbProcedure="false">'Variable Management'!$B$308</definedName>
    <definedName function="false" hidden="false" name="Frhp" vbProcedure="false">'Variable Management'!$B$313</definedName>
    <definedName function="false" hidden="false" name="Frhp_Vinmin" vbProcedure="false">'[1]Variable Management'!$B$314</definedName>
    <definedName function="false" hidden="false" name="Fsw" vbProcedure="false">'Variable Management'!$B$22</definedName>
    <definedName function="false" hidden="false" name="Fz1_u" vbProcedure="false">'Variable Management'!$B$329</definedName>
    <definedName function="false" hidden="false" name="GBW" vbProcedure="false">'Variable Management'!$B$287</definedName>
    <definedName function="false" hidden="false" name="GdrvDelay" vbProcedure="false">[1]Timings!$B$2</definedName>
    <definedName function="false" hidden="false" name="Gfs_Q1" vbProcedure="false">'Variable Management'!$B$372</definedName>
    <definedName function="false" hidden="false" name="Gfs_Q2" vbProcedure="false">'Variable Management'!$D$372</definedName>
    <definedName function="false" hidden="false" name="Gfs_Q3" vbProcedure="false">'Variable Management'!$B$389</definedName>
    <definedName function="false" hidden="false" name="Gfs_Q4" vbProcedure="false">'Variable Management'!$D$389</definedName>
    <definedName function="false" hidden="false" name="gm" vbProcedure="false">'Variable Management'!$B$239</definedName>
    <definedName function="false" hidden="false" name="gm_slopecomp" vbProcedure="false">'Variable Management'!$B$241</definedName>
    <definedName function="false" hidden="false" name="Iconst" vbProcedure="false">[1]Timings!$B$9</definedName>
    <definedName function="false" hidden="false" name="Icoutrms" vbProcedure="false">'Variable Management'!$B$160</definedName>
    <definedName function="false" hidden="false" name="Ifsw_2M" vbProcedure="false">[1]Timings!$B$8</definedName>
    <definedName function="false" hidden="false" name="Iin_Vinmax" vbProcedure="false">'Variable Management'!$B$20</definedName>
    <definedName function="false" hidden="false" name="Iin_Vinmin" vbProcedure="false">'Variable Management'!$B$18</definedName>
    <definedName function="false" hidden="false" name="Iin_Vinnom" vbProcedure="false">'Variable Management'!$B$19</definedName>
    <definedName function="false" hidden="false" name="IlDir" vbProcedure="false">[1]Timings!$B$6</definedName>
    <definedName function="false" hidden="false" name="Ilimit_DC" vbProcedure="false">'Variable Management'!$B$100</definedName>
    <definedName function="false" hidden="false" name="IlNeg" vbProcedure="false">[1]Timings!$B$5</definedName>
    <definedName function="false" hidden="false" name="ILpeak_OCP_Vinmax" vbProcedure="false">'Variable Management'!$B$134</definedName>
    <definedName function="false" hidden="false" name="ILpeak_OCP_Vinmin" vbProcedure="false">'Variable Management'!$B$132</definedName>
    <definedName function="false" hidden="false" name="ILpeak_OCP_Vinnom" vbProcedure="false">'Variable Management'!$B$133</definedName>
    <definedName function="false" hidden="false" name="IlPos" vbProcedure="false">[1]Timings!$B$4</definedName>
    <definedName function="false" hidden="false" name="IL_peak_OCP" vbProcedure="false">'Variable Management'!$B$137</definedName>
    <definedName function="false" hidden="false" name="Iout" vbProcedure="false">'Variable Management'!$B$13</definedName>
    <definedName function="false" hidden="false" name="Iout_OCP_Vinmax" vbProcedure="false">'Variable Management'!$B$129</definedName>
    <definedName function="false" hidden="false" name="Iout_OCP_Vinmin" vbProcedure="false">'Variable Management'!$B$127</definedName>
    <definedName function="false" hidden="false" name="Iout_OCP_Vinnom" vbProcedure="false">'Variable Management'!$B$128</definedName>
    <definedName function="false" hidden="false" name="Iout_threshold" vbProcedure="false">'Variable Management'!$B$155</definedName>
    <definedName function="false" hidden="false" name="Iq" vbProcedure="false">'Variable Management'!$B$363</definedName>
    <definedName function="false" hidden="false" name="Ireverse" vbProcedure="false">'Variable Management'!$B$401</definedName>
    <definedName function="false" hidden="false" name="Iripple_edgebuckboost" vbProcedure="false">'Variable Management'!$B$81</definedName>
    <definedName function="false" hidden="false" name="Iripple_Vinmax" vbProcedure="false">'Variable Management'!$B$80</definedName>
    <definedName function="false" hidden="false" name="Iripple_Vinmin" vbProcedure="false">'Variable Management'!$B$78</definedName>
    <definedName function="false" hidden="false" name="Iripple_Vinnom" vbProcedure="false">'Variable Management'!$B$79</definedName>
    <definedName function="false" hidden="false" name="Isc_const" vbProcedure="false">'Variable Management'!$B$242</definedName>
    <definedName function="false" hidden="false" name="Islope_fixed" vbProcedure="false">'Variable Management'!$B$143</definedName>
    <definedName function="false" hidden="false" name="Iss" vbProcedure="false">'Variable Management'!$B$204</definedName>
    <definedName function="false" hidden="false" name="Iuvlo1" vbProcedure="false">'Variable Management'!$B$221</definedName>
    <definedName function="false" hidden="false" name="Iuvlo2" vbProcedure="false">'Variable Management'!$B$222</definedName>
    <definedName function="false" hidden="false" name="Iuvlo_hys" vbProcedure="false">'Variable Management'!$B$223</definedName>
    <definedName function="false" hidden="false" name="I_T12_FSW" vbProcedure="false">[1]Timings!$B$17</definedName>
    <definedName function="false" hidden="false" name="I_T12_max" vbProcedure="false">[1]Timings!$B$12</definedName>
    <definedName function="false" hidden="false" name="I_T23_FSW" vbProcedure="false">[1]Timings!$B$18</definedName>
    <definedName function="false" hidden="false" name="I_T23_max" vbProcedure="false">[1]Timings!$B$13</definedName>
    <definedName function="false" hidden="false" name="k" vbProcedure="false">'Variable Management'!$B$279</definedName>
    <definedName function="false" hidden="false" name="KD" vbProcedure="false">'Variable Management'!$B$284</definedName>
    <definedName function="false" hidden="false" name="Kgain_12" vbProcedure="false">[1]Timings!$B$14</definedName>
    <definedName function="false" hidden="false" name="KM" vbProcedure="false">'Variable Management'!$B$282</definedName>
    <definedName function="false" hidden="false" name="Kratio_23" vbProcedure="false">[1]Timings!$B$15</definedName>
    <definedName function="false" hidden="false" name="K_1" vbProcedure="false">'Variable Management'!$B$283</definedName>
    <definedName function="false" hidden="false" name="k_boost" vbProcedure="false">'Variable Management'!$B$276</definedName>
    <definedName function="false" hidden="false" name="k_buck" vbProcedure="false">'Variable Management'!$B$274</definedName>
    <definedName function="false" hidden="false" name="K_SL" vbProcedure="false">'Variable Management'!$B$251</definedName>
    <definedName function="false" hidden="false" name="Lf" vbProcedure="false">'Variable Management'!$B$66</definedName>
    <definedName function="false" hidden="false" name="Lopt" vbProcedure="false">'Variable Management'!$B$64</definedName>
    <definedName function="false" hidden="false" name="Ltc" vbProcedure="false">'Variable Management'!$B$349</definedName>
    <definedName function="false" hidden="false" name="MaxTlRise" vbProcedure="false">[1]Timings!$B$41</definedName>
    <definedName function="false" hidden="false" name="MaxToffBoost" vbProcedure="false">[1]Timings!$B$35</definedName>
    <definedName function="false" hidden="false" name="MaxTonBoost" vbProcedure="false">[1]Timings!$B$34</definedName>
    <definedName function="false" hidden="false" name="MaxTonBuck" vbProcedure="false">[1]Timings!$B$30</definedName>
    <definedName function="false" hidden="false" name="mc" vbProcedure="false">'Variable Management'!$B$278</definedName>
    <definedName function="false" hidden="false" name="mc_boost" vbProcedure="false">'Variable Management'!$B$275</definedName>
    <definedName function="false" hidden="false" name="mc_buck" vbProcedure="false">'Variable Management'!$B$273</definedName>
    <definedName function="false" hidden="false" name="MinT1FallCtrl" vbProcedure="false">[1]Timings!$B$25</definedName>
    <definedName function="false" hidden="false" name="MinT1RiseCtrl" vbProcedure="false">[1]Timings!$B$26</definedName>
    <definedName function="false" hidden="false" name="MinTlFall" vbProcedure="false">[1]Timings!$B$37</definedName>
    <definedName function="false" hidden="false" name="MinTlRise" vbProcedure="false">[1]Timings!$B$36</definedName>
    <definedName function="false" hidden="false" name="MinToffBoost" vbProcedure="false">[1]Timings!$B$33</definedName>
    <definedName function="false" hidden="false" name="MinToffBuck" vbProcedure="false">[1]Timings!$B$29</definedName>
    <definedName function="false" hidden="false" name="MinTonBoost" vbProcedure="false">[1]Timings!$B$32</definedName>
    <definedName function="false" hidden="false" name="MinTonBuck" vbProcedure="false">[1]Timings!$B$28</definedName>
    <definedName function="false" hidden="false" name="Pi" vbProcedure="false">'Variable Management'!$B$236</definedName>
    <definedName function="false" hidden="false" name="PICTURE" vbProcedure="false">INDIRECT('Efficiency Plot Management'!$A$2)</definedName>
    <definedName function="false" hidden="false" name="PICTURE2" vbProcedure="false">INDIRECT('[1]Schematic Management'!$A$2)</definedName>
    <definedName function="false" hidden="false" name="Pin" vbProcedure="false">'Variable Management'!$B$17</definedName>
    <definedName function="false" hidden="false" name="PLOT_TYPE" vbProcedure="false">'Variable Management'!$L$10</definedName>
    <definedName function="false" hidden="false" name="pole1" vbProcedure="false">'Stability Calculations'!$K$4</definedName>
    <definedName function="false" hidden="false" name="Pole2" vbProcedure="false">'Stability Calculations'!$C$5</definedName>
    <definedName function="false" hidden="false" name="pole3" vbProcedure="false">'Stability Calculations'!$N$3</definedName>
    <definedName function="false" hidden="false" name="pole4" vbProcedure="false">'Stability Calculations'!$C$7</definedName>
    <definedName function="false" hidden="false" name="Pout" vbProcedure="false">'Variable Management'!$B$15</definedName>
    <definedName function="false" hidden="false" name="pterm1" vbProcedure="false">'Stability Calculations'!$N$4</definedName>
    <definedName function="false" hidden="false" name="pterm2" vbProcedure="false">'Stability Calculations'!$N$5</definedName>
    <definedName function="false" hidden="false" name="Q" vbProcedure="false">'Variable Management'!$B$280</definedName>
    <definedName function="false" hidden="false" name="Qgd_Q1" vbProcedure="false">'Variable Management'!$B$369</definedName>
    <definedName function="false" hidden="false" name="Qgd_Q2" vbProcedure="false">'Variable Management'!$D$369</definedName>
    <definedName function="false" hidden="false" name="Qgd_Q3" vbProcedure="false">'Variable Management'!$B$386</definedName>
    <definedName function="false" hidden="false" name="Qgd_Q4" vbProcedure="false">'Variable Management'!$D$386</definedName>
    <definedName function="false" hidden="false" name="Qgs_Q1" vbProcedure="false">'Variable Management'!$B$370</definedName>
    <definedName function="false" hidden="false" name="Qgs_Q2" vbProcedure="false">'Variable Management'!$D$370</definedName>
    <definedName function="false" hidden="false" name="Qgs_Q3" vbProcedure="false">'Variable Management'!$B$387</definedName>
    <definedName function="false" hidden="false" name="Qgs_Q4" vbProcedure="false">'Variable Management'!$D$387</definedName>
    <definedName function="false" hidden="false" name="Qg_Q1" vbProcedure="false">'Variable Management'!$B$368</definedName>
    <definedName function="false" hidden="false" name="Qg_Q2" vbProcedure="false">'Variable Management'!$D$368</definedName>
    <definedName function="false" hidden="false" name="Qg_Q3" vbProcedure="false">'Variable Management'!$B$385</definedName>
    <definedName function="false" hidden="false" name="Qg_Q4" vbProcedure="false">'Variable Management'!$D$385</definedName>
    <definedName function="false" hidden="false" name="QrrSky_Q2" vbProcedure="false">'Variable Management'!$B$400</definedName>
    <definedName function="false" hidden="false" name="QrrSky_Q3" vbProcedure="false">'Variable Management'!$D$400</definedName>
    <definedName function="false" hidden="false" name="Qrr_Q1" vbProcedure="false">'Variable Management'!$B$377</definedName>
    <definedName function="false" hidden="false" name="Qrr_Q2" vbProcedure="false">'Variable Management'!$D$377</definedName>
    <definedName function="false" hidden="false" name="Qrr_Q3" vbProcedure="false">'Variable Management'!$B$394</definedName>
    <definedName function="false" hidden="false" name="Qrr_Q4" vbProcedure="false">'Variable Management'!$D$394</definedName>
    <definedName function="false" hidden="false" name="radconv" vbProcedure="false">'Stability Calculations'!$Q$6</definedName>
    <definedName function="false" hidden="false" name="Rcea1" vbProcedure="false">'Variable Management'!$B$317</definedName>
    <definedName function="false" hidden="false" name="Rcea1_u" vbProcedure="false">'Variable Management'!$B$322</definedName>
    <definedName function="false" hidden="false" name="RCinEsr" vbProcedure="false">'Variable Management'!$B$194</definedName>
    <definedName function="false" hidden="false" name="RCoutEsr" vbProcedure="false">'Variable Management'!$B$173</definedName>
    <definedName function="false" hidden="false" name="Rdcr" vbProcedure="false">'Variable Management'!$B$67</definedName>
    <definedName function="false" hidden="false" name="Rdson1" vbProcedure="false">'Variable Management'!$B$366</definedName>
    <definedName function="false" hidden="false" name="Rdson2" vbProcedure="false">'Variable Management'!$D$366</definedName>
    <definedName function="false" hidden="false" name="Rdson3" vbProcedure="false">'Variable Management'!$B$383</definedName>
    <definedName function="false" hidden="false" name="Rdson4" vbProcedure="false">'Variable Management'!$D$383</definedName>
    <definedName function="false" hidden="false" name="RdsonBotTc" vbProcedure="false">'Variable Management'!$B$384</definedName>
    <definedName function="false" hidden="false" name="RdsonDRB" vbProcedure="false">'Variable Management'!$B$358</definedName>
    <definedName function="false" hidden="false" name="RdsonDRB2" vbProcedure="false">'Variable Management'!$B$359</definedName>
    <definedName function="false" hidden="false" name="RdsonDRT" vbProcedure="false">'Variable Management'!$B$355</definedName>
    <definedName function="false" hidden="false" name="RdsonDRT2" vbProcedure="false">'Variable Management'!$B$356</definedName>
    <definedName function="false" hidden="false" name="RdsonTopTc" vbProcedure="false">'Variable Management'!$B$367</definedName>
    <definedName function="false" hidden="false" name="Rfadj" vbProcedure="false">'Variable Management'!$B$25</definedName>
    <definedName function="false" hidden="false" name="Rfb1_" vbProcedure="false">'Variable Management'!$B$332</definedName>
    <definedName function="false" hidden="false" name="Rfb2_" vbProcedure="false">'Variable Management'!$B$333</definedName>
    <definedName function="false" hidden="false" name="Rfb2_u" vbProcedure="false">'Variable Management'!$B$334</definedName>
    <definedName function="false" hidden="false" name="Rfets" vbProcedure="false">'Variable Management'!$B$338</definedName>
    <definedName function="false" hidden="false" name="Rgate1" vbProcedure="false">'Variable Management'!$B$371</definedName>
    <definedName function="false" hidden="false" name="Rgate2" vbProcedure="false">'Variable Management'!$D$371</definedName>
    <definedName function="false" hidden="false" name="Rgate3" vbProcedure="false">'Variable Management'!$B$388</definedName>
    <definedName function="false" hidden="false" name="Rgate4" vbProcedure="false">'Variable Management'!$D$388</definedName>
    <definedName function="false" hidden="false" name="Ri" vbProcedure="false">'Variable Management'!$B$238</definedName>
    <definedName function="false" hidden="false" name="Ro" vbProcedure="false">'Variable Management'!$B$303</definedName>
    <definedName function="false" hidden="false" name="RoEA" vbProcedure="false">'Variable Management'!$B$289</definedName>
    <definedName function="false" hidden="false" name="Rout" vbProcedure="false">'Variable Management'!$B$14</definedName>
    <definedName function="false" hidden="false" name="Rpg" vbProcedure="false">'Variable Management'!$B$225</definedName>
    <definedName function="false" hidden="false" name="Rs" vbProcedure="false">'Variable Management'!$B$122</definedName>
    <definedName function="false" hidden="false" name="Rsb" vbProcedure="false">'Variable Management'!$B$226</definedName>
    <definedName function="false" hidden="false" name="Rshunt" vbProcedure="false">'Variable Management'!$B$156</definedName>
    <definedName function="false" hidden="false" name="Rshunt_std" vbProcedure="false">'Standard Value Calculator'!$O$21</definedName>
    <definedName function="false" hidden="false" name="Rslope" vbProcedure="false">'[1]Variable Management'!$B$141</definedName>
    <definedName function="false" hidden="false" name="Rslope_ideal" vbProcedure="false">'[1]Variable Management'!$B$139</definedName>
    <definedName function="false" hidden="false" name="Rs_ideal" vbProcedure="false">'Variable Management'!$B$121</definedName>
    <definedName function="false" hidden="false" name="Ruvlo1" vbProcedure="false">'Variable Management'!$B$212</definedName>
    <definedName function="false" hidden="false" name="Ruvlo2" vbProcedure="false">'Variable Management'!$B$213</definedName>
    <definedName function="false" hidden="false" name="SCH_DITH" vbProcedure="false">'Schematic Management'!$B$5</definedName>
    <definedName function="false" hidden="false" name="SCH_NO_DITH" vbProcedure="false">'Schematic Management'!$B$8</definedName>
    <definedName function="false" hidden="false" name="SCH_WITH_DITH" vbProcedure="false">'Schematic Management'!$B$5</definedName>
    <definedName function="false" hidden="false" name="Se" vbProcedure="false">'Variable Management'!$B$246</definedName>
    <definedName function="false" hidden="false" name="Se_ext" vbProcedure="false">'Variable Management'!$B$254</definedName>
    <definedName function="false" hidden="false" name="Se_fixed" vbProcedure="false">'Variable Management'!$B$244</definedName>
    <definedName function="false" hidden="false" name="Se_proportional" vbProcedure="false">'Variable Management'!$B$245</definedName>
    <definedName function="false" hidden="false" name="Sf" vbProcedure="false">'Variable Management'!$B$256</definedName>
    <definedName function="false" hidden="false" name="Sn" vbProcedure="false">'Variable Management'!$B$255</definedName>
    <definedName function="false" hidden="false" name="T12_min" vbProcedure="false">[1]Timings!$B$10</definedName>
    <definedName function="false" hidden="false" name="T1_to_T2_Fsw" vbProcedure="false">[1]Timings!$B$20</definedName>
    <definedName function="false" hidden="false" name="T23_min" vbProcedure="false">[1]Timings!$B$11</definedName>
    <definedName function="false" hidden="false" name="T2_to_T3_Fsw" vbProcedure="false">[1]Timings!$B$21</definedName>
    <definedName function="false" hidden="false" name="T3_to_T4_Fsw" vbProcedure="false">[1]Timings!$B$22</definedName>
    <definedName function="false" hidden="false" name="Ta" vbProcedure="false">'Variable Management'!$B$347</definedName>
    <definedName function="false" hidden="false" name="TBubo" vbProcedure="false">[1]Timings!$B$39</definedName>
    <definedName function="false" hidden="false" name="Tf_boost" vbProcedure="false">'Variable Management'!$D$408</definedName>
    <definedName function="false" hidden="false" name="Tf_buck" vbProcedure="false">'Variable Management'!$B$408</definedName>
    <definedName function="false" hidden="false" name="ThetaCa" vbProcedure="false">'Variable Management'!$B$350</definedName>
    <definedName function="false" hidden="false" name="ThetaJaCtrl" vbProcedure="false">'Variable Management'!$B$404</definedName>
    <definedName function="false" hidden="false" name="ThetaJA_Q1" vbProcedure="false">'Variable Management'!$B$379</definedName>
    <definedName function="false" hidden="false" name="ThetaJA_Q2" vbProcedure="false">'Variable Management'!$D$379</definedName>
    <definedName function="false" hidden="false" name="ThetaJA_Q3" vbProcedure="false">'Variable Management'!$B$396</definedName>
    <definedName function="false" hidden="false" name="ThetaJA_Q4" vbProcedure="false">'Variable Management'!$D$396</definedName>
    <definedName function="false" hidden="false" name="TL" vbProcedure="false">'Variable Management'!$B$96</definedName>
    <definedName function="false" hidden="false" name="Toff_min_buck" vbProcedure="false">'Variable Management'!$B$28</definedName>
    <definedName function="false" hidden="false" name="Toff_Vinmax" vbProcedure="false">'Variable Management'!$B$262</definedName>
    <definedName function="false" hidden="false" name="TonBubo" vbProcedure="false">[1]Timings!$B$40</definedName>
    <definedName function="false" hidden="false" name="Ton_min_boost" vbProcedure="false">'Variable Management'!$B$29</definedName>
    <definedName function="false" hidden="false" name="Ton_Vinmin" vbProcedure="false">'Variable Management'!$B$264</definedName>
    <definedName function="false" hidden="false" name="Trr_Q1" vbProcedure="false">'Variable Management'!$B$378</definedName>
    <definedName function="false" hidden="false" name="Trr_Q2" vbProcedure="false">'Variable Management'!$D$378</definedName>
    <definedName function="false" hidden="false" name="Trr_Q3" vbProcedure="false">'Variable Management'!$B$395</definedName>
    <definedName function="false" hidden="false" name="Trr_Q4" vbProcedure="false">'Variable Management'!$D$395</definedName>
    <definedName function="false" hidden="false" name="Tr_boost" vbProcedure="false">'Variable Management'!$D$407</definedName>
    <definedName function="false" hidden="false" name="Tr_buck" vbProcedure="false">'Variable Management'!$B$407</definedName>
    <definedName function="false" hidden="false" name="Ts" vbProcedure="false">'Variable Management'!$B$23</definedName>
    <definedName function="false" hidden="false" name="Tss" vbProcedure="false">'Variable Management'!$B$203</definedName>
    <definedName function="false" hidden="false" name="Vdd" vbProcedure="false">'Variable Management'!$B$353</definedName>
    <definedName function="false" hidden="false" name="VfdSky_Q2" vbProcedure="false">'Variable Management'!$B$399</definedName>
    <definedName function="false" hidden="false" name="VfdSky_Q3" vbProcedure="false">'Variable Management'!$D$399</definedName>
    <definedName function="false" hidden="false" name="Vin" vbProcedure="false">'Variable Management'!$B$8</definedName>
    <definedName function="false" hidden="false" name="Vinripple1" vbProcedure="false">'Variable Management'!$B$183</definedName>
    <definedName function="false" hidden="false" name="Vinripple2" vbProcedure="false">'Variable Management'!$B$198</definedName>
    <definedName function="false" hidden="false" name="VINuvlo_off" vbProcedure="false">'Variable Management'!$B$211</definedName>
    <definedName function="false" hidden="false" name="VINuvlo_on" vbProcedure="false">'Variable Management'!$B$210</definedName>
    <definedName function="false" hidden="false" name="VIN_BB_to_boost" vbProcedure="false">'[1]Variable Management'!$B$40</definedName>
    <definedName function="false" hidden="false" name="VIN_BB_to_buck" vbProcedure="false">'Variable Management'!$B$43</definedName>
    <definedName function="false" hidden="false" name="VIN_boost_to_BB" vbProcedure="false">'Variable Management'!$B$41</definedName>
    <definedName function="false" hidden="false" name="VIN_edgebuckboost" vbProcedure="false">'Variable Management'!$B$10</definedName>
    <definedName function="false" hidden="false" name="VIN_max" vbProcedure="false">'Variable Management'!$B$9</definedName>
    <definedName function="false" hidden="false" name="VIN_min" vbProcedure="false">'Variable Management'!$B$7</definedName>
    <definedName function="false" hidden="false" name="VIN_nom" vbProcedure="false">'Variable Management'!$B$8</definedName>
    <definedName function="false" hidden="false" name="Vout" vbProcedure="false">'Variable Management'!$B$12</definedName>
    <definedName function="false" hidden="false" name="Vref" vbProcedure="false">'Variable Management'!$B$24</definedName>
    <definedName function="false" hidden="false" name="Vripple1" vbProcedure="false">'Variable Management'!$B$76</definedName>
    <definedName function="false" hidden="false" name="Vripple2" vbProcedure="false">'Variable Management'!$B$174</definedName>
    <definedName function="false" hidden="false" name="Vsd_Q1" vbProcedure="false">'Variable Management'!$B$376</definedName>
    <definedName function="false" hidden="false" name="Vsd_Q2" vbProcedure="false">'Variable Management'!$D$376</definedName>
    <definedName function="false" hidden="false" name="Vsd_Q3" vbProcedure="false">'Variable Management'!$B$393</definedName>
    <definedName function="false" hidden="false" name="Vsd_Q4" vbProcedure="false">'Variable Management'!$D$393</definedName>
    <definedName function="false" hidden="false" name="Vsp_Q1" vbProcedure="false">'Variable Management'!$B$374</definedName>
    <definedName function="false" hidden="false" name="Vsp_Q2" vbProcedure="false">'Variable Management'!$D$374</definedName>
    <definedName function="false" hidden="false" name="Vsp_Q3" vbProcedure="false">'Variable Management'!$B$391</definedName>
    <definedName function="false" hidden="false" name="Vsp_Q4" vbProcedure="false">'Variable Management'!$D$391</definedName>
    <definedName function="false" hidden="false" name="Vth_Q1" vbProcedure="false">'Variable Management'!$B$373</definedName>
    <definedName function="false" hidden="false" name="Vth_Q2" vbProcedure="false">'Variable Management'!$D$373</definedName>
    <definedName function="false" hidden="false" name="Vth_Q3" vbProcedure="false">'Variable Management'!$B$390</definedName>
    <definedName function="false" hidden="false" name="Vth_Q4" vbProcedure="false">'Variable Management'!$D$390</definedName>
    <definedName function="false" hidden="false" name="Vuvlo_hys" vbProcedure="false">'Variable Management'!$B$220</definedName>
    <definedName function="false" hidden="false" name="Vuvlo_off" vbProcedure="false">'Variable Management'!$B$219</definedName>
    <definedName function="false" hidden="false" name="Vuvlo_on" vbProcedure="false">'Variable Management'!$B$218</definedName>
    <definedName function="false" hidden="false" name="V_sc_fixed" vbProcedure="false">'Variable Management'!$B$248</definedName>
    <definedName function="false" hidden="false" name="V_sc_proportional" vbProcedure="false">'Variable Management'!$B$249</definedName>
    <definedName function="false" hidden="false" name="V_sc_total" vbProcedure="false">'Variable Management'!$B$250</definedName>
    <definedName function="false" hidden="false" name="With_RCS" vbProcedure="false">'[1]Variable Management'!$B$157</definedName>
    <definedName function="false" hidden="false" name="Zero1" vbProcedure="false">'Stability Calculations'!$K$3</definedName>
    <definedName function="false" hidden="false" name="Zero2" vbProcedure="false">'Stability Calculations'!$C$4</definedName>
    <definedName function="false" hidden="false" name="z_RHP" vbProcedure="false">'Stability Calculations'!$K$5</definedName>
    <definedName function="false" hidden="false" name="_Don1" vbProcedure="false">'Variable Management'!$B$48</definedName>
    <definedName function="false" hidden="false" name="_Don2" vbProcedure="false">'Variable Management'!$B$69</definedName>
    <definedName function="false" hidden="false" localSheetId="0" name="PICTURE2" vbProcedure="false">INDIRECT('Schematic Management'!$A$2)</definedName>
    <definedName function="false" hidden="false" localSheetId="2" name="Acs" vbProcedure="false">'[1]Variable Management'!$B$294</definedName>
    <definedName function="false" hidden="false" localSheetId="2" name="Adc" vbProcedure="false">'[1]Stability Calculations'!$Q$3</definedName>
    <definedName function="false" hidden="false" localSheetId="2" name="AEA" vbProcedure="false">'[1]Variable Management'!$B$292</definedName>
    <definedName function="false" hidden="false" localSheetId="2" name="Afb" vbProcedure="false">'[1]Variable Management'!$B$293</definedName>
    <definedName function="false" hidden="false" localSheetId="2" name="Am" vbProcedure="false">'[1]Variable Management'!$B$297</definedName>
    <definedName function="false" hidden="false" localSheetId="2" name="Am_boost" vbProcedure="false">'[1]Variable Management'!$B$296</definedName>
    <definedName function="false" hidden="false" localSheetId="2" name="Am_buck" vbProcedure="false">'[1]Variable Management'!$B$295</definedName>
    <definedName function="false" hidden="false" localSheetId="2" name="Boost_CS_Threshold" vbProcedure="false">'[1]Variable Management'!$B$112</definedName>
    <definedName function="false" hidden="false" localSheetId="2" name="Buck_CS_threshold" vbProcedure="false">'[1]Variable Management'!$B$108</definedName>
    <definedName function="false" hidden="false" localSheetId="2" name="Cbw" vbProcedure="false">'[1]Variable Management'!$B$288</definedName>
    <definedName function="false" hidden="false" localSheetId="2" name="Cc1ea" vbProcedure="false">'[1]Variable Management'!$B$319</definedName>
    <definedName function="false" hidden="false" localSheetId="2" name="Cc1ea_u" vbProcedure="false">'[1]Variable Management'!$B$324</definedName>
    <definedName function="false" hidden="false" localSheetId="2" name="Cc2ea" vbProcedure="false">'[1]Variable Management'!$B$320</definedName>
    <definedName function="false" hidden="false" localSheetId="2" name="Cc2ea_u" vbProcedure="false">'[1]Variable Management'!$B$325</definedName>
    <definedName function="false" hidden="false" localSheetId="2" name="Cdither" vbProcedure="false">'[1]Variable Management'!$B$232</definedName>
    <definedName function="false" hidden="false" localSheetId="2" name="Cin" vbProcedure="false">'[1]Variable Management'!$B$189</definedName>
    <definedName function="false" hidden="false" localSheetId="2" name="CinEsrMax" vbProcedure="false">'[1]Variable Management'!$B$192</definedName>
    <definedName function="false" hidden="false" localSheetId="2" name="Cinmin" vbProcedure="false">'[1]Variable Management'!$B$187</definedName>
    <definedName function="false" hidden="false" localSheetId="2" name="Constant_Current_Loop_Setpoint" vbProcedure="false">'[1]Variable Management'!$B$154</definedName>
    <definedName function="false" hidden="false" localSheetId="2" name="Cout" vbProcedure="false">'[1]Variable Management'!$B$169</definedName>
    <definedName function="false" hidden="false" localSheetId="2" name="CoutEsr" vbProcedure="false">'[1]Variable Management'!$B$173</definedName>
    <definedName function="false" hidden="false" localSheetId="2" name="CoutEsrMax" vbProcedure="false">'[1]Variable Management'!$B$170</definedName>
    <definedName function="false" hidden="false" localSheetId="2" name="Coutmin" vbProcedure="false">'[1]Variable Management'!$B$167</definedName>
    <definedName function="false" hidden="false" localSheetId="2" name="CSAmp_gain" vbProcedure="false">'[1]Variable Management'!$B$237</definedName>
    <definedName function="false" hidden="false" localSheetId="2" name="Csb" vbProcedure="false">'[1]Variable Management'!$B$230</definedName>
    <definedName function="false" hidden="false" localSheetId="2" name="Csby" vbProcedure="false">'[1]Variable Management'!$B$231</definedName>
    <definedName function="false" hidden="false" localSheetId="2" name="Cslope" vbProcedure="false">'[1]Variable Management'!$B$240</definedName>
    <definedName function="false" hidden="false" localSheetId="2" name="Css" vbProcedure="false">'[1]Variable Management'!$B$205</definedName>
    <definedName function="false" hidden="false" localSheetId="2" name="Css_u" vbProcedure="false">'[1]Variable Management'!$B$206</definedName>
    <definedName function="false" hidden="false" localSheetId="2" name="Deadtime" vbProcedure="false">'[1]Variable Management'!$B$362</definedName>
    <definedName function="false" hidden="false" localSheetId="2" name="DITHER" vbProcedure="false">'[1]Variable Management'!$O$10</definedName>
    <definedName function="false" hidden="false" localSheetId="2" name="Doff2" vbProcedure="false">'[1]Variable Management'!$B$70</definedName>
    <definedName function="false" hidden="false" localSheetId="2" name="Don_buckboost" vbProcedure="false">'[1]Variable Management'!$B$54</definedName>
    <definedName function="false" hidden="false" localSheetId="2" name="Don_Vinmax" vbProcedure="false">'[1]Variable Management'!$B$53</definedName>
    <definedName function="false" hidden="false" localSheetId="2" name="Don_Vinmax_2" vbProcedure="false">'[1]Variable Management'!$B$74</definedName>
    <definedName function="false" hidden="false" localSheetId="2" name="Don_Vinmin" vbProcedure="false">'[1]Variable Management'!$B$51</definedName>
    <definedName function="false" hidden="false" localSheetId="2" name="Don_Vinmin_2" vbProcedure="false">'[1]Variable Management'!$B$72</definedName>
    <definedName function="false" hidden="false" localSheetId="2" name="Don_Vinnom" vbProcedure="false">'[1]Variable Management'!$B$52</definedName>
    <definedName function="false" hidden="false" localSheetId="2" name="Don_Vinnom_2" vbProcedure="false">'[1]Variable Management'!$B$73</definedName>
    <definedName function="false" hidden="false" localSheetId="2" name="D_max_buck_BB" vbProcedure="false">'[1]Variable Management'!$B$34</definedName>
    <definedName function="false" hidden="false" localSheetId="2" name="D_max_exitBB_to_buck" vbProcedure="false">'[1]Variable Management'!$B$37</definedName>
    <definedName function="false" hidden="false" localSheetId="2" name="D_min_boost_exitBB_to_buck" vbProcedure="false">'[1]Variable Management'!$B$36</definedName>
    <definedName function="false" hidden="false" localSheetId="2" name="Efficiency" vbProcedure="false">'[1]Variable Management'!$B$16</definedName>
    <definedName function="false" hidden="false" localSheetId="2" name="Fcross" vbProcedure="false">'[1]Variable Management'!$B$317</definedName>
    <definedName function="false" hidden="false" localSheetId="2" name="Fesr" vbProcedure="false">'[1]Variable Management'!$B$312</definedName>
    <definedName function="false" hidden="false" localSheetId="2" name="Fp1_u" vbProcedure="false">'[1]Variable Management'!$B$310</definedName>
    <definedName function="false" hidden="false" localSheetId="2" name="Fp2_u" vbProcedure="false">'[1]Variable Management'!$B$311</definedName>
    <definedName function="false" hidden="false" localSheetId="2" name="Fp_dominant" vbProcedure="false">'[1]Variable Management'!$B$308</definedName>
    <definedName function="false" hidden="false" localSheetId="2" name="Frhp" vbProcedure="false">'[1]Variable Management'!$B$313</definedName>
    <definedName function="false" hidden="false" localSheetId="2" name="Fsw" vbProcedure="false">'[1]Variable Management'!$B$22</definedName>
    <definedName function="false" hidden="false" localSheetId="2" name="Fz1_u" vbProcedure="false">'[1]Variable Management'!$B$330</definedName>
    <definedName function="false" hidden="false" localSheetId="2" name="GBW" vbProcedure="false">'[1]Variable Management'!$B$287</definedName>
    <definedName function="false" hidden="false" localSheetId="2" name="Gfs_Q1" vbProcedure="false">'[1]Variable Management'!$B$373</definedName>
    <definedName function="false" hidden="false" localSheetId="2" name="Gfs_Q2" vbProcedure="false">'[1]Variable Management'!$D$373</definedName>
    <definedName function="false" hidden="false" localSheetId="2" name="Gfs_Q3" vbProcedure="false">'[1]Variable Management'!$B$390</definedName>
    <definedName function="false" hidden="false" localSheetId="2" name="Gfs_Q4" vbProcedure="false">'[1]Variable Management'!$D$390</definedName>
    <definedName function="false" hidden="false" localSheetId="2" name="gm" vbProcedure="false">'[1]Variable Management'!$B$239</definedName>
    <definedName function="false" hidden="false" localSheetId="2" name="gm_slopecomp" vbProcedure="false">'[1]Variable Management'!$B$241</definedName>
    <definedName function="false" hidden="false" localSheetId="2" name="Iin_Vinmax" vbProcedure="false">'[1]Variable Management'!$B$20</definedName>
    <definedName function="false" hidden="false" localSheetId="2" name="Iin_Vinmin" vbProcedure="false">'[1]Variable Management'!$B$18</definedName>
    <definedName function="false" hidden="false" localSheetId="2" name="Iin_Vinnom" vbProcedure="false">'[1]Variable Management'!$B$19</definedName>
    <definedName function="false" hidden="false" localSheetId="2" name="Ilimit_DC" vbProcedure="false">'[1]Variable Management'!$B$100</definedName>
    <definedName function="false" hidden="false" localSheetId="2" name="IL_peak_OCP" vbProcedure="false">'[1]Variable Management'!$B$137</definedName>
    <definedName function="false" hidden="false" localSheetId="2" name="Iout" vbProcedure="false">'[1]Variable Management'!$B$13</definedName>
    <definedName function="false" hidden="false" localSheetId="2" name="Iout_OCP_Vinmax" vbProcedure="false">'[1]Variable Management'!$B$129</definedName>
    <definedName function="false" hidden="false" localSheetId="2" name="Iout_OCP_Vinmin" vbProcedure="false">'[1]Variable Management'!$B$127</definedName>
    <definedName function="false" hidden="false" localSheetId="2" name="Iout_OCP_Vinnom" vbProcedure="false">'[1]Variable Management'!$B$128</definedName>
    <definedName function="false" hidden="false" localSheetId="2" name="Iout_threshold" vbProcedure="false">'[1]Variable Management'!$B$155</definedName>
    <definedName function="false" hidden="false" localSheetId="2" name="Iq" vbProcedure="false">'[1]Variable Management'!$B$364</definedName>
    <definedName function="false" hidden="false" localSheetId="2" name="Ireverse" vbProcedure="false">'[1]Variable Management'!$B$402</definedName>
    <definedName function="false" hidden="false" localSheetId="2" name="Iripple_edgebuckboost" vbProcedure="false">'[1]Variable Management'!$B$81</definedName>
    <definedName function="false" hidden="false" localSheetId="2" name="Iripple_Vinmax" vbProcedure="false">'[1]Variable Management'!$B$80</definedName>
    <definedName function="false" hidden="false" localSheetId="2" name="Iripple_Vinmin" vbProcedure="false">'[1]Variable Management'!$B$78</definedName>
    <definedName function="false" hidden="false" localSheetId="2" name="Iripple_Vinnom" vbProcedure="false">'[1]Variable Management'!$B$79</definedName>
    <definedName function="false" hidden="false" localSheetId="2" name="Isc_const" vbProcedure="false">'[1]Variable Management'!$B$242</definedName>
    <definedName function="false" hidden="false" localSheetId="2" name="Islope_fixed" vbProcedure="false">'[1]Variable Management'!$B$143</definedName>
    <definedName function="false" hidden="false" localSheetId="2" name="Iss" vbProcedure="false">'[1]Variable Management'!$B$204</definedName>
    <definedName function="false" hidden="false" localSheetId="2" name="Iuvlo1" vbProcedure="false">'[1]Variable Management'!$B$221</definedName>
    <definedName function="false" hidden="false" localSheetId="2" name="Iuvlo2" vbProcedure="false">'[1]Variable Management'!$B$222</definedName>
    <definedName function="false" hidden="false" localSheetId="2" name="k" vbProcedure="false">'[1]Variable Management'!$B$279</definedName>
    <definedName function="false" hidden="false" localSheetId="2" name="KM" vbProcedure="false">'[1]Variable Management'!$B$282</definedName>
    <definedName function="false" hidden="false" localSheetId="2" name="K_1" vbProcedure="false">'[1]Variable Management'!$B$283</definedName>
    <definedName function="false" hidden="false" localSheetId="2" name="k_boost" vbProcedure="false">'[1]Variable Management'!$B$276</definedName>
    <definedName function="false" hidden="false" localSheetId="2" name="k_buck" vbProcedure="false">'[1]Variable Management'!$B$274</definedName>
    <definedName function="false" hidden="false" localSheetId="2" name="K_SL" vbProcedure="false">'[1]Variable Management'!$B$251</definedName>
    <definedName function="false" hidden="false" localSheetId="2" name="Lf" vbProcedure="false">'[1]Variable Management'!$B$66</definedName>
    <definedName function="false" hidden="false" localSheetId="2" name="Lopt" vbProcedure="false">'[1]Variable Management'!$B$64</definedName>
    <definedName function="false" hidden="false" localSheetId="2" name="Ltc" vbProcedure="false">'[1]Variable Management'!$B$350</definedName>
    <definedName function="false" hidden="false" localSheetId="2" name="mc" vbProcedure="false">'[1]Variable Management'!$B$278</definedName>
    <definedName function="false" hidden="false" localSheetId="2" name="mc_boost" vbProcedure="false">'[1]Variable Management'!$B$275</definedName>
    <definedName function="false" hidden="false" localSheetId="2" name="mc_buck" vbProcedure="false">'[1]Variable Management'!$B$273</definedName>
    <definedName function="false" hidden="false" localSheetId="2" name="Pi" vbProcedure="false">'[1]Variable Management'!$B$236</definedName>
    <definedName function="false" hidden="false" localSheetId="2" name="PICTURE" vbProcedure="false">INDIRECT('[1]Efficiency Plot Management'!$A$2)</definedName>
    <definedName function="false" hidden="false" localSheetId="2" name="Pin" vbProcedure="false">'[1]Variable Management'!$B$17</definedName>
    <definedName function="false" hidden="false" localSheetId="2" name="PLOT_TYPE" vbProcedure="false">'[1]Variable Management'!$L$10</definedName>
    <definedName function="false" hidden="false" localSheetId="2" name="pole1" vbProcedure="false">'[1]Stability Calculations'!$K$4</definedName>
    <definedName function="false" hidden="false" localSheetId="2" name="Pole2" vbProcedure="false">'[1]Stability Calculations'!$C$5</definedName>
    <definedName function="false" hidden="false" localSheetId="2" name="pole3" vbProcedure="false">'[1]Stability Calculations'!$N$3</definedName>
    <definedName function="false" hidden="false" localSheetId="2" name="pole4" vbProcedure="false">'[1]Stability Calculations'!$C$7</definedName>
    <definedName function="false" hidden="false" localSheetId="2" name="Pout" vbProcedure="false">'[1]Variable Management'!$B$15</definedName>
    <definedName function="false" hidden="false" localSheetId="2" name="pterm1" vbProcedure="false">'[1]Stability Calculations'!$N$4</definedName>
    <definedName function="false" hidden="false" localSheetId="2" name="pterm2" vbProcedure="false">'[1]Stability Calculations'!$N$5</definedName>
    <definedName function="false" hidden="false" localSheetId="2" name="Q" vbProcedure="false">'[1]Variable Management'!$B$280</definedName>
    <definedName function="false" hidden="false" localSheetId="2" name="Qgd_Q1" vbProcedure="false">'[1]Variable Management'!$B$370</definedName>
    <definedName function="false" hidden="false" localSheetId="2" name="Qgd_Q4" vbProcedure="false">'[1]Variable Management'!$D$387</definedName>
    <definedName function="false" hidden="false" localSheetId="2" name="Qgs_Q1" vbProcedure="false">'[1]Variable Management'!$B$371</definedName>
    <definedName function="false" hidden="false" localSheetId="2" name="Qgs_Q4" vbProcedure="false">'[1]Variable Management'!$D$388</definedName>
    <definedName function="false" hidden="false" localSheetId="2" name="Qg_Q1" vbProcedure="false">'[1]Variable Management'!$B$369</definedName>
    <definedName function="false" hidden="false" localSheetId="2" name="Qg_Q2" vbProcedure="false">'[1]Variable Management'!$D$369</definedName>
    <definedName function="false" hidden="false" localSheetId="2" name="Qg_Q3" vbProcedure="false">'[1]Variable Management'!$B$386</definedName>
    <definedName function="false" hidden="false" localSheetId="2" name="Qg_Q4" vbProcedure="false">'[1]Variable Management'!$D$386</definedName>
    <definedName function="false" hidden="false" localSheetId="2" name="QrrSky_Q2" vbProcedure="false">'[1]Variable Management'!$B$401</definedName>
    <definedName function="false" hidden="false" localSheetId="2" name="QrrSky_Q3" vbProcedure="false">'[1]Variable Management'!$D$401</definedName>
    <definedName function="false" hidden="false" localSheetId="2" name="Qrr_Q2" vbProcedure="false">'[1]Variable Management'!$D$378</definedName>
    <definedName function="false" hidden="false" localSheetId="2" name="Qrr_Q3" vbProcedure="false">'[1]Variable Management'!$B$395</definedName>
    <definedName function="false" hidden="false" localSheetId="2" name="radconv" vbProcedure="false">'[1]Stability Calculations'!$Q$6</definedName>
    <definedName function="false" hidden="false" localSheetId="2" name="Rcea1" vbProcedure="false">'[1]Variable Management'!$B$318</definedName>
    <definedName function="false" hidden="false" localSheetId="2" name="Rcea1_u" vbProcedure="false">'[1]Variable Management'!$B$323</definedName>
    <definedName function="false" hidden="false" localSheetId="2" name="RCinEsr" vbProcedure="false">'[1]Variable Management'!$B$194</definedName>
    <definedName function="false" hidden="false" localSheetId="2" name="RCoutEsr" vbProcedure="false">'[1]Variable Management'!$B$173</definedName>
    <definedName function="false" hidden="false" localSheetId="2" name="Rdcr" vbProcedure="false">'[1]Variable Management'!$B$67</definedName>
    <definedName function="false" hidden="false" localSheetId="2" name="Rdson1" vbProcedure="false">'[1]Variable Management'!$B$367</definedName>
    <definedName function="false" hidden="false" localSheetId="2" name="Rdson2" vbProcedure="false">'[1]Variable Management'!$D$367</definedName>
    <definedName function="false" hidden="false" localSheetId="2" name="Rdson3" vbProcedure="false">'[1]Variable Management'!$B$384</definedName>
    <definedName function="false" hidden="false" localSheetId="2" name="Rdson4" vbProcedure="false">'[1]Variable Management'!$D$384</definedName>
    <definedName function="false" hidden="false" localSheetId="2" name="RdsonBotTc" vbProcedure="false">'[1]Variable Management'!$B$385</definedName>
    <definedName function="false" hidden="false" localSheetId="2" name="RdsonDRB" vbProcedure="false">'[1]Variable Management'!$B$359</definedName>
    <definedName function="false" hidden="false" localSheetId="2" name="RdsonDRB2" vbProcedure="false">'[1]Variable Management'!$B$360</definedName>
    <definedName function="false" hidden="false" localSheetId="2" name="RdsonDRT" vbProcedure="false">'[1]Variable Management'!$B$356</definedName>
    <definedName function="false" hidden="false" localSheetId="2" name="RdsonDRT2" vbProcedure="false">'[1]Variable Management'!$B$357</definedName>
    <definedName function="false" hidden="false" localSheetId="2" name="RdsonTopTc" vbProcedure="false">'[1]Variable Management'!$B$368</definedName>
    <definedName function="false" hidden="false" localSheetId="2" name="Rfadj" vbProcedure="false">'[1]Variable Management'!$B$26</definedName>
    <definedName function="false" hidden="false" localSheetId="2" name="Rfb1_" vbProcedure="false">'[1]Variable Management'!$B$333</definedName>
    <definedName function="false" hidden="false" localSheetId="2" name="Rfb2_" vbProcedure="false">'[1]Variable Management'!$B$334</definedName>
    <definedName function="false" hidden="false" localSheetId="2" name="Rfb2_u" vbProcedure="false">'[1]Variable Management'!$B$335</definedName>
    <definedName function="false" hidden="false" localSheetId="2" name="Rgate1" vbProcedure="false">'[1]Variable Management'!$B$372</definedName>
    <definedName function="false" hidden="false" localSheetId="2" name="Rgate2" vbProcedure="false">'[1]Variable Management'!$D$372</definedName>
    <definedName function="false" hidden="false" localSheetId="2" name="Rgate4" vbProcedure="false">'[1]Variable Management'!$D$389</definedName>
    <definedName function="false" hidden="false" localSheetId="2" name="Ri" vbProcedure="false">'[1]Variable Management'!$B$238</definedName>
    <definedName function="false" hidden="false" localSheetId="2" name="Ro" vbProcedure="false">'[1]Variable Management'!$B$303</definedName>
    <definedName function="false" hidden="false" localSheetId="2" name="RoEA" vbProcedure="false">'[1]Variable Management'!$B$289</definedName>
    <definedName function="false" hidden="false" localSheetId="2" name="Rout" vbProcedure="false">'[1]Variable Management'!$B$14</definedName>
    <definedName function="false" hidden="false" localSheetId="2" name="Rs" vbProcedure="false">'[1]Variable Management'!$B$122</definedName>
    <definedName function="false" hidden="false" localSheetId="2" name="Rshunt" vbProcedure="false">'[1]Variable Management'!$B$156</definedName>
    <definedName function="false" hidden="false" localSheetId="2" name="Rshunt_std" vbProcedure="false">'[1]Standard Value Calculator'!$O$21</definedName>
    <definedName function="false" hidden="false" localSheetId="2" name="Rs_ideal" vbProcedure="false">'[1]Variable Management'!$B$121</definedName>
    <definedName function="false" hidden="false" localSheetId="2" name="Ruvlo1" vbProcedure="false">'[1]Variable Management'!$B$212</definedName>
    <definedName function="false" hidden="false" localSheetId="2" name="Ruvlo2" vbProcedure="false">'[1]Variable Management'!$B$213</definedName>
    <definedName function="false" hidden="false" localSheetId="2" name="Se" vbProcedure="false">'[1]Variable Management'!$B$246</definedName>
    <definedName function="false" hidden="false" localSheetId="2" name="Se_ext" vbProcedure="false">'[1]Variable Management'!$B$254</definedName>
    <definedName function="false" hidden="false" localSheetId="2" name="Se_fixed" vbProcedure="false">'[1]Variable Management'!$B$244</definedName>
    <definedName function="false" hidden="false" localSheetId="2" name="Se_proportional" vbProcedure="false">'[1]Variable Management'!$B$245</definedName>
    <definedName function="false" hidden="false" localSheetId="2" name="Sf" vbProcedure="false">'[1]Variable Management'!$B$256</definedName>
    <definedName function="false" hidden="false" localSheetId="2" name="Sn" vbProcedure="false">'[1]Variable Management'!$B$255</definedName>
    <definedName function="false" hidden="false" localSheetId="2" name="Ta" vbProcedure="false">'[1]Variable Management'!$B$348</definedName>
    <definedName function="false" hidden="false" localSheetId="2" name="Tf_boost" vbProcedure="false">'[1]Variable Management'!$D$409</definedName>
    <definedName function="false" hidden="false" localSheetId="2" name="Tf_buck" vbProcedure="false">'[1]Variable Management'!$B$409</definedName>
    <definedName function="false" hidden="false" localSheetId="2" name="ThetaCa" vbProcedure="false">'[1]Variable Management'!$B$351</definedName>
    <definedName function="false" hidden="false" localSheetId="2" name="ThetaJaCtrl" vbProcedure="false">'[1]Variable Management'!$B$405</definedName>
    <definedName function="false" hidden="false" localSheetId="2" name="ThetaJA_Q1" vbProcedure="false">'[1]Variable Management'!$B$380</definedName>
    <definedName function="false" hidden="false" localSheetId="2" name="ThetaJA_Q2" vbProcedure="false">'[1]Variable Management'!$D$380</definedName>
    <definedName function="false" hidden="false" localSheetId="2" name="ThetaJA_Q3" vbProcedure="false">'[1]Variable Management'!$B$397</definedName>
    <definedName function="false" hidden="false" localSheetId="2" name="ThetaJA_Q4" vbProcedure="false">'[1]Variable Management'!$D$397</definedName>
    <definedName function="false" hidden="false" localSheetId="2" name="Toff_Vinmax" vbProcedure="false">'[1]Variable Management'!$B$262</definedName>
    <definedName function="false" hidden="false" localSheetId="2" name="Ton_Vinmin" vbProcedure="false">'[1]Variable Management'!$B$264</definedName>
    <definedName function="false" hidden="false" localSheetId="2" name="Trr_Q2" vbProcedure="false">'[1]Variable Management'!$D$379</definedName>
    <definedName function="false" hidden="false" localSheetId="2" name="Tr_boost" vbProcedure="false">'[1]Variable Management'!$D$408</definedName>
    <definedName function="false" hidden="false" localSheetId="2" name="Tr_buck" vbProcedure="false">'[1]Variable Management'!$B$408</definedName>
    <definedName function="false" hidden="false" localSheetId="2" name="Tss" vbProcedure="false">'[1]Variable Management'!$B$203</definedName>
    <definedName function="false" hidden="false" localSheetId="2" name="Vdd" vbProcedure="false">'[1]Variable Management'!$B$354</definedName>
    <definedName function="false" hidden="false" localSheetId="2" name="VfdSky_Q2" vbProcedure="false">'[1]Variable Management'!$B$400</definedName>
    <definedName function="false" hidden="false" localSheetId="2" name="VfdSky_Q3" vbProcedure="false">'[1]Variable Management'!$D$400</definedName>
    <definedName function="false" hidden="false" localSheetId="2" name="Vin" vbProcedure="false">'[1]Variable Management'!$B$8</definedName>
    <definedName function="false" hidden="false" localSheetId="2" name="Vinripple1" vbProcedure="false">'[1]Variable Management'!$B$183</definedName>
    <definedName function="false" hidden="false" localSheetId="2" name="Vinripple2" vbProcedure="false">'[1]Variable Management'!$B$198</definedName>
    <definedName function="false" hidden="false" localSheetId="2" name="VINuvlo_on" vbProcedure="false">'[1]Variable Management'!$B$210</definedName>
    <definedName function="false" hidden="false" localSheetId="2" name="VIN_BB_to_buck" vbProcedure="false">'[1]Variable Management'!$B$43</definedName>
    <definedName function="false" hidden="false" localSheetId="2" name="VIN_boost_to_BB" vbProcedure="false">'[1]Variable Management'!$B$41</definedName>
    <definedName function="false" hidden="false" localSheetId="2" name="VIN_edgebuckboost" vbProcedure="false">'[1]Variable Management'!$B$10</definedName>
    <definedName function="false" hidden="false" localSheetId="2" name="VIN_max" vbProcedure="false">'[1]Variable Management'!$B$9</definedName>
    <definedName function="false" hidden="false" localSheetId="2" name="VIN_min" vbProcedure="false">'[1]Variable Management'!$B$7</definedName>
    <definedName function="false" hidden="false" localSheetId="2" name="VIN_nom" vbProcedure="false">'[1]Variable Management'!$B$8</definedName>
    <definedName function="false" hidden="false" localSheetId="2" name="Vout" vbProcedure="false">'[1]Variable Management'!$B$12</definedName>
    <definedName function="false" hidden="false" localSheetId="2" name="Vref" vbProcedure="false">'[1]Variable Management'!$B$24</definedName>
    <definedName function="false" hidden="false" localSheetId="2" name="Vripple1" vbProcedure="false">'[1]Variable Management'!$B$76</definedName>
    <definedName function="false" hidden="false" localSheetId="2" name="Vripple2" vbProcedure="false">'[1]Variable Management'!$B$174</definedName>
    <definedName function="false" hidden="false" localSheetId="2" name="Vsd_Q1" vbProcedure="false">'[1]Variable Management'!$B$377</definedName>
    <definedName function="false" hidden="false" localSheetId="2" name="Vsd_Q2" vbProcedure="false">'[1]Variable Management'!$D$377</definedName>
    <definedName function="false" hidden="false" localSheetId="2" name="Vsd_Q3" vbProcedure="false">'[1]Variable Management'!$B$394</definedName>
    <definedName function="false" hidden="false" localSheetId="2" name="Vsd_Q4" vbProcedure="false">'[1]Variable Management'!$D$394</definedName>
    <definedName function="false" hidden="false" localSheetId="2" name="Vsp_Q1" vbProcedure="false">'[1]Variable Management'!$B$375</definedName>
    <definedName function="false" hidden="false" localSheetId="2" name="Vsp_Q4" vbProcedure="false">'[1]Variable Management'!$D$392</definedName>
    <definedName function="false" hidden="false" localSheetId="2" name="Vth_Q1" vbProcedure="false">'[1]Variable Management'!$B$374</definedName>
    <definedName function="false" hidden="false" localSheetId="2" name="Vth_Q2" vbProcedure="false">'[1]Variable Management'!$D$374</definedName>
    <definedName function="false" hidden="false" localSheetId="2" name="Vth_Q3" vbProcedure="false">'[1]Variable Management'!$B$391</definedName>
    <definedName function="false" hidden="false" localSheetId="2" name="Vth_Q4" vbProcedure="false">'[1]Variable Management'!$D$391</definedName>
    <definedName function="false" hidden="false" localSheetId="2" name="Vuvlo_off" vbProcedure="false">'[1]Variable Management'!$B$219</definedName>
    <definedName function="false" hidden="false" localSheetId="2" name="Vuvlo_on" vbProcedure="false">'[1]Variable Management'!$B$218</definedName>
    <definedName function="false" hidden="false" localSheetId="2" name="V_sc_fixed" vbProcedure="false">'[1]Variable Management'!$B$248</definedName>
    <definedName function="false" hidden="false" localSheetId="2" name="Zero1" vbProcedure="false">'[1]Stability Calculations'!$K$3</definedName>
    <definedName function="false" hidden="false" localSheetId="2" name="Zero2" vbProcedure="false">'[1]Stability Calculations'!$C$4</definedName>
    <definedName function="false" hidden="false" localSheetId="2" name="z_RHP" vbProcedure="false">'[1]Stability Calculations'!$K$5</definedName>
    <definedName function="false" hidden="false" localSheetId="2" name="_Don1" vbProcedure="false">'[1]Variable Management'!$B$48</definedName>
    <definedName function="false" hidden="false" localSheetId="2" name="_Don2" vbProcedure="false">'[1]Variable Management'!$B$69</definedName>
    <definedName function="false" hidden="false" localSheetId="5" name="PICTURE2" vbProcedure="false">INDIRECT('Schematic Management'!$A$2)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3" authorId="0">
      <text>
        <r>
          <rPr>
            <sz val="10"/>
            <rFont val="Arial"/>
            <family val="2"/>
          </rPr>
          <t xml:space="preserve">Welcome to the LM5176 Quickstart Design Tool
</t>
        </r>
        <r>
          <rPr>
            <sz val="9"/>
            <color rgb="FF000000"/>
            <rFont val="Tahoma"/>
            <family val="2"/>
            <charset val="1"/>
          </rPr>
          <t xml:space="preserve">
This stand-alone tool facilitates and assists the power supply engineer with design of a DC/DC buck-boost converter based on the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LM5176 current-mode buck-boost controller</t>
        </r>
        <r>
          <rPr>
            <sz val="9"/>
            <color rgb="FF000000"/>
            <rFont val="Tahoma"/>
            <family val="2"/>
            <charset val="1"/>
          </rPr>
          <t xml:space="preserve">. As such, the user can expeditiously arrive at an optimized design by virtue of the following:
- Determine filter inductance and input and output filter capacitances
- Select components for soft-start, input UVLO and dither
- Optimize compensation values, slope compensation, and pole/zero placement in terms of control loop stability using crossover frequency as a performance metric
- Inspect converter efficiency and component power dissipations vs. line and load
- Analyze efficiency based on selected MOSFET parameters
- Review auto-generated schematic and BOM list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IMPORTANT:</t>
        </r>
        <r>
          <rPr>
            <sz val="9"/>
            <color rgb="FF000000"/>
            <rFont val="Tahoma"/>
            <family val="2"/>
            <charset val="1"/>
          </rPr>
          <t xml:space="preserve"> You must enable macros if Microsoft EXCEL asks as the file is being opened.
U.S. English notation is used throughout.
</t>
        </r>
        <r>
          <rPr>
            <u val="single"/>
            <sz val="9"/>
            <color rgb="FF0000FF"/>
            <rFont val="Tahoma"/>
            <family val="2"/>
            <charset val="1"/>
          </rPr>
          <t xml:space="preserve">http://www.ti.com/widevin/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
Rev 1.0, Vijay Choudhary, Texas Instruments, Inc.</t>
        </r>
      </text>
    </comment>
    <comment ref="E77" authorId="0">
      <text>
        <r>
          <rPr>
            <sz val="10"/>
            <rFont val="Arial"/>
            <family val="2"/>
          </rPr>
          <t xml:space="preserve">Selected Compensation Components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  <r>
          <rPr>
            <b val="true"/>
            <sz val="9"/>
            <color rgb="FFFF00FF"/>
            <rFont val="Tahoma"/>
            <family val="2"/>
            <charset val="1"/>
          </rPr>
          <t xml:space="preserve">Note: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Compensation components are calculated based on the nominal input voltage from Step 1 and the desired crossover frequency from Step 7.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  <r>
          <rPr>
            <b val="true"/>
            <sz val="9"/>
            <color rgb="FFFF00FF"/>
            <rFont val="Tahoma"/>
            <family val="2"/>
            <charset val="1"/>
          </rPr>
          <t xml:space="preserve">Important:
</t>
        </r>
        <r>
          <rPr>
            <b val="true"/>
            <sz val="9"/>
            <color rgb="FF0000FF"/>
            <rFont val="Tahoma"/>
            <family val="2"/>
            <charset val="1"/>
          </rPr>
          <t xml:space="preserve">1. Fix the compensation values by clicking the FIX VALUES button.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
</t>
        </r>
        <r>
          <rPr>
            <b val="true"/>
            <sz val="9"/>
            <color rgb="FF0000FF"/>
            <rFont val="Tahoma"/>
            <family val="2"/>
            <charset val="1"/>
          </rPr>
          <t xml:space="preserve">2. Sweep VIN(nom) across the required input range to ensure adequate stability performance, especially at low VIN.</t>
        </r>
      </text>
    </comment>
    <comment ref="E87" authorId="0">
      <text>
        <r>
          <rPr>
            <sz val="10"/>
            <rFont val="Arial"/>
            <family val="2"/>
          </rPr>
          <t xml:space="preserve">On-State Resistance (R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of the high-side MOSFET here (at the appropriate gate drive level, typically 7.5V). High current designs (&gt;5A) can incur large conduction losses and, as such, demand MOSFETs with low 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usually at the expense of larger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sz val="10"/>
            <color rgb="FF000000"/>
            <rFont val="Tahoma"/>
            <family val="2"/>
            <charset val="1"/>
          </rPr>
          <t xml:space="preserve">.
MOSFET 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has a positive temperature coefficient (resistance increases with increasing temperature). This temperature coefficient is accounted for in the efficiency and power dissipation calculations.</t>
        </r>
      </text>
    </comment>
    <comment ref="E88" authorId="0">
      <text>
        <r>
          <rPr>
            <sz val="10"/>
            <rFont val="Arial"/>
            <family val="2"/>
          </rPr>
          <t xml:space="preserve">Total Gate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total gate charge of the high-side MOSFET here (at the appropriate gate drive voltage level, typically 7.5V).</t>
        </r>
      </text>
    </comment>
    <comment ref="E89" authorId="0">
      <text>
        <r>
          <rPr>
            <sz val="10"/>
            <rFont val="Arial"/>
            <family val="2"/>
          </rPr>
          <t xml:space="preserve">Gate-Drain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sz val="10"/>
            <color rgb="FF000000"/>
            <rFont val="Tahoma"/>
            <family val="2"/>
            <charset val="1"/>
          </rPr>
          <t xml:space="preserve"> of the high-side MOSFET here.
MOSFET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sz val="10"/>
            <color rgb="FF000000"/>
            <rFont val="Tahoma"/>
            <family val="2"/>
            <charset val="1"/>
          </rPr>
          <t xml:space="preserve"> affects the turn-on and-off transition times. Slow transition times result in a decrease in efficiency, especially at higher input voltages.</t>
        </r>
      </text>
    </comment>
    <comment ref="E90" authorId="0">
      <text>
        <r>
          <rPr>
            <sz val="10"/>
            <rFont val="Arial"/>
            <family val="2"/>
          </rPr>
          <t xml:space="preserve">Gate-Source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gate-source charge here. </t>
        </r>
      </text>
    </comment>
    <comment ref="E91" authorId="0">
      <text>
        <r>
          <rPr>
            <sz val="10"/>
            <rFont val="Arial"/>
            <family val="2"/>
          </rPr>
          <t xml:space="preserve">Gate Resistance (R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high-side MOSFET gate resistance here. </t>
        </r>
      </text>
    </comment>
    <comment ref="E92" authorId="0">
      <text>
        <r>
          <rPr>
            <sz val="10"/>
            <rFont val="Arial"/>
            <family val="2"/>
          </rPr>
          <t xml:space="preserve">Forward Transconductance (g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FS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forward transconductance rating of the high-side MOSFET here.</t>
        </r>
      </text>
    </comment>
    <comment ref="E93" authorId="0">
      <text>
        <r>
          <rPr>
            <sz val="10"/>
            <rFont val="Arial"/>
            <family val="2"/>
          </rPr>
          <t xml:space="preserve">Gate to Source Threshold Voltage (V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GS(TH)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MOSFET gate-source threshold voltage at rated current here. This can be taken as the plateau voltage in the V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sz val="10"/>
            <color rgb="FF000000"/>
            <rFont val="Tahoma"/>
            <family val="2"/>
            <charset val="1"/>
          </rPr>
          <t xml:space="preserve">-Q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sz val="10"/>
            <color rgb="FF000000"/>
            <rFont val="Tahoma"/>
            <family val="2"/>
            <charset val="1"/>
          </rPr>
          <t xml:space="preserve"> curve in the MOSFET datasheet.
</t>
        </r>
      </text>
    </comment>
    <comment ref="E94" authorId="0">
      <text>
        <r>
          <rPr>
            <sz val="10"/>
            <rFont val="Arial"/>
            <family val="2"/>
          </rPr>
          <t xml:space="preserve">Body Diode Forward Voltage (V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bd1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A MOSFET has an inherent reverse body diode, and the voltage drop usually is specified at a rated current. The high-side MOSFET body diode contributes power loss during negative current events.</t>
        </r>
      </text>
    </comment>
    <comment ref="E96" authorId="0">
      <text>
        <r>
          <rPr>
            <sz val="10"/>
            <rFont val="Arial"/>
            <family val="2"/>
          </rPr>
          <t xml:space="preserve">θ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:
</t>
        </r>
        <r>
          <rPr>
            <sz val="10"/>
            <color rgb="FF000000"/>
            <rFont val="Tahoma"/>
            <family val="2"/>
            <charset val="1"/>
          </rPr>
          <t xml:space="preserve">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is the junction-to-ambient thermal resistance of the MOSFET. Higher 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will lead to higher power loss and reduced efficiency. High current designs demand low 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E100" authorId="0">
      <text>
        <r>
          <rPr>
            <sz val="10"/>
            <rFont val="Arial"/>
            <family val="2"/>
          </rPr>
          <t xml:space="preserve">MOSFET On-State Resistance (R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R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of the high-side MOSFET here at the appropriate gate drive level. High current designs (&gt;5A) can incur large conduction losses and, as such, demand MOSFETs with low R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</t>
        </r>
        <r>
          <rPr>
            <sz val="10"/>
            <color rgb="FF000000"/>
            <rFont val="Calibri"/>
            <family val="2"/>
            <charset val="1"/>
          </rPr>
          <t xml:space="preserve">– </t>
        </r>
        <r>
          <rPr>
            <sz val="10"/>
            <color rgb="FF000000"/>
            <rFont val="Tahoma"/>
            <family val="2"/>
            <charset val="1"/>
          </rPr>
          <t xml:space="preserve">usually at the expense of larger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sz val="10"/>
            <color rgb="FF000000"/>
            <rFont val="Tahoma"/>
            <family val="2"/>
            <charset val="1"/>
          </rPr>
          <t xml:space="preserve">. MOSFET R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temperature coefficient is accounted for in the efficiency and power dissipation calculations.  </t>
        </r>
      </text>
    </comment>
    <comment ref="E101" authorId="0">
      <text>
        <r>
          <rPr>
            <sz val="10"/>
            <rFont val="Arial"/>
            <family val="2"/>
          </rPr>
          <t xml:space="preserve">Total Gate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total gate charge of the MOSFET here, based on V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sz val="10"/>
            <color rgb="FF000000"/>
            <rFont val="Tahoma"/>
            <family val="2"/>
            <charset val="1"/>
          </rPr>
          <t xml:space="preserve"> = 7.5V.</t>
        </r>
      </text>
    </comment>
    <comment ref="E102" authorId="0">
      <text>
        <r>
          <rPr>
            <sz val="10"/>
            <rFont val="Arial"/>
            <family val="2"/>
          </rPr>
          <t xml:space="preserve">Gate-Drain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sz val="10"/>
            <color rgb="FF000000"/>
            <rFont val="Tahoma"/>
            <family val="2"/>
            <charset val="1"/>
          </rPr>
          <t xml:space="preserve"> of the boost high-side MOSFET here.</t>
        </r>
      </text>
    </comment>
    <comment ref="E103" authorId="0">
      <text>
        <r>
          <rPr>
            <sz val="10"/>
            <rFont val="Arial"/>
            <family val="2"/>
          </rPr>
          <t xml:space="preserve">Gate-Source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gate-source charge here. </t>
        </r>
      </text>
    </comment>
    <comment ref="E104" authorId="0">
      <text>
        <r>
          <rPr>
            <sz val="10"/>
            <rFont val="Arial"/>
            <family val="2"/>
          </rPr>
          <t xml:space="preserve">Gate Resistance (R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boost high-side MOSFET gate resistance here. </t>
        </r>
      </text>
    </comment>
    <comment ref="E105" authorId="0">
      <text>
        <r>
          <rPr>
            <sz val="10"/>
            <rFont val="Arial"/>
            <family val="2"/>
          </rPr>
          <t xml:space="preserve">Forward Transconductance (g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FS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forward transconductance rating of the high-side MOSFET here.</t>
        </r>
      </text>
    </comment>
    <comment ref="E106" authorId="0">
      <text>
        <r>
          <rPr>
            <sz val="10"/>
            <rFont val="Arial"/>
            <family val="2"/>
          </rPr>
          <t xml:space="preserve">Gate to Source Threshold Voltage (V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GS(TH)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high-side MOSFET gate-source threshold voltage at rated current here. This can be taken as the plateau voltage in the V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sz val="10"/>
            <color rgb="FF000000"/>
            <rFont val="Tahoma"/>
            <family val="2"/>
            <charset val="1"/>
          </rPr>
          <t xml:space="preserve">-Q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sz val="10"/>
            <color rgb="FF000000"/>
            <rFont val="Tahoma"/>
            <family val="2"/>
            <charset val="1"/>
          </rPr>
          <t xml:space="preserve"> curve in the MOSFET datasheet.
</t>
        </r>
      </text>
    </comment>
    <comment ref="E107" authorId="0">
      <text>
        <r>
          <rPr>
            <sz val="10"/>
            <rFont val="Arial"/>
            <family val="2"/>
          </rPr>
          <t xml:space="preserve">Body Diode Voltage (V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sd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):
</t>
        </r>
        <r>
          <rPr>
            <sz val="9"/>
            <color rgb="FF000000"/>
            <rFont val="Tahoma"/>
            <family val="2"/>
            <charset val="1"/>
          </rPr>
          <t xml:space="preserve">The high-side MOSFET body diode can contribute power loss in boost operation - related to (1) body diode conduction drop during the deadtime, and (2) diode reverse recovery current.</t>
        </r>
      </text>
    </comment>
    <comment ref="E108" authorId="0">
      <text>
        <r>
          <rPr>
            <sz val="10"/>
            <rFont val="Arial"/>
            <family val="2"/>
          </rPr>
          <t xml:space="preserve">Body Diode Recovery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RR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reverse recovery charge of the boost high-side MOSFET body diode here. </t>
        </r>
      </text>
    </comment>
    <comment ref="E109" authorId="0">
      <text>
        <r>
          <rPr>
            <sz val="10"/>
            <rFont val="Arial"/>
            <family val="2"/>
          </rPr>
          <t xml:space="preserve">θ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:
</t>
        </r>
        <r>
          <rPr>
            <sz val="10"/>
            <color rgb="FF000000"/>
            <rFont val="Tahoma"/>
            <family val="2"/>
            <charset val="1"/>
          </rPr>
          <t xml:space="preserve">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is the junction-to-ambient thermal resistance of the MOSFET. Higher 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will lead to higher power loss and reduced efficiency. High current designs demand low 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E112" authorId="0">
      <text>
        <r>
          <rPr>
            <sz val="10"/>
            <rFont val="Arial"/>
            <family val="2"/>
          </rPr>
          <t xml:space="preserve">Schottky Forward Voltage:
</t>
        </r>
        <r>
          <rPr>
            <sz val="10"/>
            <color rgb="FF000000"/>
            <rFont val="Tahoma"/>
            <family val="2"/>
            <charset val="1"/>
          </rPr>
          <t xml:space="preserve">If a Schottky diode is used, enter the forward voltage at the rated current here. If a Schottky diode is not used, enter "0" into this cell.</t>
        </r>
      </text>
    </comment>
    <comment ref="E113" authorId="0">
      <text>
        <r>
          <rPr>
            <sz val="10"/>
            <rFont val="Arial"/>
            <family val="2"/>
          </rPr>
          <t xml:space="preserve">Schottky Diode Reverse Recovery Charge:
</t>
        </r>
        <r>
          <rPr>
            <sz val="10"/>
            <color rgb="FF000000"/>
            <rFont val="Tahoma"/>
            <family val="2"/>
            <charset val="1"/>
          </rPr>
          <t xml:space="preserve">Enter the diode reverse recovery charge here.
If a Schottky diode is not used, enter "0" into this cell.</t>
        </r>
      </text>
    </comment>
    <comment ref="F6" authorId="0">
      <text>
        <r>
          <rPr>
            <sz val="10"/>
            <rFont val="Arial"/>
            <family val="2"/>
          </rPr>
          <t xml:space="preserve">Minimum Input Voltage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minimum operating input voltage.
The LM5176 input voltage operating range is 4V to 55V.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The text in the cell is flagged red if:
</t>
        </r>
        <r>
          <rPr>
            <sz val="9"/>
            <color rgb="FF000000"/>
            <rFont val="Tahoma"/>
            <family val="2"/>
            <charset val="1"/>
          </rPr>
          <t xml:space="preserve">-The input voltage is above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55V
</t>
        </r>
        <r>
          <rPr>
            <sz val="9"/>
            <color rgb="FF000000"/>
            <rFont val="Tahoma"/>
            <family val="2"/>
            <charset val="1"/>
          </rPr>
          <t xml:space="preserve">-The input voltage is below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4V</t>
        </r>
      </text>
    </comment>
    <comment ref="F7" authorId="0">
      <text>
        <r>
          <rPr>
            <sz val="10"/>
            <rFont val="Arial"/>
            <family val="2"/>
          </rPr>
          <t xml:space="preserve">Nominal Input Voltage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nominal operating input voltage.
The LM5176 input voltage operating range is 4V to 55V.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The text in the cell is flagged red if:
</t>
        </r>
        <r>
          <rPr>
            <sz val="9"/>
            <color rgb="FF000000"/>
            <rFont val="Tahoma"/>
            <family val="2"/>
            <charset val="1"/>
          </rPr>
          <t xml:space="preserve">-The input voltage is above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V</t>
        </r>
        <r>
          <rPr>
            <b val="true"/>
            <vertAlign val="subscript"/>
            <sz val="9"/>
            <color rgb="FFFF0000"/>
            <rFont val="Tahoma"/>
            <family val="2"/>
            <charset val="1"/>
          </rPr>
          <t xml:space="preserve">IN(max)
</t>
        </r>
        <r>
          <rPr>
            <sz val="9"/>
            <color rgb="FF000000"/>
            <rFont val="Tahoma"/>
            <family val="2"/>
            <charset val="1"/>
          </rPr>
          <t xml:space="preserve">-The input voltage is below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V</t>
        </r>
        <r>
          <rPr>
            <b val="true"/>
            <vertAlign val="subscript"/>
            <sz val="9"/>
            <color rgb="FFFF0000"/>
            <rFont val="Tahoma"/>
            <family val="2"/>
            <charset val="1"/>
          </rPr>
          <t xml:space="preserve">IN(min)</t>
        </r>
      </text>
    </comment>
    <comment ref="F8" authorId="0">
      <text>
        <r>
          <rPr>
            <sz val="10"/>
            <rFont val="Arial"/>
            <family val="2"/>
          </rPr>
          <t xml:space="preserve">Maximum Input Voltage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maximum operating input voltage.
The LM5176 input voltage operating range is 4V to 55V.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The text in the cell is flagged red if:
</t>
        </r>
        <r>
          <rPr>
            <sz val="9"/>
            <color rgb="FF000000"/>
            <rFont val="Tahoma"/>
            <family val="2"/>
            <charset val="1"/>
          </rPr>
          <t xml:space="preserve">-The input voltage is above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55V
</t>
        </r>
        <r>
          <rPr>
            <sz val="9"/>
            <color rgb="FF000000"/>
            <rFont val="Tahoma"/>
            <family val="2"/>
            <charset val="1"/>
          </rPr>
          <t xml:space="preserve">-The input voltage is below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4V</t>
        </r>
      </text>
    </comment>
    <comment ref="F9" authorId="0">
      <text>
        <r>
          <rPr>
            <sz val="10"/>
            <rFont val="Arial"/>
            <family val="2"/>
          </rPr>
          <t xml:space="preserve">Output Voltage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desired output voltage.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
The text in the cell is flagged red if: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-The output voltage is above 55V 
-The output voltage is below 0.8V</t>
        </r>
      </text>
    </comment>
    <comment ref="F11" authorId="0">
      <text>
        <r>
          <rPr>
            <sz val="10"/>
            <rFont val="Arial"/>
            <family val="2"/>
          </rPr>
          <t xml:space="preserve">Operating Frequency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 (set by R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T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):
</t>
        </r>
        <r>
          <rPr>
            <sz val="9"/>
            <color rgb="FF000000"/>
            <rFont val="Tahoma"/>
            <family val="2"/>
            <charset val="1"/>
          </rPr>
          <t xml:space="preserve">This cell defines the free-running switching frequency set by the R</t>
        </r>
        <r>
          <rPr>
            <vertAlign val="subscript"/>
            <sz val="9"/>
            <color rgb="FF000000"/>
            <rFont val="Tahoma"/>
            <family val="2"/>
            <charset val="1"/>
          </rPr>
          <t xml:space="preserve">T</t>
        </r>
        <r>
          <rPr>
            <sz val="9"/>
            <color rgb="FF000000"/>
            <rFont val="Tahoma"/>
            <family val="2"/>
            <charset val="1"/>
          </rPr>
          <t xml:space="preserve"> resistor. 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The text in the cell is flagged red if: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-The frequency is below 100 kHz
-The frequency is above 600 kHz
</t>
        </r>
      </text>
    </comment>
    <comment ref="F16" authorId="0">
      <text>
        <r>
          <rPr>
            <sz val="10"/>
            <rFont val="Arial"/>
            <family val="2"/>
          </rPr>
          <t xml:space="preserve">Filter Inductance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filter inductance here.
Target inductor (peak-to-peak) ripple currrent is 80% of the DC full load </t>
        </r>
        <r>
          <rPr>
            <u val="single"/>
            <sz val="9"/>
            <color rgb="FF000000"/>
            <rFont val="Tahoma"/>
            <family val="2"/>
            <charset val="1"/>
          </rPr>
          <t xml:space="preserve">output</t>
        </r>
        <r>
          <rPr>
            <sz val="9"/>
            <color rgb="FF000000"/>
            <rFont val="Tahoma"/>
            <family val="2"/>
            <charset val="1"/>
          </rPr>
          <t xml:space="preserve"> current in BUCK mode at highest input voltage.
Target inductor (peak-to-peak) ripple currrent is 30% of the DC full load </t>
        </r>
        <r>
          <rPr>
            <u val="single"/>
            <sz val="9"/>
            <color rgb="FF000000"/>
            <rFont val="Tahoma"/>
            <family val="2"/>
            <charset val="1"/>
          </rPr>
          <t xml:space="preserve">input</t>
        </r>
        <r>
          <rPr>
            <sz val="9"/>
            <color rgb="FF000000"/>
            <rFont val="Tahoma"/>
            <family val="2"/>
            <charset val="1"/>
          </rPr>
          <t xml:space="preserve"> current in BOOST mode at lowest input voltage.</t>
        </r>
      </text>
    </comment>
    <comment ref="F17" authorId="0">
      <text>
        <r>
          <rPr>
            <sz val="10"/>
            <rFont val="Arial"/>
            <family val="2"/>
          </rPr>
          <t xml:space="preserve">Inductor DCR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inductor DC resistance here. This is typically specified in the inductor datasheet at 25°C copper temperature.</t>
        </r>
      </text>
    </comment>
    <comment ref="F26" authorId="0">
      <text>
        <r>
          <rPr>
            <sz val="10"/>
            <rFont val="Arial"/>
            <family val="2"/>
          </rPr>
          <t xml:space="preserve">OCP Setpoint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required overcurrent protection (OCP) setpoint for output current. A typical level is 125% of full load current.</t>
        </r>
      </text>
    </comment>
    <comment ref="F27" authorId="0">
      <text>
        <r>
          <rPr>
            <sz val="10"/>
            <rFont val="Arial"/>
            <family val="2"/>
          </rPr>
          <t xml:space="preserve">Sense Resistance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Use this resistor to sense current and set the cycle-by-cycle overcurrent protection. As such, the calculation takes the required current limit setpoint and the inductor ripple current amplitude to calculate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SENSE</t>
        </r>
        <r>
          <rPr>
            <sz val="9"/>
            <color rgb="FF000000"/>
            <rFont val="Tahoma"/>
            <family val="2"/>
            <charset val="1"/>
          </rPr>
          <t xml:space="preserve">.
The thresholds in BUCK and BOOST modes are 80mV and 120mV, respectively.
The resistances of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CS1</t>
        </r>
        <r>
          <rPr>
            <sz val="9"/>
            <color rgb="FF000000"/>
            <rFont val="Tahoma"/>
            <family val="2"/>
            <charset val="1"/>
          </rPr>
          <t xml:space="preserve"> and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CS2</t>
        </r>
        <r>
          <rPr>
            <sz val="9"/>
            <color rgb="FF000000"/>
            <rFont val="Tahoma"/>
            <family val="2"/>
            <charset val="1"/>
          </rPr>
          <t xml:space="preserve"> are equal for balanced common-mode filtering to the CS and CSG pins.</t>
        </r>
      </text>
    </comment>
    <comment ref="F29" authorId="0">
      <text>
        <r>
          <rPr>
            <sz val="10"/>
            <rFont val="Arial"/>
            <family val="2"/>
          </rPr>
          <t xml:space="preserve">Peak Inductor Current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Maximum current in the inductor usually occurs at V</t>
        </r>
        <r>
          <rPr>
            <vertAlign val="subscript"/>
            <sz val="9"/>
            <color rgb="FF000000"/>
            <rFont val="Tahoma"/>
            <family val="2"/>
            <charset val="1"/>
          </rPr>
          <t xml:space="preserve">IN(min)</t>
        </r>
        <r>
          <rPr>
            <sz val="9"/>
            <color rgb="FF000000"/>
            <rFont val="Tahoma"/>
            <family val="2"/>
            <charset val="1"/>
          </rPr>
          <t xml:space="preserve"> or V</t>
        </r>
        <r>
          <rPr>
            <vertAlign val="subscript"/>
            <sz val="9"/>
            <color rgb="FF000000"/>
            <rFont val="Tahoma"/>
            <family val="2"/>
            <charset val="1"/>
          </rPr>
          <t xml:space="preserve">IN(max)</t>
        </r>
        <r>
          <rPr>
            <sz val="9"/>
            <color rgb="FF000000"/>
            <rFont val="Tahoma"/>
            <family val="2"/>
            <charset val="1"/>
          </rPr>
          <t xml:space="preserve">. The result is corresponds to onset of current limit and is intended as a guide to inductor selection as it relates to saturation current.</t>
        </r>
      </text>
    </comment>
    <comment ref="F30" authorId="0">
      <text>
        <r>
          <rPr>
            <sz val="10"/>
            <rFont val="Arial"/>
            <family val="2"/>
          </rPr>
          <t xml:space="preserve">Max Shunt Dissipation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Maximum power loss in the shunt resistor occurs at V</t>
        </r>
        <r>
          <rPr>
            <vertAlign val="subscript"/>
            <sz val="9"/>
            <color rgb="FF000000"/>
            <rFont val="Tahoma"/>
            <family val="2"/>
            <charset val="1"/>
          </rPr>
          <t xml:space="preserve">IN(min)</t>
        </r>
        <r>
          <rPr>
            <sz val="9"/>
            <color rgb="FF000000"/>
            <rFont val="Tahoma"/>
            <family val="2"/>
            <charset val="1"/>
          </rPr>
          <t xml:space="preserve"> or V</t>
        </r>
        <r>
          <rPr>
            <vertAlign val="subscript"/>
            <sz val="9"/>
            <color rgb="FF000000"/>
            <rFont val="Tahoma"/>
            <family val="2"/>
            <charset val="1"/>
          </rPr>
          <t xml:space="preserve">IN(max)</t>
        </r>
        <r>
          <rPr>
            <sz val="9"/>
            <color rgb="FF000000"/>
            <rFont val="Tahoma"/>
            <family val="2"/>
            <charset val="1"/>
          </rPr>
          <t xml:space="preserve">. The result is provided at full load current.
Of course, the dissipation is higher in an overcurrent condition, and the shunt should be rated for this condition.</t>
        </r>
      </text>
    </comment>
    <comment ref="F36" authorId="0">
      <text>
        <r>
          <rPr>
            <sz val="10"/>
            <rFont val="Arial"/>
            <family val="2"/>
          </rPr>
          <t xml:space="preserve">Constant Current Loop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"N/A" if not required.
Enter current in "A" if this optional feature is being used.
</t>
        </r>
      </text>
    </comment>
    <comment ref="F37" authorId="0">
      <text>
        <r>
          <rPr>
            <sz val="10"/>
            <rFont val="Arial"/>
            <family val="2"/>
          </rPr>
          <t xml:space="preserve">Output Shunt Resistance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R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SHUNT</t>
        </r>
        <r>
          <rPr>
            <sz val="9"/>
            <color rgb="FF000000"/>
            <rFont val="Tahoma"/>
            <family val="2"/>
            <charset val="1"/>
          </rPr>
          <t xml:space="preserve"> is calculated based on the desired constant current loop setpoint.
Specifically, the LM5176 design tool sets the constant current loop based on the transconductance amplifier with g</t>
        </r>
        <r>
          <rPr>
            <vertAlign val="subscript"/>
            <sz val="9"/>
            <color rgb="FF000000"/>
            <rFont val="Tahoma"/>
            <family val="2"/>
            <charset val="1"/>
          </rPr>
          <t xml:space="preserve">m</t>
        </r>
        <r>
          <rPr>
            <sz val="9"/>
            <color rgb="FF000000"/>
            <rFont val="Tahoma"/>
            <family val="2"/>
            <charset val="1"/>
          </rPr>
          <t xml:space="preserve"> = 1mA/V and current limit threshold of 50mV.</t>
        </r>
      </text>
    </comment>
    <comment ref="F40" authorId="0">
      <text>
        <r>
          <rPr>
            <sz val="10"/>
            <rFont val="Arial"/>
            <family val="2"/>
          </rPr>
          <t xml:space="preserve">Output Voltage Ripple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desired maximum peak-to-peak output voltage ripple here. This will set the ideal output capacitance value.
</t>
        </r>
        <r>
          <rPr>
            <sz val="9"/>
            <color rgb="FF0000FF"/>
            <rFont val="Tahoma"/>
            <family val="2"/>
            <charset val="1"/>
          </rPr>
          <t xml:space="preserve">
Max output ripple will likely occur at VIN(min) in BOOST mode or perhaps at VIN(max) in BUCK mode.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
The text in the cell is flagged red if: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-The output voltage ripple is zero.</t>
        </r>
      </text>
    </comment>
    <comment ref="F42" authorId="0">
      <text>
        <r>
          <rPr>
            <sz val="10"/>
            <rFont val="Arial"/>
            <family val="2"/>
          </rPr>
          <t xml:space="preserve">Output Capacitance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output capacitance here based on the minimum calculated result. Make sure that the nominal capacitance is appropriately derated for applied voltage, particularly with </t>
        </r>
        <r>
          <rPr>
            <sz val="9"/>
            <color rgb="FF0000FF"/>
            <rFont val="Tahoma"/>
            <family val="2"/>
            <charset val="1"/>
          </rPr>
          <t xml:space="preserve">ceramics</t>
        </r>
        <r>
          <rPr>
            <sz val="9"/>
            <color rgb="FF000000"/>
            <rFont val="Tahoma"/>
            <family val="2"/>
            <charset val="1"/>
          </rPr>
          <t xml:space="preserve">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The text in the cell is flagged red if: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-The chosen output capacitor is smaller than the minimum ideal capacitance.</t>
        </r>
      </text>
    </comment>
    <comment ref="F44" authorId="0">
      <text>
        <r>
          <rPr>
            <sz val="10"/>
            <rFont val="Arial"/>
            <family val="2"/>
          </rPr>
          <t xml:space="preserve">Output Capacitor ESR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output capacitor ESR here based on the maximum allowed output capacitor ESR to meet the voltage ripple specification.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
The text in the cell is flagged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red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 if: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-ESR is zero, or
-ESR exceeds maximum allowable ESR to meet the voltage ripple specification.</t>
        </r>
      </text>
    </comment>
    <comment ref="F49" authorId="0">
      <text>
        <r>
          <rPr>
            <sz val="10"/>
            <rFont val="Arial"/>
            <family val="2"/>
          </rPr>
          <t xml:space="preserve">Input Voltage Ripple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desired maximum peak-to-peak input voltage ripple here. This will set the ideal input capacitance requirement.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
The text in thiecell is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red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 if: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-The input voltage ripple is zero.</t>
        </r>
      </text>
    </comment>
    <comment ref="F51" authorId="0">
      <text>
        <r>
          <rPr>
            <sz val="10"/>
            <rFont val="Arial"/>
            <family val="2"/>
          </rPr>
          <t xml:space="preserve">Input Capacitance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input capacitance here based on the minimum calculated result. Make sure that the nominal capacitance is appropriately derated for applied voltage.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The text in the cell is flagged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red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 if: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-The chosen input capacitor is smaller than the minimum ideal capacitance.</t>
        </r>
      </text>
    </comment>
    <comment ref="F53" authorId="0">
      <text>
        <r>
          <rPr>
            <sz val="10"/>
            <rFont val="Arial"/>
            <family val="2"/>
          </rPr>
          <t xml:space="preserve">Input Capacitor ESR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input capacitor ESR here based on the maximum allowed input capacitor ESR to meet the ripple voltage specification.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
The text in the cell is flagged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red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 if: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-ESR is zero, or
-ESR exceeds maximum allowable ESR to meet the voltage ripple specification.
</t>
        </r>
      </text>
    </comment>
    <comment ref="F58" authorId="0">
      <text>
        <r>
          <rPr>
            <sz val="10"/>
            <rFont val="Arial"/>
            <family val="2"/>
          </rPr>
          <t xml:space="preserve">Soft-Start Time</t>
        </r>
        <r>
          <rPr>
            <b val="true"/>
            <sz val="8"/>
            <color rgb="FF000000"/>
            <rFont val="Tahoma"/>
            <family val="2"/>
            <charset val="1"/>
          </rPr>
          <t xml:space="preserve">:
</t>
        </r>
        <r>
          <rPr>
            <sz val="8"/>
            <color rgb="FF000000"/>
            <rFont val="Tahoma"/>
            <family val="2"/>
            <charset val="1"/>
          </rPr>
          <t xml:space="preserve">Enter the desired soft-start time here. The soft-start time cannot be shorter than the internal 1.28 ms soft-start timer.
</t>
        </r>
        <r>
          <rPr>
            <b val="true"/>
            <sz val="8"/>
            <color rgb="FF000000"/>
            <rFont val="Tahoma"/>
            <family val="2"/>
            <charset val="1"/>
          </rPr>
          <t xml:space="preserve">
The text in this cell is flagged red if:
</t>
        </r>
        <r>
          <rPr>
            <b val="true"/>
            <sz val="8"/>
            <color rgb="FFFF0000"/>
            <rFont val="Tahoma"/>
            <family val="2"/>
            <charset val="1"/>
          </rPr>
          <t xml:space="preserve">-The specified soft-start time is less than 1.28 ms.</t>
        </r>
      </text>
    </comment>
    <comment ref="F60" authorId="0">
      <text>
        <r>
          <rPr>
            <sz val="10"/>
            <rFont val="Arial"/>
            <family val="2"/>
          </rPr>
          <t xml:space="preserve">Dither Low Frequency Modulation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desired dither low-frequency modulation rate. The dither capacitor charges and discharges in triangular fashion between ~98% and 108% of the 1.22V bandgap, i.e. 122mV amplitude, and sets up a 10% modulation of the nominal oscillator frequency.
Note that the LM5176 does not perform dither if the SYNC function is used.
</t>
        </r>
        <r>
          <rPr>
            <b val="true"/>
            <sz val="9"/>
            <color rgb="FF0000FF"/>
            <rFont val="Tahoma"/>
            <family val="2"/>
            <charset val="1"/>
          </rPr>
          <t xml:space="preserve">
If the dither feature is not required, the DITH pin should be tied to GND.
</t>
        </r>
      </text>
    </comment>
    <comment ref="F62" authorId="0">
      <text>
        <r>
          <rPr>
            <sz val="10"/>
            <rFont val="Arial"/>
            <family val="2"/>
          </rPr>
          <t xml:space="preserve">Nominal UVLO Turn-On Input Voltage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nominal input voltage at turn on.
The LM5176 input operating voltage range is 4V to 55V.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The text in the cell is flagged red if:
</t>
        </r>
        <r>
          <rPr>
            <sz val="9"/>
            <color rgb="FF000000"/>
            <rFont val="Tahoma"/>
            <family val="2"/>
            <charset val="1"/>
          </rPr>
          <t xml:space="preserve">-The input voltage is above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55V
</t>
        </r>
        <r>
          <rPr>
            <sz val="9"/>
            <color rgb="FF000000"/>
            <rFont val="Tahoma"/>
            <family val="2"/>
            <charset val="1"/>
          </rPr>
          <t xml:space="preserve">-The input voltage is below 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4V</t>
        </r>
      </text>
    </comment>
    <comment ref="F64" authorId="0">
      <text>
        <r>
          <rPr>
            <sz val="10"/>
            <rFont val="Arial"/>
            <family val="2"/>
          </rPr>
          <t xml:space="preserve">Nominal UVLO Upper Resistor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
This is the upper UVLO resistor that sets the input voltage turn on. A recommended starting value of R</t>
        </r>
        <r>
          <rPr>
            <vertAlign val="subscript"/>
            <sz val="9"/>
            <color rgb="FF000000"/>
            <rFont val="Tahoma"/>
            <family val="2"/>
            <charset val="1"/>
          </rPr>
          <t xml:space="preserve">UV1</t>
        </r>
        <r>
          <rPr>
            <sz val="9"/>
            <color rgb="FF000000"/>
            <rFont val="Tahoma"/>
            <family val="2"/>
            <charset val="1"/>
          </rPr>
          <t xml:space="preserve"> is 200kΩ.</t>
        </r>
      </text>
    </comment>
    <comment ref="F71" authorId="0">
      <text>
        <r>
          <rPr>
            <sz val="10"/>
            <rFont val="Arial"/>
            <family val="2"/>
          </rPr>
          <t xml:space="preserve">Crossover Frequency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Enter the desired crossover frequency (usually between 5% and 20% of switching frequency). This feedback compensation components are determined based on this target performance metric.
</t>
        </r>
        <r>
          <rPr>
            <b val="true"/>
            <sz val="9"/>
            <color rgb="FF0000FF"/>
            <rFont val="Tahoma"/>
            <family val="2"/>
            <charset val="1"/>
          </rPr>
          <t xml:space="preserve">Note: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Compensaton components are calculated based on the nominal input voltage entered in Step 1.
</t>
        </r>
        <r>
          <rPr>
            <b val="true"/>
            <sz val="9"/>
            <color rgb="FFFF0000"/>
            <rFont val="Tahoma"/>
            <family val="2"/>
            <charset val="1"/>
          </rPr>
          <t xml:space="preserve">
** After fixing the compensation components, sweep VIN(nom) across the input range to ensure adequate stability performance, especially at low VIN **</t>
        </r>
      </text>
    </comment>
    <comment ref="F73" authorId="0">
      <text>
        <r>
          <rPr>
            <sz val="10"/>
            <rFont val="Arial"/>
            <family val="2"/>
          </rPr>
          <t xml:space="preserve">R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FB1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This is the upper feedback resistor that sets the output voltage. A recommended starting value of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FB1</t>
        </r>
        <r>
          <rPr>
            <sz val="9"/>
            <color rgb="FF000000"/>
            <rFont val="Tahoma"/>
            <family val="2"/>
            <charset val="1"/>
          </rPr>
          <t xml:space="preserve"> is 100kΩ.</t>
        </r>
      </text>
    </comment>
    <comment ref="F87" authorId="0">
      <text>
        <r>
          <rPr>
            <sz val="10"/>
            <rFont val="Arial"/>
            <family val="2"/>
          </rPr>
          <t xml:space="preserve">On-State Resistance (R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of the low-side MOSFET here  (at the appropriate gate drive level, typically 7.5V). High current designs (&gt;5A) can incur large conduction losses and, as such, demand MOSFETs with low 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usually at the expense of larger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sz val="10"/>
            <color rgb="FF000000"/>
            <rFont val="Tahoma"/>
            <family val="2"/>
            <charset val="1"/>
          </rPr>
          <t xml:space="preserve">.
MOSFET 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has a positive temperature coefficient (resistance increases with increasing temperature). This temperature coefficient is accounted for in the efficiency and power dissipation calculations.</t>
        </r>
      </text>
    </comment>
    <comment ref="F88" authorId="0">
      <text>
        <r>
          <rPr>
            <sz val="10"/>
            <rFont val="Arial"/>
            <family val="2"/>
          </rPr>
          <t xml:space="preserve">Total Gate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total gate charge of the low-side MOSFET here (at the appropriate gate drive level, typically 7.5V)</t>
        </r>
      </text>
    </comment>
    <comment ref="F89" authorId="0">
      <text>
        <r>
          <rPr>
            <sz val="10"/>
            <rFont val="Arial"/>
            <family val="2"/>
          </rPr>
          <t xml:space="preserve">Gate-Drain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sz val="10"/>
            <color rgb="FF000000"/>
            <rFont val="Tahoma"/>
            <family val="2"/>
            <charset val="1"/>
          </rPr>
          <t xml:space="preserve"> of the buck low-side MOSFET here.</t>
        </r>
      </text>
    </comment>
    <comment ref="F90" authorId="0">
      <text>
        <r>
          <rPr>
            <sz val="10"/>
            <rFont val="Arial"/>
            <family val="2"/>
          </rPr>
          <t xml:space="preserve">Gate-Source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gate-source charge here. </t>
        </r>
      </text>
    </comment>
    <comment ref="F91" authorId="0">
      <text>
        <r>
          <rPr>
            <sz val="10"/>
            <rFont val="Arial"/>
            <family val="2"/>
          </rPr>
          <t xml:space="preserve">Gate Resistance (R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low-side MOSFET gate resistance here. </t>
        </r>
      </text>
    </comment>
    <comment ref="F92" authorId="0">
      <text>
        <r>
          <rPr>
            <sz val="10"/>
            <rFont val="Arial"/>
            <family val="2"/>
          </rPr>
          <t xml:space="preserve">Forward Transconductance (g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FS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forward transconductance rating of the low-side MOSFET here.</t>
        </r>
      </text>
    </comment>
    <comment ref="F93" authorId="0">
      <text>
        <r>
          <rPr>
            <sz val="10"/>
            <rFont val="Arial"/>
            <family val="2"/>
          </rPr>
          <t xml:space="preserve">Gate to Source Threshold Voltage (V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GS(TH)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MOSFET gate-source threshold voltage at rated current here. This can be taken as the plateau voltage in the V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sz val="10"/>
            <color rgb="FF000000"/>
            <rFont val="Tahoma"/>
            <family val="2"/>
            <charset val="1"/>
          </rPr>
          <t xml:space="preserve">-Q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sz val="10"/>
            <color rgb="FF000000"/>
            <rFont val="Tahoma"/>
            <family val="2"/>
            <charset val="1"/>
          </rPr>
          <t xml:space="preserve"> curve in the MOSFET datasheet.
</t>
        </r>
      </text>
    </comment>
    <comment ref="F94" authorId="0">
      <text>
        <r>
          <rPr>
            <sz val="10"/>
            <rFont val="Arial"/>
            <family val="2"/>
          </rPr>
          <t xml:space="preserve">Body Diode Forward Voltage (V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bd1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A MOSFET has an inherent reverse body diode, and the voltage drop usually is specified at a rated current. The low-side MOSFET body diode contributes power loss related to both conduction and reverse recovery losses.</t>
        </r>
      </text>
    </comment>
    <comment ref="F95" authorId="0">
      <text>
        <r>
          <rPr>
            <sz val="10"/>
            <rFont val="Arial"/>
            <family val="2"/>
          </rPr>
          <t xml:space="preserve">Body Diode Recovery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RR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reverse recovery charge of the low-side MOSFET body diode here. </t>
        </r>
      </text>
    </comment>
    <comment ref="F96" authorId="0">
      <text>
        <r>
          <rPr>
            <sz val="10"/>
            <rFont val="Arial"/>
            <family val="2"/>
          </rPr>
          <t xml:space="preserve">θ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:
</t>
        </r>
        <r>
          <rPr>
            <sz val="10"/>
            <color rgb="FF000000"/>
            <rFont val="Tahoma"/>
            <family val="2"/>
            <charset val="1"/>
          </rPr>
          <t xml:space="preserve">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is the junction-to-ambient thermal resistance of the MOSFET. Higher 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will lead to higher power loss and reduced efficiency. High current designs demand low 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F100" authorId="0">
      <text>
        <r>
          <rPr>
            <sz val="10"/>
            <rFont val="Arial"/>
            <family val="2"/>
          </rPr>
          <t xml:space="preserve">MOSFET On-State Resistance (R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R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of the low-side MOSFET here at the appropriate gate drive level. High current designs (&gt;5A) can incur large conduction losses and, as such, demand MOSFETs with low R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</t>
        </r>
        <r>
          <rPr>
            <sz val="10"/>
            <color rgb="FF000000"/>
            <rFont val="Calibri"/>
            <family val="2"/>
            <charset val="1"/>
          </rPr>
          <t xml:space="preserve">– </t>
        </r>
        <r>
          <rPr>
            <sz val="10"/>
            <color rgb="FF000000"/>
            <rFont val="Tahoma"/>
            <family val="2"/>
            <charset val="1"/>
          </rPr>
          <t xml:space="preserve">usually at the expense of larger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sz val="10"/>
            <color rgb="FF000000"/>
            <rFont val="Tahoma"/>
            <family val="2"/>
            <charset val="1"/>
          </rPr>
          <t xml:space="preserve">. MOSFET R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DS(on)</t>
        </r>
        <r>
          <rPr>
            <sz val="10"/>
            <color rgb="FF000000"/>
            <rFont val="Tahoma"/>
            <family val="2"/>
            <charset val="1"/>
          </rPr>
          <t xml:space="preserve"> temperature coefficient is accounted for in the efficiency and power dissipation calculations.  </t>
        </r>
      </text>
    </comment>
    <comment ref="F101" authorId="0">
      <text>
        <r>
          <rPr>
            <sz val="10"/>
            <rFont val="Arial"/>
            <family val="2"/>
          </rPr>
          <t xml:space="preserve">Total Gate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total gate charge of the MOSFET here, based on V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sz val="10"/>
            <color rgb="FF000000"/>
            <rFont val="Tahoma"/>
            <family val="2"/>
            <charset val="1"/>
          </rPr>
          <t xml:space="preserve"> = 7.5V.</t>
        </r>
      </text>
    </comment>
    <comment ref="F102" authorId="0">
      <text>
        <r>
          <rPr>
            <sz val="10"/>
            <rFont val="Arial"/>
            <family val="2"/>
          </rPr>
          <t xml:space="preserve">Gate-Drain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sz val="10"/>
            <color rgb="FF000000"/>
            <rFont val="Tahoma"/>
            <family val="2"/>
            <charset val="1"/>
          </rPr>
          <t xml:space="preserve"> of the boost low-side MOSFET here.
MOSFET 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GD</t>
        </r>
        <r>
          <rPr>
            <sz val="10"/>
            <color rgb="FF000000"/>
            <rFont val="Tahoma"/>
            <family val="2"/>
            <charset val="1"/>
          </rPr>
          <t xml:space="preserve"> will affect the turn-on and-off transition times. Slow transition times will result in a decrease in efficiency, especially at higher input voltages.</t>
        </r>
      </text>
    </comment>
    <comment ref="F103" authorId="0">
      <text>
        <r>
          <rPr>
            <sz val="10"/>
            <rFont val="Arial"/>
            <family val="2"/>
          </rPr>
          <t xml:space="preserve">Gate-Source Charge (Q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gate-source charge here. </t>
        </r>
      </text>
    </comment>
    <comment ref="F104" authorId="0">
      <text>
        <r>
          <rPr>
            <sz val="10"/>
            <rFont val="Arial"/>
            <family val="2"/>
          </rPr>
          <t xml:space="preserve">Gate Resistance (R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low-side MOSFET gate resistance here. </t>
        </r>
      </text>
    </comment>
    <comment ref="F105" authorId="0">
      <text>
        <r>
          <rPr>
            <sz val="10"/>
            <rFont val="Arial"/>
            <family val="2"/>
          </rPr>
          <t xml:space="preserve">Forward Transconductance (g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FS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forward transconductance rating of the low-side MOSFET here.</t>
        </r>
      </text>
    </comment>
    <comment ref="F106" authorId="0">
      <text>
        <r>
          <rPr>
            <sz val="10"/>
            <rFont val="Arial"/>
            <family val="2"/>
          </rPr>
          <t xml:space="preserve">Gate to Source Threshold Voltage (V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GS(TH)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):
</t>
        </r>
        <r>
          <rPr>
            <sz val="10"/>
            <color rgb="FF000000"/>
            <rFont val="Tahoma"/>
            <family val="2"/>
            <charset val="1"/>
          </rPr>
          <t xml:space="preserve">Enter the low-side MOSFET gate-source threshold voltage at rated current here. This can be taken as the plateau voltage in the V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GS</t>
        </r>
        <r>
          <rPr>
            <sz val="10"/>
            <color rgb="FF000000"/>
            <rFont val="Tahoma"/>
            <family val="2"/>
            <charset val="1"/>
          </rPr>
          <t xml:space="preserve">-Q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G</t>
        </r>
        <r>
          <rPr>
            <sz val="10"/>
            <color rgb="FF000000"/>
            <rFont val="Tahoma"/>
            <family val="2"/>
            <charset val="1"/>
          </rPr>
          <t xml:space="preserve"> curve in the MOSFET datasheet.
</t>
        </r>
      </text>
    </comment>
    <comment ref="F107" authorId="0">
      <text>
        <r>
          <rPr>
            <sz val="10"/>
            <rFont val="Arial"/>
            <family val="2"/>
          </rPr>
          <t xml:space="preserve">Body Diode Voltage (V</t>
        </r>
        <r>
          <rPr>
            <b val="true"/>
            <vertAlign val="subscript"/>
            <sz val="9"/>
            <color rgb="FF000000"/>
            <rFont val="Tahoma"/>
            <family val="2"/>
            <charset val="1"/>
          </rPr>
          <t xml:space="preserve">sd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):
</t>
        </r>
        <r>
          <rPr>
            <sz val="9"/>
            <color rgb="FF000000"/>
            <rFont val="Tahoma"/>
            <family val="2"/>
            <charset val="1"/>
          </rPr>
          <t xml:space="preserve">The low-side MOSFET body diode can contribute power loss related to body diode conduction drop during the deadtime at light loads.</t>
        </r>
      </text>
    </comment>
    <comment ref="F109" authorId="0">
      <text>
        <r>
          <rPr>
            <sz val="10"/>
            <rFont val="Arial"/>
            <family val="2"/>
          </rPr>
          <t xml:space="preserve">θ</t>
        </r>
        <r>
          <rPr>
            <b val="true"/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b val="true"/>
            <sz val="10"/>
            <color rgb="FF000000"/>
            <rFont val="Tahoma"/>
            <family val="2"/>
            <charset val="1"/>
          </rPr>
          <t xml:space="preserve">:
</t>
        </r>
        <r>
          <rPr>
            <sz val="10"/>
            <color rgb="FF000000"/>
            <rFont val="Tahoma"/>
            <family val="2"/>
            <charset val="1"/>
          </rPr>
          <t xml:space="preserve">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is the junction-to-ambient thermal resistance of the MOSFET. Higher 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will lead to higher power loss and reduced efficiency. High current designs demand low θ</t>
        </r>
        <r>
          <rPr>
            <vertAlign val="subscript"/>
            <sz val="10"/>
            <color rgb="FF000000"/>
            <rFont val="Tahoma"/>
            <family val="2"/>
            <charset val="1"/>
          </rPr>
          <t xml:space="preserve">JA</t>
        </r>
        <r>
          <rPr>
            <sz val="10"/>
            <color rgb="FF000000"/>
            <rFont val="Tahoma"/>
            <family val="2"/>
            <charset val="1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F112" authorId="0">
      <text>
        <r>
          <rPr>
            <sz val="10"/>
            <rFont val="Arial"/>
            <family val="2"/>
          </rPr>
          <t xml:space="preserve">Schottky Forward Voltage:
</t>
        </r>
        <r>
          <rPr>
            <sz val="10"/>
            <color rgb="FF000000"/>
            <rFont val="Tahoma"/>
            <family val="2"/>
            <charset val="1"/>
          </rPr>
          <t xml:space="preserve">If a Schottky diode is used, enter the forward voltage at the rated current here. If a Schottky diode is not used, enter "0" into this cell.</t>
        </r>
      </text>
    </comment>
    <comment ref="F113" authorId="0">
      <text>
        <r>
          <rPr>
            <sz val="10"/>
            <rFont val="Arial"/>
            <family val="2"/>
          </rPr>
          <t xml:space="preserve">Schottky Diode Reverse Recovery Charge:
</t>
        </r>
        <r>
          <rPr>
            <sz val="10"/>
            <color rgb="FF000000"/>
            <rFont val="Tahoma"/>
            <family val="2"/>
            <charset val="1"/>
          </rPr>
          <t xml:space="preserve">Enter the diode reverse recovery charge here.
If a Schottky diode is not used, enter "0" into this cell.</t>
        </r>
      </text>
    </comment>
    <comment ref="J78" authorId="0">
      <text>
        <r>
          <rPr>
            <sz val="10"/>
            <rFont val="Arial"/>
            <family val="2"/>
          </rPr>
          <t xml:space="preserve">COMP Min Voltage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This is the minimum steady state COMP voltage -- usually occurring at VIN(max) and no load -- and should be greater than 0.3V.</t>
        </r>
      </text>
    </comment>
    <comment ref="J79" authorId="0">
      <text>
        <r>
          <rPr>
            <sz val="10"/>
            <rFont val="Arial"/>
            <family val="2"/>
          </rPr>
          <t xml:space="preserve">COMP Max Voltage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:
</t>
        </r>
        <r>
          <rPr>
            <sz val="9"/>
            <color rgb="FF000000"/>
            <rFont val="Tahoma"/>
            <family val="2"/>
            <charset val="1"/>
          </rPr>
          <t xml:space="preserve">This is the maximum steady state COMP voltage -- usually occurring at VIN(min) and full load -- and should be less than 3.0V.</t>
        </r>
      </text>
    </comment>
  </commentList>
</comments>
</file>

<file path=xl/sharedStrings.xml><?xml version="1.0" encoding="utf-8"?>
<sst xmlns="http://schemas.openxmlformats.org/spreadsheetml/2006/main" count="1981" uniqueCount="982">
  <si>
    <t xml:space="preserve">LM5176 DC/DC Controller Design Tool</t>
  </si>
  <si>
    <t xml:space="preserve">http://www.ti.com/product/lm5176</t>
  </si>
  <si>
    <t xml:space="preserve">About</t>
  </si>
  <si>
    <t xml:space="preserve">xx</t>
  </si>
  <si>
    <t xml:space="preserve">= Input Box</t>
  </si>
  <si>
    <t xml:space="preserve">TERMS OF USE</t>
  </si>
  <si>
    <t xml:space="preserve">                </t>
  </si>
  <si>
    <t xml:space="preserve">Step 1: Operating Specifications</t>
  </si>
  <si>
    <t xml:space="preserve">V 1.0.1</t>
  </si>
  <si>
    <t xml:space="preserve">October 2022</t>
  </si>
  <si>
    <r>
      <rPr>
        <b val="true"/>
        <sz val="10"/>
        <color theme="1"/>
        <rFont val="Arial"/>
        <family val="2"/>
        <charset val="1"/>
      </rPr>
      <t xml:space="preserve">Input Voltage - Min, V</t>
    </r>
    <r>
      <rPr>
        <b val="true"/>
        <vertAlign val="subscript"/>
        <sz val="10"/>
        <color theme="1"/>
        <rFont val="Arial"/>
        <family val="2"/>
        <charset val="1"/>
      </rPr>
      <t xml:space="preserve">IN(min)</t>
    </r>
    <r>
      <rPr>
        <b val="true"/>
        <sz val="10"/>
        <color theme="1"/>
        <rFont val="Arial"/>
        <family val="2"/>
        <charset val="1"/>
      </rPr>
      <t xml:space="preserve"> </t>
    </r>
  </si>
  <si>
    <t xml:space="preserve">V</t>
  </si>
  <si>
    <r>
      <rPr>
        <b val="true"/>
        <sz val="10"/>
        <color theme="1"/>
        <rFont val="Arial"/>
        <family val="2"/>
        <charset val="1"/>
      </rPr>
      <t xml:space="preserve">Input Voltage - Nom, V</t>
    </r>
    <r>
      <rPr>
        <b val="true"/>
        <vertAlign val="subscript"/>
        <sz val="10"/>
        <color theme="1"/>
        <rFont val="Arial"/>
        <family val="2"/>
        <charset val="1"/>
      </rPr>
      <t xml:space="preserve">IN(nom)</t>
    </r>
  </si>
  <si>
    <r>
      <rPr>
        <b val="true"/>
        <sz val="10"/>
        <color theme="1"/>
        <rFont val="Arial"/>
        <family val="2"/>
        <charset val="1"/>
      </rPr>
      <t xml:space="preserve">Input Voltage - Max, V</t>
    </r>
    <r>
      <rPr>
        <b val="true"/>
        <vertAlign val="subscript"/>
        <sz val="10"/>
        <color theme="1"/>
        <rFont val="Arial"/>
        <family val="2"/>
        <charset val="1"/>
      </rPr>
      <t xml:space="preserve">IN(max)</t>
    </r>
  </si>
  <si>
    <r>
      <rPr>
        <b val="true"/>
        <sz val="10"/>
        <color theme="1"/>
        <rFont val="Arial"/>
        <family val="2"/>
        <charset val="1"/>
      </rPr>
      <t xml:space="preserve">Output Voltage, V</t>
    </r>
    <r>
      <rPr>
        <b val="true"/>
        <vertAlign val="subscript"/>
        <sz val="10"/>
        <color theme="1"/>
        <rFont val="Arial"/>
        <family val="2"/>
        <charset val="1"/>
      </rPr>
      <t xml:space="preserve">OUT</t>
    </r>
    <r>
      <rPr>
        <b val="true"/>
        <sz val="10"/>
        <color theme="1"/>
        <rFont val="Arial"/>
        <family val="2"/>
        <charset val="1"/>
      </rPr>
      <t xml:space="preserve"> </t>
    </r>
  </si>
  <si>
    <r>
      <rPr>
        <b val="true"/>
        <sz val="10"/>
        <color theme="1"/>
        <rFont val="Arial"/>
        <family val="2"/>
        <charset val="1"/>
      </rPr>
      <t xml:space="preserve">Full Load Output Current, I</t>
    </r>
    <r>
      <rPr>
        <b val="true"/>
        <vertAlign val="subscript"/>
        <sz val="10"/>
        <color theme="1"/>
        <rFont val="Arial"/>
        <family val="2"/>
        <charset val="1"/>
      </rPr>
      <t xml:space="preserve">OUT(max)</t>
    </r>
  </si>
  <si>
    <t xml:space="preserve">A</t>
  </si>
  <si>
    <t xml:space="preserve">Switching Frequency</t>
  </si>
  <si>
    <t xml:space="preserve">kHz</t>
  </si>
  <si>
    <r>
      <rPr>
        <sz val="10"/>
        <rFont val="Arial"/>
        <family val="2"/>
        <charset val="1"/>
      </rPr>
      <t xml:space="preserve">Frequency Set Resistor, R</t>
    </r>
    <r>
      <rPr>
        <vertAlign val="subscript"/>
        <sz val="10"/>
        <rFont val="Arial"/>
        <family val="2"/>
        <charset val="1"/>
      </rPr>
      <t xml:space="preserve">T</t>
    </r>
    <r>
      <rPr>
        <sz val="10"/>
        <rFont val="Arial"/>
        <family val="2"/>
        <charset val="1"/>
      </rPr>
      <t xml:space="preserve"> </t>
    </r>
  </si>
  <si>
    <t xml:space="preserve">kΩ</t>
  </si>
  <si>
    <t xml:space="preserve">Step 2: Filter Inductor</t>
  </si>
  <si>
    <t xml:space="preserve">Recommended Filter Inductance </t>
  </si>
  <si>
    <t xml:space="preserve">µH</t>
  </si>
  <si>
    <r>
      <rPr>
        <b val="true"/>
        <sz val="10"/>
        <color theme="1"/>
        <rFont val="Arial"/>
        <family val="2"/>
        <charset val="1"/>
      </rPr>
      <t xml:space="preserve">Inductance, L</t>
    </r>
    <r>
      <rPr>
        <b val="true"/>
        <vertAlign val="subscript"/>
        <sz val="10"/>
        <color theme="1"/>
        <rFont val="Arial"/>
        <family val="2"/>
        <charset val="1"/>
      </rPr>
      <t xml:space="preserve">F</t>
    </r>
    <r>
      <rPr>
        <b val="true"/>
        <sz val="10"/>
        <color theme="1"/>
        <rFont val="Arial"/>
        <family val="2"/>
        <charset val="1"/>
      </rPr>
      <t xml:space="preserve"> </t>
    </r>
  </si>
  <si>
    <t xml:space="preserve">Inductor DCR </t>
  </si>
  <si>
    <t xml:space="preserve">mΩ</t>
  </si>
  <si>
    <r>
      <rPr>
        <sz val="10"/>
        <rFont val="Arial"/>
        <family val="2"/>
        <charset val="1"/>
      </rPr>
      <t xml:space="preserve">Pk-to-Pk Ripple Current at V</t>
    </r>
    <r>
      <rPr>
        <vertAlign val="subscript"/>
        <sz val="10"/>
        <rFont val="Arial"/>
        <family val="2"/>
        <charset val="1"/>
      </rPr>
      <t xml:space="preserve">IN(min)</t>
    </r>
    <r>
      <rPr>
        <sz val="10"/>
        <rFont val="Arial"/>
        <family val="2"/>
        <charset val="1"/>
      </rPr>
      <t xml:space="preserve">, 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  <r>
      <rPr>
        <vertAlign val="subscript"/>
        <sz val="10"/>
        <rFont val="Arial"/>
        <family val="2"/>
        <charset val="1"/>
      </rPr>
      <t xml:space="preserve">L1</t>
    </r>
  </si>
  <si>
    <r>
      <rPr>
        <sz val="10"/>
        <rFont val="Arial"/>
        <family val="2"/>
        <charset val="1"/>
      </rPr>
      <t xml:space="preserve">A</t>
    </r>
    <r>
      <rPr>
        <vertAlign val="subscript"/>
        <sz val="10"/>
        <rFont val="Arial"/>
        <family val="2"/>
        <charset val="1"/>
      </rPr>
      <t xml:space="preserve">pk-pk</t>
    </r>
  </si>
  <si>
    <r>
      <rPr>
        <sz val="10"/>
        <rFont val="Arial"/>
        <family val="2"/>
        <charset val="1"/>
      </rPr>
      <t xml:space="preserve">Pk-to-Pk Ripple Current at V</t>
    </r>
    <r>
      <rPr>
        <vertAlign val="subscript"/>
        <sz val="10"/>
        <rFont val="Arial"/>
        <family val="2"/>
        <charset val="1"/>
      </rPr>
      <t xml:space="preserve">IN(nom)</t>
    </r>
    <r>
      <rPr>
        <sz val="10"/>
        <rFont val="Arial"/>
        <family val="2"/>
        <charset val="1"/>
      </rPr>
      <t xml:space="preserve">, 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  <r>
      <rPr>
        <vertAlign val="subscript"/>
        <sz val="10"/>
        <rFont val="Arial"/>
        <family val="2"/>
        <charset val="1"/>
      </rPr>
      <t xml:space="preserve">L2</t>
    </r>
  </si>
  <si>
    <r>
      <rPr>
        <sz val="10"/>
        <rFont val="Arial"/>
        <family val="2"/>
        <charset val="1"/>
      </rPr>
      <t xml:space="preserve">Pk-to-Pk Ripple Current at V</t>
    </r>
    <r>
      <rPr>
        <vertAlign val="subscript"/>
        <sz val="10"/>
        <rFont val="Arial"/>
        <family val="2"/>
        <charset val="1"/>
      </rPr>
      <t xml:space="preserve">IN(max)</t>
    </r>
    <r>
      <rPr>
        <sz val="10"/>
        <rFont val="Arial"/>
        <family val="2"/>
        <charset val="1"/>
      </rPr>
      <t xml:space="preserve">, 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  <r>
      <rPr>
        <vertAlign val="subscript"/>
        <sz val="10"/>
        <rFont val="Arial"/>
        <family val="2"/>
        <charset val="1"/>
      </rPr>
      <t xml:space="preserve">L3</t>
    </r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</si>
  <si>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as a % at V</t>
    </r>
    <r>
      <rPr>
        <vertAlign val="subscript"/>
        <sz val="10"/>
        <rFont val="Arial"/>
        <family val="2"/>
        <charset val="1"/>
      </rPr>
      <t xml:space="preserve">IN(min)</t>
    </r>
  </si>
  <si>
    <t xml:space="preserve">%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</si>
  <si>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as a % at V</t>
    </r>
    <r>
      <rPr>
        <vertAlign val="subscript"/>
        <sz val="10"/>
        <rFont val="Arial"/>
        <family val="2"/>
        <charset val="1"/>
      </rPr>
      <t xml:space="preserve">IN(nom)</t>
    </r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</si>
  <si>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as a % at V</t>
    </r>
    <r>
      <rPr>
        <vertAlign val="subscript"/>
        <sz val="10"/>
        <rFont val="Arial"/>
        <family val="2"/>
        <charset val="1"/>
      </rPr>
      <t xml:space="preserve">IN(max)</t>
    </r>
  </si>
  <si>
    <t xml:space="preserve">Step 3: OCP, Sense Resistors, Slope Comp</t>
  </si>
  <si>
    <r>
      <rPr>
        <b val="true"/>
        <sz val="10"/>
        <color theme="1"/>
        <rFont val="Arial"/>
        <family val="2"/>
        <charset val="1"/>
      </rPr>
      <t xml:space="preserve">Required I</t>
    </r>
    <r>
      <rPr>
        <b val="true"/>
        <vertAlign val="subscript"/>
        <sz val="10"/>
        <color theme="1"/>
        <rFont val="Arial"/>
        <family val="2"/>
        <charset val="1"/>
      </rPr>
      <t xml:space="preserve">OCP(MIN)</t>
    </r>
    <r>
      <rPr>
        <b val="true"/>
        <sz val="10"/>
        <color theme="1"/>
        <rFont val="Arial"/>
        <family val="2"/>
        <charset val="1"/>
      </rPr>
      <t xml:space="preserve"> Setpoint at V</t>
    </r>
    <r>
      <rPr>
        <b val="true"/>
        <vertAlign val="subscript"/>
        <sz val="10"/>
        <color theme="1"/>
        <rFont val="Arial"/>
        <family val="2"/>
        <charset val="1"/>
      </rPr>
      <t xml:space="preserve">IN(nom)</t>
    </r>
  </si>
  <si>
    <t xml:space="preserve">Recommended Sense Resistance</t>
  </si>
  <si>
    <r>
      <rPr>
        <b val="true"/>
        <sz val="10"/>
        <color theme="1"/>
        <rFont val="Arial"/>
        <family val="2"/>
        <charset val="1"/>
      </rPr>
      <t xml:space="preserve">Sense Resistance, R</t>
    </r>
    <r>
      <rPr>
        <b val="true"/>
        <vertAlign val="subscript"/>
        <sz val="10"/>
        <color theme="1"/>
        <rFont val="Arial"/>
        <family val="2"/>
        <charset val="1"/>
      </rPr>
      <t xml:space="preserve">S</t>
    </r>
  </si>
  <si>
    <r>
      <rPr>
        <sz val="10"/>
        <color theme="1"/>
        <rFont val="Arial"/>
        <family val="2"/>
        <charset val="1"/>
      </rPr>
      <t xml:space="preserve">Peak Inductor Current, I</t>
    </r>
    <r>
      <rPr>
        <vertAlign val="subscript"/>
        <sz val="10"/>
        <color theme="1"/>
        <rFont val="Arial"/>
        <family val="2"/>
        <charset val="1"/>
      </rPr>
      <t xml:space="preserve">LPK</t>
    </r>
  </si>
  <si>
    <t xml:space="preserve">W</t>
  </si>
  <si>
    <t xml:space="preserve">Recommended SLOPE Capacitance</t>
  </si>
  <si>
    <t xml:space="preserve">pF</t>
  </si>
  <si>
    <r>
      <rPr>
        <b val="true"/>
        <sz val="10"/>
        <color theme="1"/>
        <rFont val="Arial"/>
        <family val="2"/>
        <charset val="1"/>
      </rPr>
      <t xml:space="preserve">SLOPE Capacitance, C</t>
    </r>
    <r>
      <rPr>
        <b val="true"/>
        <vertAlign val="subscript"/>
        <sz val="10"/>
        <color theme="1"/>
        <rFont val="Arial"/>
        <family val="2"/>
        <charset val="1"/>
      </rPr>
      <t xml:space="preserve">SLOPE</t>
    </r>
  </si>
  <si>
    <r>
      <rPr>
        <sz val="10"/>
        <color theme="1"/>
        <rFont val="Arial"/>
        <family val="2"/>
        <charset val="1"/>
      </rPr>
      <t xml:space="preserve">V</t>
    </r>
    <r>
      <rPr>
        <vertAlign val="subscript"/>
        <sz val="10"/>
        <color theme="1"/>
        <rFont val="Arial"/>
        <family val="2"/>
        <charset val="1"/>
      </rPr>
      <t xml:space="preserve">IN(min)</t>
    </r>
  </si>
  <si>
    <r>
      <rPr>
        <sz val="10"/>
        <rFont val="Arial"/>
        <family val="2"/>
        <charset val="1"/>
      </rPr>
      <t xml:space="preserve">I</t>
    </r>
    <r>
      <rPr>
        <vertAlign val="subscript"/>
        <sz val="10"/>
        <rFont val="Arial"/>
        <family val="2"/>
        <charset val="1"/>
      </rPr>
      <t xml:space="preserve">OUT(typ)</t>
    </r>
    <r>
      <rPr>
        <sz val="10"/>
        <rFont val="Arial"/>
        <family val="2"/>
        <charset val="1"/>
      </rPr>
      <t xml:space="preserve"> at OCP Inception:</t>
    </r>
  </si>
  <si>
    <r>
      <rPr>
        <sz val="10"/>
        <color theme="1"/>
        <rFont val="Arial"/>
        <family val="2"/>
        <charset val="1"/>
      </rPr>
      <t xml:space="preserve">V</t>
    </r>
    <r>
      <rPr>
        <vertAlign val="subscript"/>
        <sz val="10"/>
        <color theme="1"/>
        <rFont val="Arial"/>
        <family val="2"/>
        <charset val="1"/>
      </rPr>
      <t xml:space="preserve">IN(nom)</t>
    </r>
  </si>
  <si>
    <r>
      <rPr>
        <sz val="10"/>
        <color theme="1"/>
        <rFont val="Arial"/>
        <family val="2"/>
        <charset val="1"/>
      </rPr>
      <t xml:space="preserve">V</t>
    </r>
    <r>
      <rPr>
        <vertAlign val="subscript"/>
        <sz val="10"/>
        <color theme="1"/>
        <rFont val="Arial"/>
        <family val="2"/>
        <charset val="1"/>
      </rPr>
      <t xml:space="preserve">IN(max)</t>
    </r>
  </si>
  <si>
    <t xml:space="preserve">Set Const Current Loop Setpoint (?)</t>
  </si>
  <si>
    <r>
      <rPr>
        <sz val="10"/>
        <rFont val="Arial"/>
        <family val="2"/>
        <charset val="1"/>
      </rPr>
      <t xml:space="preserve">Output Leg Shunt Resistance, R</t>
    </r>
    <r>
      <rPr>
        <vertAlign val="subscript"/>
        <sz val="10"/>
        <rFont val="Arial"/>
        <family val="2"/>
        <charset val="1"/>
      </rPr>
      <t xml:space="preserve">CS(out)</t>
    </r>
  </si>
  <si>
    <t xml:space="preserve">Step 4: Output Capacitor</t>
  </si>
  <si>
    <t xml:space="preserve">Output Voltage Ripple Spec</t>
  </si>
  <si>
    <r>
      <rPr>
        <b val="true"/>
        <sz val="10"/>
        <rFont val="Arial"/>
        <family val="2"/>
        <charset val="1"/>
      </rPr>
      <t xml:space="preserve">mV</t>
    </r>
    <r>
      <rPr>
        <b val="true"/>
        <vertAlign val="subscript"/>
        <sz val="10"/>
        <rFont val="Arial"/>
        <family val="2"/>
        <charset val="1"/>
      </rPr>
      <t xml:space="preserve">pk-pk</t>
    </r>
  </si>
  <si>
    <t xml:space="preserve">Minimum Output Capacitance </t>
  </si>
  <si>
    <t xml:space="preserve">µF</t>
  </si>
  <si>
    <r>
      <rPr>
        <b val="true"/>
        <sz val="10"/>
        <rFont val="Arial"/>
        <family val="2"/>
        <charset val="1"/>
      </rPr>
      <t xml:space="preserve">Output Capacitance, C</t>
    </r>
    <r>
      <rPr>
        <b val="true"/>
        <vertAlign val="subscript"/>
        <sz val="10"/>
        <rFont val="Arial"/>
        <family val="2"/>
        <charset val="1"/>
      </rPr>
      <t xml:space="preserve">OUT</t>
    </r>
    <r>
      <rPr>
        <b val="true"/>
        <sz val="10"/>
        <rFont val="Arial"/>
        <family val="2"/>
        <charset val="1"/>
      </rPr>
      <t xml:space="preserve"> </t>
    </r>
  </si>
  <si>
    <t xml:space="preserve">Maximum Permitted ESR </t>
  </si>
  <si>
    <t xml:space="preserve">Output Capacitor ESR </t>
  </si>
  <si>
    <t xml:space="preserve">Resulting Output Voltage Ripple (max) </t>
  </si>
  <si>
    <r>
      <rPr>
        <sz val="10"/>
        <rFont val="Arial"/>
        <family val="2"/>
        <charset val="1"/>
      </rPr>
      <t xml:space="preserve">mV</t>
    </r>
    <r>
      <rPr>
        <vertAlign val="subscript"/>
        <sz val="10"/>
        <rFont val="Arial"/>
        <family val="2"/>
        <charset val="1"/>
      </rPr>
      <t xml:space="preserve">pk-pk</t>
    </r>
  </si>
  <si>
    <t xml:space="preserve">Output Capacitor RMS Current (max) </t>
  </si>
  <si>
    <t xml:space="preserve">A (rms)</t>
  </si>
  <si>
    <r>
      <rPr>
        <b val="true"/>
        <sz val="10"/>
        <color theme="1"/>
        <rFont val="Arial"/>
        <family val="2"/>
        <charset val="1"/>
      </rPr>
      <t xml:space="preserve">V</t>
    </r>
    <r>
      <rPr>
        <b val="true"/>
        <vertAlign val="subscript"/>
        <sz val="10"/>
        <color theme="1"/>
        <rFont val="Arial"/>
        <family val="2"/>
        <charset val="1"/>
      </rPr>
      <t xml:space="preserve">IN(nom)</t>
    </r>
  </si>
  <si>
    <t xml:space="preserve">Step 5: Input Capacitor</t>
  </si>
  <si>
    <t xml:space="preserve">Input Voltage Ripple Spec</t>
  </si>
  <si>
    <t xml:space="preserve">Minimum Input Capacitance</t>
  </si>
  <si>
    <r>
      <rPr>
        <b val="true"/>
        <sz val="10"/>
        <color theme="1"/>
        <rFont val="Arial"/>
        <family val="2"/>
        <charset val="1"/>
      </rPr>
      <t xml:space="preserve">Input Capacitance, C</t>
    </r>
    <r>
      <rPr>
        <b val="true"/>
        <vertAlign val="subscript"/>
        <sz val="10"/>
        <color theme="1"/>
        <rFont val="Arial"/>
        <family val="2"/>
        <charset val="1"/>
      </rPr>
      <t xml:space="preserve">IN</t>
    </r>
    <r>
      <rPr>
        <b val="true"/>
        <sz val="10"/>
        <color theme="1"/>
        <rFont val="Arial"/>
        <family val="2"/>
        <charset val="1"/>
      </rPr>
      <t xml:space="preserve"> </t>
    </r>
  </si>
  <si>
    <t xml:space="preserve"> </t>
  </si>
  <si>
    <t xml:space="preserve">Input Capacitor ESR </t>
  </si>
  <si>
    <t xml:space="preserve">Resulting Input Voltage Ripple (max) </t>
  </si>
  <si>
    <t xml:space="preserve">Input Capacitor RMS Current (max)</t>
  </si>
  <si>
    <t xml:space="preserve">Step 6: Soft-start, Dither, UVLO</t>
  </si>
  <si>
    <r>
      <rPr>
        <b val="true"/>
        <sz val="10"/>
        <color theme="1"/>
        <rFont val="Arial"/>
        <family val="2"/>
        <charset val="1"/>
      </rPr>
      <t xml:space="preserve">Soft-Start Time, t</t>
    </r>
    <r>
      <rPr>
        <b val="true"/>
        <vertAlign val="subscript"/>
        <sz val="10"/>
        <color theme="1"/>
        <rFont val="Arial"/>
        <family val="2"/>
        <charset val="1"/>
      </rPr>
      <t xml:space="preserve">SS</t>
    </r>
    <r>
      <rPr>
        <b val="true"/>
        <sz val="10"/>
        <color theme="1"/>
        <rFont val="Arial"/>
        <family val="2"/>
        <charset val="1"/>
      </rPr>
      <t xml:space="preserve"> </t>
    </r>
  </si>
  <si>
    <t xml:space="preserve">ms</t>
  </si>
  <si>
    <r>
      <rPr>
        <sz val="10"/>
        <rFont val="Arial"/>
        <family val="2"/>
        <charset val="1"/>
      </rPr>
      <t xml:space="preserve">Soft-Start Capacitance, C</t>
    </r>
    <r>
      <rPr>
        <vertAlign val="subscript"/>
        <sz val="10"/>
        <rFont val="Arial"/>
        <family val="2"/>
        <charset val="1"/>
      </rPr>
      <t xml:space="preserve">SS</t>
    </r>
    <r>
      <rPr>
        <sz val="10"/>
        <rFont val="Arial"/>
        <family val="2"/>
        <charset val="1"/>
      </rPr>
      <t xml:space="preserve"> </t>
    </r>
  </si>
  <si>
    <t xml:space="preserve">nF</t>
  </si>
  <si>
    <t xml:space="preserve">Modulating Frequency</t>
  </si>
  <si>
    <t xml:space="preserve">Required Input Voltage UVLO On</t>
  </si>
  <si>
    <t xml:space="preserve">Input Voltage UVLO Off</t>
  </si>
  <si>
    <r>
      <rPr>
        <b val="true"/>
        <sz val="10"/>
        <rFont val="Arial"/>
        <family val="2"/>
        <charset val="1"/>
      </rPr>
      <t xml:space="preserve">Upper UVLO Resistor, R</t>
    </r>
    <r>
      <rPr>
        <b val="true"/>
        <vertAlign val="subscript"/>
        <sz val="10"/>
        <rFont val="Arial"/>
        <family val="2"/>
        <charset val="1"/>
      </rPr>
      <t xml:space="preserve">UV1</t>
    </r>
  </si>
  <si>
    <r>
      <rPr>
        <sz val="10"/>
        <rFont val="Arial"/>
        <family val="2"/>
        <charset val="1"/>
      </rPr>
      <t xml:space="preserve">Lower UVLO Resistor, R</t>
    </r>
    <r>
      <rPr>
        <vertAlign val="subscript"/>
        <sz val="10"/>
        <rFont val="Arial"/>
        <family val="2"/>
        <charset val="1"/>
      </rPr>
      <t xml:space="preserve">UV2</t>
    </r>
  </si>
  <si>
    <t xml:space="preserve">Step 7: Compensation Design</t>
  </si>
  <si>
    <t xml:space="preserve">Load Pole Frequency</t>
  </si>
  <si>
    <t xml:space="preserve">Hz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</si>
  <si>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OUT</t>
    </r>
    <r>
      <rPr>
        <sz val="10"/>
        <rFont val="Arial"/>
        <family val="2"/>
        <charset val="1"/>
      </rPr>
      <t xml:space="preserve"> ESR Zero Frequency </t>
    </r>
  </si>
  <si>
    <t xml:space="preserve">Boost RHP Zero Frequency</t>
  </si>
  <si>
    <t xml:space="preserve">Desired Crossover Frequency </t>
  </si>
  <si>
    <t xml:space="preserve">Error Amp Pole Frequency </t>
  </si>
  <si>
    <r>
      <rPr>
        <b val="true"/>
        <sz val="10"/>
        <rFont val="Arial"/>
        <family val="2"/>
        <charset val="1"/>
      </rPr>
      <t xml:space="preserve">Upper Feedback Resistor, R</t>
    </r>
    <r>
      <rPr>
        <b val="true"/>
        <vertAlign val="subscript"/>
        <sz val="10"/>
        <rFont val="Arial"/>
        <family val="2"/>
        <charset val="1"/>
      </rPr>
      <t xml:space="preserve">FB1 </t>
    </r>
  </si>
  <si>
    <r>
      <rPr>
        <sz val="10"/>
        <rFont val="Arial"/>
        <family val="2"/>
        <charset val="1"/>
      </rPr>
      <t xml:space="preserve">Lower Feedback Resistor, R</t>
    </r>
    <r>
      <rPr>
        <vertAlign val="subscript"/>
        <sz val="10"/>
        <rFont val="Arial"/>
        <family val="2"/>
        <charset val="1"/>
      </rPr>
      <t xml:space="preserve">FB2</t>
    </r>
    <r>
      <rPr>
        <sz val="10"/>
        <rFont val="Arial"/>
        <family val="2"/>
        <charset val="1"/>
      </rPr>
      <t xml:space="preserve"> </t>
    </r>
  </si>
  <si>
    <t xml:space="preserve">Compensation Components</t>
  </si>
  <si>
    <t xml:space="preserve">Calculated /</t>
  </si>
  <si>
    <t xml:space="preserve">Std Values</t>
  </si>
  <si>
    <t xml:space="preserve">Actual P/Z Frequencies</t>
  </si>
  <si>
    <r>
      <rPr>
        <b val="true"/>
        <sz val="10"/>
        <rFont val="Arial"/>
        <family val="2"/>
        <charset val="1"/>
      </rPr>
      <t xml:space="preserve">R</t>
    </r>
    <r>
      <rPr>
        <b val="true"/>
        <vertAlign val="subscript"/>
        <sz val="10"/>
        <rFont val="Arial"/>
        <family val="2"/>
        <charset val="1"/>
      </rPr>
      <t xml:space="preserve">C</t>
    </r>
  </si>
  <si>
    <r>
      <rPr>
        <sz val="10"/>
        <rFont val="Arial"/>
        <family val="2"/>
        <charset val="1"/>
      </rPr>
      <t xml:space="preserve">Hz  (F</t>
    </r>
    <r>
      <rPr>
        <vertAlign val="subscript"/>
        <sz val="10"/>
        <rFont val="Arial"/>
        <family val="2"/>
        <charset val="1"/>
      </rPr>
      <t xml:space="preserve">PEA</t>
    </r>
    <r>
      <rPr>
        <sz val="10"/>
        <rFont val="Arial"/>
        <family val="2"/>
        <charset val="1"/>
      </rPr>
      <t xml:space="preserve">)</t>
    </r>
  </si>
  <si>
    <t xml:space="preserve">Min COMP Voltage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</si>
  <si>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C1</t>
    </r>
  </si>
  <si>
    <r>
      <rPr>
        <sz val="10"/>
        <rFont val="Arial"/>
        <family val="2"/>
        <charset val="1"/>
      </rPr>
      <t xml:space="preserve">kHz (F</t>
    </r>
    <r>
      <rPr>
        <vertAlign val="subscript"/>
        <sz val="10"/>
        <rFont val="Arial"/>
        <family val="2"/>
        <charset val="1"/>
      </rPr>
      <t xml:space="preserve">ZCOMP</t>
    </r>
    <r>
      <rPr>
        <sz val="10"/>
        <rFont val="Arial"/>
        <family val="2"/>
        <charset val="1"/>
      </rPr>
      <t xml:space="preserve">)</t>
    </r>
  </si>
  <si>
    <t xml:space="preserve">Max COMP Voltage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</si>
  <si>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C2</t>
    </r>
  </si>
  <si>
    <r>
      <rPr>
        <sz val="10"/>
        <rFont val="Arial"/>
        <family val="2"/>
        <charset val="1"/>
      </rPr>
      <t xml:space="preserve">kHz (F</t>
    </r>
    <r>
      <rPr>
        <vertAlign val="subscript"/>
        <sz val="10"/>
        <rFont val="Arial"/>
        <family val="2"/>
        <charset val="1"/>
      </rPr>
      <t xml:space="preserve">PCOMP</t>
    </r>
    <r>
      <rPr>
        <sz val="10"/>
        <rFont val="Arial"/>
        <family val="2"/>
        <charset val="1"/>
      </rPr>
      <t xml:space="preserve">)</t>
    </r>
  </si>
  <si>
    <t xml:space="preserve">Efficiency / Power Loss Analyzer</t>
  </si>
  <si>
    <t xml:space="preserve">Step 8: Efficiency</t>
  </si>
  <si>
    <r>
      <rPr>
        <b val="true"/>
        <i val="true"/>
        <u val="single"/>
        <sz val="10"/>
        <color rgb="FF0000FF"/>
        <rFont val="Arial"/>
        <family val="2"/>
        <charset val="1"/>
      </rPr>
      <t xml:space="preserve">Buck</t>
    </r>
    <r>
      <rPr>
        <b val="true"/>
        <sz val="10"/>
        <color rgb="FF0000FF"/>
        <rFont val="Arial"/>
        <family val="2"/>
        <charset val="1"/>
      </rPr>
      <t xml:space="preserve">-Leg Power MOSFETs (Q</t>
    </r>
    <r>
      <rPr>
        <b val="true"/>
        <vertAlign val="subscript"/>
        <sz val="10"/>
        <color rgb="FF0000FF"/>
        <rFont val="Arial"/>
        <family val="2"/>
        <charset val="1"/>
      </rPr>
      <t xml:space="preserve">1</t>
    </r>
    <r>
      <rPr>
        <b val="true"/>
        <sz val="10"/>
        <color rgb="FF0000FF"/>
        <rFont val="Arial"/>
        <family val="2"/>
        <charset val="1"/>
      </rPr>
      <t xml:space="preserve">, Q</t>
    </r>
    <r>
      <rPr>
        <b val="true"/>
        <vertAlign val="subscript"/>
        <sz val="10"/>
        <color rgb="FF0000FF"/>
        <rFont val="Arial"/>
        <family val="2"/>
        <charset val="1"/>
      </rPr>
      <t xml:space="preserve">2</t>
    </r>
    <r>
      <rPr>
        <b val="true"/>
        <sz val="10"/>
        <color rgb="FF0000FF"/>
        <rFont val="Arial"/>
        <family val="2"/>
        <charset val="1"/>
      </rPr>
      <t xml:space="preserve">) </t>
    </r>
  </si>
  <si>
    <t xml:space="preserve">CSD18563Q5A</t>
  </si>
  <si>
    <t xml:space="preserve">Hi-side</t>
  </si>
  <si>
    <t xml:space="preserve">  Low-side</t>
  </si>
  <si>
    <r>
      <rPr>
        <b val="true"/>
        <sz val="10"/>
        <rFont val="Arial"/>
        <family val="2"/>
        <charset val="1"/>
      </rPr>
      <t xml:space="preserve">On-State Resistance, R</t>
    </r>
    <r>
      <rPr>
        <b val="true"/>
        <vertAlign val="subscript"/>
        <sz val="10"/>
        <rFont val="Arial"/>
        <family val="2"/>
        <charset val="1"/>
      </rPr>
      <t xml:space="preserve">DS(on)</t>
    </r>
    <r>
      <rPr>
        <b val="true"/>
        <sz val="10"/>
        <rFont val="Arial"/>
        <family val="2"/>
        <charset val="1"/>
      </rPr>
      <t xml:space="preserve"> </t>
    </r>
  </si>
  <si>
    <r>
      <rPr>
        <b val="true"/>
        <sz val="10"/>
        <rFont val="Arial"/>
        <family val="2"/>
        <charset val="1"/>
      </rPr>
      <t xml:space="preserve">Total Gate Charge, Q</t>
    </r>
    <r>
      <rPr>
        <b val="true"/>
        <vertAlign val="subscript"/>
        <sz val="10"/>
        <rFont val="Arial"/>
        <family val="2"/>
        <charset val="1"/>
      </rPr>
      <t xml:space="preserve">G</t>
    </r>
    <r>
      <rPr>
        <b val="true"/>
        <sz val="10"/>
        <rFont val="Arial"/>
        <family val="2"/>
        <charset val="1"/>
      </rPr>
      <t xml:space="preserve"> </t>
    </r>
  </si>
  <si>
    <t xml:space="preserve">nC</t>
  </si>
  <si>
    <r>
      <rPr>
        <b val="true"/>
        <sz val="10"/>
        <rFont val="Arial"/>
        <family val="2"/>
        <charset val="1"/>
      </rPr>
      <t xml:space="preserve">Gate-Drain Charge, Q</t>
    </r>
    <r>
      <rPr>
        <b val="true"/>
        <vertAlign val="subscript"/>
        <sz val="10"/>
        <rFont val="Arial"/>
        <family val="2"/>
        <charset val="1"/>
      </rPr>
      <t xml:space="preserve">GD</t>
    </r>
    <r>
      <rPr>
        <b val="true"/>
        <sz val="10"/>
        <rFont val="Arial"/>
        <family val="2"/>
        <charset val="1"/>
      </rPr>
      <t xml:space="preserve"> </t>
    </r>
  </si>
  <si>
    <r>
      <rPr>
        <b val="true"/>
        <sz val="10"/>
        <rFont val="Arial"/>
        <family val="2"/>
        <charset val="1"/>
      </rPr>
      <t xml:space="preserve">Gate-Source Charge, Q</t>
    </r>
    <r>
      <rPr>
        <b val="true"/>
        <vertAlign val="subscript"/>
        <sz val="10"/>
        <rFont val="Arial"/>
        <family val="2"/>
        <charset val="1"/>
      </rPr>
      <t xml:space="preserve">GS</t>
    </r>
    <r>
      <rPr>
        <b val="true"/>
        <sz val="10"/>
        <rFont val="Arial"/>
        <family val="2"/>
        <charset val="1"/>
      </rPr>
      <t xml:space="preserve"> </t>
    </r>
  </si>
  <si>
    <r>
      <rPr>
        <b val="true"/>
        <sz val="10"/>
        <rFont val="Arial"/>
        <family val="2"/>
        <charset val="1"/>
      </rPr>
      <t xml:space="preserve">Gate Resistance, R</t>
    </r>
    <r>
      <rPr>
        <b val="true"/>
        <vertAlign val="subscript"/>
        <sz val="10"/>
        <rFont val="Arial"/>
        <family val="2"/>
        <charset val="1"/>
      </rPr>
      <t xml:space="preserve">G</t>
    </r>
    <r>
      <rPr>
        <b val="true"/>
        <sz val="10"/>
        <rFont val="Arial"/>
        <family val="2"/>
        <charset val="1"/>
      </rPr>
      <t xml:space="preserve"> </t>
    </r>
  </si>
  <si>
    <t xml:space="preserve">Ω</t>
  </si>
  <si>
    <r>
      <rPr>
        <b val="true"/>
        <sz val="10"/>
        <rFont val="Arial"/>
        <family val="2"/>
        <charset val="1"/>
      </rPr>
      <t xml:space="preserve">Transconductance, g</t>
    </r>
    <r>
      <rPr>
        <b val="true"/>
        <vertAlign val="subscript"/>
        <sz val="10"/>
        <rFont val="Arial"/>
        <family val="2"/>
        <charset val="1"/>
      </rPr>
      <t xml:space="preserve">FS</t>
    </r>
    <r>
      <rPr>
        <b val="true"/>
        <sz val="10"/>
        <rFont val="Arial"/>
        <family val="2"/>
        <charset val="1"/>
      </rPr>
      <t xml:space="preserve"> </t>
    </r>
  </si>
  <si>
    <t xml:space="preserve">S</t>
  </si>
  <si>
    <r>
      <rPr>
        <b val="true"/>
        <sz val="10"/>
        <rFont val="Arial"/>
        <family val="2"/>
        <charset val="1"/>
      </rPr>
      <t xml:space="preserve">Gate-Source Threshold Voltage, V</t>
    </r>
    <r>
      <rPr>
        <b val="true"/>
        <vertAlign val="subscript"/>
        <sz val="10"/>
        <rFont val="Arial"/>
        <family val="2"/>
        <charset val="1"/>
      </rPr>
      <t xml:space="preserve">TH</t>
    </r>
    <r>
      <rPr>
        <b val="true"/>
        <sz val="10"/>
        <rFont val="Arial"/>
        <family val="2"/>
        <charset val="1"/>
      </rPr>
      <t xml:space="preserve"> </t>
    </r>
  </si>
  <si>
    <r>
      <rPr>
        <b val="true"/>
        <sz val="10"/>
        <rFont val="Arial"/>
        <family val="2"/>
        <charset val="1"/>
      </rPr>
      <t xml:space="preserve">Body Diode Forward Voltage, V</t>
    </r>
    <r>
      <rPr>
        <b val="true"/>
        <vertAlign val="subscript"/>
        <sz val="10"/>
        <rFont val="Arial"/>
        <family val="2"/>
        <charset val="1"/>
      </rPr>
      <t xml:space="preserve">BD</t>
    </r>
    <r>
      <rPr>
        <b val="true"/>
        <sz val="10"/>
        <rFont val="Arial"/>
        <family val="2"/>
        <charset val="1"/>
      </rPr>
      <t xml:space="preserve"> </t>
    </r>
  </si>
  <si>
    <r>
      <rPr>
        <b val="true"/>
        <sz val="10"/>
        <rFont val="Arial"/>
        <family val="2"/>
        <charset val="1"/>
      </rPr>
      <t xml:space="preserve">Body Diode Rev Recovery Charge, Q</t>
    </r>
    <r>
      <rPr>
        <b val="true"/>
        <vertAlign val="subscript"/>
        <sz val="10"/>
        <rFont val="Arial"/>
        <family val="2"/>
        <charset val="1"/>
      </rPr>
      <t xml:space="preserve">RR</t>
    </r>
    <r>
      <rPr>
        <b val="true"/>
        <sz val="10"/>
        <rFont val="Arial"/>
        <family val="2"/>
        <charset val="1"/>
      </rPr>
      <t xml:space="preserve"> </t>
    </r>
  </si>
  <si>
    <r>
      <rPr>
        <b val="true"/>
        <sz val="10"/>
        <rFont val="Arial"/>
        <family val="2"/>
        <charset val="1"/>
      </rPr>
      <t xml:space="preserve">Thermal Resistance, θ</t>
    </r>
    <r>
      <rPr>
        <b val="true"/>
        <vertAlign val="subscript"/>
        <sz val="10"/>
        <rFont val="Arial"/>
        <family val="2"/>
        <charset val="1"/>
      </rPr>
      <t xml:space="preserve">JA</t>
    </r>
    <r>
      <rPr>
        <b val="true"/>
        <sz val="10"/>
        <rFont val="Arial"/>
        <family val="2"/>
        <charset val="1"/>
      </rPr>
      <t xml:space="preserve"> </t>
    </r>
  </si>
  <si>
    <t xml:space="preserve">°C/W</t>
  </si>
  <si>
    <r>
      <rPr>
        <b val="true"/>
        <i val="true"/>
        <u val="single"/>
        <sz val="10"/>
        <color rgb="FF0000FF"/>
        <rFont val="Arial"/>
        <family val="2"/>
        <charset val="1"/>
      </rPr>
      <t xml:space="preserve">Boost</t>
    </r>
    <r>
      <rPr>
        <b val="true"/>
        <sz val="10"/>
        <color rgb="FF0000FF"/>
        <rFont val="Arial"/>
        <family val="2"/>
        <charset val="1"/>
      </rPr>
      <t xml:space="preserve">-Leg Power MOSFETs (Q</t>
    </r>
    <r>
      <rPr>
        <b val="true"/>
        <vertAlign val="subscript"/>
        <sz val="10"/>
        <color rgb="FF0000FF"/>
        <rFont val="Arial"/>
        <family val="2"/>
        <charset val="1"/>
      </rPr>
      <t xml:space="preserve">3</t>
    </r>
    <r>
      <rPr>
        <b val="true"/>
        <sz val="10"/>
        <color rgb="FF0000FF"/>
        <rFont val="Arial"/>
        <family val="2"/>
        <charset val="1"/>
      </rPr>
      <t xml:space="preserve">, Q</t>
    </r>
    <r>
      <rPr>
        <b val="true"/>
        <vertAlign val="subscript"/>
        <sz val="10"/>
        <color rgb="FF0000FF"/>
        <rFont val="Arial"/>
        <family val="2"/>
        <charset val="1"/>
      </rPr>
      <t xml:space="preserve">4</t>
    </r>
    <r>
      <rPr>
        <b val="true"/>
        <sz val="10"/>
        <color rgb="FF0000FF"/>
        <rFont val="Arial"/>
        <family val="2"/>
        <charset val="1"/>
      </rPr>
      <t xml:space="preserve">) </t>
    </r>
  </si>
  <si>
    <t xml:space="preserve">CSD16321Q5</t>
  </si>
  <si>
    <t xml:space="preserve">External Schottky Diode (if applicable)</t>
  </si>
  <si>
    <r>
      <rPr>
        <i val="true"/>
        <sz val="10"/>
        <rFont val="Arial"/>
        <family val="2"/>
        <charset val="1"/>
      </rPr>
      <t xml:space="preserve">Buck</t>
    </r>
    <r>
      <rPr>
        <sz val="10"/>
        <rFont val="Arial"/>
        <family val="2"/>
        <charset val="1"/>
      </rPr>
      <t xml:space="preserve"> Leg</t>
    </r>
  </si>
  <si>
    <r>
      <rPr>
        <i val="true"/>
        <sz val="10"/>
        <rFont val="Arial"/>
        <family val="2"/>
        <charset val="1"/>
      </rPr>
      <t xml:space="preserve">   Boost</t>
    </r>
    <r>
      <rPr>
        <sz val="10"/>
        <rFont val="Arial"/>
        <family val="2"/>
        <charset val="1"/>
      </rPr>
      <t xml:space="preserve"> Leg</t>
    </r>
  </si>
  <si>
    <r>
      <rPr>
        <b val="true"/>
        <sz val="10"/>
        <rFont val="Arial"/>
        <family val="2"/>
        <charset val="1"/>
      </rPr>
      <t xml:space="preserve">Schottky Fwd Voltage, V</t>
    </r>
    <r>
      <rPr>
        <b val="true"/>
        <vertAlign val="subscript"/>
        <sz val="10"/>
        <rFont val="Arial"/>
        <family val="2"/>
        <charset val="1"/>
      </rPr>
      <t xml:space="preserve">FWDsch</t>
    </r>
    <r>
      <rPr>
        <b val="true"/>
        <sz val="10"/>
        <rFont val="Arial"/>
        <family val="2"/>
        <charset val="1"/>
      </rPr>
      <t xml:space="preserve"> </t>
    </r>
  </si>
  <si>
    <r>
      <rPr>
        <b val="true"/>
        <sz val="10"/>
        <rFont val="Arial"/>
        <family val="2"/>
        <charset val="1"/>
      </rPr>
      <t xml:space="preserve">Schottky Rev Recovery Charge, Q</t>
    </r>
    <r>
      <rPr>
        <b val="true"/>
        <vertAlign val="subscript"/>
        <sz val="10"/>
        <rFont val="Arial"/>
        <family val="2"/>
        <charset val="1"/>
      </rPr>
      <t xml:space="preserve">RRsch</t>
    </r>
    <r>
      <rPr>
        <b val="true"/>
        <sz val="10"/>
        <rFont val="Arial"/>
        <family val="2"/>
        <charset val="1"/>
      </rPr>
      <t xml:space="preserve"> </t>
    </r>
  </si>
  <si>
    <t xml:space="preserve">** Tie MODE to VCC (or voltage &gt; 2.4V) for No Hiccup **</t>
  </si>
  <si>
    <t xml:space="preserve">High Efficiency Synchronous Buck-Boost Regulator BOM</t>
  </si>
  <si>
    <t xml:space="preserve">Count</t>
  </si>
  <si>
    <t xml:space="preserve">Ref Des</t>
  </si>
  <si>
    <t xml:space="preserve">Value</t>
  </si>
  <si>
    <t xml:space="preserve">Description</t>
  </si>
  <si>
    <t xml:space="preserve">Size</t>
  </si>
  <si>
    <t xml:space="preserve">Part Number</t>
  </si>
  <si>
    <t xml:space="preserve">MFR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</si>
  <si>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BOOT1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BOOT2</t>
    </r>
  </si>
  <si>
    <t xml:space="preserve">0603</t>
  </si>
  <si>
    <t xml:space="preserve">Std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</si>
  <si>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C1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</si>
  <si>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C2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</si>
  <si>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SLOPE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</si>
  <si>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CS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</si>
  <si>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DITH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</si>
  <si>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IN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</si>
  <si>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OUT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</si>
  <si>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SS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</si>
  <si>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VCC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</si>
  <si>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VIN</t>
    </r>
  </si>
  <si>
    <r>
      <rPr>
        <sz val="10"/>
        <rFont val="Arial"/>
        <family val="2"/>
        <charset val="1"/>
      </rPr>
      <t xml:space="preserve">D</t>
    </r>
    <r>
      <rPr>
        <vertAlign val="subscript"/>
        <sz val="10"/>
        <rFont val="Arial"/>
        <family val="2"/>
        <charset val="1"/>
      </rPr>
      <t xml:space="preserve">BOOT1</t>
    </r>
    <r>
      <rPr>
        <sz val="10"/>
        <rFont val="Arial"/>
        <family val="2"/>
        <charset val="1"/>
      </rPr>
      <t xml:space="preserve">, D</t>
    </r>
    <r>
      <rPr>
        <vertAlign val="subscript"/>
        <sz val="10"/>
        <rFont val="Arial"/>
        <family val="2"/>
        <charset val="1"/>
      </rPr>
      <t xml:space="preserve">BOOT2, </t>
    </r>
    <r>
      <rPr>
        <sz val="10"/>
        <rFont val="Arial"/>
        <family val="2"/>
        <charset val="1"/>
      </rPr>
      <t xml:space="preserve">D</t>
    </r>
    <r>
      <rPr>
        <vertAlign val="subscript"/>
        <sz val="10"/>
        <rFont val="Arial"/>
        <family val="2"/>
        <charset val="1"/>
      </rPr>
      <t xml:space="preserve">VIN </t>
    </r>
  </si>
  <si>
    <t xml:space="preserve">See description</t>
  </si>
  <si>
    <t xml:space="preserve">Schottky Diode, 200mA</t>
  </si>
  <si>
    <t xml:space="preserve">-</t>
  </si>
  <si>
    <t xml:space="preserve">Various</t>
  </si>
  <si>
    <r>
      <rPr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F</t>
    </r>
  </si>
  <si>
    <r>
      <rPr>
        <sz val="10"/>
        <rFont val="Arial"/>
        <family val="2"/>
        <charset val="1"/>
      </rPr>
      <t xml:space="preserve">Q</t>
    </r>
    <r>
      <rPr>
        <vertAlign val="subscript"/>
        <sz val="10"/>
        <rFont val="Arial"/>
        <family val="2"/>
        <charset val="1"/>
      </rPr>
      <t xml:space="preserve">1</t>
    </r>
    <r>
      <rPr>
        <sz val="10"/>
        <rFont val="Arial"/>
        <family val="2"/>
        <charset val="1"/>
      </rPr>
      <t xml:space="preserve">, Q</t>
    </r>
    <r>
      <rPr>
        <vertAlign val="subscript"/>
        <sz val="10"/>
        <rFont val="Arial"/>
        <family val="2"/>
        <charset val="1"/>
      </rPr>
      <t xml:space="preserve">2</t>
    </r>
  </si>
  <si>
    <r>
      <rPr>
        <sz val="10"/>
        <rFont val="Arial"/>
        <family val="2"/>
        <charset val="1"/>
      </rPr>
      <t xml:space="preserve">Q</t>
    </r>
    <r>
      <rPr>
        <vertAlign val="subscript"/>
        <sz val="10"/>
        <rFont val="Arial"/>
        <family val="2"/>
        <charset val="1"/>
      </rPr>
      <t xml:space="preserve">3</t>
    </r>
    <r>
      <rPr>
        <sz val="10"/>
        <rFont val="Arial"/>
        <family val="2"/>
        <charset val="1"/>
      </rPr>
      <t xml:space="preserve">, Q</t>
    </r>
    <r>
      <rPr>
        <vertAlign val="subscript"/>
        <sz val="10"/>
        <rFont val="Arial"/>
        <family val="2"/>
        <charset val="1"/>
      </rPr>
      <t xml:space="preserve">4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</si>
  <si>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C1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</si>
  <si>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S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</si>
  <si>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CS(out)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</si>
  <si>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T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</si>
  <si>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FB1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</si>
  <si>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FB2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</si>
  <si>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PGOOD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</si>
  <si>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CS</t>
    </r>
    <r>
      <rPr>
        <sz val="10"/>
        <rFont val="Arial"/>
        <family val="2"/>
        <charset val="1"/>
      </rPr>
      <t xml:space="preserve">, R</t>
    </r>
    <r>
      <rPr>
        <vertAlign val="subscript"/>
        <sz val="10"/>
        <rFont val="Arial"/>
        <family val="2"/>
        <charset val="1"/>
      </rPr>
      <t xml:space="preserve">CSG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</si>
  <si>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UV1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</si>
  <si>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UV2</t>
    </r>
  </si>
  <si>
    <r>
      <rPr>
        <sz val="10"/>
        <rFont val="Arial"/>
        <family val="2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VIN</t>
    </r>
  </si>
  <si>
    <r>
      <rPr>
        <b val="true"/>
        <sz val="10"/>
        <rFont val="Arial"/>
        <family val="2"/>
        <charset val="1"/>
      </rPr>
      <t xml:space="preserve">U</t>
    </r>
    <r>
      <rPr>
        <b val="true"/>
        <vertAlign val="subscript"/>
        <sz val="10"/>
        <rFont val="Arial"/>
        <family val="2"/>
        <charset val="1"/>
      </rPr>
      <t xml:space="preserve">1</t>
    </r>
  </si>
  <si>
    <t xml:space="preserve">LM5176</t>
  </si>
  <si>
    <t xml:space="preserve">IC, LM5176, Buck-Boost PWM Controller</t>
  </si>
  <si>
    <t xml:space="preserve">TSSOP-28</t>
  </si>
  <si>
    <t xml:space="preserve">LM5176PWP</t>
  </si>
  <si>
    <t xml:space="preserve">TI</t>
  </si>
  <si>
    <r>
      <rPr>
        <b val="true"/>
        <u val="single"/>
        <sz val="10"/>
        <rFont val="Arial"/>
        <family val="2"/>
        <charset val="1"/>
      </rPr>
      <t xml:space="preserve">NOTES</t>
    </r>
    <r>
      <rPr>
        <b val="true"/>
        <sz val="10"/>
        <rFont val="Arial"/>
        <family val="2"/>
        <charset val="1"/>
      </rPr>
      <t xml:space="preserve">:</t>
    </r>
  </si>
  <si>
    <r>
      <rPr>
        <sz val="10"/>
        <rFont val="Arial"/>
        <family val="2"/>
        <charset val="1"/>
      </rPr>
      <t xml:space="preserve">** For information on TI NexFET</t>
    </r>
    <r>
      <rPr>
        <vertAlign val="superscript"/>
        <sz val="10"/>
        <rFont val="Arial"/>
        <family val="2"/>
        <charset val="1"/>
      </rPr>
      <t xml:space="preserve">TM</t>
    </r>
    <r>
      <rPr>
        <sz val="10"/>
        <rFont val="Arial"/>
        <family val="2"/>
        <charset val="1"/>
      </rPr>
      <t xml:space="preserve"> MOSFETs, see **</t>
    </r>
  </si>
  <si>
    <t xml:space="preserve">http://www.ti.com/nexfet</t>
  </si>
  <si>
    <t xml:space="preserve">   **</t>
  </si>
  <si>
    <t xml:space="preserve">** Inductor saturation current should be higher than the peak inductor current at the OCP setpoint for all input voltages and operating temperatures **</t>
  </si>
  <si>
    <t xml:space="preserve">** Effective input and output capacitances should be appropriately derated for applied voltage and temperature, particularly with ceramics **</t>
  </si>
  <si>
    <t xml:space="preserve">Version Number</t>
  </si>
  <si>
    <t xml:space="preserve">1.0.1</t>
  </si>
  <si>
    <t xml:space="preserve">Version History</t>
  </si>
  <si>
    <t xml:space="preserve">Version</t>
  </si>
  <si>
    <t xml:space="preserve">Change List Description</t>
  </si>
  <si>
    <t xml:space="preserve">1.0.0</t>
  </si>
  <si>
    <t xml:space="preserve">Initial Release</t>
  </si>
  <si>
    <t xml:space="preserve">Fixed display of comments, optimized proposal of inductor</t>
  </si>
  <si>
    <t xml:space="preserve"> LM5175 Quickstart Design Tool</t>
  </si>
  <si>
    <t xml:space="preserve">LM5175EVM-HD PCB Layout</t>
  </si>
  <si>
    <t xml:space="preserve">LM5175EVM-HP PCB Layout</t>
  </si>
  <si>
    <t xml:space="preserve">LM5175EVM PCB Layout</t>
  </si>
  <si>
    <t xml:space="preserve">EXCEL Variables Names/Calculations</t>
  </si>
  <si>
    <t xml:space="preserve">Input from user =</t>
  </si>
  <si>
    <t xml:space="preserve">Output =</t>
  </si>
  <si>
    <t xml:space="preserve">Constant</t>
  </si>
  <si>
    <t xml:space="preserve">Variable Name</t>
  </si>
  <si>
    <t xml:space="preserve">STD Units</t>
  </si>
  <si>
    <t xml:space="preserve">Notes</t>
  </si>
  <si>
    <t xml:space="preserve">Iteration</t>
  </si>
  <si>
    <t xml:space="preserve">Step 1: Operational Specs</t>
  </si>
  <si>
    <t xml:space="preserve">VIN_min</t>
  </si>
  <si>
    <t xml:space="preserve">Minimum input voltage</t>
  </si>
  <si>
    <t xml:space="preserve">Nominal input voltage</t>
  </si>
  <si>
    <r>
      <rPr>
        <sz val="10"/>
        <rFont val="Arial"/>
        <family val="2"/>
        <charset val="1"/>
      </rPr>
      <t xml:space="preserve">Efficiency vs </t>
    </r>
    <r>
      <rPr>
        <b val="true"/>
        <sz val="10"/>
        <rFont val="Arial"/>
        <family val="2"/>
        <charset val="1"/>
      </rPr>
      <t xml:space="preserve">IOUT</t>
    </r>
    <r>
      <rPr>
        <sz val="10"/>
        <rFont val="Arial"/>
        <family val="2"/>
        <charset val="1"/>
      </rPr>
      <t xml:space="preserve"> Plot</t>
    </r>
  </si>
  <si>
    <t xml:space="preserve">DITHER Enabled</t>
  </si>
  <si>
    <t xml:space="preserve">VIN_max</t>
  </si>
  <si>
    <t xml:space="preserve">Maximum input voltage</t>
  </si>
  <si>
    <t xml:space="preserve">Efficiency vs VIN Plot</t>
  </si>
  <si>
    <t xml:space="preserve">DITHER Disabled</t>
  </si>
  <si>
    <t xml:space="preserve">VIN_edgebuckboost</t>
  </si>
  <si>
    <t xml:space="preserve">PLOT_TYPE</t>
  </si>
  <si>
    <t xml:space="preserve">DITHER Yes/No</t>
  </si>
  <si>
    <t xml:space="preserve">1 = Yes, 2 = No</t>
  </si>
  <si>
    <t xml:space="preserve">Vout</t>
  </si>
  <si>
    <t xml:space="preserve">Output Voltage</t>
  </si>
  <si>
    <t xml:space="preserve">Iout</t>
  </si>
  <si>
    <t xml:space="preserve">Maximum Output Current</t>
  </si>
  <si>
    <t xml:space="preserve">Rout</t>
  </si>
  <si>
    <t xml:space="preserve">Load resistance</t>
  </si>
  <si>
    <t xml:space="preserve">Pout</t>
  </si>
  <si>
    <t xml:space="preserve">Output power</t>
  </si>
  <si>
    <t xml:space="preserve">Efficiency</t>
  </si>
  <si>
    <t xml:space="preserve">Edited by Vijay from 96% to 90% to match datasheet calculations.</t>
  </si>
  <si>
    <t xml:space="preserve">Pin</t>
  </si>
  <si>
    <t xml:space="preserve">Calculate input power assuming 90% efficiency</t>
  </si>
  <si>
    <t xml:space="preserve">Iin_Vinmin</t>
  </si>
  <si>
    <t xml:space="preserve">Iin_Vinnom</t>
  </si>
  <si>
    <t xml:space="preserve">Input currents at min, nom, max Vin</t>
  </si>
  <si>
    <t xml:space="preserve">Iin_Vinmax</t>
  </si>
  <si>
    <t xml:space="preserve">Fsw</t>
  </si>
  <si>
    <t xml:space="preserve">Nominal Switching Frequency</t>
  </si>
  <si>
    <t xml:space="preserve">Ts</t>
  </si>
  <si>
    <t xml:space="preserve">sec</t>
  </si>
  <si>
    <t xml:space="preserve">Period</t>
  </si>
  <si>
    <t xml:space="preserve">Vref</t>
  </si>
  <si>
    <t xml:space="preserve">Reference Voltage</t>
  </si>
  <si>
    <t xml:space="preserve">Rt</t>
  </si>
  <si>
    <t xml:space="preserve">Frequency Set Resistor</t>
  </si>
  <si>
    <t xml:space="preserve">edited based on LM5176 curve fit.</t>
  </si>
  <si>
    <t xml:space="preserve">Toff_min_buck</t>
  </si>
  <si>
    <t xml:space="preserve">200ns</t>
  </si>
  <si>
    <t xml:space="preserve">buck min timer</t>
  </si>
  <si>
    <t xml:space="preserve">Ton_min_boost</t>
  </si>
  <si>
    <t xml:space="preserve">300ns</t>
  </si>
  <si>
    <t xml:space="preserve">boost min timer</t>
  </si>
  <si>
    <t xml:space="preserve">T_max_BB</t>
  </si>
  <si>
    <t xml:space="preserve">max timer before transition from BB</t>
  </si>
  <si>
    <t xml:space="preserve">D_min_boost</t>
  </si>
  <si>
    <t xml:space="preserve">D_max_exitBB_to_boost</t>
  </si>
  <si>
    <t xml:space="preserve">D_max_buck_BB</t>
  </si>
  <si>
    <t xml:space="preserve">D_min_boost_exitBB_to_buck</t>
  </si>
  <si>
    <t xml:space="preserve">D_max_exitBB_to_buck</t>
  </si>
  <si>
    <t xml:space="preserve">D_max_buck_enterBB</t>
  </si>
  <si>
    <t xml:space="preserve">VIN_BB_to_boost</t>
  </si>
  <si>
    <t xml:space="preserve">VIN_boost_to_BB</t>
  </si>
  <si>
    <t xml:space="preserve">VIN_buck_to_BB</t>
  </si>
  <si>
    <t xml:space="preserve">VIN_BB_to_buck</t>
  </si>
  <si>
    <t xml:space="preserve">Don1</t>
  </si>
  <si>
    <t xml:space="preserve">Ideal Duty Cycle at VIN(nom)</t>
  </si>
  <si>
    <t xml:space="preserve">Doff1</t>
  </si>
  <si>
    <t xml:space="preserve">Ideal 1- Duty Cycle at VIN(nom)</t>
  </si>
  <si>
    <t xml:space="preserve">Don_Vinmin</t>
  </si>
  <si>
    <t xml:space="preserve">Don_Vinnom</t>
  </si>
  <si>
    <t xml:space="preserve">Don_Vinmax</t>
  </si>
  <si>
    <t xml:space="preserve">Don_buckboost</t>
  </si>
  <si>
    <t xml:space="preserve">lower edge of BUCK-BOOST </t>
  </si>
  <si>
    <t xml:space="preserve">Lf_Vinmin</t>
  </si>
  <si>
    <t xml:space="preserve">H</t>
  </si>
  <si>
    <t xml:space="preserve">Lf_Vinnom</t>
  </si>
  <si>
    <t xml:space="preserve">Lf_Vinmax</t>
  </si>
  <si>
    <t xml:space="preserve">L_Vinmin</t>
  </si>
  <si>
    <t xml:space="preserve">Calculated inductance for 30% ripple at VIN(min)</t>
  </si>
  <si>
    <t xml:space="preserve">L_Vinnom</t>
  </si>
  <si>
    <t xml:space="preserve">Calculated inductance for 40% ripple at VIN(nom)</t>
  </si>
  <si>
    <t xml:space="preserve">L_Vinmax</t>
  </si>
  <si>
    <t xml:space="preserve">Calculated inductance for 30% ripple at VIN(max)</t>
  </si>
  <si>
    <t xml:space="preserve">Lopt</t>
  </si>
  <si>
    <t xml:space="preserve">anerage of calculated inductances at VIN(min) and VIN(nom)</t>
  </si>
  <si>
    <t xml:space="preserve">Lf</t>
  </si>
  <si>
    <t xml:space="preserve">Chosen inductance</t>
  </si>
  <si>
    <t xml:space="preserve">Rdcr</t>
  </si>
  <si>
    <t xml:space="preserve">Chosen inductor DCR</t>
  </si>
  <si>
    <t xml:space="preserve">Don2</t>
  </si>
  <si>
    <t xml:space="preserve">Doff2</t>
  </si>
  <si>
    <t xml:space="preserve">Don_Vinmin_2</t>
  </si>
  <si>
    <t xml:space="preserve">Duty cycles adjusted for DCR and shunt voltage drops</t>
  </si>
  <si>
    <t xml:space="preserve">Vijay's simplification</t>
  </si>
  <si>
    <t xml:space="preserve">Don_Vinnom_2</t>
  </si>
  <si>
    <r>
      <rPr>
        <sz val="10"/>
        <color rgb="FFFF0000"/>
        <rFont val="Arial"/>
        <family val="2"/>
        <charset val="1"/>
      </rPr>
      <t xml:space="preserve">need to include R</t>
    </r>
    <r>
      <rPr>
        <vertAlign val="subscript"/>
        <sz val="10"/>
        <color rgb="FFFF0000"/>
        <rFont val="Arial"/>
        <family val="2"/>
        <charset val="1"/>
      </rPr>
      <t xml:space="preserve">DS(on)</t>
    </r>
    <r>
      <rPr>
        <sz val="10"/>
        <color rgb="FFFF0000"/>
        <rFont val="Arial"/>
        <family val="2"/>
        <charset val="1"/>
      </rPr>
      <t xml:space="preserve"> later</t>
    </r>
  </si>
  <si>
    <t xml:space="preserve">Don_Vinmax_2</t>
  </si>
  <si>
    <t xml:space="preserve">Vripple1</t>
  </si>
  <si>
    <t xml:space="preserve">Output voltage ripple spec(pk-pk)</t>
  </si>
  <si>
    <t xml:space="preserve">Iripple_Vinmin</t>
  </si>
  <si>
    <t xml:space="preserve">Iripple_Vinnom</t>
  </si>
  <si>
    <t xml:space="preserve">Iripple_Vinmax</t>
  </si>
  <si>
    <t xml:space="preserve">Iripple_edgebuckboost</t>
  </si>
  <si>
    <t xml:space="preserve">BUCK-BOOST</t>
  </si>
  <si>
    <t xml:space="preserve">Ishunt_rms_Vinmin</t>
  </si>
  <si>
    <t xml:space="preserve">Ishunt_rms_Vinnom</t>
  </si>
  <si>
    <t xml:space="preserve">Ishunt_rms_Vinmax</t>
  </si>
  <si>
    <t xml:space="preserve">Max shunt power loss at full load</t>
  </si>
  <si>
    <t xml:space="preserve">Max inductor ripple current</t>
  </si>
  <si>
    <t xml:space="preserve">Ripple I</t>
  </si>
  <si>
    <t xml:space="preserve">Iin</t>
  </si>
  <si>
    <t xml:space="preserve">% Ripple Current</t>
  </si>
  <si>
    <t xml:space="preserve">Temp</t>
  </si>
  <si>
    <t xml:space="preserve">DCR at hot</t>
  </si>
  <si>
    <t xml:space="preserve">Step 3: Sense Resistors, Slope Comp, Current Limit</t>
  </si>
  <si>
    <t xml:space="preserve">Ilimit_DC</t>
  </si>
  <si>
    <t xml:space="preserve">Chosen OCP level - based on output current</t>
  </si>
  <si>
    <t xml:space="preserve">At Iout = Ilimit_DC:</t>
  </si>
  <si>
    <t xml:space="preserve">Shunt</t>
  </si>
  <si>
    <t xml:space="preserve">I_valley BUCK</t>
  </si>
  <si>
    <t xml:space="preserve">I_peak BOOST</t>
  </si>
  <si>
    <t xml:space="preserve">Ilimit_inductor_Vinmin</t>
  </si>
  <si>
    <t xml:space="preserve">Vijay's simplication to match datasheet calculation.</t>
  </si>
  <si>
    <t xml:space="preserve">Ilimit_inductor_Vinnom</t>
  </si>
  <si>
    <t xml:space="preserve">or</t>
  </si>
  <si>
    <t xml:space="preserve">Ilimit_inductor_Vinmax</t>
  </si>
  <si>
    <r>
      <rPr>
        <b val="true"/>
        <sz val="10"/>
        <rFont val="Arial"/>
        <family val="2"/>
        <charset val="1"/>
      </rPr>
      <t xml:space="preserve">Peak</t>
    </r>
    <r>
      <rPr>
        <sz val="10"/>
        <rFont val="Arial"/>
        <family val="2"/>
        <charset val="1"/>
      </rPr>
      <t xml:space="preserve"> inductor current at current limit inception (if operating in </t>
    </r>
    <r>
      <rPr>
        <b val="true"/>
        <sz val="10"/>
        <rFont val="Arial"/>
        <family val="2"/>
        <charset val="1"/>
      </rPr>
      <t xml:space="preserve">boost</t>
    </r>
    <r>
      <rPr>
        <sz val="10"/>
        <rFont val="Arial"/>
        <family val="2"/>
        <charset val="1"/>
      </rPr>
      <t xml:space="preserve">)</t>
    </r>
  </si>
  <si>
    <t xml:space="preserve">Ilimit_inductor_buckboost</t>
  </si>
  <si>
    <t xml:space="preserve">edge of buck-boost</t>
  </si>
  <si>
    <t xml:space="preserve">Buck CS threshold_min</t>
  </si>
  <si>
    <t xml:space="preserve">Buck CS threshold</t>
  </si>
  <si>
    <r>
      <rPr>
        <b val="true"/>
        <sz val="10"/>
        <rFont val="Arial"/>
        <family val="2"/>
        <charset val="1"/>
      </rPr>
      <t xml:space="preserve">80mV </t>
    </r>
    <r>
      <rPr>
        <b val="true"/>
        <sz val="10"/>
        <rFont val="Symbol"/>
        <family val="1"/>
        <charset val="2"/>
      </rPr>
      <t xml:space="preserve">±</t>
    </r>
    <r>
      <rPr>
        <b val="true"/>
        <sz val="10"/>
        <rFont val="Arial"/>
        <family val="2"/>
        <charset val="1"/>
      </rPr>
      <t xml:space="preserve"> 20%</t>
    </r>
  </si>
  <si>
    <t xml:space="preserve">Vijay's edits 80 mV ± 15%.</t>
  </si>
  <si>
    <t xml:space="preserve">Buck CS threshold_max</t>
  </si>
  <si>
    <t xml:space="preserve">Boost CS Threshold_min</t>
  </si>
  <si>
    <t xml:space="preserve">Boost CS Threshold</t>
  </si>
  <si>
    <r>
      <rPr>
        <b val="true"/>
        <sz val="10"/>
        <rFont val="Arial"/>
        <family val="2"/>
        <charset val="1"/>
      </rPr>
      <t xml:space="preserve">160mV </t>
    </r>
    <r>
      <rPr>
        <b val="true"/>
        <sz val="10"/>
        <rFont val="Symbol"/>
        <family val="1"/>
        <charset val="2"/>
      </rPr>
      <t xml:space="preserve">±</t>
    </r>
    <r>
      <rPr>
        <b val="true"/>
        <sz val="10"/>
        <rFont val="Arial"/>
        <family val="2"/>
        <charset val="1"/>
      </rPr>
      <t xml:space="preserve"> 20%</t>
    </r>
  </si>
  <si>
    <t xml:space="preserve">Vijay's edits. Used 120 mV ± 15% for min max. Check after char data to see if it is ok.</t>
  </si>
  <si>
    <t xml:space="preserve">Boost CS Threshold_max</t>
  </si>
  <si>
    <t xml:space="preserve">Note: min/max are not really being used in calculations. So irrelevant if variation small.  </t>
  </si>
  <si>
    <t xml:space="preserve">Assume we'd like to achieve current limit particularly at VIN(min) and boost side of buck-boost region; accept inevitable variation over line thereafter</t>
  </si>
  <si>
    <t xml:space="preserve">Shunt required to get OCP at VIN(min)</t>
  </si>
  <si>
    <t xml:space="preserve">Shunt required to get OCP at VIN(nom)</t>
  </si>
  <si>
    <t xml:space="preserve">Shunt required to get OCP at VIN(max)</t>
  </si>
  <si>
    <t xml:space="preserve">Shunt required to get OCP at VIN(edge-bb)</t>
  </si>
  <si>
    <t xml:space="preserve">Edge of B-B</t>
  </si>
  <si>
    <t xml:space="preserve">Rs_ideal</t>
  </si>
  <si>
    <t xml:space="preserve">Ideal Rs for the required OCP -- based on 80mV or 160mV CL threshold</t>
  </si>
  <si>
    <t xml:space="preserve">Rs</t>
  </si>
  <si>
    <t xml:space="preserve">Selected (starndard value) current limit sense resistor</t>
  </si>
  <si>
    <t xml:space="preserve">BOOST current limit - peak</t>
  </si>
  <si>
    <r>
      <rPr>
        <b val="true"/>
        <sz val="10"/>
        <rFont val="Arial"/>
        <family val="2"/>
        <charset val="1"/>
      </rPr>
      <t xml:space="preserve">Peak</t>
    </r>
    <r>
      <rPr>
        <sz val="10"/>
        <rFont val="Arial"/>
        <family val="2"/>
        <charset val="1"/>
      </rPr>
      <t xml:space="preserve"> inductor current limit in </t>
    </r>
    <r>
      <rPr>
        <b val="true"/>
        <sz val="10"/>
        <rFont val="Arial"/>
        <family val="2"/>
        <charset val="1"/>
      </rPr>
      <t xml:space="preserve">BOOST</t>
    </r>
  </si>
  <si>
    <t xml:space="preserve">BUCK current limit - valley</t>
  </si>
  <si>
    <r>
      <rPr>
        <b val="true"/>
        <sz val="10"/>
        <rFont val="Arial"/>
        <family val="2"/>
        <charset val="1"/>
      </rPr>
      <t xml:space="preserve">Valley</t>
    </r>
    <r>
      <rPr>
        <sz val="10"/>
        <rFont val="Arial"/>
        <family val="2"/>
        <charset val="1"/>
      </rPr>
      <t xml:space="preserve"> inductor current limit in </t>
    </r>
    <r>
      <rPr>
        <b val="true"/>
        <sz val="10"/>
        <rFont val="Arial"/>
        <family val="2"/>
        <charset val="1"/>
      </rPr>
      <t xml:space="preserve">BUCK</t>
    </r>
  </si>
  <si>
    <t xml:space="preserve">Iout_OCP_Vinmin</t>
  </si>
  <si>
    <r>
      <rPr>
        <sz val="10"/>
        <rFont val="Arial"/>
        <family val="2"/>
        <charset val="1"/>
      </rPr>
      <t xml:space="preserve">Current limit setpoints (i.e. I</t>
    </r>
    <r>
      <rPr>
        <vertAlign val="subscript"/>
        <sz val="10"/>
        <rFont val="Arial"/>
        <family val="2"/>
        <charset val="1"/>
      </rPr>
      <t xml:space="preserve">OUT</t>
    </r>
    <r>
      <rPr>
        <sz val="10"/>
        <rFont val="Arial"/>
        <family val="2"/>
        <charset val="1"/>
      </rPr>
      <t xml:space="preserve">) after standard components are selected</t>
    </r>
  </si>
  <si>
    <t xml:space="preserve">Iout_OCP_Vinnom</t>
  </si>
  <si>
    <t xml:space="preserve">Iout_OCP_Vinmax</t>
  </si>
  <si>
    <t xml:space="preserve">Iout_edgebuckboost</t>
  </si>
  <si>
    <t xml:space="preserve">lower edge of buck-boost window</t>
  </si>
  <si>
    <t xml:space="preserve">RMS current in Rs</t>
  </si>
  <si>
    <t xml:space="preserve">Power diss in Rs</t>
  </si>
  <si>
    <t xml:space="preserve">ILpeak_OCP_Vinmin</t>
  </si>
  <si>
    <t xml:space="preserve">Peak inductor currents in OCP</t>
  </si>
  <si>
    <t xml:space="preserve">ILpeak_OCP_Vinnom</t>
  </si>
  <si>
    <t xml:space="preserve">ILpeak_OCP_Vinmax</t>
  </si>
  <si>
    <t xml:space="preserve">Worst case peak inductor current</t>
  </si>
  <si>
    <t xml:space="preserve">Vijay verified that this calculation (Vinmax) are correct for OCP.</t>
  </si>
  <si>
    <t xml:space="preserve">IL_peak_OCP</t>
  </si>
  <si>
    <t xml:space="preserve">Peak inductor current over the full input range</t>
  </si>
  <si>
    <t xml:space="preserve">Cslope_ideal</t>
  </si>
  <si>
    <t xml:space="preserve">Vijay edit: removed the derating.</t>
  </si>
  <si>
    <t xml:space="preserve">Cslope_recommended</t>
  </si>
  <si>
    <t xml:space="preserve">Standard size based on Csideal slope capacitor</t>
  </si>
  <si>
    <t xml:space="preserve">Cslope_selected</t>
  </si>
  <si>
    <t xml:space="preserve">Selected SLOPE cap</t>
  </si>
  <si>
    <t xml:space="preserve">Islope_fixed</t>
  </si>
  <si>
    <t xml:space="preserve">SLOPE comp dv/dt = I_slope_total/Cslope</t>
  </si>
  <si>
    <t xml:space="preserve">V/s</t>
  </si>
  <si>
    <t xml:space="preserve">at VIN_min</t>
  </si>
  <si>
    <t xml:space="preserve">at VIN_nom</t>
  </si>
  <si>
    <t xml:space="preserve">at VIN_max</t>
  </si>
  <si>
    <t xml:space="preserve">BUCK </t>
  </si>
  <si>
    <t xml:space="preserve">BOOST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</si>
  <si>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V_SLOPEcomp at Vinmin</t>
    </r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</si>
  <si>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V_SLOPEcomp at Vinnom</t>
    </r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</si>
  <si>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V_SLOPEcomp at Vinmax</t>
    </r>
  </si>
  <si>
    <t xml:space="preserve">Required Constant Current Loop Setpoint</t>
  </si>
  <si>
    <t xml:space="preserve">Current Limit Threshold</t>
  </si>
  <si>
    <t xml:space="preserve">mV</t>
  </si>
  <si>
    <t xml:space="preserve">Restored to 50mV as ICTRL went away and the 25mV centering also went away.</t>
  </si>
  <si>
    <t xml:space="preserve">Shunt Resistor in Output Leg</t>
  </si>
  <si>
    <t xml:space="preserve">mΩ</t>
  </si>
  <si>
    <t xml:space="preserve">Icoutrms_VINmin</t>
  </si>
  <si>
    <t xml:space="preserve">Output Cap RMS current</t>
  </si>
  <si>
    <t xml:space="preserve">Icoutrms_VINnom</t>
  </si>
  <si>
    <t xml:space="preserve">Icoutrms_VINmax</t>
  </si>
  <si>
    <t xml:space="preserve">Max Cout rms current</t>
  </si>
  <si>
    <t xml:space="preserve">Output Ripple Spec (pk-pk)</t>
  </si>
  <si>
    <t xml:space="preserve">Vout ripple spec at Vin(nom)</t>
  </si>
  <si>
    <t xml:space="preserve">Coutmin</t>
  </si>
  <si>
    <t xml:space="preserve">F</t>
  </si>
  <si>
    <t xml:space="preserve">Minimum Output Capacitnace</t>
  </si>
  <si>
    <t xml:space="preserve">Reported Coutmin</t>
  </si>
  <si>
    <t xml:space="preserve">uF</t>
  </si>
  <si>
    <t xml:space="preserve">Cout</t>
  </si>
  <si>
    <t xml:space="preserve">Chosen Output Capacitance</t>
  </si>
  <si>
    <t xml:space="preserve">Resrmax</t>
  </si>
  <si>
    <t xml:space="preserve">Max ESR before ripple exceeds Vripple1</t>
  </si>
  <si>
    <t xml:space="preserve">Reported Cout ESR max</t>
  </si>
  <si>
    <t xml:space="preserve">CoutEsr</t>
  </si>
  <si>
    <t xml:space="preserve">Chosen ESR</t>
  </si>
  <si>
    <t xml:space="preserve">Vripple</t>
  </si>
  <si>
    <t xml:space="preserve">Vp-p</t>
  </si>
  <si>
    <t xml:space="preserve">Icinrms_VINmin</t>
  </si>
  <si>
    <t xml:space="preserve">Icinrms_VINnom</t>
  </si>
  <si>
    <t xml:space="preserve">Icinrms_VINmiax</t>
  </si>
  <si>
    <t xml:space="preserve">Max Cin rms current</t>
  </si>
  <si>
    <t xml:space="preserve">…report this</t>
  </si>
  <si>
    <t xml:space="preserve">Vinripple1</t>
  </si>
  <si>
    <t xml:space="preserve">Input voltage ripple spec (pk-pk)</t>
  </si>
  <si>
    <t xml:space="preserve">Cinmin_Vinmax</t>
  </si>
  <si>
    <t xml:space="preserve">Calculate cap at Vinmax and 50% duty cycle (Vin = 2*Vout)</t>
  </si>
  <si>
    <t xml:space="preserve">Cinmin_50%D</t>
  </si>
  <si>
    <t xml:space="preserve">Buck 50% typically worst case</t>
  </si>
  <si>
    <t xml:space="preserve">Cinmin</t>
  </si>
  <si>
    <t xml:space="preserve">Reported Cinmin</t>
  </si>
  <si>
    <t xml:space="preserve">Cin</t>
  </si>
  <si>
    <t xml:space="preserve">Input capacitance</t>
  </si>
  <si>
    <t xml:space="preserve">CinEsrMax_Vinmax</t>
  </si>
  <si>
    <t xml:space="preserve">CinEsrMax_50%D</t>
  </si>
  <si>
    <t xml:space="preserve">Calculate ESR at Vinmax and 50% duty cycle (Vin = 2*Vout)</t>
  </si>
  <si>
    <t xml:space="preserve">CinEsrMax</t>
  </si>
  <si>
    <t xml:space="preserve">Reported Cin ESR max</t>
  </si>
  <si>
    <t xml:space="preserve">RCinEsr</t>
  </si>
  <si>
    <t xml:space="preserve">Input capacitance series resistance (ESR)</t>
  </si>
  <si>
    <t xml:space="preserve">Vinripple2_Vinmax</t>
  </si>
  <si>
    <t xml:space="preserve">Vinripple2_50%D</t>
  </si>
  <si>
    <t xml:space="preserve">Calculate ripple at Vinmax and 50% duty cycle (Vin = 2*Vout)</t>
  </si>
  <si>
    <t xml:space="preserve">Vinripple2</t>
  </si>
  <si>
    <t xml:space="preserve">…report highest of these</t>
  </si>
  <si>
    <t xml:space="preserve">Step 6a: Soft Start</t>
  </si>
  <si>
    <t xml:space="preserve">Tss</t>
  </si>
  <si>
    <t xml:space="preserve">s</t>
  </si>
  <si>
    <t xml:space="preserve">Soft-start time</t>
  </si>
  <si>
    <t xml:space="preserve">Iss</t>
  </si>
  <si>
    <t xml:space="preserve">Load cap current during soft start</t>
  </si>
  <si>
    <t xml:space="preserve">Css</t>
  </si>
  <si>
    <t xml:space="preserve">Css_u</t>
  </si>
  <si>
    <t xml:space="preserve">Step 6b: Other Components - UVLO, Dither, MODE</t>
  </si>
  <si>
    <r>
      <rPr>
        <sz val="10"/>
        <rFont val="Arial"/>
        <family val="2"/>
        <charset val="1"/>
      </rPr>
      <t xml:space="preserve">VIN</t>
    </r>
    <r>
      <rPr>
        <vertAlign val="subscript"/>
        <sz val="10"/>
        <rFont val="Arial"/>
        <family val="2"/>
        <charset val="1"/>
      </rPr>
      <t xml:space="preserve">UVLO_ON</t>
    </r>
  </si>
  <si>
    <t xml:space="preserve">kΩ</t>
  </si>
  <si>
    <r>
      <rPr>
        <sz val="10"/>
        <rFont val="Arial"/>
        <family val="2"/>
        <charset val="1"/>
      </rPr>
      <t xml:space="preserve">VIN</t>
    </r>
    <r>
      <rPr>
        <vertAlign val="subscript"/>
        <sz val="10"/>
        <rFont val="Arial"/>
        <family val="2"/>
        <charset val="1"/>
      </rPr>
      <t xml:space="preserve">UVLO_ON_ACTUAL</t>
    </r>
  </si>
  <si>
    <r>
      <rPr>
        <sz val="10"/>
        <rFont val="Arial"/>
        <family val="2"/>
        <charset val="1"/>
      </rPr>
      <t xml:space="preserve">VIN</t>
    </r>
    <r>
      <rPr>
        <vertAlign val="subscript"/>
        <sz val="10"/>
        <rFont val="Arial"/>
        <family val="2"/>
        <charset val="1"/>
      </rPr>
      <t xml:space="preserve">UVLO_OFF_ACTUAL</t>
    </r>
  </si>
  <si>
    <t xml:space="preserve">Rising UVLO/EN Threshold</t>
  </si>
  <si>
    <t xml:space="preserve">Falling UVLO/EN Threshold</t>
  </si>
  <si>
    <t xml:space="preserve">Voltage Hysteresis</t>
  </si>
  <si>
    <t xml:space="preserve">Rising UVLO/EN Current</t>
  </si>
  <si>
    <t xml:space="preserve">mA</t>
  </si>
  <si>
    <t xml:space="preserve">1.9uA kept by Vijay based on lab data (2017/5/05)</t>
  </si>
  <si>
    <t xml:space="preserve">Falling UVLO/EN Current</t>
  </si>
  <si>
    <t xml:space="preserve">4.95uA if UVLO =1.5V</t>
  </si>
  <si>
    <t xml:space="preserve">changed to 4.95uA by Vijay on 5/5/2017</t>
  </si>
  <si>
    <t xml:space="preserve">UVLO/EN Current Hysteresis</t>
  </si>
  <si>
    <t xml:space="preserve">3.05uA hysteresis current</t>
  </si>
  <si>
    <r>
      <rPr>
        <sz val="10"/>
        <rFont val="Arial"/>
        <family val="0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PG</t>
    </r>
  </si>
  <si>
    <r>
      <rPr>
        <sz val="10"/>
        <rFont val="Arial"/>
        <family val="0"/>
        <charset val="1"/>
      </rPr>
      <t xml:space="preserve">R</t>
    </r>
    <r>
      <rPr>
        <vertAlign val="subscript"/>
        <sz val="10"/>
        <rFont val="Arial"/>
        <family val="2"/>
        <charset val="1"/>
      </rPr>
      <t xml:space="preserve">SB</t>
    </r>
  </si>
  <si>
    <t xml:space="preserve">Rh</t>
  </si>
  <si>
    <t xml:space="preserve">Rmode</t>
  </si>
  <si>
    <t xml:space="preserve">TBD</t>
  </si>
  <si>
    <t xml:space="preserve">Tie to GND or VCC for DCM/CCM, respectively. Use 93.1k or 200k for hiccup in DCM, CCM, respectively.</t>
  </si>
  <si>
    <t xml:space="preserve">Dither Modulation Frequency</t>
  </si>
  <si>
    <t xml:space="preserve">Cdither_calculated</t>
  </si>
  <si>
    <t xml:space="preserve">Cdither_stdvalue</t>
  </si>
  <si>
    <t xml:space="preserve">Step 7: Compensation</t>
  </si>
  <si>
    <t xml:space="preserve">Pi</t>
  </si>
  <si>
    <t xml:space="preserve">p</t>
  </si>
  <si>
    <t xml:space="preserve">CS Amp Gain</t>
  </si>
  <si>
    <t xml:space="preserve">Ri</t>
  </si>
  <si>
    <t xml:space="preserve">Current Sense effective resistance = shunt resistor Rs * CS amp gain</t>
  </si>
  <si>
    <t xml:space="preserve">gm</t>
  </si>
  <si>
    <t xml:space="preserve">Error Amp Transconductance</t>
  </si>
  <si>
    <t xml:space="preserve">gm_slopecomp</t>
  </si>
  <si>
    <t xml:space="preserve">adaptive slope comp gm amplifier transconductance</t>
  </si>
  <si>
    <t xml:space="preserve">Isc_const</t>
  </si>
  <si>
    <t xml:space="preserve">slope comp constant current source</t>
  </si>
  <si>
    <t xml:space="preserve">Se_fixed</t>
  </si>
  <si>
    <t xml:space="preserve">Se_proportional</t>
  </si>
  <si>
    <t xml:space="preserve">Se</t>
  </si>
  <si>
    <t xml:space="preserve">Slope comp slope - internal</t>
  </si>
  <si>
    <t xml:space="preserve">V_sc_fixed</t>
  </si>
  <si>
    <t xml:space="preserve">Fixed slope comp amplitude over full period</t>
  </si>
  <si>
    <t xml:space="preserve">V_sc_proportional</t>
  </si>
  <si>
    <t xml:space="preserve">Proportional slope comp amplitude over full period</t>
  </si>
  <si>
    <t xml:space="preserve">V_sc_total</t>
  </si>
  <si>
    <t xml:space="preserve">Total slope comp amplitude over full period</t>
  </si>
  <si>
    <t xml:space="preserve">K_SL</t>
  </si>
  <si>
    <t xml:space="preserve">Proportional slope comp factor, where Vslope= Abs(Vin-Vout)*KSL</t>
  </si>
  <si>
    <t xml:space="preserve">KSL = gm/(Cslope*Fsw)</t>
  </si>
  <si>
    <t xml:space="preserve">Se_ext</t>
  </si>
  <si>
    <t xml:space="preserve">A/s</t>
  </si>
  <si>
    <t xml:space="preserve">Slope Comp Slope - referred to inductor current</t>
  </si>
  <si>
    <t xml:space="preserve">Sn</t>
  </si>
  <si>
    <t xml:space="preserve">On-time Slope</t>
  </si>
  <si>
    <t xml:space="preserve">Sf</t>
  </si>
  <si>
    <t xml:space="preserve">Off-time Slope</t>
  </si>
  <si>
    <t xml:space="preserve">Se_int</t>
  </si>
  <si>
    <t xml:space="preserve">mV/μs</t>
  </si>
  <si>
    <t xml:space="preserve">Slope Comp Slope - referred to IC</t>
  </si>
  <si>
    <t xml:space="preserve">Sn_int</t>
  </si>
  <si>
    <t xml:space="preserve">etc</t>
  </si>
  <si>
    <t xml:space="preserve">Sf_int</t>
  </si>
  <si>
    <t xml:space="preserve">Toff_Vinmax</t>
  </si>
  <si>
    <t xml:space="preserve">Ton_Vinmin</t>
  </si>
  <si>
    <t xml:space="preserve">COMP min voltage</t>
  </si>
  <si>
    <t xml:space="preserve">BUCK</t>
  </si>
  <si>
    <t xml:space="preserve">COMP max voltage</t>
  </si>
  <si>
    <t xml:space="preserve">mc_buck</t>
  </si>
  <si>
    <t xml:space="preserve">mc = 1 + Se/Sf for valley current-mode buck</t>
  </si>
  <si>
    <t xml:space="preserve">k_buck</t>
  </si>
  <si>
    <t xml:space="preserve">mc*D</t>
  </si>
  <si>
    <t xml:space="preserve">mc_boost</t>
  </si>
  <si>
    <t xml:space="preserve">mc = 1 + Se/Sn for peak current-mode boost</t>
  </si>
  <si>
    <t xml:space="preserve">k_boost</t>
  </si>
  <si>
    <t xml:space="preserve">mc*(1-D)</t>
  </si>
  <si>
    <t xml:space="preserve">mc</t>
  </si>
  <si>
    <t xml:space="preserve">k</t>
  </si>
  <si>
    <t xml:space="preserve">Q</t>
  </si>
  <si>
    <t xml:space="preserve">1/(Pi*(k-0.5))</t>
  </si>
  <si>
    <t xml:space="preserve">Q = 2/Pi = 0.636 gives ideal one-cycle damping</t>
  </si>
  <si>
    <t xml:space="preserve">KM</t>
  </si>
  <si>
    <t xml:space="preserve">K_1</t>
  </si>
  <si>
    <t xml:space="preserve">KD</t>
  </si>
  <si>
    <t xml:space="preserve">Error Amp (EA)</t>
  </si>
  <si>
    <t xml:space="preserve">GBW</t>
  </si>
  <si>
    <t xml:space="preserve">MHz</t>
  </si>
  <si>
    <t xml:space="preserve">EA gain-bandwidth product</t>
  </si>
  <si>
    <t xml:space="preserve">Cbw</t>
  </si>
  <si>
    <t xml:space="preserve">EA effective bandwidth limiting capacitance = gm/(2*Pi*GBW)</t>
  </si>
  <si>
    <t xml:space="preserve">RoEA</t>
  </si>
  <si>
    <t xml:space="preserve">EA output resistance</t>
  </si>
  <si>
    <t xml:space="preserve">EA Gain</t>
  </si>
  <si>
    <t xml:space="preserve">EA Gain (dB)</t>
  </si>
  <si>
    <t xml:space="preserve">dB</t>
  </si>
  <si>
    <t xml:space="preserve">AEA</t>
  </si>
  <si>
    <t xml:space="preserve">V/V</t>
  </si>
  <si>
    <t xml:space="preserve">EA DC gain = gm*RoEA</t>
  </si>
  <si>
    <t xml:space="preserve">Afb</t>
  </si>
  <si>
    <t xml:space="preserve">Feedback gain from Vout to FB</t>
  </si>
  <si>
    <t xml:space="preserve">Acs</t>
  </si>
  <si>
    <t xml:space="preserve">Acs = 1/Ri</t>
  </si>
  <si>
    <t xml:space="preserve">Am_buck</t>
  </si>
  <si>
    <t xml:space="preserve">Buck modulator gain</t>
  </si>
  <si>
    <t xml:space="preserve">Am_boost</t>
  </si>
  <si>
    <t xml:space="preserve">Boost modulator gain -- need to adjust for adaptive slope comp</t>
  </si>
  <si>
    <t xml:space="preserve">Am</t>
  </si>
  <si>
    <t xml:space="preserve">Take the buck or boost parameter as appropriate</t>
  </si>
  <si>
    <t xml:space="preserve">scaling factor to calculate Rcomp - buck</t>
  </si>
  <si>
    <t xml:space="preserve">2*Pi*Ri/gm -- scaling factor to calculate Rcomp given desired buck crossover frequency</t>
  </si>
  <si>
    <t xml:space="preserve">scaling factor to calculate Rcomp - boost</t>
  </si>
  <si>
    <t xml:space="preserve">2*Pi*Ri/gm -- scaling factor to calculate Rcomp given desired boost crossover frequency</t>
  </si>
  <si>
    <t xml:space="preserve">DC Gain is Adc = AEA*Afb*Am</t>
  </si>
  <si>
    <t xml:space="preserve">Ro</t>
  </si>
  <si>
    <t xml:space="preserve">Output Resistance</t>
  </si>
  <si>
    <t xml:space="preserve">Fp_load_buck</t>
  </si>
  <si>
    <t xml:space="preserve">Buck dominant pole frequency -- note slope comp influence</t>
  </si>
  <si>
    <t xml:space="preserve">Fp_load_boost</t>
  </si>
  <si>
    <t xml:space="preserve">Boost dominant pole frequency -- need to add slope comp component</t>
  </si>
  <si>
    <t xml:space="preserve">Fp_dominant</t>
  </si>
  <si>
    <t xml:space="preserve">Fp_EA</t>
  </si>
  <si>
    <t xml:space="preserve">Error Amp LF pole -- related to amplifier ouptut resistance and comp cap</t>
  </si>
  <si>
    <t xml:space="preserve">Fp_HF</t>
  </si>
  <si>
    <t xml:space="preserve">Error Amp HF pole cancels zero related to Output Cap ESR</t>
  </si>
  <si>
    <t xml:space="preserve">Fesr</t>
  </si>
  <si>
    <t xml:space="preserve">Cout ESR zero frequency</t>
  </si>
  <si>
    <t xml:space="preserve">Frhp</t>
  </si>
  <si>
    <t xml:space="preserve">Boost RHP zero frequency (if applicable)</t>
  </si>
  <si>
    <t xml:space="preserve">uses Vin(nom)!!</t>
  </si>
  <si>
    <t xml:space="preserve">F_mod</t>
  </si>
  <si>
    <t xml:space="preserve">zero-order sample and hold effects of current-mode control modeled as pole at Fsw/2</t>
  </si>
  <si>
    <t xml:space="preserve">Desired Crossover Frequency</t>
  </si>
  <si>
    <t xml:space="preserve">Rcea1</t>
  </si>
  <si>
    <t xml:space="preserve">This component will largely determine the crossover frequency</t>
  </si>
  <si>
    <t xml:space="preserve">Cc1ea</t>
  </si>
  <si>
    <t xml:space="preserve">Vijay Edit. Changed from Fcross/2 to 1.5x of Fp_dominant</t>
  </si>
  <si>
    <t xml:space="preserve">Cc2ea</t>
  </si>
  <si>
    <t xml:space="preserve">This along with Rcea1 places a pole at the output cap ESR zero</t>
  </si>
  <si>
    <t xml:space="preserve">Cc2 calculation updated to place at 5-10x the crossover. Vijay 10/7/2016</t>
  </si>
  <si>
    <r>
      <rPr>
        <b val="true"/>
        <sz val="10"/>
        <rFont val="Arial"/>
        <family val="2"/>
        <charset val="1"/>
      </rPr>
      <t xml:space="preserve">Chosen Compensation Components from the </t>
    </r>
    <r>
      <rPr>
        <b val="true"/>
        <u val="single"/>
        <sz val="10"/>
        <color rgb="FFFF0000"/>
        <rFont val="Arial"/>
        <family val="2"/>
        <charset val="1"/>
      </rPr>
      <t xml:space="preserve">standard value sheet</t>
    </r>
  </si>
  <si>
    <t xml:space="preserve">Rcea1_u</t>
  </si>
  <si>
    <t xml:space="preserve">Cc1ea_u</t>
  </si>
  <si>
    <t xml:space="preserve">Cc2ea_u</t>
  </si>
  <si>
    <t xml:space="preserve">Cslope_u</t>
  </si>
  <si>
    <t xml:space="preserve">Resulting Pole/Zero Locations</t>
  </si>
  <si>
    <t xml:space="preserve">Fz1</t>
  </si>
  <si>
    <t xml:space="preserve">This zero is set at or close to the dominant load pole</t>
  </si>
  <si>
    <t xml:space="preserve">Fp1</t>
  </si>
  <si>
    <t xml:space="preserve">This pole cancels the zero from the Output Cap ESR</t>
  </si>
  <si>
    <t xml:space="preserve">Rfb1</t>
  </si>
  <si>
    <t xml:space="preserve">Upper Feedback Resistance - chosen by user</t>
  </si>
  <si>
    <t xml:space="preserve">Rfb2</t>
  </si>
  <si>
    <t xml:space="preserve">Lower Feedback Resistance</t>
  </si>
  <si>
    <t xml:space="preserve">Rfb2_u</t>
  </si>
  <si>
    <t xml:space="preserve">Std Value Lower Feedback Resistance</t>
  </si>
  <si>
    <t xml:space="preserve">Other Input Variables</t>
  </si>
  <si>
    <t xml:space="preserve">Rfets</t>
  </si>
  <si>
    <t xml:space="preserve">Series resistance due to FETs</t>
  </si>
  <si>
    <t xml:space="preserve">Diode loss eq res</t>
  </si>
  <si>
    <t xml:space="preserve">Fet loss eq res</t>
  </si>
  <si>
    <t xml:space="preserve">cap loss eq res</t>
  </si>
  <si>
    <t xml:space="preserve">Sw cap</t>
  </si>
  <si>
    <t xml:space="preserve">Design</t>
  </si>
  <si>
    <t xml:space="preserve">Ta</t>
  </si>
  <si>
    <t xml:space="preserve">°C</t>
  </si>
  <si>
    <t xml:space="preserve">Ambient Temperature</t>
  </si>
  <si>
    <t xml:space="preserve">Components</t>
  </si>
  <si>
    <t xml:space="preserve">LTc</t>
  </si>
  <si>
    <t xml:space="preserve">%/°C</t>
  </si>
  <si>
    <t xml:space="preserve">Inductor DCR Temp Co</t>
  </si>
  <si>
    <r>
      <rPr>
        <sz val="10"/>
        <rFont val="Calibri"/>
        <family val="2"/>
        <charset val="1"/>
      </rPr>
      <t xml:space="preserve">θ</t>
    </r>
    <r>
      <rPr>
        <vertAlign val="subscript"/>
        <sz val="10"/>
        <rFont val="Arial"/>
        <family val="2"/>
        <charset val="1"/>
      </rPr>
      <t xml:space="preserve">CA</t>
    </r>
  </si>
  <si>
    <t xml:space="preserve">Inductor Core to Ambient Thermal Resistance</t>
  </si>
  <si>
    <t xml:space="preserve">Input Capacitor ESR</t>
  </si>
  <si>
    <t xml:space="preserve">Part Characteristics</t>
  </si>
  <si>
    <t xml:space="preserve">Vcc</t>
  </si>
  <si>
    <t xml:space="preserve">with 85mA current limit</t>
  </si>
  <si>
    <t xml:space="preserve">Top Driver</t>
  </si>
  <si>
    <t xml:space="preserve">RdsonDRT</t>
  </si>
  <si>
    <t xml:space="preserve">Drain-Source Resistance of Pullup High-side FET Driver</t>
  </si>
  <si>
    <t xml:space="preserve">RdsonDRT2</t>
  </si>
  <si>
    <t xml:space="preserve">Drain-Source Resistance of Pulldown High-side FET Driver</t>
  </si>
  <si>
    <t xml:space="preserve">Bottom Driver</t>
  </si>
  <si>
    <t xml:space="preserve">RdsonDRB</t>
  </si>
  <si>
    <t xml:space="preserve">Drain-Source Resistance of Pullup Low-side FET Driver</t>
  </si>
  <si>
    <t xml:space="preserve">RdsonDRB2</t>
  </si>
  <si>
    <t xml:space="preserve">Drain-Source Resistance of Pulldown Low-side FET Driver</t>
  </si>
  <si>
    <t xml:space="preserve">Deadtime</t>
  </si>
  <si>
    <t xml:space="preserve">Total Deadtime</t>
  </si>
  <si>
    <t xml:space="preserve">50ns for LM5175</t>
  </si>
  <si>
    <t xml:space="preserve">IQ</t>
  </si>
  <si>
    <t xml:space="preserve">IQ </t>
  </si>
  <si>
    <t xml:space="preserve">Quiescent Current of LM5175 Controller (Not Switching!)</t>
  </si>
  <si>
    <t xml:space="preserve">High- &amp; low-side buck MOSFETs</t>
  </si>
  <si>
    <t xml:space="preserve">Q1: high-side</t>
  </si>
  <si>
    <t xml:space="preserve">Q2: low-side</t>
  </si>
  <si>
    <t xml:space="preserve">Rdson</t>
  </si>
  <si>
    <t xml:space="preserve">Drain-Source Resistances of Buck FETs</t>
  </si>
  <si>
    <t xml:space="preserve">RdsonTopTc</t>
  </si>
  <si>
    <t xml:space="preserve">Drain-Source Resistance Temp Co</t>
  </si>
  <si>
    <t xml:space="preserve">Qg</t>
  </si>
  <si>
    <t xml:space="preserve">C</t>
  </si>
  <si>
    <t xml:space="preserve">Gate Charge at VCC = 7.5V</t>
  </si>
  <si>
    <t xml:space="preserve">Qgd</t>
  </si>
  <si>
    <t xml:space="preserve">Gate to Drain Charge</t>
  </si>
  <si>
    <t xml:space="preserve">Qgs</t>
  </si>
  <si>
    <t xml:space="preserve">Rgate</t>
  </si>
  <si>
    <t xml:space="preserve">Gate Resistance</t>
  </si>
  <si>
    <t xml:space="preserve">Gfs</t>
  </si>
  <si>
    <t xml:space="preserve">Transconductance of Buck FETs</t>
  </si>
  <si>
    <t xml:space="preserve">Vth</t>
  </si>
  <si>
    <t xml:space="preserve">Threshold Voltage of Buck FETs</t>
  </si>
  <si>
    <t xml:space="preserve">Vsp</t>
  </si>
  <si>
    <t xml:space="preserve">Switch Point Voltage of Buck FETs</t>
  </si>
  <si>
    <t xml:space="preserve">Vsd - Buck</t>
  </si>
  <si>
    <t xml:space="preserve">Diode Forward Voltage of MOSFET Body diode</t>
  </si>
  <si>
    <t xml:space="preserve">QrrTop</t>
  </si>
  <si>
    <t xml:space="preserve">Reverse Recovery Charge of Body Diode</t>
  </si>
  <si>
    <t xml:space="preserve">TrrTop</t>
  </si>
  <si>
    <t xml:space="preserve">Reverse Recovery Time of Body Diode</t>
  </si>
  <si>
    <t xml:space="preserve">θJA-MOSFET</t>
  </si>
  <si>
    <t xml:space="preserve">Junction to Ambient Resistance</t>
  </si>
  <si>
    <t xml:space="preserve">High- &amp; low-side boost MOSFETs</t>
  </si>
  <si>
    <t xml:space="preserve">Q3: high-side</t>
  </si>
  <si>
    <t xml:space="preserve">Q4: low-side</t>
  </si>
  <si>
    <t xml:space="preserve">Drain-Source Resistances of Boost FETs</t>
  </si>
  <si>
    <t xml:space="preserve">RdsonBotTc</t>
  </si>
  <si>
    <t xml:space="preserve">Gate Charge Of Boost FETs</t>
  </si>
  <si>
    <t xml:space="preserve">Transconductance of Boost FETs</t>
  </si>
  <si>
    <t xml:space="preserve">Threshold Voltage Boost FETs</t>
  </si>
  <si>
    <t xml:space="preserve">Switch Point Voltage of Boost FETs</t>
  </si>
  <si>
    <t xml:space="preserve">VsdBot - Boost</t>
  </si>
  <si>
    <t xml:space="preserve">Diode Forward Voltage of Low-side FET Body Diode</t>
  </si>
  <si>
    <t xml:space="preserve">QrrBot</t>
  </si>
  <si>
    <t xml:space="preserve">TrrBot</t>
  </si>
  <si>
    <t xml:space="preserve">θJA</t>
  </si>
  <si>
    <t xml:space="preserve">Anti-parallel Schottky Diode (optional)</t>
  </si>
  <si>
    <t xml:space="preserve">Buck lo-side</t>
  </si>
  <si>
    <t xml:space="preserve">Boost hi-side</t>
  </si>
  <si>
    <t xml:space="preserve">VfdSky</t>
  </si>
  <si>
    <t xml:space="preserve">Diode Forward Voltage</t>
  </si>
  <si>
    <t xml:space="preserve">QrrSky</t>
  </si>
  <si>
    <t xml:space="preserve">Diode Reverse Recovery Charge</t>
  </si>
  <si>
    <t xml:space="preserve">Ireverse</t>
  </si>
  <si>
    <t xml:space="preserve">Reverse Leakage Current</t>
  </si>
  <si>
    <t xml:space="preserve">Controller</t>
  </si>
  <si>
    <t xml:space="preserve">θJACtrl</t>
  </si>
  <si>
    <t xml:space="preserve">Junction-to-ambient thermal resistance of controller</t>
  </si>
  <si>
    <t xml:space="preserve">Outputs</t>
  </si>
  <si>
    <t xml:space="preserve">Top FET</t>
  </si>
  <si>
    <t xml:space="preserve">Tr</t>
  </si>
  <si>
    <t xml:space="preserve">Tf</t>
  </si>
  <si>
    <t xml:space="preserve">IC Power Disipation</t>
  </si>
  <si>
    <t xml:space="preserve">Units</t>
  </si>
  <si>
    <t xml:space="preserve">Power Dis</t>
  </si>
  <si>
    <t xml:space="preserve">Temp rise</t>
  </si>
  <si>
    <t xml:space="preserve">Current (switching)</t>
  </si>
  <si>
    <t xml:space="preserve">Qrr Current</t>
  </si>
  <si>
    <t xml:space="preserve">Diode Current</t>
  </si>
  <si>
    <t xml:space="preserve">Total Application Switching IQ</t>
  </si>
  <si>
    <t xml:space="preserve">Low-side MOSFET/Diode</t>
  </si>
  <si>
    <t xml:space="preserve">Part Power</t>
  </si>
  <si>
    <t xml:space="preserve">SCHEMATIC LABELS</t>
  </si>
  <si>
    <t xml:space="preserve">Capacitance per component (Cout)</t>
  </si>
  <si>
    <t xml:space="preserve"># of output caps</t>
  </si>
  <si>
    <t xml:space="preserve">CIN</t>
  </si>
  <si>
    <t xml:space="preserve">Capacitance per component (Cin)</t>
  </si>
  <si>
    <t xml:space="preserve"># of input caps</t>
  </si>
  <si>
    <t xml:space="preserve">Low line efficiency</t>
  </si>
  <si>
    <t xml:space="preserve">Full-load/high line efficiency</t>
  </si>
  <si>
    <t xml:space="preserve">Half-load/mid-line efficiency</t>
  </si>
  <si>
    <t xml:space="preserve">Rset</t>
  </si>
  <si>
    <t xml:space="preserve">Rpgood</t>
  </si>
  <si>
    <t xml:space="preserve">20kΩ</t>
  </si>
  <si>
    <t xml:space="preserve">Cslope</t>
  </si>
  <si>
    <t xml:space="preserve">Blank out</t>
  </si>
  <si>
    <t xml:space="preserve">OUTPUT CURRENT</t>
  </si>
  <si>
    <t xml:space="preserve">VIN</t>
  </si>
  <si>
    <t xml:space="preserve">VIN range</t>
  </si>
  <si>
    <t xml:space="preserve">VIN </t>
  </si>
  <si>
    <t xml:space="preserve">CBOOT</t>
  </si>
  <si>
    <t xml:space="preserve">VDD</t>
  </si>
  <si>
    <t xml:space="preserve">SYNC</t>
  </si>
  <si>
    <t xml:space="preserve">EN</t>
  </si>
  <si>
    <t xml:space="preserve">PGOOD</t>
  </si>
  <si>
    <t xml:space="preserve">SS/TRACK</t>
  </si>
  <si>
    <t xml:space="preserve">FADJ</t>
  </si>
  <si>
    <t xml:space="preserve">GND</t>
  </si>
  <si>
    <t xml:space="preserve">COMP</t>
  </si>
  <si>
    <t xml:space="preserve">FB</t>
  </si>
  <si>
    <t xml:space="preserve">CS-</t>
  </si>
  <si>
    <t xml:space="preserve">CS+</t>
  </si>
  <si>
    <t xml:space="preserve">LG</t>
  </si>
  <si>
    <t xml:space="preserve">SW</t>
  </si>
  <si>
    <t xml:space="preserve">HG</t>
  </si>
  <si>
    <t xml:space="preserve">RS</t>
  </si>
  <si>
    <t xml:space="preserve">OTP</t>
  </si>
  <si>
    <t xml:space="preserve">BUCK-BOOST CONTROLLER POWER TOOL</t>
  </si>
  <si>
    <t xml:space="preserve">Low VIN</t>
  </si>
  <si>
    <t xml:space="preserve">Nom VIN</t>
  </si>
  <si>
    <t xml:space="preserve">High VIN</t>
  </si>
  <si>
    <r>
      <rPr>
        <b val="true"/>
        <sz val="10"/>
        <rFont val="Arial"/>
        <family val="2"/>
        <charset val="1"/>
      </rPr>
      <t xml:space="preserve">Enter the values of your design and MOSFET datasheet specifications below. Note that thermal resistance (</t>
    </r>
    <r>
      <rPr>
        <b val="true"/>
        <sz val="10"/>
        <rFont val="Calibri"/>
        <family val="2"/>
        <charset val="1"/>
      </rPr>
      <t xml:space="preserve">θ</t>
    </r>
    <r>
      <rPr>
        <b val="true"/>
        <vertAlign val="subscript"/>
        <sz val="10"/>
        <rFont val="Arial"/>
        <family val="2"/>
        <charset val="1"/>
      </rPr>
      <t xml:space="preserve">JA</t>
    </r>
    <r>
      <rPr>
        <b val="true"/>
        <sz val="10"/>
        <rFont val="Arial"/>
        <family val="2"/>
        <charset val="1"/>
      </rPr>
      <t xml:space="preserve">) will change when components are placed on the PCB</t>
    </r>
  </si>
  <si>
    <t xml:space="preserve">Operating Point Condtions</t>
  </si>
  <si>
    <t xml:space="preserve">Filter Inductor</t>
  </si>
  <si>
    <t xml:space="preserve">High-side BUCK "Control" MOSFET Losses </t>
  </si>
  <si>
    <t xml:space="preserve">Low-side BUCK "Sync" MOSFET Losses </t>
  </si>
  <si>
    <t xml:space="preserve">Low-side BOOST "Control" MOSFET Losses </t>
  </si>
  <si>
    <t xml:space="preserve">High-side BOOST "Sync" MOSFET Losses </t>
  </si>
  <si>
    <t xml:space="preserve">Pass FET</t>
  </si>
  <si>
    <t xml:space="preserve">External Diode</t>
  </si>
  <si>
    <t xml:space="preserve">Diode/FET</t>
  </si>
  <si>
    <t xml:space="preserve">Sense Rs</t>
  </si>
  <si>
    <t xml:space="preserve">Output Rs</t>
  </si>
  <si>
    <t xml:space="preserve">Controller IC Losses</t>
  </si>
  <si>
    <t xml:space="preserve">RESULTS</t>
  </si>
  <si>
    <t xml:space="preserve">Consolidated Buck/Boost Efficiency &amp; Losses</t>
  </si>
  <si>
    <t xml:space="preserve">Input Parameters</t>
  </si>
  <si>
    <t xml:space="preserve">Step</t>
  </si>
  <si>
    <t xml:space="preserve">Vin</t>
  </si>
  <si>
    <t xml:space="preserve">Mode</t>
  </si>
  <si>
    <t xml:space="preserve">Mode Digit</t>
  </si>
  <si>
    <t xml:space="preserve">Avg IL</t>
  </si>
  <si>
    <t xml:space="preserve">Actual Duty Cycle BUCK Leg</t>
  </si>
  <si>
    <t xml:space="preserve">Actual Duty Cycle BOOST Leg</t>
  </si>
  <si>
    <t xml:space="preserve">Ripple Current pk-pk</t>
  </si>
  <si>
    <t xml:space="preserve">Irms Lf</t>
  </si>
  <si>
    <t xml:space="preserve">DCR    Loss</t>
  </si>
  <si>
    <t xml:space="preserve">Core Loss</t>
  </si>
  <si>
    <t xml:space="preserve">Total Inductor Loss</t>
  </si>
  <si>
    <t xml:space="preserve">Irms Cout</t>
  </si>
  <si>
    <t xml:space="preserve">Cout ESR Loss</t>
  </si>
  <si>
    <t xml:space="preserve">Total Cout Loss</t>
  </si>
  <si>
    <t xml:space="preserve">Irms Cin</t>
  </si>
  <si>
    <t xml:space="preserve">Cin ESR Loss</t>
  </si>
  <si>
    <t xml:space="preserve">Total Cin Loss</t>
  </si>
  <si>
    <t xml:space="preserve">Irms</t>
  </si>
  <si>
    <r>
      <rPr>
        <b val="true"/>
        <sz val="10"/>
        <rFont val="Arial"/>
        <family val="2"/>
        <charset val="1"/>
      </rPr>
      <t xml:space="preserve">R</t>
    </r>
    <r>
      <rPr>
        <b val="true"/>
        <vertAlign val="subscript"/>
        <sz val="10"/>
        <rFont val="Arial"/>
        <family val="2"/>
        <charset val="1"/>
      </rPr>
      <t xml:space="preserve">DS(on)</t>
    </r>
    <r>
      <rPr>
        <b val="true"/>
        <sz val="10"/>
        <rFont val="Arial"/>
        <family val="2"/>
        <charset val="1"/>
      </rPr>
      <t xml:space="preserve"> Loss</t>
    </r>
  </si>
  <si>
    <t xml:space="preserve">Transition Loss</t>
  </si>
  <si>
    <t xml:space="preserve">Dead Time Loss </t>
  </si>
  <si>
    <t xml:space="preserve">Total Control MOSFET Loss</t>
  </si>
  <si>
    <t xml:space="preserve">Deadtime Loss</t>
  </si>
  <si>
    <t xml:space="preserve">Total Sync MOSFET Loss</t>
  </si>
  <si>
    <r>
      <rPr>
        <b val="true"/>
        <sz val="10"/>
        <rFont val="Arial"/>
        <family val="2"/>
        <charset val="1"/>
      </rPr>
      <t xml:space="preserve">Q1/Q3 R</t>
    </r>
    <r>
      <rPr>
        <b val="true"/>
        <vertAlign val="subscript"/>
        <sz val="10"/>
        <rFont val="Arial"/>
        <family val="2"/>
        <charset val="1"/>
      </rPr>
      <t xml:space="preserve">DS(on)</t>
    </r>
    <r>
      <rPr>
        <b val="true"/>
        <sz val="10"/>
        <rFont val="Arial"/>
        <family val="2"/>
        <charset val="1"/>
      </rPr>
      <t xml:space="preserve"> Loss @ D = 100%</t>
    </r>
  </si>
  <si>
    <t xml:space="preserve">Reverse Recovery Loss</t>
  </si>
  <si>
    <t xml:space="preserve">Isense Shunt Loss</t>
  </si>
  <si>
    <t xml:space="preserve">Iout Shunt Loss</t>
  </si>
  <si>
    <r>
      <rPr>
        <b val="true"/>
        <sz val="10"/>
        <rFont val="Arial"/>
        <family val="2"/>
        <charset val="1"/>
      </rPr>
      <t xml:space="preserve">I</t>
    </r>
    <r>
      <rPr>
        <b val="true"/>
        <vertAlign val="subscript"/>
        <sz val="10"/>
        <rFont val="Arial"/>
        <family val="2"/>
        <charset val="1"/>
      </rPr>
      <t xml:space="preserve">Q</t>
    </r>
    <r>
      <rPr>
        <b val="true"/>
        <sz val="10"/>
        <rFont val="Arial"/>
        <family val="2"/>
        <charset val="1"/>
      </rPr>
      <t xml:space="preserve"> Loss</t>
    </r>
  </si>
  <si>
    <t xml:space="preserve">Switching Current Loss</t>
  </si>
  <si>
    <t xml:space="preserve">Switching Current Diss</t>
  </si>
  <si>
    <t xml:space="preserve">Total IC Loss</t>
  </si>
  <si>
    <t xml:space="preserve">Total Loss</t>
  </si>
  <si>
    <r>
      <rPr>
        <b val="true"/>
        <sz val="10"/>
        <rFont val="Arial"/>
        <family val="2"/>
        <charset val="1"/>
      </rPr>
      <t xml:space="preserve">EFF, </t>
    </r>
    <r>
      <rPr>
        <b val="true"/>
        <sz val="10"/>
        <rFont val="Symbol"/>
        <family val="1"/>
        <charset val="2"/>
      </rPr>
      <t xml:space="preserve">h</t>
    </r>
  </si>
  <si>
    <t xml:space="preserve">Control FET Temp Rise</t>
  </si>
  <si>
    <t xml:space="preserve">Sync FET Temp Rise</t>
  </si>
  <si>
    <t xml:space="preserve">h</t>
  </si>
  <si>
    <t xml:space="preserve">Inductor Cu &amp; Core Loss</t>
  </si>
  <si>
    <t xml:space="preserve">Total MOSFET Loss</t>
  </si>
  <si>
    <t xml:space="preserve">Shunt Loss</t>
  </si>
  <si>
    <t xml:space="preserve">θJA=80</t>
  </si>
  <si>
    <t xml:space="preserve">θJA=100</t>
  </si>
  <si>
    <t xml:space="preserve">θJA=120</t>
  </si>
  <si>
    <t xml:space="preserve">θJA=140</t>
  </si>
  <si>
    <t xml:space="preserve">θJA=160</t>
  </si>
  <si>
    <t xml:space="preserve">θJA=180</t>
  </si>
  <si>
    <t xml:space="preserve">θJA=20</t>
  </si>
  <si>
    <t xml:space="preserve">θJA=30</t>
  </si>
  <si>
    <t xml:space="preserve">θJA=40</t>
  </si>
  <si>
    <t xml:space="preserve">θJA=50</t>
  </si>
  <si>
    <t xml:space="preserve">Input Value</t>
  </si>
  <si>
    <t xml:space="preserve">250kHz / 5-1.2V /25A</t>
  </si>
  <si>
    <t xml:space="preserve">250kHz / 12-5V / 30A</t>
  </si>
  <si>
    <t xml:space="preserve">250kHz / 18-1.2V / 20A</t>
  </si>
  <si>
    <t xml:space="preserve">500kHz / 5-1.2V / 15A</t>
  </si>
  <si>
    <t xml:space="preserve">Max Output Current</t>
  </si>
  <si>
    <t xml:space="preserve">500kHz / 12-5V / 15A</t>
  </si>
  <si>
    <r>
      <rPr>
        <sz val="10"/>
        <rFont val="Symbol"/>
        <family val="1"/>
        <charset val="2"/>
      </rPr>
      <t xml:space="preserve">°</t>
    </r>
    <r>
      <rPr>
        <sz val="10"/>
        <rFont val="Arial"/>
        <family val="2"/>
        <charset val="1"/>
      </rPr>
      <t xml:space="preserve">C</t>
    </r>
  </si>
  <si>
    <t xml:space="preserve">1Mhz / 5-1.2V / 10A</t>
  </si>
  <si>
    <t xml:space="preserve">Subregulated VCC Voltage</t>
  </si>
  <si>
    <t xml:space="preserve">1Mhz / 12-1.2V/ 10A</t>
  </si>
  <si>
    <t xml:space="preserve">500kHz / 18-1.2V / 20A</t>
  </si>
  <si>
    <t xml:space="preserve">L</t>
  </si>
  <si>
    <t xml:space="preserve">uH</t>
  </si>
  <si>
    <t xml:space="preserve">Filter Inductance</t>
  </si>
  <si>
    <t xml:space="preserve">θJA=120°C/W - 160°C/W</t>
  </si>
  <si>
    <r>
      <rPr>
        <sz val="10"/>
        <rFont val="Arial"/>
        <family val="2"/>
        <charset val="1"/>
      </rPr>
      <t xml:space="preserve">m</t>
    </r>
    <r>
      <rPr>
        <sz val="10"/>
        <rFont val="Symbol"/>
        <family val="1"/>
        <charset val="2"/>
      </rPr>
      <t xml:space="preserve">W</t>
    </r>
  </si>
  <si>
    <r>
      <rPr>
        <sz val="10"/>
        <rFont val="Arial"/>
        <family val="2"/>
        <charset val="1"/>
      </rPr>
      <t xml:space="preserve">Inductor DCR at 25</t>
    </r>
    <r>
      <rPr>
        <sz val="10"/>
        <rFont val="Symbol"/>
        <family val="1"/>
        <charset val="2"/>
      </rPr>
      <t xml:space="preserve">°</t>
    </r>
    <r>
      <rPr>
        <sz val="10"/>
        <rFont val="Arial"/>
        <family val="2"/>
        <charset val="1"/>
      </rPr>
      <t xml:space="preserve">C</t>
    </r>
  </si>
  <si>
    <t xml:space="preserve">θJA=30°C/W - 50°C/W</t>
  </si>
  <si>
    <t xml:space="preserve">ppm</t>
  </si>
  <si>
    <t xml:space="preserve">Inductor Series Resistance Temp Co</t>
  </si>
  <si>
    <t xml:space="preserve">ThetaCa</t>
  </si>
  <si>
    <t xml:space="preserve">Core to Ambient Thermal Resistance</t>
  </si>
  <si>
    <t xml:space="preserve">μF</t>
  </si>
  <si>
    <t xml:space="preserve">Input Capacitance</t>
  </si>
  <si>
    <t xml:space="preserve">Output Capcitance</t>
  </si>
  <si>
    <t xml:space="preserve">RCoutEsr</t>
  </si>
  <si>
    <t xml:space="preserve">Output Capacitor ESR</t>
  </si>
  <si>
    <t xml:space="preserve">EFF_1 @ 25°C</t>
  </si>
  <si>
    <t xml:space="preserve">Pdis</t>
  </si>
  <si>
    <t xml:space="preserve">Vin=10V</t>
  </si>
  <si>
    <t xml:space="preserve">Drain to Source Resistance of pullup Top FET Driver</t>
  </si>
  <si>
    <t xml:space="preserve">Vout=5.1V</t>
  </si>
  <si>
    <t xml:space="preserve">Drain to Source Resistance of pulldown Top FET Driver</t>
  </si>
  <si>
    <t xml:space="preserve">L=3.3uH/30mOhm </t>
  </si>
  <si>
    <t xml:space="preserve">4394 Top and Bottom Fets</t>
  </si>
  <si>
    <t xml:space="preserve">Drain to Source Resistance of pullup Bottom FET Driver</t>
  </si>
  <si>
    <t xml:space="preserve">Drain to Source Resistance of pulldown Bottom FET Driver</t>
  </si>
  <si>
    <t xml:space="preserve">ns</t>
  </si>
  <si>
    <t xml:space="preserve">Quiescent Current Of Controller (Not Switching!)</t>
  </si>
  <si>
    <t xml:space="preserve">High-side FET</t>
  </si>
  <si>
    <t xml:space="preserve">RdsonTop</t>
  </si>
  <si>
    <t xml:space="preserve">Drain-Source Resistance of Top FET </t>
  </si>
  <si>
    <t xml:space="preserve">Drain to Source Resistance Temp Co</t>
  </si>
  <si>
    <t xml:space="preserve">QgTop</t>
  </si>
  <si>
    <t xml:space="preserve">Gate Charge Of Top FET</t>
  </si>
  <si>
    <t xml:space="preserve">QgdTop</t>
  </si>
  <si>
    <t xml:space="preserve">QgsTop</t>
  </si>
  <si>
    <t xml:space="preserve">RGateTop</t>
  </si>
  <si>
    <t xml:space="preserve">GfsTop</t>
  </si>
  <si>
    <t xml:space="preserve">Transconductance of Top FET</t>
  </si>
  <si>
    <t xml:space="preserve">VthTop</t>
  </si>
  <si>
    <t xml:space="preserve">Threshold Voltage of Top FET</t>
  </si>
  <si>
    <t xml:space="preserve">VspTop</t>
  </si>
  <si>
    <t xml:space="preserve">VsdTop</t>
  </si>
  <si>
    <r>
      <rPr>
        <sz val="10"/>
        <rFont val="Arial"/>
        <family val="2"/>
        <charset val="1"/>
      </rPr>
      <t xml:space="preserve">θ</t>
    </r>
    <r>
      <rPr>
        <vertAlign val="subscript"/>
        <sz val="10"/>
        <rFont val="Arial"/>
        <family val="2"/>
        <charset val="1"/>
      </rPr>
      <t xml:space="preserve">JATop</t>
    </r>
  </si>
  <si>
    <t xml:space="preserve">Low-side FET</t>
  </si>
  <si>
    <t xml:space="preserve">RdsonBot</t>
  </si>
  <si>
    <t xml:space="preserve">Drain-Source Resistance of Low-side FET</t>
  </si>
  <si>
    <t xml:space="preserve">Drain To Source Resitance Temp Co</t>
  </si>
  <si>
    <t xml:space="preserve">QgBot</t>
  </si>
  <si>
    <t xml:space="preserve">RGateBot</t>
  </si>
  <si>
    <t xml:space="preserve">VsdBot</t>
  </si>
  <si>
    <t xml:space="preserve">Diode Forward Voltage of Bottom FET Body Diode</t>
  </si>
  <si>
    <r>
      <rPr>
        <sz val="10"/>
        <rFont val="Arial"/>
        <family val="2"/>
        <charset val="1"/>
      </rPr>
      <t xml:space="preserve">θ</t>
    </r>
    <r>
      <rPr>
        <vertAlign val="subscript"/>
        <sz val="10"/>
        <rFont val="Arial"/>
        <family val="2"/>
        <charset val="1"/>
      </rPr>
      <t xml:space="preserve">JABot</t>
    </r>
  </si>
  <si>
    <t xml:space="preserve">Bottom Schottky</t>
  </si>
  <si>
    <t xml:space="preserve">Std Units</t>
  </si>
  <si>
    <r>
      <rPr>
        <sz val="10"/>
        <rFont val="Calibri"/>
        <family val="2"/>
        <charset val="1"/>
      </rPr>
      <t xml:space="preserve">θ</t>
    </r>
    <r>
      <rPr>
        <vertAlign val="subscript"/>
        <sz val="10"/>
        <rFont val="Arial"/>
        <family val="2"/>
        <charset val="1"/>
      </rPr>
      <t xml:space="preserve">JA</t>
    </r>
  </si>
  <si>
    <t xml:space="preserve">Theta Ja</t>
  </si>
  <si>
    <t xml:space="preserve">Dmax</t>
  </si>
  <si>
    <t xml:space="preserve">index</t>
  </si>
  <si>
    <t xml:space="preserve">Dprime</t>
  </si>
  <si>
    <t xml:space="preserve">Ipp</t>
  </si>
  <si>
    <t xml:space="preserve">Turn on of MOSFET -&gt; Rise time of current</t>
  </si>
  <si>
    <t xml:space="preserve">Turn off of MOSFET -&gt; Fall time of current</t>
  </si>
  <si>
    <t xml:space="preserve">Total</t>
  </si>
  <si>
    <t xml:space="preserve">10% load</t>
  </si>
  <si>
    <t xml:space="preserve">50% load</t>
  </si>
  <si>
    <t xml:space="preserve">100% load</t>
  </si>
  <si>
    <t xml:space="preserve">Duty Cycle BUCK Leg</t>
  </si>
  <si>
    <t xml:space="preserve">Duty Cycle BOOST Leg</t>
  </si>
  <si>
    <t xml:space="preserve">Divider Network &amp; EA Poles/Zeros</t>
  </si>
  <si>
    <t xml:space="preserve">Modulator</t>
  </si>
  <si>
    <t xml:space="preserve">Power Stage Poles/Zeros</t>
  </si>
  <si>
    <t xml:space="preserve">Complex Pole Pair</t>
  </si>
  <si>
    <t xml:space="preserve">Total System</t>
  </si>
  <si>
    <t xml:space="preserve">Afb1</t>
  </si>
  <si>
    <t xml:space="preserve">A/V</t>
  </si>
  <si>
    <t xml:space="preserve">z_ESR</t>
  </si>
  <si>
    <t xml:space="preserve">p3</t>
  </si>
  <si>
    <t xml:space="preserve">Adc</t>
  </si>
  <si>
    <t xml:space="preserve">EA zero, z1</t>
  </si>
  <si>
    <t xml:space="preserve">p_dom</t>
  </si>
  <si>
    <t xml:space="preserve">pterm1</t>
  </si>
  <si>
    <t xml:space="preserve">Crossover</t>
  </si>
  <si>
    <t xml:space="preserve">EA pole, p1</t>
  </si>
  <si>
    <t xml:space="preserve">z_RHP</t>
  </si>
  <si>
    <t xml:space="preserve">pterm2</t>
  </si>
  <si>
    <t xml:space="preserve">Phase Margin</t>
  </si>
  <si>
    <t xml:space="preserve">°</t>
  </si>
  <si>
    <t xml:space="preserve">Aea</t>
  </si>
  <si>
    <t xml:space="preserve">radconv</t>
  </si>
  <si>
    <t xml:space="preserve">XOVER SEARCH</t>
  </si>
  <si>
    <t xml:space="preserve">EA pole, p2</t>
  </si>
  <si>
    <t xml:space="preserve">xover</t>
  </si>
  <si>
    <t xml:space="preserve">phase margin</t>
  </si>
  <si>
    <t xml:space="preserve">Freq (Hz)</t>
  </si>
  <si>
    <t xml:space="preserve">Power Stage</t>
  </si>
  <si>
    <t xml:space="preserve">Error Amplifier</t>
  </si>
  <si>
    <t xml:space="preserve">Sampling Double Pole</t>
  </si>
  <si>
    <t xml:space="preserve">System Response</t>
  </si>
  <si>
    <t xml:space="preserve">ERROR AMP Response</t>
  </si>
  <si>
    <t xml:space="preserve">PLANT Response</t>
  </si>
  <si>
    <t xml:space="preserve">p1</t>
  </si>
  <si>
    <t xml:space="preserve">z1</t>
  </si>
  <si>
    <t xml:space="preserve">p2</t>
  </si>
  <si>
    <t xml:space="preserve">Gain(V/V)</t>
  </si>
  <si>
    <t xml:space="preserve">Phase(rad)</t>
  </si>
  <si>
    <t xml:space="preserve">Gain (dB)</t>
  </si>
  <si>
    <t xml:space="preserve">Phase Margin (°)</t>
  </si>
  <si>
    <t xml:space="preserve">Phase (°)</t>
  </si>
  <si>
    <t xml:space="preserve">Fsquare</t>
  </si>
  <si>
    <t xml:space="preserve">Gain(dB)</t>
  </si>
  <si>
    <t xml:space="preserve">Phase(Deg)</t>
  </si>
  <si>
    <t xml:space="preserve">Pole/Zero Locations for Chart</t>
  </si>
  <si>
    <t xml:space="preserve">crossover</t>
  </si>
  <si>
    <t xml:space="preserve">z2</t>
  </si>
  <si>
    <t xml:space="preserve">p4</t>
  </si>
  <si>
    <t xml:space="preserve">System</t>
  </si>
  <si>
    <t xml:space="preserve">Plant</t>
  </si>
  <si>
    <t xml:space="preserve">p-dom</t>
  </si>
  <si>
    <t xml:space="preserve">ESR zero</t>
  </si>
  <si>
    <t xml:space="preserve">EA pole</t>
  </si>
  <si>
    <t xml:space="preserve">EA zero</t>
  </si>
  <si>
    <t xml:space="preserve">p_sampling</t>
  </si>
  <si>
    <t xml:space="preserve">zRHP</t>
  </si>
  <si>
    <t xml:space="preserve">RHP zero</t>
  </si>
  <si>
    <t xml:space="preserve">Capacitors</t>
  </si>
  <si>
    <t xml:space="preserve">Cdither</t>
  </si>
  <si>
    <t xml:space="preserve">Csb</t>
  </si>
  <si>
    <t xml:space="preserve">Csby</t>
  </si>
  <si>
    <t xml:space="preserve">Inputs</t>
  </si>
  <si>
    <t xml:space="preserve">Resistors</t>
  </si>
  <si>
    <t xml:space="preserve">inputs</t>
  </si>
  <si>
    <t xml:space="preserve">Standard Result</t>
  </si>
  <si>
    <t xml:space="preserve">Ω</t>
  </si>
  <si>
    <t xml:space="preserve">(pF)</t>
  </si>
  <si>
    <t xml:space="preserve">Rshunt</t>
  </si>
  <si>
    <t xml:space="preserve">Rc1ea</t>
  </si>
  <si>
    <t xml:space="preserve">Ruv1</t>
  </si>
  <si>
    <t xml:space="preserve">Ruv2</t>
  </si>
  <si>
    <t xml:space="preserve">Rc1</t>
  </si>
  <si>
    <t xml:space="preserve">Cc1</t>
  </si>
  <si>
    <t xml:space="preserve">Cc2</t>
  </si>
  <si>
    <t xml:space="preserve">UNITS</t>
  </si>
  <si>
    <t xml:space="preserve">STD UNITS</t>
  </si>
  <si>
    <t xml:space="preserve">Frequency of Ringing</t>
  </si>
  <si>
    <t xml:space="preserve">SW capacitance</t>
  </si>
  <si>
    <t xml:space="preserve">Lpar</t>
  </si>
  <si>
    <t xml:space="preserve">nH</t>
  </si>
  <si>
    <t xml:space="preserve">Csnub</t>
  </si>
  <si>
    <t xml:space="preserve">Rsnub</t>
  </si>
  <si>
    <t xml:space="preserve">R1</t>
  </si>
  <si>
    <t xml:space="preserve">mOhms</t>
  </si>
  <si>
    <t xml:space="preserve">Ohms</t>
  </si>
  <si>
    <t xml:space="preserve">C1</t>
  </si>
  <si>
    <t xml:space="preserve">R2</t>
  </si>
  <si>
    <t xml:space="preserve">C2</t>
  </si>
  <si>
    <t xml:space="preserve">I1 </t>
  </si>
  <si>
    <t xml:space="preserve">I2 </t>
  </si>
</sst>
</file>

<file path=xl/styles.xml><?xml version="1.0" encoding="utf-8"?>
<styleSheet xmlns="http://schemas.openxmlformats.org/spreadsheetml/2006/main">
  <numFmts count="38">
    <numFmt numFmtId="164" formatCode="General"/>
    <numFmt numFmtId="165" formatCode="_(* #,##0.00_);_(* \(#,##0.00\);_(* \-??_);_(@_)"/>
    <numFmt numFmtId="166" formatCode="0"/>
    <numFmt numFmtId="167" formatCode="0.0"/>
    <numFmt numFmtId="168" formatCode="0.00"/>
    <numFmt numFmtId="169" formatCode="0.000"/>
    <numFmt numFmtId="170" formatCode="0.00000000"/>
    <numFmt numFmtId="171" formatCode="0.0000"/>
    <numFmt numFmtId="172" formatCode="#0.0#"/>
    <numFmt numFmtId="173" formatCode="@"/>
    <numFmt numFmtId="174" formatCode="General&quot;µF&quot;"/>
    <numFmt numFmtId="175" formatCode="&quot;Capacitor, Ceramic, &quot;General&quot;-µF, 50V, X7R, 20%&quot;"/>
    <numFmt numFmtId="176" formatCode="General&quot;nF&quot;"/>
    <numFmt numFmtId="177" formatCode="&quot;Capacitor, Ceramic, &quot;General&quot;-nF, 16V, X7R, 10%&quot;"/>
    <numFmt numFmtId="178" formatCode="General&quot;pF&quot;"/>
    <numFmt numFmtId="179" formatCode="&quot;Capacitor, Ceramic, &quot;General&quot;-pF, 50V, NP0, 5%&quot;"/>
    <numFmt numFmtId="180" formatCode="&quot;Capacitor, Ceramic, &quot;General&quot;-pF, 16V, X7R, 10%&quot;"/>
    <numFmt numFmtId="181" formatCode="&quot;Capacitor, Ceramic, &quot;General&quot;-µF, 25V, X5R, 20%&quot;"/>
    <numFmt numFmtId="182" formatCode="&quot;Capacitor, Ceramic, &quot;General&quot;-µF, 25V, X7R, 20%&quot;"/>
    <numFmt numFmtId="183" formatCode="&quot;Capacitor, Ceramic, &quot;General&quot;-µF, 100V, X7R, 20%&quot;"/>
    <numFmt numFmtId="184" formatCode="General&quot;µH&quot;"/>
    <numFmt numFmtId="185" formatCode="&quot;Inductor, &quot;General&quot;-µH, 10%&quot;"/>
    <numFmt numFmtId="186" formatCode="&quot;MOSFET, N-CH, 60V, &quot;General&quot;mΩ&quot;"/>
    <numFmt numFmtId="187" formatCode="General\k"/>
    <numFmt numFmtId="188" formatCode="&quot;Resistor, Chip, &quot;General&quot;-kΩ, 1/16W, 1%&quot;"/>
    <numFmt numFmtId="189" formatCode="General\m"/>
    <numFmt numFmtId="190" formatCode="&quot;Resistor, Chip, &quot;General&quot;-mΩ, 2W, 1%&quot;"/>
    <numFmt numFmtId="191" formatCode="&quot;Resistor, Chip, &quot;General&quot;-Ω, 1/16W, 1%&quot;"/>
    <numFmt numFmtId="192" formatCode="0.00E+00"/>
    <numFmt numFmtId="193" formatCode="0.0E+00"/>
    <numFmt numFmtId="194" formatCode="0.000E+00"/>
    <numFmt numFmtId="195" formatCode="0.0%"/>
    <numFmt numFmtId="196" formatCode="#,##0"/>
    <numFmt numFmtId="197" formatCode="0.E+00"/>
    <numFmt numFmtId="198" formatCode="0.00000"/>
    <numFmt numFmtId="199" formatCode="0.00%"/>
    <numFmt numFmtId="200" formatCode="0%"/>
    <numFmt numFmtId="201" formatCode="0.000000"/>
  </numFmts>
  <fonts count="144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theme="10"/>
      <name val="Calibri"/>
      <family val="2"/>
      <charset val="1"/>
    </font>
    <font>
      <sz val="10"/>
      <name val="Arial"/>
      <family val="2"/>
      <charset val="1"/>
    </font>
    <font>
      <sz val="11"/>
      <color theme="1"/>
      <name val="Calibri"/>
      <family val="2"/>
      <charset val="1"/>
    </font>
    <font>
      <sz val="10"/>
      <name val="Calibri"/>
      <family val="2"/>
      <charset val="1"/>
    </font>
    <font>
      <sz val="32"/>
      <color theme="0"/>
      <name val="Arial"/>
      <family val="2"/>
      <charset val="1"/>
    </font>
    <font>
      <b val="true"/>
      <sz val="22"/>
      <color rgb="FFFFFFFF"/>
      <name val="Calibri"/>
      <family val="2"/>
      <charset val="1"/>
    </font>
    <font>
      <u val="single"/>
      <sz val="10"/>
      <color rgb="FF0000FF"/>
      <name val="Arial"/>
      <family val="2"/>
      <charset val="1"/>
    </font>
    <font>
      <b val="true"/>
      <sz val="12"/>
      <color rgb="FFFFFFFF"/>
      <name val="Calibri"/>
      <family val="2"/>
      <charset val="1"/>
    </font>
    <font>
      <u val="single"/>
      <sz val="10"/>
      <color theme="0" tint="-0.5"/>
      <name val="Arial"/>
      <family val="2"/>
      <charset val="1"/>
    </font>
    <font>
      <b val="true"/>
      <sz val="12"/>
      <color rgb="FF003366"/>
      <name val="Calibri"/>
      <family val="2"/>
      <charset val="1"/>
    </font>
    <font>
      <b val="true"/>
      <sz val="10"/>
      <color rgb="FFFFFFFF"/>
      <name val="Calibri"/>
      <family val="2"/>
      <charset val="1"/>
    </font>
    <font>
      <sz val="10"/>
      <color rgb="FF003366"/>
      <name val="Calibri"/>
      <family val="2"/>
      <charset val="1"/>
    </font>
    <font>
      <b val="true"/>
      <sz val="14"/>
      <color rgb="FFFFFFFF"/>
      <name val="Calibri"/>
      <family val="2"/>
      <charset val="1"/>
    </font>
    <font>
      <b val="true"/>
      <sz val="10"/>
      <color rgb="FFFFFF00"/>
      <name val="Calibri"/>
      <family val="2"/>
      <charset val="1"/>
    </font>
    <font>
      <b val="true"/>
      <sz val="12"/>
      <color rgb="FF0000FF"/>
      <name val="Arial"/>
      <family val="2"/>
      <charset val="1"/>
    </font>
    <font>
      <b val="true"/>
      <i val="true"/>
      <sz val="14"/>
      <color rgb="FF0000FF"/>
      <name val="Calibri"/>
      <family val="2"/>
      <charset val="1"/>
    </font>
    <font>
      <b val="true"/>
      <sz val="10"/>
      <name val="Calibri"/>
      <family val="2"/>
      <charset val="1"/>
    </font>
    <font>
      <sz val="10"/>
      <color rgb="FF969696"/>
      <name val="Calibri"/>
      <family val="2"/>
      <charset val="1"/>
    </font>
    <font>
      <b val="true"/>
      <sz val="10"/>
      <color theme="1"/>
      <name val="Arial"/>
      <family val="2"/>
      <charset val="1"/>
    </font>
    <font>
      <b val="true"/>
      <vertAlign val="subscript"/>
      <sz val="10"/>
      <color theme="1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969696"/>
      <name val="Arial"/>
      <family val="2"/>
      <charset val="1"/>
    </font>
    <font>
      <vertAlign val="subscript"/>
      <sz val="10"/>
      <name val="Arial"/>
      <family val="2"/>
      <charset val="1"/>
    </font>
    <font>
      <i val="true"/>
      <sz val="10"/>
      <name val="Arial"/>
      <family val="2"/>
      <charset val="1"/>
    </font>
    <font>
      <sz val="10"/>
      <color rgb="FF808080"/>
      <name val="Arial"/>
      <family val="2"/>
      <charset val="1"/>
    </font>
    <font>
      <b val="true"/>
      <i val="true"/>
      <sz val="14"/>
      <color rgb="FF0000FF"/>
      <name val="Arial"/>
      <family val="2"/>
      <charset val="1"/>
    </font>
    <font>
      <sz val="10"/>
      <color theme="1"/>
      <name val="Arial"/>
      <family val="2"/>
      <charset val="1"/>
    </font>
    <font>
      <sz val="10"/>
      <name val="Symbol"/>
      <family val="1"/>
      <charset val="2"/>
    </font>
    <font>
      <vertAlign val="subscript"/>
      <sz val="10"/>
      <color theme="1"/>
      <name val="Arial"/>
      <family val="2"/>
      <charset val="1"/>
    </font>
    <font>
      <b val="true"/>
      <i val="true"/>
      <sz val="10"/>
      <color rgb="FF969696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color rgb="FF808080"/>
      <name val="Calibri"/>
      <family val="2"/>
      <charset val="1"/>
    </font>
    <font>
      <b val="true"/>
      <sz val="11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FF"/>
      <name val="Arial"/>
      <family val="2"/>
      <charset val="1"/>
    </font>
    <font>
      <b val="true"/>
      <sz val="10"/>
      <color rgb="FF0000FF"/>
      <name val="Arial"/>
      <family val="2"/>
      <charset val="1"/>
    </font>
    <font>
      <sz val="10"/>
      <color rgb="FF0000FF"/>
      <name val="Calibri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2"/>
      <name val="Arial"/>
      <family val="2"/>
      <charset val="1"/>
    </font>
    <font>
      <sz val="12"/>
      <name val="Calibri"/>
      <family val="2"/>
      <charset val="1"/>
    </font>
    <font>
      <b val="true"/>
      <i val="true"/>
      <u val="single"/>
      <sz val="10"/>
      <color rgb="FF0000FF"/>
      <name val="Arial"/>
      <family val="2"/>
      <charset val="1"/>
    </font>
    <font>
      <b val="true"/>
      <vertAlign val="subscript"/>
      <sz val="10"/>
      <color rgb="FF0000FF"/>
      <name val="Arial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b val="true"/>
      <sz val="9"/>
      <color rgb="FF000000"/>
      <name val="Tahoma"/>
      <family val="2"/>
      <charset val="1"/>
    </font>
    <font>
      <u val="single"/>
      <sz val="9"/>
      <color rgb="FF0000FF"/>
      <name val="Tahoma"/>
      <family val="2"/>
      <charset val="1"/>
    </font>
    <font>
      <b val="true"/>
      <sz val="9"/>
      <color rgb="FFFF00FF"/>
      <name val="Tahoma"/>
      <family val="2"/>
      <charset val="1"/>
    </font>
    <font>
      <b val="true"/>
      <sz val="9"/>
      <color rgb="FF0000FF"/>
      <name val="Tahoma"/>
      <family val="2"/>
      <charset val="1"/>
    </font>
    <font>
      <b val="true"/>
      <sz val="9"/>
      <color rgb="FFFF0000"/>
      <name val="Tahoma"/>
      <family val="2"/>
      <charset val="1"/>
    </font>
    <font>
      <b val="true"/>
      <vertAlign val="subscript"/>
      <sz val="10"/>
      <color rgb="FF000000"/>
      <name val="Tahoma"/>
      <family val="2"/>
      <charset val="1"/>
    </font>
    <font>
      <b val="true"/>
      <sz val="10"/>
      <color rgb="FF000000"/>
      <name val="Tahoma"/>
      <family val="2"/>
      <charset val="1"/>
    </font>
    <font>
      <sz val="10"/>
      <color rgb="FF000000"/>
      <name val="Tahoma"/>
      <family val="2"/>
      <charset val="1"/>
    </font>
    <font>
      <vertAlign val="subscript"/>
      <sz val="10"/>
      <color rgb="FF000000"/>
      <name val="Tahoma"/>
      <family val="2"/>
      <charset val="1"/>
    </font>
    <font>
      <sz val="10"/>
      <color rgb="FF000000"/>
      <name val="Calibri"/>
      <family val="2"/>
      <charset val="1"/>
    </font>
    <font>
      <b val="true"/>
      <vertAlign val="subscript"/>
      <sz val="9"/>
      <color rgb="FF000000"/>
      <name val="Tahoma"/>
      <family val="2"/>
      <charset val="1"/>
    </font>
    <font>
      <b val="true"/>
      <vertAlign val="subscript"/>
      <sz val="9"/>
      <color rgb="FFFF0000"/>
      <name val="Tahoma"/>
      <family val="2"/>
      <charset val="1"/>
    </font>
    <font>
      <vertAlign val="subscript"/>
      <sz val="9"/>
      <color rgb="FF000000"/>
      <name val="Tahoma"/>
      <family val="2"/>
      <charset val="1"/>
    </font>
    <font>
      <sz val="11"/>
      <color rgb="FF000000"/>
      <name val="Tahoma"/>
      <family val="2"/>
      <charset val="1"/>
    </font>
    <font>
      <u val="single"/>
      <sz val="9"/>
      <color rgb="FF000000"/>
      <name val="Tahoma"/>
      <family val="2"/>
      <charset val="1"/>
    </font>
    <font>
      <sz val="9"/>
      <color rgb="FF0000FF"/>
      <name val="Tahoma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8"/>
      <color rgb="FFFF0000"/>
      <name val="Tahoma"/>
      <family val="2"/>
      <charset val="1"/>
    </font>
    <font>
      <sz val="9"/>
      <color rgb="FF000000"/>
      <name val="Arial"/>
      <family val="2"/>
    </font>
    <font>
      <b val="true"/>
      <sz val="20"/>
      <color rgb="FF000000"/>
      <name val="Arial"/>
      <family val="2"/>
    </font>
    <font>
      <b val="true"/>
      <vertAlign val="subscript"/>
      <sz val="20"/>
      <color rgb="FF000000"/>
      <name val="Arial"/>
      <family val="2"/>
    </font>
    <font>
      <b val="true"/>
      <sz val="11"/>
      <color rgb="FF000000"/>
      <name val="Arial"/>
      <family val="2"/>
    </font>
    <font>
      <b val="true"/>
      <sz val="12"/>
      <color rgb="FF000000"/>
      <name val="Arial"/>
      <family val="2"/>
    </font>
    <font>
      <b val="true"/>
      <sz val="11"/>
      <color rgb="FFFF0000"/>
      <name val="Arial"/>
      <family val="2"/>
    </font>
    <font>
      <b val="true"/>
      <sz val="12"/>
      <color rgb="FFFF0000"/>
      <name val="Arial"/>
      <family val="2"/>
    </font>
    <font>
      <b val="true"/>
      <sz val="10"/>
      <color rgb="FF000000"/>
      <name val="Arial"/>
      <family val="2"/>
    </font>
    <font>
      <b val="true"/>
      <sz val="10.5"/>
      <color rgb="FF002060"/>
      <name val="Arial"/>
      <family val="2"/>
    </font>
    <font>
      <b val="true"/>
      <sz val="12"/>
      <color rgb="FF002060"/>
      <name val="Arial"/>
      <family val="2"/>
    </font>
    <font>
      <b val="true"/>
      <sz val="11"/>
      <color rgb="FFFF0000"/>
      <name val="Arial"/>
      <family val="0"/>
    </font>
    <font>
      <b val="true"/>
      <sz val="11"/>
      <color rgb="FF002060"/>
      <name val="Arial"/>
      <family val="0"/>
    </font>
    <font>
      <sz val="10"/>
      <color rgb="FF000000"/>
      <name val="Arial"/>
      <family val="0"/>
    </font>
    <font>
      <b val="true"/>
      <sz val="11"/>
      <color rgb="FF000000"/>
      <name val="Calibri"/>
      <family val="0"/>
    </font>
    <font>
      <b val="true"/>
      <sz val="9"/>
      <color rgb="FF000000"/>
      <name val="Arial"/>
      <family val="0"/>
      <charset val="1"/>
    </font>
    <font>
      <b val="true"/>
      <sz val="16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u val="single"/>
      <sz val="10"/>
      <name val="Arial"/>
      <family val="2"/>
      <charset val="1"/>
    </font>
    <font>
      <vertAlign val="superscript"/>
      <sz val="10"/>
      <name val="Arial"/>
      <family val="2"/>
      <charset val="1"/>
    </font>
    <font>
      <b val="true"/>
      <sz val="12"/>
      <color rgb="FFFF0000"/>
      <name val="Arial"/>
      <family val="2"/>
    </font>
    <font>
      <sz val="10"/>
      <color rgb="FF000000"/>
      <name val="Arialri"/>
      <family val="0"/>
    </font>
    <font>
      <sz val="10"/>
      <color rgb="FF000000"/>
      <name val="Arial"/>
      <family val="2"/>
    </font>
    <font>
      <vertAlign val="subscript"/>
      <sz val="10"/>
      <color rgb="FF000000"/>
      <name val="Arial"/>
      <family val="2"/>
    </font>
    <font>
      <sz val="10"/>
      <name val="Arial"/>
      <family val="2"/>
    </font>
    <font>
      <b val="true"/>
      <sz val="12"/>
      <color rgb="FFFF0000"/>
      <name val="Arial"/>
      <family val="0"/>
    </font>
    <font>
      <b val="true"/>
      <sz val="20"/>
      <color rgb="FFFF0000"/>
      <name val="Calibri"/>
      <family val="0"/>
    </font>
    <font>
      <sz val="11"/>
      <color theme="1"/>
      <name val="Arial"/>
      <family val="2"/>
      <charset val="1"/>
    </font>
    <font>
      <b val="true"/>
      <u val="single"/>
      <sz val="10"/>
      <color theme="10"/>
      <name val="Arial"/>
      <family val="2"/>
      <charset val="1"/>
    </font>
    <font>
      <b val="true"/>
      <sz val="10"/>
      <color theme="0"/>
      <name val="Arial"/>
      <family val="2"/>
      <charset val="1"/>
    </font>
    <font>
      <b val="true"/>
      <u val="single"/>
      <sz val="11"/>
      <color theme="10"/>
      <name val="Arial"/>
      <family val="2"/>
      <charset val="1"/>
    </font>
    <font>
      <sz val="16"/>
      <color theme="1"/>
      <name val="Arial Black"/>
      <family val="2"/>
    </font>
    <font>
      <sz val="11"/>
      <color theme="1"/>
      <name val="Arial"/>
      <family val="2"/>
    </font>
    <font>
      <b val="true"/>
      <sz val="18"/>
      <color rgb="FF000000"/>
      <name val="Calibri"/>
      <family val="0"/>
    </font>
    <font>
      <sz val="10"/>
      <color rgb="FF000000"/>
      <name val="Calibri"/>
      <family val="0"/>
    </font>
    <font>
      <sz val="10.5"/>
      <color rgb="FF000000"/>
      <name val="Calibri"/>
      <family val="0"/>
    </font>
    <font>
      <sz val="9"/>
      <color rgb="FF000000"/>
      <name val="Calibri"/>
      <family val="0"/>
    </font>
    <font>
      <b val="true"/>
      <sz val="11"/>
      <color theme="1"/>
      <name val="Calibri"/>
      <family val="0"/>
    </font>
    <font>
      <sz val="11"/>
      <color theme="1"/>
      <name val="Calibri"/>
      <family val="0"/>
    </font>
    <font>
      <sz val="8"/>
      <color theme="1"/>
      <name val="Arial"/>
      <family val="2"/>
    </font>
    <font>
      <sz val="36"/>
      <color rgb="FFFF0000"/>
      <name val="Arial"/>
      <family val="2"/>
      <charset val="1"/>
    </font>
    <font>
      <sz val="16"/>
      <color theme="0"/>
      <name val="Arial"/>
      <family val="2"/>
      <charset val="1"/>
    </font>
    <font>
      <b val="true"/>
      <sz val="22"/>
      <color rgb="FF99CCFF"/>
      <name val="Arial"/>
      <family val="2"/>
      <charset val="1"/>
    </font>
    <font>
      <sz val="10"/>
      <color theme="0"/>
      <name val="Arial"/>
      <family val="2"/>
      <charset val="1"/>
    </font>
    <font>
      <b val="true"/>
      <sz val="10"/>
      <color rgb="FFC00000"/>
      <name val="Arial"/>
      <family val="2"/>
      <charset val="1"/>
    </font>
    <font>
      <sz val="10"/>
      <color rgb="FFFF0000"/>
      <name val="Arial"/>
      <family val="2"/>
      <charset val="1"/>
    </font>
    <font>
      <vertAlign val="subscript"/>
      <sz val="10"/>
      <color rgb="FFFF0000"/>
      <name val="Arial"/>
      <family val="2"/>
      <charset val="1"/>
    </font>
    <font>
      <b val="true"/>
      <sz val="10"/>
      <name val="Symbol"/>
      <family val="1"/>
      <charset val="2"/>
    </font>
    <font>
      <b val="true"/>
      <sz val="10"/>
      <color rgb="FFFF00FF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sz val="12"/>
      <color rgb="FF3366FF"/>
      <name val="Arial"/>
      <family val="2"/>
      <charset val="1"/>
    </font>
    <font>
      <b val="true"/>
      <u val="single"/>
      <sz val="10"/>
      <color rgb="FFFF0000"/>
      <name val="Arial"/>
      <family val="2"/>
      <charset val="1"/>
    </font>
    <font>
      <b val="true"/>
      <sz val="10"/>
      <color rgb="FF000000"/>
      <name val="Arialri"/>
      <family val="0"/>
    </font>
    <font>
      <b val="true"/>
      <sz val="11"/>
      <color rgb="FF0000FF"/>
      <name val="Arial"/>
      <family val="2"/>
    </font>
    <font>
      <b val="true"/>
      <sz val="13"/>
      <color rgb="FF0000FF"/>
      <name val="Arial"/>
      <family val="2"/>
    </font>
    <font>
      <b val="true"/>
      <sz val="13"/>
      <color rgb="FFFF0000"/>
      <name val="Arial"/>
      <family val="2"/>
    </font>
    <font>
      <sz val="12"/>
      <color rgb="FF000000"/>
      <name val="Arial"/>
      <family val="2"/>
    </font>
    <font>
      <sz val="8.5"/>
      <color rgb="FF000000"/>
      <name val="Arial"/>
      <family val="2"/>
    </font>
    <font>
      <b val="true"/>
      <sz val="14"/>
      <color rgb="FF000000"/>
      <name val="Arial"/>
      <family val="2"/>
    </font>
    <font>
      <b val="true"/>
      <sz val="28"/>
      <color rgb="FF99CCFF"/>
      <name val="Arial"/>
      <family val="2"/>
      <charset val="1"/>
    </font>
    <font>
      <b val="true"/>
      <sz val="10"/>
      <color rgb="FF99CCFF"/>
      <name val="Arial"/>
      <family val="2"/>
      <charset val="1"/>
    </font>
    <font>
      <b val="true"/>
      <sz val="24"/>
      <color rgb="FF99CCFF"/>
      <name val="Arial"/>
      <family val="2"/>
      <charset val="1"/>
    </font>
    <font>
      <sz val="10"/>
      <color rgb="FF99CCFF"/>
      <name val="Arial"/>
      <family val="2"/>
      <charset val="1"/>
    </font>
    <font>
      <b val="true"/>
      <sz val="9.25"/>
      <color rgb="FF000000"/>
      <name val="Arial"/>
      <family val="2"/>
    </font>
    <font>
      <sz val="7.8"/>
      <color rgb="FF000000"/>
      <name val="Arial"/>
      <family val="2"/>
    </font>
    <font>
      <b val="true"/>
      <sz val="9.75"/>
      <color rgb="FF000000"/>
      <name val="Arial"/>
      <family val="2"/>
    </font>
    <font>
      <sz val="8.2"/>
      <color rgb="FF000000"/>
      <name val="Arial"/>
      <family val="2"/>
    </font>
    <font>
      <b val="true"/>
      <sz val="16"/>
      <color rgb="FF000000"/>
      <name val="Arial"/>
      <family val="2"/>
    </font>
    <font>
      <b val="true"/>
      <sz val="10.25"/>
      <color rgb="FF000000"/>
      <name val="Arial"/>
      <family val="2"/>
    </font>
    <font>
      <sz val="10.5"/>
      <color rgb="FF000000"/>
      <name val="Arial"/>
      <family val="2"/>
    </font>
    <font>
      <sz val="9.25"/>
      <color rgb="FF000000"/>
      <name val="Arial"/>
      <family val="2"/>
    </font>
    <font>
      <b val="true"/>
      <sz val="10.5"/>
      <color rgb="FF0000FF"/>
      <name val="Arial"/>
      <family val="2"/>
    </font>
    <font>
      <b val="true"/>
      <sz val="12"/>
      <color rgb="FF0000FF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rgb="FF0000FF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FF0000"/>
        <bgColor rgb="FFDE0000"/>
      </patternFill>
    </fill>
    <fill>
      <patternFill patternType="solid">
        <fgColor theme="0" tint="-0.5"/>
        <bgColor rgb="FF878787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003366"/>
        <bgColor rgb="FF002060"/>
      </patternFill>
    </fill>
    <fill>
      <patternFill patternType="solid">
        <fgColor rgb="FFFFFF99"/>
        <bgColor rgb="FFFFFFCC"/>
      </patternFill>
    </fill>
    <fill>
      <patternFill patternType="solid">
        <fgColor rgb="FFDE0000"/>
        <bgColor rgb="FFC00000"/>
      </patternFill>
    </fill>
    <fill>
      <patternFill patternType="solid">
        <fgColor rgb="FFC0C0C0"/>
        <bgColor rgb="FFB7B7B7"/>
      </patternFill>
    </fill>
    <fill>
      <patternFill patternType="solid">
        <fgColor rgb="FFFF9900"/>
        <bgColor rgb="FFFF6600"/>
      </patternFill>
    </fill>
    <fill>
      <patternFill patternType="solid">
        <fgColor rgb="FF99CC00"/>
        <bgColor rgb="FF92D050"/>
      </patternFill>
    </fill>
    <fill>
      <patternFill patternType="solid">
        <fgColor rgb="FF99CCFF"/>
        <bgColor rgb="FF9AB4E4"/>
      </patternFill>
    </fill>
    <fill>
      <patternFill patternType="solid">
        <fgColor rgb="FFCC99FF"/>
        <bgColor rgb="FFFF99CC"/>
      </patternFill>
    </fill>
    <fill>
      <patternFill patternType="solid">
        <fgColor rgb="FFFFCC99"/>
        <bgColor rgb="FFD9D9D9"/>
      </patternFill>
    </fill>
    <fill>
      <patternFill patternType="solid">
        <fgColor rgb="FFFFFFCC"/>
        <bgColor rgb="FFFFFFFF"/>
      </patternFill>
    </fill>
    <fill>
      <patternFill patternType="solid">
        <fgColor rgb="FF969696"/>
        <bgColor rgb="FF878787"/>
      </patternFill>
    </fill>
    <fill>
      <patternFill patternType="solid">
        <fgColor rgb="FFFF99CC"/>
        <bgColor rgb="FFCC99FF"/>
      </patternFill>
    </fill>
    <fill>
      <patternFill patternType="solid">
        <fgColor rgb="FFCCFFCC"/>
        <bgColor rgb="FFCCFFFF"/>
      </patternFill>
    </fill>
    <fill>
      <patternFill patternType="solid">
        <fgColor rgb="FFCCFFFF"/>
        <bgColor rgb="FFCCFFCC"/>
      </patternFill>
    </fill>
  </fills>
  <borders count="60">
    <border diagonalUp="false" diagonalDown="false">
      <left/>
      <right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>
        <color theme="0" tint="-0.35"/>
      </left>
      <right/>
      <top style="thin">
        <color theme="0" tint="-0.35"/>
      </top>
      <bottom style="thin">
        <color theme="0" tint="-0.35"/>
      </bottom>
      <diagonal/>
    </border>
    <border diagonalUp="false" diagonalDown="false">
      <left/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>
        <color rgb="FF969696"/>
      </left>
      <right/>
      <top/>
      <bottom/>
      <diagonal/>
    </border>
    <border diagonalUp="false" diagonalDown="false">
      <left style="medium">
        <color rgb="FF969696"/>
      </left>
      <right/>
      <top style="medium">
        <color rgb="FF969696"/>
      </top>
      <bottom/>
      <diagonal/>
    </border>
    <border diagonalUp="false" diagonalDown="false">
      <left/>
      <right/>
      <top style="medium">
        <color rgb="FF969696"/>
      </top>
      <bottom/>
      <diagonal/>
    </border>
    <border diagonalUp="false" diagonalDown="false">
      <left/>
      <right style="medium">
        <color rgb="FF969696"/>
      </right>
      <top style="medium">
        <color rgb="FF969696"/>
      </top>
      <bottom/>
      <diagonal/>
    </border>
    <border diagonalUp="false" diagonalDown="false">
      <left/>
      <right style="medium">
        <color rgb="FF969696"/>
      </right>
      <top/>
      <bottom/>
      <diagonal/>
    </border>
    <border diagonalUp="false" diagonalDown="false">
      <left style="medium">
        <color rgb="FF969696"/>
      </left>
      <right/>
      <top/>
      <bottom style="medium">
        <color rgb="FF969696"/>
      </bottom>
      <diagonal/>
    </border>
    <border diagonalUp="false" diagonalDown="false">
      <left/>
      <right/>
      <top/>
      <bottom style="medium">
        <color rgb="FF969696"/>
      </bottom>
      <diagonal/>
    </border>
    <border diagonalUp="false" diagonalDown="false">
      <left/>
      <right style="medium">
        <color rgb="FF969696"/>
      </right>
      <top/>
      <bottom style="medium">
        <color rgb="FF969696"/>
      </bottom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7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8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4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4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4" borderId="0" xfId="20" applyFont="true" applyBorder="true" applyAlignment="true" applyProtection="true">
      <alignment horizontal="general" vertical="bottom" textRotation="0" wrapText="false" indent="0" shrinkToFit="false"/>
      <protection locked="false" hidden="true"/>
    </xf>
    <xf numFmtId="164" fontId="11" fillId="4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4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0" xfId="2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4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5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4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4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4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4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0" fillId="4" borderId="0" xfId="20" applyFont="true" applyBorder="true" applyAlignment="true" applyProtection="true">
      <alignment horizontal="left" vertical="center" textRotation="0" wrapText="false" indent="0" shrinkToFit="false"/>
      <protection locked="false" hidden="true"/>
    </xf>
    <xf numFmtId="164" fontId="16" fillId="4" borderId="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6" fillId="4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4" fillId="4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7" fillId="4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8" fillId="6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1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6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7" fillId="6" borderId="0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7" fillId="6" borderId="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6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2" fillId="6" borderId="6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4" fillId="5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4" fillId="6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2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4" fillId="5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4" fillId="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4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6" fontId="24" fillId="5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5" fillId="6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6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6" borderId="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7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8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9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24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6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30" fillId="6" borderId="6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6" borderId="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2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4" fillId="5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4" fillId="6" borderId="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6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6" fontId="5" fillId="6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6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6" fontId="5" fillId="6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2" fillId="6" borderId="6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4" fillId="5" borderId="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4" fillId="6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5" borderId="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4" fillId="6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5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0" fillId="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4" fillId="5" borderId="0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5" fillId="6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5" fillId="6" borderId="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6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3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4" fillId="6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6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6" borderId="6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24" fillId="5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4" fillId="6" borderId="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6" borderId="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4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24" fillId="5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7" fontId="5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5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6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8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24" fillId="5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4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7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6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24" fillId="6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4" fillId="6" borderId="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0" fontId="7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4" fillId="6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4" fillId="5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1" fontId="7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4" fillId="5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5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4" fillId="5" borderId="0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7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35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4" fillId="6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5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6" fontId="28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9" fillId="6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6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7" fillId="4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7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5" fillId="6" borderId="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22" fillId="5" borderId="0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22" fillId="5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24" fillId="6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6" fontId="24" fillId="6" borderId="0" xfId="0" applyFont="true" applyBorder="true" applyAlignment="true" applyProtection="true">
      <alignment horizontal="right" vertical="center" textRotation="0" wrapText="false" indent="0" shrinkToFit="false"/>
      <protection locked="true" hidden="true"/>
    </xf>
    <xf numFmtId="164" fontId="24" fillId="6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5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36" fillId="6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37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38" fillId="6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38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38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39" fillId="6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0" fillId="6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40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40" fillId="6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0" fillId="6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1" fillId="6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1" fillId="6" borderId="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41" fillId="4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41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1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5" fillId="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6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2" fillId="5" borderId="6" xfId="0" applyFont="true" applyBorder="true" applyAlignment="true" applyProtection="true">
      <alignment horizontal="right" vertical="bottom" textRotation="0" wrapText="false" indent="0" shrinkToFit="false"/>
      <protection locked="false" hidden="true"/>
    </xf>
    <xf numFmtId="164" fontId="42" fillId="6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5" fillId="6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6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24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4" fillId="6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5" fillId="6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2" fillId="5" borderId="0" xfId="0" applyFont="true" applyBorder="true" applyAlignment="true" applyProtection="true">
      <alignment horizontal="right" vertical="bottom" textRotation="0" wrapText="false" indent="0" shrinkToFit="false"/>
      <protection locked="false" hidden="true"/>
    </xf>
    <xf numFmtId="164" fontId="42" fillId="6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5" fillId="6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6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4" fillId="6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5" fillId="6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6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2" fillId="5" borderId="4" xfId="0" applyFont="true" applyBorder="true" applyAlignment="true" applyProtection="true">
      <alignment horizontal="right" vertical="bottom" textRotation="0" wrapText="false" indent="0" shrinkToFit="false"/>
      <protection locked="false" hidden="true"/>
    </xf>
    <xf numFmtId="164" fontId="42" fillId="6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5" fillId="6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6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6" borderId="0" xfId="0" applyFont="true" applyBorder="true" applyAlignment="false" applyProtection="true">
      <alignment horizontal="general" vertical="bottom" textRotation="0" wrapText="false" indent="0" shrinkToFit="false"/>
      <protection locked="false" hidden="true"/>
    </xf>
    <xf numFmtId="164" fontId="43" fillId="7" borderId="9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3" fillId="7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4" fillId="7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5" fillId="7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5" fillId="7" borderId="1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45" fillId="4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45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18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2" fillId="6" borderId="1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4" fillId="5" borderId="1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6" fillId="6" borderId="6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37" fillId="6" borderId="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6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5" fillId="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24" fillId="5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4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4" fillId="6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4" fillId="6" borderId="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4" fillId="5" borderId="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6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6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right" vertical="top" textRotation="0" wrapText="false" indent="0" shrinkToFit="false" readingOrder="1"/>
      <protection locked="true" hidden="false"/>
    </xf>
    <xf numFmtId="164" fontId="5" fillId="6" borderId="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24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7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6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0" fillId="6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7" fillId="6" borderId="6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7" fillId="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4" fillId="5" borderId="0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24" fillId="5" borderId="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7" fillId="6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6" borderId="8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4" fillId="4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4" fillId="4" borderId="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4" borderId="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7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5" fillId="6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4" fillId="6" borderId="0" xfId="2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5" fillId="2" borderId="14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5" fillId="2" borderId="15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5" fillId="2" borderId="15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6" borderId="16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17" xfId="23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4" fontId="5" fillId="6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" fillId="6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6" borderId="19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5" fillId="6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6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6" borderId="0" xfId="2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3" fontId="5" fillId="6" borderId="0" xfId="2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8" borderId="16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8" borderId="17" xfId="23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6" fontId="5" fillId="8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" fillId="8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8" borderId="19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8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5" fillId="8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" fillId="8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5" fillId="6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5" fillId="6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5" fillId="8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" fillId="8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1" fontId="5" fillId="8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2" fontId="5" fillId="6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3" fontId="5" fillId="6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6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5" fillId="6" borderId="18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4" fontId="5" fillId="8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5" fontId="5" fillId="8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6" fontId="5" fillId="6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7" fontId="5" fillId="8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8" fontId="5" fillId="8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9" fontId="5" fillId="8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90" fontId="5" fillId="8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7" fontId="5" fillId="6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8" fontId="5" fillId="6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6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91" fontId="5" fillId="6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4" fillId="6" borderId="16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6" borderId="17" xfId="23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37" fillId="6" borderId="17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6" borderId="17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6" fillId="6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5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5" fillId="0" borderId="0" xfId="25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5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5" fillId="0" borderId="0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5" fillId="9" borderId="0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25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30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6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6" fillId="0" borderId="0" xfId="2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5" fillId="0" borderId="0" xfId="25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30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5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7" fillId="2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7" fillId="2" borderId="0" xfId="2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0" fillId="0" borderId="0" xfId="2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0" fillId="0" borderId="0" xfId="25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8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5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8" fillId="6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1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37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1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30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3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11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2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2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38" fillId="11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24" fillId="11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38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38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4" fontId="38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38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0" fillId="1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5" fontId="5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38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1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1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24" fillId="1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4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4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6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97" fontId="5" fillId="1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11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3" fontId="24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7" fillId="11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3" fontId="5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24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3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7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7" fillId="1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5" fillId="11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8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7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117" fillId="11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9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92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93" fontId="117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7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17" fillId="1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7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17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7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17" fillId="11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7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3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93" fontId="0" fillId="1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4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10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11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12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3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2" fontId="0" fillId="11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4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38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3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3" fontId="5" fillId="1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3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2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3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3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2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1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7" fontId="0" fillId="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2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24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38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38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8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0" fillId="1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9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7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99" fontId="1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8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2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71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1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94" fontId="24" fillId="1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24" fillId="1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1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24" fillId="1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1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10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1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1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9" fillId="2" borderId="3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13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3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4" fillId="13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3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4" fillId="13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4" fillId="13" borderId="3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24" fillId="13" borderId="3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24" fillId="13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24" fillId="13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4" borderId="3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94" fontId="24" fillId="13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4" borderId="3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24" fillId="13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3" borderId="3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4" borderId="3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24" fillId="14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7" fillId="5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3" borderId="3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3" borderId="3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3" borderId="4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4" borderId="4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5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3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24" fillId="15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7" fillId="13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115" fillId="1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1" fontId="24" fillId="1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71" fontId="24" fillId="16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17" borderId="1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17" borderId="4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17" borderId="4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17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9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4" fillId="17" borderId="4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17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8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8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1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4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4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4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17" borderId="3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1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4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4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17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13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7" fillId="1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17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3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17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17" borderId="4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17" fillId="1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7" fillId="1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1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4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6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7" fillId="14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28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3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5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6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5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6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8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8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9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5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18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6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92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9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5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8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9" borderId="52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9" borderId="5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9" borderId="16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9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19" borderId="17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9" borderId="19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38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5" fillId="0" borderId="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8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3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5" fillId="0" borderId="0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0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6" fillId="10" borderId="29" xfId="23" applyFont="true" applyBorder="true" applyAlignment="true" applyProtection="false">
      <alignment horizontal="center" vertical="top" textRotation="0" wrapText="false" indent="0" shrinkToFit="true"/>
      <protection locked="true" hidden="false"/>
    </xf>
    <xf numFmtId="164" fontId="36" fillId="10" borderId="28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6" fillId="10" borderId="28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10" borderId="28" xfId="23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0" borderId="1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51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53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5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0" borderId="54" xfId="2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8" fillId="0" borderId="32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34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3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32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34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38" fillId="0" borderId="3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16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5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55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5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57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45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58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44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201" fontId="5" fillId="0" borderId="57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201" fontId="5" fillId="0" borderId="58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57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45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58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1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51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53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17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51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3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201" fontId="5" fillId="0" borderId="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59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0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0" xfId="23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5" fillId="0" borderId="1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18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201" fontId="5" fillId="0" borderId="51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0" xfId="23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3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5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32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36" xfId="2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1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9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omma 2" xfId="21"/>
    <cellStyle name="Hyperlink 2" xfId="22"/>
    <cellStyle name="Normal 2" xfId="23"/>
    <cellStyle name="Normal 3" xfId="24"/>
    <cellStyle name="Normal 4" xfId="25"/>
    <cellStyle name="*unknown*" xfId="20" builtinId="8"/>
  </cellStyles>
  <dxfs count="16">
    <dxf>
      <font>
        <color rgb="FFFFFFFF"/>
      </font>
    </dxf>
    <dxf>
      <font>
        <b val="1"/>
        <i val="0"/>
        <color rgb="FFC00000"/>
      </font>
    </dxf>
    <dxf>
      <font>
        <color rgb="FFFFFFFF"/>
      </font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1"/>
        <i val="0"/>
        <color rgb="FFFF0000"/>
      </font>
    </dxf>
    <dxf>
      <font>
        <b val="1"/>
        <i val="0"/>
        <color rgb="FFFF0000"/>
      </font>
    </dxf>
    <dxf>
      <font>
        <b val="1"/>
        <i val="0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808080"/>
      <rgbColor rgb="FF9AB4E4"/>
      <rgbColor rgb="FF993366"/>
      <rgbColor rgb="FFFFFFCC"/>
      <rgbColor rgb="FFCCFFFF"/>
      <rgbColor rgb="FF660066"/>
      <rgbColor rgb="FFA6A6A6"/>
      <rgbColor rgb="FF0066CC"/>
      <rgbColor rgb="FFD9D9D9"/>
      <rgbColor rgb="FF002060"/>
      <rgbColor rgb="FFFF00FF"/>
      <rgbColor rgb="FFFFFF00"/>
      <rgbColor rgb="FF00FFFF"/>
      <rgbColor rgb="FF800080"/>
      <rgbColor rgb="FFDE0000"/>
      <rgbColor rgb="FF008080"/>
      <rgbColor rgb="FF0000FF"/>
      <rgbColor rgb="FF00CCFF"/>
      <rgbColor rgb="FFE0E8F5"/>
      <rgbColor rgb="FFCCFFCC"/>
      <rgbColor rgb="FFFFFF99"/>
      <rgbColor rgb="FF99CCFF"/>
      <rgbColor rgb="FFFF99CC"/>
      <rgbColor rgb="FFCC99FF"/>
      <rgbColor rgb="FFFFCC99"/>
      <rgbColor rgb="FF3366FF"/>
      <rgbColor rgb="FFB7B7B7"/>
      <rgbColor rgb="FF99CC00"/>
      <rgbColor rgb="FF92D050"/>
      <rgbColor rgb="FFFF9900"/>
      <rgbColor rgb="FFFF6600"/>
      <rgbColor rgb="FF878787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externalLink" Target="externalLinks/externalLink1.xml"/><Relationship Id="rId18" Type="http://schemas.openxmlformats.org/officeDocument/2006/relationships/sharedStrings" Target="sharedStrings.xml"/>
</Relationships>
</file>

<file path=xl/charts/_rels/chart1.xml.rels><?xml version="1.0" encoding="UTF-8"?>
<Relationships xmlns="http://schemas.openxmlformats.org/package/2006/relationships"><Relationship Id="rId1" Type="http://schemas.openxmlformats.org/officeDocument/2006/relationships/chartUserShapes" Target="../drawings/drawing2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Bode Plot, V</a:t>
            </a:r>
            <a:r>
              <a:rPr b="1" lang="en-US" sz="2000" strike="noStrike" u="none" baseline="-25000">
                <a:solidFill>
                  <a:srgbClr val="000000"/>
                </a:solidFill>
                <a:uFillTx/>
                <a:latin typeface="Arial"/>
                <a:ea typeface="Calibri"/>
              </a:rPr>
              <a:t>IN</a:t>
            </a: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 = </a:t>
            </a: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V</a:t>
            </a:r>
            <a:r>
              <a:rPr b="1" lang="en-US" sz="2000" strike="noStrike" u="none" baseline="-25000">
                <a:solidFill>
                  <a:srgbClr val="000000"/>
                </a:solidFill>
                <a:uFillTx/>
                <a:latin typeface="Arial"/>
                <a:ea typeface="Calibri"/>
              </a:rPr>
              <a:t>IN(nom)</a:t>
            </a:r>
          </a:p>
        </c:rich>
      </c:tx>
      <c:layout>
        <c:manualLayout>
          <c:xMode val="edge"/>
          <c:yMode val="edge"/>
          <c:x val="0.0803765387400434"/>
          <c:y val="0.0206896551724138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68554441861351"/>
          <c:y val="0.112621359223301"/>
          <c:w val="0.829261785891231"/>
          <c:h val="0.761968530297958"/>
        </c:manualLayout>
      </c:layout>
      <c:scatterChart>
        <c:scatterStyle val="lineMarker"/>
        <c:varyColors val="0"/>
        <c:ser>
          <c:idx val="0"/>
          <c:order val="0"/>
          <c:tx>
            <c:strRef>
              <c:f>"Loop Gain"</c:f>
              <c:strCache>
                <c:ptCount val="1"/>
                <c:pt idx="0">
                  <c:v>Loop Gain</c:v>
                </c:pt>
              </c:strCache>
            </c:strRef>
          </c:tx>
          <c:spPr>
            <a:solidFill>
              <a:srgbClr val="ff0000"/>
            </a:solidFill>
            <a:ln w="3168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16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1.2023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</c:v>
                </c:pt>
                <c:pt idx="9">
                  <c:v>2.2909</c:v>
                </c:pt>
                <c:pt idx="10">
                  <c:v>2.5119</c:v>
                </c:pt>
                <c:pt idx="11">
                  <c:v>2.7542</c:v>
                </c:pt>
                <c:pt idx="12">
                  <c:v>3.02</c:v>
                </c:pt>
                <c:pt idx="13">
                  <c:v>3.3113</c:v>
                </c:pt>
                <c:pt idx="14">
                  <c:v>3.6308</c:v>
                </c:pt>
                <c:pt idx="15">
                  <c:v>3.9811</c:v>
                </c:pt>
                <c:pt idx="16">
                  <c:v>4.3652</c:v>
                </c:pt>
                <c:pt idx="17">
                  <c:v>4.7863</c:v>
                </c:pt>
                <c:pt idx="18">
                  <c:v>5.2481</c:v>
                </c:pt>
                <c:pt idx="19">
                  <c:v>5.7544</c:v>
                </c:pt>
                <c:pt idx="20">
                  <c:v>6.3096</c:v>
                </c:pt>
                <c:pt idx="21">
                  <c:v>6.9183</c:v>
                </c:pt>
                <c:pt idx="22">
                  <c:v>7.5858</c:v>
                </c:pt>
                <c:pt idx="23">
                  <c:v>8.3176</c:v>
                </c:pt>
                <c:pt idx="24">
                  <c:v>9.1201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</c:v>
                </c:pt>
                <c:pt idx="34">
                  <c:v>22.909</c:v>
                </c:pt>
                <c:pt idx="35">
                  <c:v>25.119</c:v>
                </c:pt>
                <c:pt idx="36">
                  <c:v>27.542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</c:v>
                </c:pt>
                <c:pt idx="42">
                  <c:v>47.863</c:v>
                </c:pt>
                <c:pt idx="43">
                  <c:v>52.481</c:v>
                </c:pt>
                <c:pt idx="44">
                  <c:v>57.544</c:v>
                </c:pt>
                <c:pt idx="45">
                  <c:v>63.096</c:v>
                </c:pt>
                <c:pt idx="46">
                  <c:v>69.183</c:v>
                </c:pt>
                <c:pt idx="47">
                  <c:v>75.858</c:v>
                </c:pt>
                <c:pt idx="48">
                  <c:v>83.176</c:v>
                </c:pt>
                <c:pt idx="49">
                  <c:v>91.201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524.81</c:v>
                </c:pt>
                <c:pt idx="69">
                  <c:v>575.44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</c:v>
                </c:pt>
                <c:pt idx="132">
                  <c:v>8270.275</c:v>
                </c:pt>
                <c:pt idx="133">
                  <c:v>8317.6</c:v>
                </c:pt>
                <c:pt idx="134">
                  <c:v>8366.05</c:v>
                </c:pt>
                <c:pt idx="135">
                  <c:v>8414.5</c:v>
                </c:pt>
                <c:pt idx="136">
                  <c:v>8462.95</c:v>
                </c:pt>
                <c:pt idx="137">
                  <c:v>8511.4</c:v>
                </c:pt>
                <c:pt idx="138">
                  <c:v>8560.95</c:v>
                </c:pt>
                <c:pt idx="139">
                  <c:v>8610.5</c:v>
                </c:pt>
                <c:pt idx="140">
                  <c:v>8660.05</c:v>
                </c:pt>
                <c:pt idx="141">
                  <c:v>8709.6</c:v>
                </c:pt>
                <c:pt idx="142">
                  <c:v>8760.325</c:v>
                </c:pt>
                <c:pt idx="143">
                  <c:v>8811.05</c:v>
                </c:pt>
                <c:pt idx="144">
                  <c:v>8861.775</c:v>
                </c:pt>
                <c:pt idx="145">
                  <c:v>8912.5</c:v>
                </c:pt>
                <c:pt idx="146">
                  <c:v>8964.4</c:v>
                </c:pt>
                <c:pt idx="147">
                  <c:v>9016.3</c:v>
                </c:pt>
                <c:pt idx="148">
                  <c:v>9068.2</c:v>
                </c:pt>
                <c:pt idx="149">
                  <c:v>9120.1</c:v>
                </c:pt>
                <c:pt idx="150">
                  <c:v>9173.2</c:v>
                </c:pt>
                <c:pt idx="151">
                  <c:v>9226.3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</c:v>
                </c:pt>
                <c:pt idx="156">
                  <c:v>9495.55</c:v>
                </c:pt>
                <c:pt idx="157">
                  <c:v>9549.9</c:v>
                </c:pt>
                <c:pt idx="158">
                  <c:v>9605.525</c:v>
                </c:pt>
                <c:pt idx="159">
                  <c:v>9661.15</c:v>
                </c:pt>
                <c:pt idx="160">
                  <c:v>9716.775</c:v>
                </c:pt>
                <c:pt idx="161">
                  <c:v>9772.4</c:v>
                </c:pt>
                <c:pt idx="162">
                  <c:v>9829.3</c:v>
                </c:pt>
                <c:pt idx="163">
                  <c:v>9886.2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Calculations'!$Q$13:$Q$613</c:f>
              <c:numCache>
                <c:formatCode>0.00</c:formatCode>
                <c:ptCount val="601"/>
                <c:pt idx="0">
                  <c:v>76.5584559401544</c:v>
                </c:pt>
                <c:pt idx="1">
                  <c:v>75.7986052868869</c:v>
                </c:pt>
                <c:pt idx="2">
                  <c:v>75.0323418972871</c:v>
                </c:pt>
                <c:pt idx="3">
                  <c:v>74.2606439332132</c:v>
                </c:pt>
                <c:pt idx="4">
                  <c:v>73.4848578756764</c:v>
                </c:pt>
                <c:pt idx="5">
                  <c:v>72.7044046948292</c:v>
                </c:pt>
                <c:pt idx="6">
                  <c:v>71.9209956059011</c:v>
                </c:pt>
                <c:pt idx="7">
                  <c:v>71.1346284967273</c:v>
                </c:pt>
                <c:pt idx="8">
                  <c:v>70.3463105133635</c:v>
                </c:pt>
                <c:pt idx="9">
                  <c:v>69.5558102308604</c:v>
                </c:pt>
                <c:pt idx="10">
                  <c:v>68.7638886812502</c:v>
                </c:pt>
                <c:pt idx="11">
                  <c:v>67.9706912441672</c:v>
                </c:pt>
                <c:pt idx="12">
                  <c:v>67.1760133784362</c:v>
                </c:pt>
                <c:pt idx="13">
                  <c:v>66.3807991592942</c:v>
                </c:pt>
                <c:pt idx="14">
                  <c:v>65.5845650869447</c:v>
                </c:pt>
                <c:pt idx="15">
                  <c:v>64.7877432242319</c:v>
                </c:pt>
                <c:pt idx="16">
                  <c:v>63.9903744912988</c:v>
                </c:pt>
                <c:pt idx="17">
                  <c:v>63.1926597453818</c:v>
                </c:pt>
                <c:pt idx="18">
                  <c:v>62.3944397475215</c:v>
                </c:pt>
                <c:pt idx="19">
                  <c:v>61.5959887025828</c:v>
                </c:pt>
                <c:pt idx="20">
                  <c:v>60.7971964325638</c:v>
                </c:pt>
                <c:pt idx="21">
                  <c:v>59.9982658383238</c:v>
                </c:pt>
                <c:pt idx="22">
                  <c:v>59.1990586691931</c:v>
                </c:pt>
                <c:pt idx="23">
                  <c:v>58.3997987666028</c:v>
                </c:pt>
                <c:pt idx="24">
                  <c:v>57.6003035020372</c:v>
                </c:pt>
                <c:pt idx="25">
                  <c:v>56.8007128982819</c:v>
                </c:pt>
                <c:pt idx="26">
                  <c:v>56.0008530818238</c:v>
                </c:pt>
                <c:pt idx="27">
                  <c:v>55.2009877950758</c:v>
                </c:pt>
                <c:pt idx="28">
                  <c:v>54.4010921396914</c:v>
                </c:pt>
                <c:pt idx="29">
                  <c:v>53.60166664599</c:v>
                </c:pt>
                <c:pt idx="30">
                  <c:v>52.8013606217626</c:v>
                </c:pt>
                <c:pt idx="31">
                  <c:v>52.0012911296169</c:v>
                </c:pt>
                <c:pt idx="32">
                  <c:v>51.2009119583653</c:v>
                </c:pt>
                <c:pt idx="33">
                  <c:v>50.4007874878738</c:v>
                </c:pt>
                <c:pt idx="34">
                  <c:v>49.6002920820541</c:v>
                </c:pt>
                <c:pt idx="35">
                  <c:v>48.7998646454968</c:v>
                </c:pt>
                <c:pt idx="36">
                  <c:v>47.9993676233288</c:v>
                </c:pt>
                <c:pt idx="37">
                  <c:v>47.198350694341</c:v>
                </c:pt>
                <c:pt idx="38">
                  <c:v>46.3975526401521</c:v>
                </c:pt>
                <c:pt idx="39">
                  <c:v>45.5962984341213</c:v>
                </c:pt>
                <c:pt idx="40">
                  <c:v>44.7948540334762</c:v>
                </c:pt>
                <c:pt idx="41">
                  <c:v>43.9931049421651</c:v>
                </c:pt>
                <c:pt idx="42">
                  <c:v>43.1911059057171</c:v>
                </c:pt>
                <c:pt idx="43">
                  <c:v>42.3885533260996</c:v>
                </c:pt>
                <c:pt idx="44">
                  <c:v>41.5855785534318</c:v>
                </c:pt>
                <c:pt idx="45">
                  <c:v>40.781921116938</c:v>
                </c:pt>
                <c:pt idx="46">
                  <c:v>39.9776257082688</c:v>
                </c:pt>
                <c:pt idx="47">
                  <c:v>39.1723792755934</c:v>
                </c:pt>
                <c:pt idx="48">
                  <c:v>38.3662143977372</c:v>
                </c:pt>
                <c:pt idx="49">
                  <c:v>37.5587298045443</c:v>
                </c:pt>
                <c:pt idx="50">
                  <c:v>36.7498205348335</c:v>
                </c:pt>
                <c:pt idx="51">
                  <c:v>35.9390296977639</c:v>
                </c:pt>
                <c:pt idx="52">
                  <c:v>35.1263044391964</c:v>
                </c:pt>
                <c:pt idx="53">
                  <c:v>34.3112561042626</c:v>
                </c:pt>
                <c:pt idx="54">
                  <c:v>33.4939862971308</c:v>
                </c:pt>
                <c:pt idx="55">
                  <c:v>32.6726514545495</c:v>
                </c:pt>
                <c:pt idx="56">
                  <c:v>31.8478839527643</c:v>
                </c:pt>
                <c:pt idx="57">
                  <c:v>31.0185638073325</c:v>
                </c:pt>
                <c:pt idx="58">
                  <c:v>30.1846820916483</c:v>
                </c:pt>
                <c:pt idx="59">
                  <c:v>29.344970073345</c:v>
                </c:pt>
                <c:pt idx="60">
                  <c:v>28.4992705306208</c:v>
                </c:pt>
                <c:pt idx="61">
                  <c:v>27.6468569934055</c:v>
                </c:pt>
                <c:pt idx="62">
                  <c:v>26.7867366040643</c:v>
                </c:pt>
                <c:pt idx="63">
                  <c:v>25.9193197480419</c:v>
                </c:pt>
                <c:pt idx="64">
                  <c:v>25.0436778572953</c:v>
                </c:pt>
                <c:pt idx="65">
                  <c:v>24.1601431776252</c:v>
                </c:pt>
                <c:pt idx="66">
                  <c:v>23.2689332228202</c:v>
                </c:pt>
                <c:pt idx="67">
                  <c:v>22.3707927493061</c:v>
                </c:pt>
                <c:pt idx="68">
                  <c:v>21.4664218210396</c:v>
                </c:pt>
                <c:pt idx="69">
                  <c:v>20.5573529658039</c:v>
                </c:pt>
                <c:pt idx="70">
                  <c:v>19.6449736767884</c:v>
                </c:pt>
                <c:pt idx="71">
                  <c:v>18.7312333047648</c:v>
                </c:pt>
                <c:pt idx="72">
                  <c:v>17.8177861169124</c:v>
                </c:pt>
                <c:pt idx="73">
                  <c:v>16.9066726202898</c:v>
                </c:pt>
                <c:pt idx="74">
                  <c:v>15.999324526971</c:v>
                </c:pt>
                <c:pt idx="75">
                  <c:v>15.0972978457002</c:v>
                </c:pt>
                <c:pt idx="76">
                  <c:v>14.2014831117895</c:v>
                </c:pt>
                <c:pt idx="77">
                  <c:v>13.3129166284037</c:v>
                </c:pt>
                <c:pt idx="78">
                  <c:v>12.4319636618703</c:v>
                </c:pt>
                <c:pt idx="79">
                  <c:v>11.5592440755101</c:v>
                </c:pt>
                <c:pt idx="80">
                  <c:v>10.6930928100768</c:v>
                </c:pt>
                <c:pt idx="81">
                  <c:v>9.83431498529833</c:v>
                </c:pt>
                <c:pt idx="82">
                  <c:v>8.98175149022868</c:v>
                </c:pt>
                <c:pt idx="83">
                  <c:v>8.13532122743209</c:v>
                </c:pt>
                <c:pt idx="84">
                  <c:v>7.29361336049226</c:v>
                </c:pt>
                <c:pt idx="85">
                  <c:v>6.45630759296323</c:v>
                </c:pt>
                <c:pt idx="86">
                  <c:v>5.62246319338728</c:v>
                </c:pt>
                <c:pt idx="87">
                  <c:v>4.79081836666564</c:v>
                </c:pt>
                <c:pt idx="88">
                  <c:v>3.96135159975439</c:v>
                </c:pt>
                <c:pt idx="89">
                  <c:v>3.13257932951012</c:v>
                </c:pt>
                <c:pt idx="90">
                  <c:v>2.30399209224178</c:v>
                </c:pt>
                <c:pt idx="91">
                  <c:v>1.47467568731508</c:v>
                </c:pt>
                <c:pt idx="92">
                  <c:v>0.643868372146423</c:v>
                </c:pt>
                <c:pt idx="93">
                  <c:v>-0.189599431645156</c:v>
                </c:pt>
                <c:pt idx="94">
                  <c:v>-0.398390085489096</c:v>
                </c:pt>
                <c:pt idx="95">
                  <c:v>-0.503519759486726</c:v>
                </c:pt>
                <c:pt idx="96">
                  <c:v>-0.607506586712535</c:v>
                </c:pt>
                <c:pt idx="97">
                  <c:v>-0.71274944845968</c:v>
                </c:pt>
                <c:pt idx="98">
                  <c:v>-0.816852441423823</c:v>
                </c:pt>
                <c:pt idx="99">
                  <c:v>-0.922243389371081</c:v>
                </c:pt>
                <c:pt idx="100">
                  <c:v>-1.02649686841699</c:v>
                </c:pt>
                <c:pt idx="101">
                  <c:v>-1.13198920425478</c:v>
                </c:pt>
                <c:pt idx="102">
                  <c:v>-1.23634764887076</c:v>
                </c:pt>
                <c:pt idx="103">
                  <c:v>-1.34205156727246</c:v>
                </c:pt>
                <c:pt idx="104">
                  <c:v>-1.44662300031501</c:v>
                </c:pt>
                <c:pt idx="105">
                  <c:v>-1.55248912021152</c:v>
                </c:pt>
                <c:pt idx="106">
                  <c:v>-1.65722540687052</c:v>
                </c:pt>
                <c:pt idx="107">
                  <c:v>-1.76320811784089</c:v>
                </c:pt>
                <c:pt idx="108">
                  <c:v>-1.86806480161864</c:v>
                </c:pt>
                <c:pt idx="109">
                  <c:v>-1.97419393383621</c:v>
                </c:pt>
                <c:pt idx="110">
                  <c:v>-2.07920039961138</c:v>
                </c:pt>
                <c:pt idx="111">
                  <c:v>-2.18557349455649</c:v>
                </c:pt>
                <c:pt idx="112">
                  <c:v>-2.29082543235082</c:v>
                </c:pt>
                <c:pt idx="113">
                  <c:v>-2.39739395161963</c:v>
                </c:pt>
                <c:pt idx="114">
                  <c:v>-2.50284404934418</c:v>
                </c:pt>
                <c:pt idx="115">
                  <c:v>-2.60963061551937</c:v>
                </c:pt>
                <c:pt idx="116">
                  <c:v>-2.71530122998836</c:v>
                </c:pt>
                <c:pt idx="117">
                  <c:v>-2.82232639825049</c:v>
                </c:pt>
                <c:pt idx="118">
                  <c:v>-2.92823786944845</c:v>
                </c:pt>
                <c:pt idx="119">
                  <c:v>-3.03545561582407</c:v>
                </c:pt>
                <c:pt idx="120">
                  <c:v>-3.14156308124086</c:v>
                </c:pt>
                <c:pt idx="121">
                  <c:v>-3.24899430994147</c:v>
                </c:pt>
                <c:pt idx="122">
                  <c:v>-3.35531844733584</c:v>
                </c:pt>
                <c:pt idx="123">
                  <c:v>-3.46304432354066</c:v>
                </c:pt>
                <c:pt idx="124">
                  <c:v>-3.56966484964175</c:v>
                </c:pt>
                <c:pt idx="125">
                  <c:v>-3.67763825400849</c:v>
                </c:pt>
                <c:pt idx="126">
                  <c:v>-3.78450922969313</c:v>
                </c:pt>
                <c:pt idx="127">
                  <c:v>-3.89274620652695</c:v>
                </c:pt>
                <c:pt idx="128">
                  <c:v>-3.99988356139524</c:v>
                </c:pt>
                <c:pt idx="129">
                  <c:v>-4.10839876422533</c:v>
                </c:pt>
                <c:pt idx="130">
                  <c:v>-4.21581706713894</c:v>
                </c:pt>
                <c:pt idx="131">
                  <c:v>-4.32462387485816</c:v>
                </c:pt>
                <c:pt idx="132">
                  <c:v>-4.37861529344584</c:v>
                </c:pt>
                <c:pt idx="133">
                  <c:v>-4.43233644633174</c:v>
                </c:pt>
                <c:pt idx="134">
                  <c:v>-4.48705803034746</c:v>
                </c:pt>
                <c:pt idx="135">
                  <c:v>-4.54150311561676</c:v>
                </c:pt>
                <c:pt idx="136">
                  <c:v>-4.59567503523115</c:v>
                </c:pt>
                <c:pt idx="137">
                  <c:v>-4.6495770628094</c:v>
                </c:pt>
                <c:pt idx="138">
                  <c:v>-4.70442706995323</c:v>
                </c:pt>
                <c:pt idx="139">
                  <c:v>-4.75900153188902</c:v>
                </c:pt>
                <c:pt idx="140">
                  <c:v>-4.81330376611477</c:v>
                </c:pt>
                <c:pt idx="141">
                  <c:v>-4.86733703088499</c:v>
                </c:pt>
                <c:pt idx="142">
                  <c:v>-4.9223763378087</c:v>
                </c:pt>
                <c:pt idx="143">
                  <c:v>-4.977140493505</c:v>
                </c:pt>
                <c:pt idx="144">
                  <c:v>-5.03163280944053</c:v>
                </c:pt>
                <c:pt idx="145">
                  <c:v>-5.08585653783205</c:v>
                </c:pt>
                <c:pt idx="146">
                  <c:v>-5.14106165056184</c:v>
                </c:pt>
                <c:pt idx="147">
                  <c:v>-5.19599229248234</c:v>
                </c:pt>
                <c:pt idx="148">
                  <c:v>-5.25065176329604</c:v>
                </c:pt>
                <c:pt idx="149">
                  <c:v>-5.30504330357659</c:v>
                </c:pt>
                <c:pt idx="150">
                  <c:v>-5.36041847627771</c:v>
                </c:pt>
                <c:pt idx="151">
                  <c:v>-5.41551986441898</c:v>
                </c:pt>
                <c:pt idx="152">
                  <c:v>-5.47035075519772</c:v>
                </c:pt>
                <c:pt idx="153">
                  <c:v>-5.52491437681227</c:v>
                </c:pt>
                <c:pt idx="154">
                  <c:v>-5.5804889809179</c:v>
                </c:pt>
                <c:pt idx="155">
                  <c:v>-5.63579024451427</c:v>
                </c:pt>
                <c:pt idx="156">
                  <c:v>-5.69082144593629</c:v>
                </c:pt>
                <c:pt idx="157">
                  <c:v>-5.74558580455385</c:v>
                </c:pt>
                <c:pt idx="158">
                  <c:v>-5.80136187673188</c:v>
                </c:pt>
                <c:pt idx="159">
                  <c:v>-5.85686507962266</c:v>
                </c:pt>
                <c:pt idx="160">
                  <c:v>-5.91209868143092</c:v>
                </c:pt>
                <c:pt idx="161">
                  <c:v>-5.96706589145161</c:v>
                </c:pt>
                <c:pt idx="162">
                  <c:v>-6.02302068869791</c:v>
                </c:pt>
                <c:pt idx="163">
                  <c:v>-6.07870335235862</c:v>
                </c:pt>
                <c:pt idx="164">
                  <c:v>-6.13411713492836</c:v>
                </c:pt>
                <c:pt idx="165">
                  <c:v>-6.18926523017225</c:v>
                </c:pt>
                <c:pt idx="166">
                  <c:v>-6.2454498166678</c:v>
                </c:pt>
                <c:pt idx="167">
                  <c:v>-6.3013625498534</c:v>
                </c:pt>
                <c:pt idx="168">
                  <c:v>-6.35700667373326</c:v>
                </c:pt>
                <c:pt idx="169">
                  <c:v>-6.41238537358044</c:v>
                </c:pt>
                <c:pt idx="170">
                  <c:v>-6.46868168079472</c:v>
                </c:pt>
                <c:pt idx="171">
                  <c:v>-6.52470758678419</c:v>
                </c:pt>
                <c:pt idx="172">
                  <c:v>-6.58046630520186</c:v>
                </c:pt>
                <c:pt idx="173">
                  <c:v>-6.63596099148621</c:v>
                </c:pt>
                <c:pt idx="174">
                  <c:v>-6.69258384641978</c:v>
                </c:pt>
                <c:pt idx="175">
                  <c:v>-6.74893572365123</c:v>
                </c:pt>
                <c:pt idx="176">
                  <c:v>-6.80501984149641</c:v>
                </c:pt>
                <c:pt idx="177">
                  <c:v>-6.86083935972146</c:v>
                </c:pt>
                <c:pt idx="178">
                  <c:v>-6.91776029357511</c:v>
                </c:pt>
                <c:pt idx="179">
                  <c:v>-6.97440998780889</c:v>
                </c:pt>
                <c:pt idx="180">
                  <c:v>-7.0307916585918</c:v>
                </c:pt>
                <c:pt idx="181">
                  <c:v>-7.08690846336253</c:v>
                </c:pt>
                <c:pt idx="182">
                  <c:v>-7.14387795395615</c:v>
                </c:pt>
                <c:pt idx="183">
                  <c:v>-7.20057833283624</c:v>
                </c:pt>
                <c:pt idx="184">
                  <c:v>-7.2570127705283</c:v>
                </c:pt>
                <c:pt idx="185">
                  <c:v>-7.31318437969589</c:v>
                </c:pt>
                <c:pt idx="186">
                  <c:v>-7.37062741656343</c:v>
                </c:pt>
                <c:pt idx="187">
                  <c:v>-7.42779947711413</c:v>
                </c:pt>
                <c:pt idx="188">
                  <c:v>-7.48470375536234</c:v>
                </c:pt>
                <c:pt idx="189">
                  <c:v>-7.54134338664215</c:v>
                </c:pt>
                <c:pt idx="190">
                  <c:v>-7.59879484254267</c:v>
                </c:pt>
                <c:pt idx="191">
                  <c:v>-7.65597784832228</c:v>
                </c:pt>
                <c:pt idx="192">
                  <c:v>-7.71289554284012</c:v>
                </c:pt>
                <c:pt idx="193">
                  <c:v>-7.76955100736827</c:v>
                </c:pt>
                <c:pt idx="194">
                  <c:v>-7.82742236075755</c:v>
                </c:pt>
                <c:pt idx="195">
                  <c:v>-7.88502394858445</c:v>
                </c:pt>
                <c:pt idx="196">
                  <c:v>-7.94235892043992</c:v>
                </c:pt>
                <c:pt idx="197">
                  <c:v>-7.99943036780827</c:v>
                </c:pt>
                <c:pt idx="198">
                  <c:v>-8.0574824690274</c:v>
                </c:pt>
                <c:pt idx="199">
                  <c:v>-8.11526572576992</c:v>
                </c:pt>
                <c:pt idx="200">
                  <c:v>-8.17278325772279</c:v>
                </c:pt>
                <c:pt idx="201">
                  <c:v>-8.23003812693793</c:v>
                </c:pt>
                <c:pt idx="202">
                  <c:v>-8.28825184535879</c:v>
                </c:pt>
                <c:pt idx="203">
                  <c:v>-8.34619780317125</c:v>
                </c:pt>
                <c:pt idx="204">
                  <c:v>-8.40387908590212</c:v>
                </c:pt>
                <c:pt idx="205">
                  <c:v>-8.46129872201968</c:v>
                </c:pt>
                <c:pt idx="206">
                  <c:v>-8.51985551053071</c:v>
                </c:pt>
                <c:pt idx="207">
                  <c:v>-8.57814394480674</c:v>
                </c:pt>
                <c:pt idx="208">
                  <c:v>-8.63616710350027</c:v>
                </c:pt>
                <c:pt idx="209">
                  <c:v>-8.69392800811092</c:v>
                </c:pt>
                <c:pt idx="210">
                  <c:v>-8.75299602561787</c:v>
                </c:pt>
                <c:pt idx="211">
                  <c:v>-8.81179355749495</c:v>
                </c:pt>
                <c:pt idx="212">
                  <c:v>-8.87032369990333</c:v>
                </c:pt>
                <c:pt idx="213">
                  <c:v>-8.9285894911513</c:v>
                </c:pt>
                <c:pt idx="214">
                  <c:v>-8.98774751057089</c:v>
                </c:pt>
                <c:pt idx="215">
                  <c:v>-9.04663674119016</c:v>
                </c:pt>
                <c:pt idx="216">
                  <c:v>-9.1052602293689</c:v>
                </c:pt>
                <c:pt idx="217">
                  <c:v>-9.16362096458596</c:v>
                </c:pt>
                <c:pt idx="218">
                  <c:v>-9.22304365047218</c:v>
                </c:pt>
                <c:pt idx="219">
                  <c:v>-9.28219761419097</c:v>
                </c:pt>
                <c:pt idx="220">
                  <c:v>-9.3410858783879</c:v>
                </c:pt>
                <c:pt idx="221">
                  <c:v>-9.39971140915914</c:v>
                </c:pt>
                <c:pt idx="222">
                  <c:v>-9.45937532512473</c:v>
                </c:pt>
                <c:pt idx="223">
                  <c:v>-9.51877075648627</c:v>
                </c:pt>
                <c:pt idx="224">
                  <c:v>-9.57790069749558</c:v>
                </c:pt>
                <c:pt idx="225">
                  <c:v>-9.6367680863118</c:v>
                </c:pt>
                <c:pt idx="226">
                  <c:v>-9.69683314298712</c:v>
                </c:pt>
                <c:pt idx="227">
                  <c:v>-9.75662847249235</c:v>
                </c:pt>
                <c:pt idx="228">
                  <c:v>-9.81615706338936</c:v>
                </c:pt>
                <c:pt idx="229">
                  <c:v>-9.87542184804843</c:v>
                </c:pt>
                <c:pt idx="230">
                  <c:v>-9.99602185857403</c:v>
                </c:pt>
                <c:pt idx="231">
                  <c:v>-10.0559187330371</c:v>
                </c:pt>
                <c:pt idx="232">
                  <c:v>-10.1155507666145</c:v>
                </c:pt>
                <c:pt idx="233">
                  <c:v>-10.1763270433234</c:v>
                </c:pt>
                <c:pt idx="234">
                  <c:v>-10.2368317761073</c:v>
                </c:pt>
                <c:pt idx="235">
                  <c:v>-10.2970679245391</c:v>
                </c:pt>
                <c:pt idx="236">
                  <c:v>-10.3570383922801</c:v>
                </c:pt>
                <c:pt idx="237">
                  <c:v>-10.4179547867834</c:v>
                </c:pt>
                <c:pt idx="238">
                  <c:v>-10.4786005446208</c:v>
                </c:pt>
                <c:pt idx="239">
                  <c:v>-10.5389785784407</c:v>
                </c:pt>
                <c:pt idx="240">
                  <c:v>-10.5990917459609</c:v>
                </c:pt>
                <c:pt idx="241">
                  <c:v>-10.6604697238245</c:v>
                </c:pt>
                <c:pt idx="242">
                  <c:v>-10.721575034658</c:v>
                </c:pt>
                <c:pt idx="243">
                  <c:v>-10.7824105896296</c:v>
                </c:pt>
                <c:pt idx="244">
                  <c:v>-10.8429792448395</c:v>
                </c:pt>
                <c:pt idx="245">
                  <c:v>-10.9046172217081</c:v>
                </c:pt>
                <c:pt idx="246">
                  <c:v>-10.9659822023853</c:v>
                </c:pt>
                <c:pt idx="247">
                  <c:v>-11.0270770673006</c:v>
                </c:pt>
                <c:pt idx="248">
                  <c:v>-11.0879046424378</c:v>
                </c:pt>
                <c:pt idx="249">
                  <c:v>-11.1499415669764</c:v>
                </c:pt>
                <c:pt idx="250">
                  <c:v>-11.2117038381429</c:v>
                </c:pt>
                <c:pt idx="251">
                  <c:v>-11.2731943246702</c:v>
                </c:pt>
                <c:pt idx="252">
                  <c:v>-11.3344158410173</c:v>
                </c:pt>
                <c:pt idx="253">
                  <c:v>-11.3966583513046</c:v>
                </c:pt>
                <c:pt idx="254">
                  <c:v>-11.458626150447</c:v>
                </c:pt>
                <c:pt idx="255">
                  <c:v>-11.520322068726</c:v>
                </c:pt>
                <c:pt idx="256">
                  <c:v>-11.5817488830265</c:v>
                </c:pt>
                <c:pt idx="257">
                  <c:v>-11.6444902695934</c:v>
                </c:pt>
                <c:pt idx="258">
                  <c:v>-11.706954182513</c:v>
                </c:pt>
                <c:pt idx="259">
                  <c:v>-11.7691434534993</c:v>
                </c:pt>
                <c:pt idx="260">
                  <c:v>-11.8310608607805</c:v>
                </c:pt>
                <c:pt idx="261">
                  <c:v>-11.8941071206364</c:v>
                </c:pt>
                <c:pt idx="262">
                  <c:v>-11.9568747312998</c:v>
                </c:pt>
                <c:pt idx="263">
                  <c:v>-12.0193664997179</c:v>
                </c:pt>
                <c:pt idx="264">
                  <c:v>-12.0815851799603</c:v>
                </c:pt>
                <c:pt idx="265">
                  <c:v>-12.1449070526623</c:v>
                </c:pt>
                <c:pt idx="266">
                  <c:v>-12.2079492212812</c:v>
                </c:pt>
                <c:pt idx="267">
                  <c:v>-12.2707144647578</c:v>
                </c:pt>
                <c:pt idx="268">
                  <c:v>-12.3332055098855</c:v>
                </c:pt>
                <c:pt idx="269">
                  <c:v>-12.396924583198</c:v>
                </c:pt>
                <c:pt idx="270">
                  <c:v>-12.4603616791862</c:v>
                </c:pt>
                <c:pt idx="271">
                  <c:v>-12.5235195654338</c:v>
                </c:pt>
                <c:pt idx="272">
                  <c:v>-12.5864009577388</c:v>
                </c:pt>
                <c:pt idx="273">
                  <c:v>-12.6504818310339</c:v>
                </c:pt>
                <c:pt idx="274">
                  <c:v>-12.7142786117583</c:v>
                </c:pt>
                <c:pt idx="275">
                  <c:v>-12.7777940523025</c:v>
                </c:pt>
                <c:pt idx="276">
                  <c:v>-12.8410308537772</c:v>
                </c:pt>
                <c:pt idx="277">
                  <c:v>-12.9052944039776</c:v>
                </c:pt>
                <c:pt idx="278">
                  <c:v>-12.9692731680688</c:v>
                </c:pt>
                <c:pt idx="279">
                  <c:v>-13.0329698617276</c:v>
                </c:pt>
                <c:pt idx="280">
                  <c:v>-13.0963871504396</c:v>
                </c:pt>
                <c:pt idx="281">
                  <c:v>-13.1612341768136</c:v>
                </c:pt>
                <c:pt idx="282">
                  <c:v>-13.2257919988793</c:v>
                </c:pt>
                <c:pt idx="283">
                  <c:v>-13.2900633476672</c:v>
                </c:pt>
                <c:pt idx="284">
                  <c:v>-13.3540509038804</c:v>
                </c:pt>
                <c:pt idx="285">
                  <c:v>-13.4190146076007</c:v>
                </c:pt>
                <c:pt idx="286">
                  <c:v>-13.4836886571944</c:v>
                </c:pt>
                <c:pt idx="287">
                  <c:v>-13.5480757421373</c:v>
                </c:pt>
                <c:pt idx="288">
                  <c:v>-13.6121785028904</c:v>
                </c:pt>
                <c:pt idx="289">
                  <c:v>-13.6776463616377</c:v>
                </c:pt>
                <c:pt idx="290">
                  <c:v>-13.7428204761999</c:v>
                </c:pt>
                <c:pt idx="291">
                  <c:v>-13.8077035446644</c:v>
                </c:pt>
                <c:pt idx="292">
                  <c:v>-13.8722982162572</c:v>
                </c:pt>
                <c:pt idx="293">
                  <c:v>-13.9380898640007</c:v>
                </c:pt>
                <c:pt idx="294">
                  <c:v>-14.0035850906658</c:v>
                </c:pt>
                <c:pt idx="295">
                  <c:v>-14.0687865827926</c:v>
                </c:pt>
                <c:pt idx="296">
                  <c:v>-14.1336969787638</c:v>
                </c:pt>
                <c:pt idx="297">
                  <c:v>-14.19977519015</c:v>
                </c:pt>
                <c:pt idx="298">
                  <c:v>-14.2655544381256</c:v>
                </c:pt>
                <c:pt idx="299">
                  <c:v>-14.3310373957626</c:v>
                </c:pt>
                <c:pt idx="300">
                  <c:v>-14.3962266887849</c:v>
                </c:pt>
                <c:pt idx="301">
                  <c:v>-14.4625551249289</c:v>
                </c:pt>
                <c:pt idx="302">
                  <c:v>-14.5285821806034</c:v>
                </c:pt>
                <c:pt idx="303">
                  <c:v>-14.5943105140009</c:v>
                </c:pt>
                <c:pt idx="304">
                  <c:v>-14.6597427368674</c:v>
                </c:pt>
                <c:pt idx="305">
                  <c:v>-14.726541253557</c:v>
                </c:pt>
                <c:pt idx="306">
                  <c:v>-14.7930337603021</c:v>
                </c:pt>
                <c:pt idx="307">
                  <c:v>-14.8592229298187</c:v>
                </c:pt>
                <c:pt idx="308">
                  <c:v>-14.9251113886596</c:v>
                </c:pt>
                <c:pt idx="309">
                  <c:v>-14.9920807012029</c:v>
                </c:pt>
                <c:pt idx="310">
                  <c:v>-15.0587418885107</c:v>
                </c:pt>
                <c:pt idx="311">
                  <c:v>-15.1250976054881</c:v>
                </c:pt>
                <c:pt idx="312">
                  <c:v>-15.1911504619644</c:v>
                </c:pt>
                <c:pt idx="313">
                  <c:v>-15.2585030148127</c:v>
                </c:pt>
                <c:pt idx="314">
                  <c:v>-15.3255431575901</c:v>
                </c:pt>
                <c:pt idx="315">
                  <c:v>-15.3922735563226</c:v>
                </c:pt>
                <c:pt idx="316">
                  <c:v>-15.4586968324521</c:v>
                </c:pt>
                <c:pt idx="317">
                  <c:v>-15.5263861286086</c:v>
                </c:pt>
                <c:pt idx="318">
                  <c:v>-15.5937589259735</c:v>
                </c:pt>
                <c:pt idx="319">
                  <c:v>-15.6608179000726</c:v>
                </c:pt>
                <c:pt idx="320">
                  <c:v>-15.7275656824398</c:v>
                </c:pt>
                <c:pt idx="321">
                  <c:v>-15.7955463076347</c:v>
                </c:pt>
                <c:pt idx="322">
                  <c:v>-15.8632065374595</c:v>
                </c:pt>
                <c:pt idx="323">
                  <c:v>-15.9305490557762</c:v>
                </c:pt>
                <c:pt idx="324">
                  <c:v>-15.997576503131</c:v>
                </c:pt>
                <c:pt idx="325">
                  <c:v>-16.0658041159165</c:v>
                </c:pt>
                <c:pt idx="326">
                  <c:v>-16.1337076264287</c:v>
                </c:pt>
                <c:pt idx="327">
                  <c:v>-16.2012897261167</c:v>
                </c:pt>
                <c:pt idx="328">
                  <c:v>-16.2685530638585</c:v>
                </c:pt>
                <c:pt idx="329">
                  <c:v>-16.3370985496125</c:v>
                </c:pt>
                <c:pt idx="330">
                  <c:v>-16.4053153227288</c:v>
                </c:pt>
                <c:pt idx="331">
                  <c:v>-16.4732060953182</c:v>
                </c:pt>
                <c:pt idx="332">
                  <c:v>-16.5407735374399</c:v>
                </c:pt>
                <c:pt idx="333">
                  <c:v>-16.6094761871544</c:v>
                </c:pt>
                <c:pt idx="334">
                  <c:v>-16.6778468250905</c:v>
                </c:pt>
                <c:pt idx="335">
                  <c:v>-16.7458881699824</c:v>
                </c:pt>
                <c:pt idx="336">
                  <c:v>-16.8136028993635</c:v>
                </c:pt>
                <c:pt idx="337">
                  <c:v>-16.8826413392016</c:v>
                </c:pt>
                <c:pt idx="338">
                  <c:v>-16.9513425184479</c:v>
                </c:pt>
                <c:pt idx="339">
                  <c:v>-17.0197091887541</c:v>
                </c:pt>
                <c:pt idx="340">
                  <c:v>-17.0877440609308</c:v>
                </c:pt>
                <c:pt idx="341">
                  <c:v>-17.1570655513867</c:v>
                </c:pt>
                <c:pt idx="342">
                  <c:v>-17.2260448037512</c:v>
                </c:pt>
                <c:pt idx="343">
                  <c:v>-17.2946846017815</c:v>
                </c:pt>
                <c:pt idx="344">
                  <c:v>-17.3629876888124</c:v>
                </c:pt>
                <c:pt idx="345">
                  <c:v>-17.4324352594139</c:v>
                </c:pt>
                <c:pt idx="346">
                  <c:v>-17.5015369400433</c:v>
                </c:pt>
                <c:pt idx="347">
                  <c:v>-17.5702955332812</c:v>
                </c:pt>
                <c:pt idx="348">
                  <c:v>-17.638713801986</c:v>
                </c:pt>
                <c:pt idx="349">
                  <c:v>-17.7084507796344</c:v>
                </c:pt>
                <c:pt idx="350">
                  <c:v>-17.7778363749027</c:v>
                </c:pt>
                <c:pt idx="351">
                  <c:v>-17.8468734346055</c:v>
                </c:pt>
                <c:pt idx="352">
                  <c:v>-17.9155647660784</c:v>
                </c:pt>
                <c:pt idx="353">
                  <c:v>-17.9855363228301</c:v>
                </c:pt>
                <c:pt idx="354">
                  <c:v>-18.055151324835</c:v>
                </c:pt>
                <c:pt idx="355">
                  <c:v>-18.1244126625068</c:v>
                </c:pt>
                <c:pt idx="356">
                  <c:v>-18.193323187057</c:v>
                </c:pt>
                <c:pt idx="357">
                  <c:v>-18.2633766785306</c:v>
                </c:pt>
                <c:pt idx="358">
                  <c:v>-18.3330697906615</c:v>
                </c:pt>
                <c:pt idx="359">
                  <c:v>-18.4024054445814</c:v>
                </c:pt>
                <c:pt idx="360">
                  <c:v>-18.4713865227353</c:v>
                </c:pt>
                <c:pt idx="361">
                  <c:v>-18.5416711378606</c:v>
                </c:pt>
                <c:pt idx="362">
                  <c:v>-18.6115898209459</c:v>
                </c:pt>
                <c:pt idx="363">
                  <c:v>-18.6811455484816</c:v>
                </c:pt>
                <c:pt idx="364">
                  <c:v>-18.7503412583522</c:v>
                </c:pt>
                <c:pt idx="365">
                  <c:v>-18.8207055630926</c:v>
                </c:pt>
                <c:pt idx="366">
                  <c:v>-18.8906997601112</c:v>
                </c:pt>
                <c:pt idx="367">
                  <c:v>-18.9603268683117</c:v>
                </c:pt>
                <c:pt idx="368">
                  <c:v>-19.0295898682903</c:v>
                </c:pt>
                <c:pt idx="369">
                  <c:v>-19.100172302665</c:v>
                </c:pt>
                <c:pt idx="370">
                  <c:v>-19.1703788148033</c:v>
                </c:pt>
                <c:pt idx="371">
                  <c:v>-19.2402124900418</c:v>
                </c:pt>
                <c:pt idx="372">
                  <c:v>-19.3096763752902</c:v>
                </c:pt>
                <c:pt idx="373">
                  <c:v>-19.3803271673353</c:v>
                </c:pt>
                <c:pt idx="374">
                  <c:v>-19.4505976308207</c:v>
                </c:pt>
                <c:pt idx="375">
                  <c:v>-19.520490904371</c:v>
                </c:pt>
                <c:pt idx="376">
                  <c:v>-19.5900100882656</c:v>
                </c:pt>
                <c:pt idx="377">
                  <c:v>-19.6608576270046</c:v>
                </c:pt>
                <c:pt idx="378">
                  <c:v>-19.7313188816292</c:v>
                </c:pt>
                <c:pt idx="379">
                  <c:v>-19.8013970675144</c:v>
                </c:pt>
                <c:pt idx="380">
                  <c:v>-19.871095361365</c:v>
                </c:pt>
                <c:pt idx="381">
                  <c:v>-19.9419045135406</c:v>
                </c:pt>
                <c:pt idx="382">
                  <c:v>-20.0123238292621</c:v>
                </c:pt>
                <c:pt idx="383">
                  <c:v>-20.0823565750802</c:v>
                </c:pt>
                <c:pt idx="384">
                  <c:v>-20.1520059789247</c:v>
                </c:pt>
                <c:pt idx="385">
                  <c:v>-20.2229871406748</c:v>
                </c:pt>
                <c:pt idx="386">
                  <c:v>-20.293572467086</c:v>
                </c:pt>
                <c:pt idx="387">
                  <c:v>-20.363765311059</c:v>
                </c:pt>
                <c:pt idx="388">
                  <c:v>-20.4335689863289</c:v>
                </c:pt>
                <c:pt idx="389">
                  <c:v>-20.5045771055325</c:v>
                </c:pt>
                <c:pt idx="390">
                  <c:v>-20.5751848617032</c:v>
                </c:pt>
                <c:pt idx="391">
                  <c:v>-20.6453956801373</c:v>
                </c:pt>
                <c:pt idx="392">
                  <c:v>-20.7152129465943</c:v>
                </c:pt>
                <c:pt idx="393">
                  <c:v>-20.7861947902226</c:v>
                </c:pt>
                <c:pt idx="394">
                  <c:v>-20.8567722415126</c:v>
                </c:pt>
                <c:pt idx="395">
                  <c:v>-20.9269487962832</c:v>
                </c:pt>
                <c:pt idx="396">
                  <c:v>-20.9967279104189</c:v>
                </c:pt>
                <c:pt idx="397">
                  <c:v>-21.0677926235037</c:v>
                </c:pt>
                <c:pt idx="398">
                  <c:v>-21.1384475783204</c:v>
                </c:pt>
                <c:pt idx="399">
                  <c:v>-21.2086963632199</c:v>
                </c:pt>
                <c:pt idx="400">
                  <c:v>-21.2785425258281</c:v>
                </c:pt>
                <c:pt idx="401">
                  <c:v>-21.3495526479489</c:v>
                </c:pt>
                <c:pt idx="402">
                  <c:v>-21.4201491413557</c:v>
                </c:pt>
                <c:pt idx="403">
                  <c:v>-21.4903356720997</c:v>
                </c:pt>
                <c:pt idx="404">
                  <c:v>-21.560115864878</c:v>
                </c:pt>
                <c:pt idx="405">
                  <c:v>-21.6310966426566</c:v>
                </c:pt>
                <c:pt idx="406">
                  <c:v>-21.7016595752032</c:v>
                </c:pt>
                <c:pt idx="407">
                  <c:v>-21.7718084154769</c:v>
                </c:pt>
                <c:pt idx="408">
                  <c:v>-21.8415468742448</c:v>
                </c:pt>
                <c:pt idx="409">
                  <c:v>-21.9125191235697</c:v>
                </c:pt>
                <c:pt idx="410">
                  <c:v>-21.9830690194538</c:v>
                </c:pt>
                <c:pt idx="411">
                  <c:v>-22.0532004104843</c:v>
                </c:pt>
                <c:pt idx="412">
                  <c:v>-22.1229171020148</c:v>
                </c:pt>
                <c:pt idx="413">
                  <c:v>-22.1938246796907</c:v>
                </c:pt>
                <c:pt idx="414">
                  <c:v>-22.2643060321618</c:v>
                </c:pt>
                <c:pt idx="415">
                  <c:v>-22.3343650997599</c:v>
                </c:pt>
                <c:pt idx="416">
                  <c:v>-22.4040057785219</c:v>
                </c:pt>
                <c:pt idx="417">
                  <c:v>-22.4748666804647</c:v>
                </c:pt>
                <c:pt idx="418">
                  <c:v>-22.5452972613378</c:v>
                </c:pt>
                <c:pt idx="419">
                  <c:v>-22.6153015610799</c:v>
                </c:pt>
                <c:pt idx="420">
                  <c:v>-22.6848835740734</c:v>
                </c:pt>
                <c:pt idx="421">
                  <c:v>-22.7555733333599</c:v>
                </c:pt>
                <c:pt idx="422">
                  <c:v>-22.8258302024185</c:v>
                </c:pt>
                <c:pt idx="423">
                  <c:v>-22.8956583038661</c:v>
                </c:pt>
                <c:pt idx="424">
                  <c:v>-22.9650617136694</c:v>
                </c:pt>
                <c:pt idx="425">
                  <c:v>-23.0357366031955</c:v>
                </c:pt>
                <c:pt idx="426">
                  <c:v>-23.1059741600622</c:v>
                </c:pt>
                <c:pt idx="427">
                  <c:v>-23.1757786208971</c:v>
                </c:pt>
                <c:pt idx="428">
                  <c:v>-23.2451541740227</c:v>
                </c:pt>
                <c:pt idx="429">
                  <c:v>-23.3156896269901</c:v>
                </c:pt>
                <c:pt idx="430">
                  <c:v>-23.3857848843032</c:v>
                </c:pt>
                <c:pt idx="431">
                  <c:v>-23.455444278481</c:v>
                </c:pt>
                <c:pt idx="432">
                  <c:v>-23.5246720922632</c:v>
                </c:pt>
                <c:pt idx="433">
                  <c:v>-23.5950181013308</c:v>
                </c:pt>
                <c:pt idx="434">
                  <c:v>-23.664921759997</c:v>
                </c:pt>
                <c:pt idx="435">
                  <c:v>-23.7343874904379</c:v>
                </c:pt>
                <c:pt idx="436">
                  <c:v>-23.8034196635769</c:v>
                </c:pt>
                <c:pt idx="437">
                  <c:v>-23.8736552917521</c:v>
                </c:pt>
                <c:pt idx="438">
                  <c:v>-23.9434455252839</c:v>
                </c:pt>
                <c:pt idx="439">
                  <c:v>-24.012794893568</c:v>
                </c:pt>
                <c:pt idx="440">
                  <c:v>-24.0817078729052</c:v>
                </c:pt>
                <c:pt idx="441">
                  <c:v>-24.1517806354555</c:v>
                </c:pt>
                <c:pt idx="442">
                  <c:v>-24.2214057373203</c:v>
                </c:pt>
                <c:pt idx="443">
                  <c:v>-24.2905878076002</c:v>
                </c:pt>
                <c:pt idx="444">
                  <c:v>-24.3593314204746</c:v>
                </c:pt>
                <c:pt idx="445">
                  <c:v>-24.4291926490066</c:v>
                </c:pt>
                <c:pt idx="446">
                  <c:v>-24.4986047167594</c:v>
                </c:pt>
                <c:pt idx="447">
                  <c:v>-24.5675723445851</c:v>
                </c:pt>
                <c:pt idx="448">
                  <c:v>-24.6361001966125</c:v>
                </c:pt>
                <c:pt idx="449">
                  <c:v>-24.7058213307638</c:v>
                </c:pt>
                <c:pt idx="450">
                  <c:v>-24.7750910525506</c:v>
                </c:pt>
                <c:pt idx="451">
                  <c:v>-24.8439141902827</c:v>
                </c:pt>
                <c:pt idx="452">
                  <c:v>-24.9122955133884</c:v>
                </c:pt>
                <c:pt idx="453">
                  <c:v>-24.9817698614218</c:v>
                </c:pt>
                <c:pt idx="454">
                  <c:v>-25.0507921070279</c:v>
                </c:pt>
                <c:pt idx="455">
                  <c:v>-25.1193671646572</c:v>
                </c:pt>
                <c:pt idx="456">
                  <c:v>-25.1874998879618</c:v>
                </c:pt>
                <c:pt idx="457">
                  <c:v>-25.2567963087523</c:v>
                </c:pt>
                <c:pt idx="458">
                  <c:v>-25.3256392542288</c:v>
                </c:pt>
                <c:pt idx="459">
                  <c:v>-25.394033739446</c:v>
                </c:pt>
                <c:pt idx="460">
                  <c:v>-25.4619847164006</c:v>
                </c:pt>
                <c:pt idx="461">
                  <c:v>-25.5310569465946</c:v>
                </c:pt>
                <c:pt idx="462">
                  <c:v>-25.5996751582211</c:v>
                </c:pt>
                <c:pt idx="463">
                  <c:v>-25.6678444565228</c:v>
                </c:pt>
                <c:pt idx="464">
                  <c:v>-25.7355698814904</c:v>
                </c:pt>
                <c:pt idx="465">
                  <c:v>-25.8044282127588</c:v>
                </c:pt>
                <c:pt idx="466">
                  <c:v>-25.8728320967057</c:v>
                </c:pt>
                <c:pt idx="467">
                  <c:v>-25.9407867298006</c:v>
                </c:pt>
                <c:pt idx="468">
                  <c:v>-26.0082972409424</c:v>
                </c:pt>
                <c:pt idx="469">
                  <c:v>-26.0768995769245</c:v>
                </c:pt>
                <c:pt idx="470">
                  <c:v>-26.1450478601819</c:v>
                </c:pt>
                <c:pt idx="471">
                  <c:v>-26.2127473669509</c:v>
                </c:pt>
                <c:pt idx="472">
                  <c:v>-26.2800033036716</c:v>
                </c:pt>
                <c:pt idx="473">
                  <c:v>-26.3484111318138</c:v>
                </c:pt>
                <c:pt idx="474">
                  <c:v>-26.4163647781525</c:v>
                </c:pt>
                <c:pt idx="475">
                  <c:v>-26.4838696102405</c:v>
                </c:pt>
                <c:pt idx="476">
                  <c:v>-26.5509309232991</c:v>
                </c:pt>
                <c:pt idx="477">
                  <c:v>-26.6191026419986</c:v>
                </c:pt>
                <c:pt idx="478">
                  <c:v>-26.6868209035829</c:v>
                </c:pt>
                <c:pt idx="479">
                  <c:v>-26.754091154115</c:v>
                </c:pt>
                <c:pt idx="480">
                  <c:v>-26.8209187649119</c:v>
                </c:pt>
                <c:pt idx="481">
                  <c:v>-26.8888171458228</c:v>
                </c:pt>
                <c:pt idx="482">
                  <c:v>-26.9562636111086</c:v>
                </c:pt>
                <c:pt idx="483">
                  <c:v>-27.0232636723035</c:v>
                </c:pt>
                <c:pt idx="484">
                  <c:v>-27.0898227639178</c:v>
                </c:pt>
                <c:pt idx="485">
                  <c:v>-27.1574607170564</c:v>
                </c:pt>
                <c:pt idx="486">
                  <c:v>-27.2246484635126</c:v>
                </c:pt>
                <c:pt idx="487">
                  <c:v>-27.2913915784162</c:v>
                </c:pt>
                <c:pt idx="488">
                  <c:v>-27.3576955575348</c:v>
                </c:pt>
                <c:pt idx="489">
                  <c:v>-27.4251299798175</c:v>
                </c:pt>
                <c:pt idx="490">
                  <c:v>-27.4921155006705</c:v>
                </c:pt>
                <c:pt idx="491">
                  <c:v>-27.5586577674173</c:v>
                </c:pt>
                <c:pt idx="492">
                  <c:v>-27.6247623454163</c:v>
                </c:pt>
                <c:pt idx="493">
                  <c:v>-27.6919578968649</c:v>
                </c:pt>
                <c:pt idx="494">
                  <c:v>-27.7587066844043</c:v>
                </c:pt>
                <c:pt idx="495">
                  <c:v>-27.8250144127476</c:v>
                </c:pt>
                <c:pt idx="496">
                  <c:v>-27.8908867022265</c:v>
                </c:pt>
                <c:pt idx="497">
                  <c:v>-27.9578548047074</c:v>
                </c:pt>
                <c:pt idx="498">
                  <c:v>-28.024378504069</c:v>
                </c:pt>
                <c:pt idx="499">
                  <c:v>-28.0904635584734</c:v>
                </c:pt>
                <c:pt idx="500">
                  <c:v>-28.1561156392689</c:v>
                </c:pt>
                <c:pt idx="501">
                  <c:v>-28.2228675017492</c:v>
                </c:pt>
                <c:pt idx="502">
                  <c:v>-28.2891775576543</c:v>
                </c:pt>
                <c:pt idx="503">
                  <c:v>-28.3550516140154</c:v>
                </c:pt>
                <c:pt idx="504">
                  <c:v>-28.4204953886177</c:v>
                </c:pt>
                <c:pt idx="505">
                  <c:v>-28.4870019445709</c:v>
                </c:pt>
                <c:pt idx="506">
                  <c:v>-28.5530700639031</c:v>
                </c:pt>
                <c:pt idx="507">
                  <c:v>-28.6187055867777</c:v>
                </c:pt>
                <c:pt idx="508">
                  <c:v>-28.6839142619182</c:v>
                </c:pt>
                <c:pt idx="509">
                  <c:v>-28.7501898080247</c:v>
                </c:pt>
                <c:pt idx="510">
                  <c:v>-28.8160304925369</c:v>
                </c:pt>
                <c:pt idx="511">
                  <c:v>-28.8814421835818</c:v>
                </c:pt>
                <c:pt idx="512">
                  <c:v>-28.9464306556847</c:v>
                </c:pt>
                <c:pt idx="513">
                  <c:v>-29.0125275938634</c:v>
                </c:pt>
                <c:pt idx="514">
                  <c:v>-29.078192958509</c:v>
                </c:pt>
                <c:pt idx="515">
                  <c:v>-29.1434326501992</c:v>
                </c:pt>
                <c:pt idx="516">
                  <c:v>-29.2082524735765</c:v>
                </c:pt>
                <c:pt idx="517">
                  <c:v>-29.2741450118744</c:v>
                </c:pt>
                <c:pt idx="518">
                  <c:v>-29.3396100006341</c:v>
                </c:pt>
                <c:pt idx="519">
                  <c:v>-29.4046533561628</c:v>
                </c:pt>
                <c:pt idx="520">
                  <c:v>-29.4692808967895</c:v>
                </c:pt>
                <c:pt idx="521">
                  <c:v>-29.534983570015</c:v>
                </c:pt>
                <c:pt idx="522">
                  <c:v>-29.6002629255961</c:v>
                </c:pt>
                <c:pt idx="523">
                  <c:v>-29.6651248890226</c:v>
                </c:pt>
                <c:pt idx="524">
                  <c:v>-29.7295752858462</c:v>
                </c:pt>
                <c:pt idx="525">
                  <c:v>-29.795102826198</c:v>
                </c:pt>
                <c:pt idx="526">
                  <c:v>-29.8602114840732</c:v>
                </c:pt>
                <c:pt idx="527">
                  <c:v>-29.9249071872439</c:v>
                </c:pt>
                <c:pt idx="528">
                  <c:v>-29.9891957616843</c:v>
                </c:pt>
                <c:pt idx="529">
                  <c:v>-30.0545631504603</c:v>
                </c:pt>
                <c:pt idx="530">
                  <c:v>-30.1195162878715</c:v>
                </c:pt>
                <c:pt idx="531">
                  <c:v>-30.1840610967776</c:v>
                </c:pt>
                <c:pt idx="532">
                  <c:v>-30.248203396497</c:v>
                </c:pt>
                <c:pt idx="533">
                  <c:v>-30.3134594676126</c:v>
                </c:pt>
                <c:pt idx="534">
                  <c:v>-30.3783056847467</c:v>
                </c:pt>
                <c:pt idx="535">
                  <c:v>-30.4427479674956</c:v>
                </c:pt>
                <c:pt idx="536">
                  <c:v>-30.5067921300872</c:v>
                </c:pt>
                <c:pt idx="537">
                  <c:v>-30.5718845096117</c:v>
                </c:pt>
                <c:pt idx="538">
                  <c:v>-30.6365724578982</c:v>
                </c:pt>
                <c:pt idx="539">
                  <c:v>-30.7008618653111</c:v>
                </c:pt>
                <c:pt idx="540">
                  <c:v>-30.7647585156011</c:v>
                </c:pt>
                <c:pt idx="541">
                  <c:v>-30.8297694647588</c:v>
                </c:pt>
                <c:pt idx="542">
                  <c:v>-30.8943807416849</c:v>
                </c:pt>
                <c:pt idx="543">
                  <c:v>-30.9585982177042</c:v>
                </c:pt>
                <c:pt idx="544">
                  <c:v>-31.0224276560118</c:v>
                </c:pt>
                <c:pt idx="545">
                  <c:v>-31.0873399223422</c:v>
                </c:pt>
                <c:pt idx="546">
                  <c:v>-31.1518578345727</c:v>
                </c:pt>
                <c:pt idx="547">
                  <c:v>-31.2159872281941</c:v>
                </c:pt>
                <c:pt idx="548">
                  <c:v>-31.2797338294438</c:v>
                </c:pt>
                <c:pt idx="549">
                  <c:v>-31.3445640295971</c:v>
                </c:pt>
                <c:pt idx="550">
                  <c:v>-31.4090053174565</c:v>
                </c:pt>
                <c:pt idx="551">
                  <c:v>-31.473063484973</c:v>
                </c:pt>
                <c:pt idx="552">
                  <c:v>-31.536744213905</c:v>
                </c:pt>
                <c:pt idx="553">
                  <c:v>-31.6015389644278</c:v>
                </c:pt>
                <c:pt idx="554">
                  <c:v>-31.6659499981374</c:v>
                </c:pt>
                <c:pt idx="555">
                  <c:v>-31.7299830636877</c:v>
                </c:pt>
                <c:pt idx="556">
                  <c:v>-31.793643798594</c:v>
                </c:pt>
                <c:pt idx="557">
                  <c:v>-31.9228141762947</c:v>
                </c:pt>
                <c:pt idx="558">
                  <c:v>-32.0504936215293</c:v>
                </c:pt>
                <c:pt idx="559">
                  <c:v>-32.1796031884261</c:v>
                </c:pt>
                <c:pt idx="560">
                  <c:v>-32.3072444932074</c:v>
                </c:pt>
                <c:pt idx="561">
                  <c:v>-32.4364388930771</c:v>
                </c:pt>
                <c:pt idx="562">
                  <c:v>-32.5641853708823</c:v>
                </c:pt>
                <c:pt idx="563">
                  <c:v>-32.6932232691341</c:v>
                </c:pt>
                <c:pt idx="564">
                  <c:v>-32.8208397543261</c:v>
                </c:pt>
                <c:pt idx="565">
                  <c:v>-32.9502422491605</c:v>
                </c:pt>
                <c:pt idx="566">
                  <c:v>-33.0782391945987</c:v>
                </c:pt>
                <c:pt idx="567">
                  <c:v>-33.2079697430817</c:v>
                </c:pt>
                <c:pt idx="568">
                  <c:v>-33.336312248887</c:v>
                </c:pt>
                <c:pt idx="569">
                  <c:v>-33.4658347155885</c:v>
                </c:pt>
                <c:pt idx="570">
                  <c:v>-33.5939985127779</c:v>
                </c:pt>
                <c:pt idx="571">
                  <c:v>-33.7243079172518</c:v>
                </c:pt>
                <c:pt idx="572">
                  <c:v>-33.8532677553554</c:v>
                </c:pt>
                <c:pt idx="573">
                  <c:v>-33.9833418498221</c:v>
                </c:pt>
                <c:pt idx="574">
                  <c:v>-34.1120968843569</c:v>
                </c:pt>
                <c:pt idx="575">
                  <c:v>-34.2428970086377</c:v>
                </c:pt>
                <c:pt idx="576">
                  <c:v>-34.3723893595241</c:v>
                </c:pt>
                <c:pt idx="577">
                  <c:v>-34.9069740538047</c:v>
                </c:pt>
                <c:pt idx="578">
                  <c:v>-35.4213861227716</c:v>
                </c:pt>
                <c:pt idx="579">
                  <c:v>-36.4882621097499</c:v>
                </c:pt>
                <c:pt idx="580">
                  <c:v>-37.5799354566273</c:v>
                </c:pt>
                <c:pt idx="581">
                  <c:v>-38.6992501465583</c:v>
                </c:pt>
                <c:pt idx="582">
                  <c:v>-39.8503937473544</c:v>
                </c:pt>
                <c:pt idx="583">
                  <c:v>-41.0349660559108</c:v>
                </c:pt>
                <c:pt idx="584">
                  <c:v>-42.2552825302881</c:v>
                </c:pt>
                <c:pt idx="585">
                  <c:v>-43.5110925585921</c:v>
                </c:pt>
                <c:pt idx="586">
                  <c:v>-44.8021226064008</c:v>
                </c:pt>
                <c:pt idx="587">
                  <c:v>-46.1278910685371</c:v>
                </c:pt>
                <c:pt idx="588">
                  <c:v>-47.4853450738501</c:v>
                </c:pt>
                <c:pt idx="589">
                  <c:v>-48.8733495732337</c:v>
                </c:pt>
                <c:pt idx="590">
                  <c:v>-50.288895686521</c:v>
                </c:pt>
                <c:pt idx="591">
                  <c:v>-51.7294720866707</c:v>
                </c:pt>
                <c:pt idx="592">
                  <c:v>-53.1922266849411</c:v>
                </c:pt>
                <c:pt idx="593">
                  <c:v>-54.675012693232</c:v>
                </c:pt>
                <c:pt idx="594">
                  <c:v>-56.1749977704963</c:v>
                </c:pt>
                <c:pt idx="595">
                  <c:v>-57.6902250896956</c:v>
                </c:pt>
                <c:pt idx="596">
                  <c:v>-59.218334552496</c:v>
                </c:pt>
                <c:pt idx="597">
                  <c:v>-60.757815209351</c:v>
                </c:pt>
                <c:pt idx="598">
                  <c:v>-62.3066602325305</c:v>
                </c:pt>
                <c:pt idx="599">
                  <c:v>-63.8638398751341</c:v>
                </c:pt>
                <c:pt idx="600">
                  <c:v>-65.4278780116512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"FZCOMP"</c:f>
              <c:strCache>
                <c:ptCount val="1"/>
                <c:pt idx="0">
                  <c:v>FZCOMP</c:v>
                </c:pt>
              </c:strCache>
            </c:strRef>
          </c:tx>
          <c:spPr>
            <a:solidFill>
              <a:srgbClr val="000000"/>
            </a:solidFill>
            <a:ln w="2844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</c:spPr>
            </c:marker>
          </c:dPt>
          <c:dLbls>
            <c:dLbl>
              <c:idx val="0"/>
              <c:layout>
                <c:manualLayout>
                  <c:x val="-0.0177184014703623"/>
                  <c:y val="-0.0379172706856285"/>
                </c:manualLayout>
              </c:layout>
              <c:txPr>
                <a:bodyPr wrap="square"/>
                <a:lstStyle/>
                <a:p>
                  <a:pPr>
                    <a:defRPr b="1" sz="1000" strike="noStrike" u="none">
                      <a:solidFill>
                        <a:srgbClr val="0000ff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000" strike="noStrike" u="none">
                        <a:solidFill>
                          <a:srgbClr val="0000ff"/>
                        </a:solidFill>
                        <a:uFillTx/>
                        <a:latin typeface="Arial"/>
                        <a:ea typeface="Arial"/>
                      </a:rPr>
                      <a:t>F</a:t>
                    </a:r>
                    <a:r>
                      <a:rPr b="0" lang="en-US" sz="1000" strike="noStrike" u="none" baseline="-25000">
                        <a:solidFill>
                          <a:srgbClr val="0000ff"/>
                        </a:solidFill>
                        <a:uFillTx/>
                        <a:latin typeface="Arial"/>
                        <a:ea typeface="Arial"/>
                      </a:rPr>
                      <a:t>ZCOMP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ff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t"/>
            <c:showLegendKey val="0"/>
            <c:showVal val="0"/>
            <c:showCatName val="0"/>
            <c:showSerName val="1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Calculations'!$C$635</c:f>
              <c:numCache>
                <c:formatCode>0.00</c:formatCode>
                <c:ptCount val="1"/>
                <c:pt idx="0">
                  <c:v>779.140075751488</c:v>
                </c:pt>
              </c:numCache>
            </c:numRef>
          </c:xVal>
          <c:yVal>
            <c:numRef>
              <c:f>'Stability Calculations'!$D$635</c:f>
              <c:numCache>
                <c:formatCode>0.00</c:formatCode>
                <c:ptCount val="1"/>
                <c:pt idx="0">
                  <c:v>17.5529131277564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"FpEA"</c:f>
              <c:strCache>
                <c:ptCount val="1"/>
                <c:pt idx="0">
                  <c:v>FpEA</c:v>
                </c:pt>
              </c:strCache>
            </c:strRef>
          </c:tx>
          <c:spPr>
            <a:solidFill>
              <a:srgbClr val="000000"/>
            </a:solidFill>
            <a:ln w="28440">
              <a:noFill/>
            </a:ln>
          </c:spPr>
          <c:marker>
            <c:symbol val="x"/>
            <c:size val="8"/>
            <c:spPr>
              <a:solidFill>
                <a:srgbClr val="000000"/>
              </a:solidFill>
            </c:spPr>
          </c:marker>
          <c:dPt>
            <c:idx val="0"/>
            <c:marker>
              <c:symbol val="x"/>
              <c:size val="8"/>
              <c:spPr>
                <a:solidFill>
                  <a:srgbClr val="000000"/>
                </a:solidFill>
              </c:spPr>
            </c:marker>
          </c:dPt>
          <c:dLbls>
            <c:dLbl>
              <c:idx val="0"/>
              <c:layout>
                <c:manualLayout>
                  <c:x val="-0.00293167568233883"/>
                  <c:y val="-0.0159651666044752"/>
                </c:manualLayout>
              </c:layout>
              <c:txPr>
                <a:bodyPr wrap="square"/>
                <a:lstStyle/>
                <a:p>
                  <a:pPr>
                    <a:defRPr b="1" sz="1000" strike="noStrike" u="none">
                      <a:solidFill>
                        <a:srgbClr val="0000ff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000" strike="noStrike" u="none">
                        <a:solidFill>
                          <a:srgbClr val="0000ff"/>
                        </a:solidFill>
                        <a:uFillTx/>
                        <a:latin typeface="Arial"/>
                        <a:ea typeface="Arial"/>
                      </a:rPr>
                      <a:t>F</a:t>
                    </a:r>
                    <a:r>
                      <a:rPr b="0" lang="en-US" sz="1000" strike="noStrike" u="none" baseline="-25000">
                        <a:solidFill>
                          <a:srgbClr val="0000ff"/>
                        </a:solidFill>
                        <a:uFillTx/>
                        <a:latin typeface="Arial"/>
                        <a:ea typeface="Arial"/>
                      </a:rPr>
                      <a:t>PEA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ff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1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Calculations'!$C$5</c:f>
              <c:numCache>
                <c:formatCode>0.0</c:formatCode>
                <c:ptCount val="1"/>
                <c:pt idx="0">
                  <c:v>0.241069242514527</c:v>
                </c:pt>
              </c:numCache>
            </c:numRef>
          </c:xVal>
          <c:yVal>
            <c:numRef>
              <c:f>'Stability Calculations'!$Q$624</c:f>
              <c:numCache>
                <c:formatCode>0.00</c:formatCode>
                <c:ptCount val="1"/>
                <c:pt idx="0">
                  <c:v>86.1506512794729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"FpLOAD"</c:f>
              <c:strCache>
                <c:ptCount val="1"/>
                <c:pt idx="0">
                  <c:v>FpLOAD</c:v>
                </c:pt>
              </c:strCache>
            </c:strRef>
          </c:tx>
          <c:spPr>
            <a:solidFill>
              <a:srgbClr val="000000"/>
            </a:solidFill>
            <a:ln w="28440">
              <a:solidFill>
                <a:srgbClr val="000000"/>
              </a:solidFill>
              <a:round/>
            </a:ln>
          </c:spPr>
          <c:marker>
            <c:symbol val="x"/>
            <c:size val="8"/>
            <c:spPr>
              <a:solidFill>
                <a:srgbClr val="000000"/>
              </a:solidFill>
            </c:spPr>
          </c:marker>
          <c:dPt>
            <c:idx val="0"/>
            <c:marker>
              <c:symbol val="x"/>
              <c:size val="8"/>
              <c:spPr>
                <a:solidFill>
                  <a:srgbClr val="000000"/>
                </a:solidFill>
              </c:spPr>
            </c:marke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trike="noStrike" u="none">
                      <a:solidFill>
                        <a:srgbClr val="0000ff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000" strike="noStrike" u="none">
                        <a:solidFill>
                          <a:srgbClr val="000000"/>
                        </a:solidFill>
                        <a:uFillTx/>
                        <a:latin typeface="Arial"/>
                        <a:ea typeface="Arial"/>
                      </a:rPr>
                      <a:t>F</a:t>
                    </a:r>
                    <a:r>
                      <a:rPr b="0" lang="en-US" sz="1000" strike="noStrike" u="none" baseline="-25000">
                        <a:solidFill>
                          <a:srgbClr val="000000"/>
                        </a:solidFill>
                        <a:uFillTx/>
                        <a:latin typeface="Arial"/>
                        <a:ea typeface="Arial"/>
                      </a:rPr>
                      <a:t>PLOAD</a:t>
                    </a:r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ff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t"/>
            <c:showLegendKey val="0"/>
            <c:showVal val="0"/>
            <c:showCatName val="0"/>
            <c:showSerName val="1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Calculations'!$K$4</c:f>
              <c:numCache>
                <c:formatCode>0</c:formatCode>
                <c:ptCount val="1"/>
                <c:pt idx="0">
                  <c:v>585.574816193763</c:v>
                </c:pt>
              </c:numCache>
            </c:numRef>
          </c:xVal>
          <c:yVal>
            <c:numRef>
              <c:f>'Stability Calculations'!$D$632</c:f>
              <c:numCache>
                <c:formatCode>0.00</c:formatCode>
                <c:ptCount val="1"/>
                <c:pt idx="0">
                  <c:v>20.3846072321715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"FZESR"</c:f>
              <c:strCache>
                <c:ptCount val="1"/>
                <c:pt idx="0">
                  <c:v>FZESR</c:v>
                </c:pt>
              </c:strCache>
            </c:strRef>
          </c:tx>
          <c:spPr>
            <a:solidFill>
              <a:srgbClr val="000000"/>
            </a:solidFill>
            <a:ln w="2844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</c:spPr>
            </c:marker>
          </c:dPt>
          <c:dLbls>
            <c:dLbl>
              <c:idx val="0"/>
              <c:layout>
                <c:manualLayout>
                  <c:x val="-0.0393064994211095"/>
                  <c:y val="0.0399129237701912"/>
                </c:manualLayout>
              </c:layout>
              <c:txPr>
                <a:bodyPr wrap="square"/>
                <a:lstStyle/>
                <a:p>
                  <a:pPr>
                    <a:defRPr b="1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1" lang="en-US" sz="1000" strike="noStrike" u="none">
                        <a:solidFill>
                          <a:srgbClr val="000000"/>
                        </a:solidFill>
                        <a:uFillTx/>
                        <a:latin typeface="Arial"/>
                        <a:ea typeface="Arial"/>
                      </a:rPr>
                      <a:t>F</a:t>
                    </a:r>
                    <a:r>
                      <a:rPr b="1" lang="en-US" sz="1000" strike="noStrike" u="none" baseline="-25000">
                        <a:solidFill>
                          <a:srgbClr val="000000"/>
                        </a:solidFill>
                        <a:uFillTx/>
                        <a:latin typeface="Arial"/>
                        <a:ea typeface="Arial"/>
                      </a:rPr>
                      <a:t>ZESR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1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Calculations'!$A$623</c:f>
              <c:numCache>
                <c:formatCode>0</c:formatCode>
                <c:ptCount val="1"/>
                <c:pt idx="0">
                  <c:v>79577.4716368782</c:v>
                </c:pt>
              </c:numCache>
            </c:numRef>
          </c:xVal>
          <c:yVal>
            <c:numRef>
              <c:f>'Stability Calculations'!$Q$623</c:f>
              <c:numCache>
                <c:formatCode>0.00</c:formatCode>
                <c:ptCount val="1"/>
                <c:pt idx="0">
                  <c:v>-29.750089545484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"FPCOMP"</c:f>
              <c:strCache>
                <c:ptCount val="1"/>
                <c:pt idx="0">
                  <c:v>FPCOMP</c:v>
                </c:pt>
              </c:strCache>
            </c:strRef>
          </c:tx>
          <c:spPr>
            <a:solidFill>
              <a:srgbClr val="000000"/>
            </a:solidFill>
            <a:ln w="28440">
              <a:solidFill>
                <a:srgbClr val="000000"/>
              </a:solidFill>
              <a:round/>
            </a:ln>
          </c:spPr>
          <c:marker>
            <c:symbol val="x"/>
            <c:size val="8"/>
            <c:spPr>
              <a:solidFill>
                <a:srgbClr val="000000"/>
              </a:solidFill>
            </c:spPr>
          </c:marker>
          <c:dPt>
            <c:idx val="0"/>
            <c:marker>
              <c:symbol val="x"/>
              <c:size val="8"/>
              <c:spPr>
                <a:solidFill>
                  <a:srgbClr val="000000"/>
                </a:solidFill>
              </c:spPr>
            </c:marker>
          </c:dPt>
          <c:dLbls>
            <c:dLbl>
              <c:idx val="0"/>
              <c:layout>
                <c:manualLayout>
                  <c:x val="0.00587189246705944"/>
                  <c:y val="-0.00802658179287983"/>
                </c:manualLayout>
              </c:layout>
              <c:txPr>
                <a:bodyPr wrap="square"/>
                <a:lstStyle/>
                <a:p>
                  <a:pPr>
                    <a:defRPr b="1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000" strike="noStrike" u="none">
                        <a:solidFill>
                          <a:srgbClr val="0000ff"/>
                        </a:solidFill>
                        <a:uFillTx/>
                        <a:latin typeface="Arial"/>
                        <a:ea typeface="Arial"/>
                      </a:rPr>
                      <a:t>F</a:t>
                    </a:r>
                    <a:r>
                      <a:rPr b="0" lang="en-US" sz="1000" strike="noStrike" u="none" baseline="-25000">
                        <a:solidFill>
                          <a:srgbClr val="0000ff"/>
                        </a:solidFill>
                        <a:uFillTx/>
                        <a:latin typeface="Arial"/>
                        <a:ea typeface="Arial"/>
                      </a:rPr>
                      <a:t>PCOMP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1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Calculations'!$A$627</c:f>
              <c:numCache>
                <c:formatCode>0</c:formatCode>
                <c:ptCount val="1"/>
                <c:pt idx="0">
                  <c:v>25078.0054450232</c:v>
                </c:pt>
              </c:numCache>
            </c:numRef>
          </c:xVal>
          <c:yVal>
            <c:numRef>
              <c:f>'Stability Calculations'!$Q$627</c:f>
              <c:numCache>
                <c:formatCode>0.00</c:formatCode>
                <c:ptCount val="1"/>
                <c:pt idx="0">
                  <c:v>-15.97839345793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"FzRHP"</c:f>
              <c:strCache>
                <c:ptCount val="1"/>
                <c:pt idx="0">
                  <c:v>FzRHP</c:v>
                </c:pt>
              </c:strCache>
            </c:strRef>
          </c:tx>
          <c:spPr>
            <a:solidFill>
              <a:srgbClr val="ff00ff"/>
            </a:solidFill>
            <a:ln w="28440">
              <a:solidFill>
                <a:srgbClr val="ff00ff"/>
              </a:solidFill>
              <a:round/>
            </a:ln>
          </c:spPr>
          <c:marker>
            <c:symbol val="circle"/>
            <c:size val="8"/>
            <c:spPr>
              <a:solidFill>
                <a:srgbClr val="ff00ff"/>
              </a:solidFill>
            </c:spPr>
          </c:marker>
          <c:dPt>
            <c:idx val="0"/>
            <c:marker>
              <c:symbol val="circle"/>
              <c:size val="8"/>
              <c:spPr>
                <a:solidFill>
                  <a:srgbClr val="ff00ff"/>
                </a:solidFill>
              </c:spPr>
            </c:marker>
          </c:dPt>
          <c:dLbls>
            <c:dLbl>
              <c:idx val="0"/>
              <c:layout>
                <c:manualLayout>
                  <c:x val="-0.0234235879219128"/>
                  <c:y val="0.0291718636226861"/>
                </c:manualLayout>
              </c:layout>
              <c:txPr>
                <a:bodyPr wrap="square"/>
                <a:lstStyle/>
                <a:p>
                  <a:pPr>
                    <a:defRPr b="1" sz="1000" strike="noStrike" u="none">
                      <a:solidFill>
                        <a:srgbClr val="000000"/>
                      </a:solidFill>
                      <a:uFillTx/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000" strike="noStrike" u="none">
                        <a:solidFill>
                          <a:srgbClr val="000000"/>
                        </a:solidFill>
                        <a:uFillTx/>
                        <a:latin typeface="Arial"/>
                        <a:ea typeface="Arial"/>
                      </a:rPr>
                      <a:t>F</a:t>
                    </a:r>
                    <a:r>
                      <a:rPr b="0" lang="en-US" sz="1000" strike="noStrike" u="none" baseline="-25000">
                        <a:solidFill>
                          <a:srgbClr val="000000"/>
                        </a:solidFill>
                        <a:uFillTx/>
                        <a:latin typeface="Arial"/>
                        <a:ea typeface="Arial"/>
                      </a:rPr>
                      <a:t>ZRHP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1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Calculations'!$A$628</c:f>
              <c:numCache>
                <c:formatCode>0</c:formatCode>
                <c:ptCount val="1"/>
                <c:pt idx="0">
                  <c:v>67472.5296692988</c:v>
                </c:pt>
              </c:numCache>
            </c:numRef>
          </c:xVal>
          <c:yVal>
            <c:numRef>
              <c:f>'Stability Calculations'!$D$637</c:f>
              <c:numCache>
                <c:formatCode>0.00</c:formatCode>
                <c:ptCount val="1"/>
                <c:pt idx="0">
                  <c:v>-27.8677424124752</c:v>
                </c:pt>
              </c:numCache>
            </c:numRef>
          </c:yVal>
          <c:smooth val="1"/>
        </c:ser>
        <c:axId val="35311633"/>
        <c:axId val="19659792"/>
      </c:scatterChart>
      <c:scatterChart>
        <c:scatterStyle val="lineMarker"/>
        <c:varyColors val="0"/>
        <c:ser>
          <c:idx val="7"/>
          <c:order val="7"/>
          <c:tx>
            <c:strRef>
              <c:f>"Loop Phase"</c:f>
              <c:strCache>
                <c:ptCount val="1"/>
                <c:pt idx="0">
                  <c:v>Loop Phase</c:v>
                </c:pt>
              </c:strCache>
            </c:strRef>
          </c:tx>
          <c:spPr>
            <a:solidFill>
              <a:srgbClr val="002060"/>
            </a:solidFill>
            <a:ln w="34920">
              <a:solidFill>
                <a:srgbClr val="002060"/>
              </a:solidFill>
              <a:prstDash val="sys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492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1.2023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</c:v>
                </c:pt>
                <c:pt idx="9">
                  <c:v>2.2909</c:v>
                </c:pt>
                <c:pt idx="10">
                  <c:v>2.5119</c:v>
                </c:pt>
                <c:pt idx="11">
                  <c:v>2.7542</c:v>
                </c:pt>
                <c:pt idx="12">
                  <c:v>3.02</c:v>
                </c:pt>
                <c:pt idx="13">
                  <c:v>3.3113</c:v>
                </c:pt>
                <c:pt idx="14">
                  <c:v>3.6308</c:v>
                </c:pt>
                <c:pt idx="15">
                  <c:v>3.9811</c:v>
                </c:pt>
                <c:pt idx="16">
                  <c:v>4.3652</c:v>
                </c:pt>
                <c:pt idx="17">
                  <c:v>4.7863</c:v>
                </c:pt>
                <c:pt idx="18">
                  <c:v>5.2481</c:v>
                </c:pt>
                <c:pt idx="19">
                  <c:v>5.7544</c:v>
                </c:pt>
                <c:pt idx="20">
                  <c:v>6.3096</c:v>
                </c:pt>
                <c:pt idx="21">
                  <c:v>6.9183</c:v>
                </c:pt>
                <c:pt idx="22">
                  <c:v>7.5858</c:v>
                </c:pt>
                <c:pt idx="23">
                  <c:v>8.3176</c:v>
                </c:pt>
                <c:pt idx="24">
                  <c:v>9.1201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</c:v>
                </c:pt>
                <c:pt idx="34">
                  <c:v>22.909</c:v>
                </c:pt>
                <c:pt idx="35">
                  <c:v>25.119</c:v>
                </c:pt>
                <c:pt idx="36">
                  <c:v>27.542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</c:v>
                </c:pt>
                <c:pt idx="42">
                  <c:v>47.863</c:v>
                </c:pt>
                <c:pt idx="43">
                  <c:v>52.481</c:v>
                </c:pt>
                <c:pt idx="44">
                  <c:v>57.544</c:v>
                </c:pt>
                <c:pt idx="45">
                  <c:v>63.096</c:v>
                </c:pt>
                <c:pt idx="46">
                  <c:v>69.183</c:v>
                </c:pt>
                <c:pt idx="47">
                  <c:v>75.858</c:v>
                </c:pt>
                <c:pt idx="48">
                  <c:v>83.176</c:v>
                </c:pt>
                <c:pt idx="49">
                  <c:v>91.201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524.81</c:v>
                </c:pt>
                <c:pt idx="69">
                  <c:v>575.44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</c:v>
                </c:pt>
                <c:pt idx="132">
                  <c:v>8270.275</c:v>
                </c:pt>
                <c:pt idx="133">
                  <c:v>8317.6</c:v>
                </c:pt>
                <c:pt idx="134">
                  <c:v>8366.05</c:v>
                </c:pt>
                <c:pt idx="135">
                  <c:v>8414.5</c:v>
                </c:pt>
                <c:pt idx="136">
                  <c:v>8462.95</c:v>
                </c:pt>
                <c:pt idx="137">
                  <c:v>8511.4</c:v>
                </c:pt>
                <c:pt idx="138">
                  <c:v>8560.95</c:v>
                </c:pt>
                <c:pt idx="139">
                  <c:v>8610.5</c:v>
                </c:pt>
                <c:pt idx="140">
                  <c:v>8660.05</c:v>
                </c:pt>
                <c:pt idx="141">
                  <c:v>8709.6</c:v>
                </c:pt>
                <c:pt idx="142">
                  <c:v>8760.325</c:v>
                </c:pt>
                <c:pt idx="143">
                  <c:v>8811.05</c:v>
                </c:pt>
                <c:pt idx="144">
                  <c:v>8861.775</c:v>
                </c:pt>
                <c:pt idx="145">
                  <c:v>8912.5</c:v>
                </c:pt>
                <c:pt idx="146">
                  <c:v>8964.4</c:v>
                </c:pt>
                <c:pt idx="147">
                  <c:v>9016.3</c:v>
                </c:pt>
                <c:pt idx="148">
                  <c:v>9068.2</c:v>
                </c:pt>
                <c:pt idx="149">
                  <c:v>9120.1</c:v>
                </c:pt>
                <c:pt idx="150">
                  <c:v>9173.2</c:v>
                </c:pt>
                <c:pt idx="151">
                  <c:v>9226.3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</c:v>
                </c:pt>
                <c:pt idx="156">
                  <c:v>9495.55</c:v>
                </c:pt>
                <c:pt idx="157">
                  <c:v>9549.9</c:v>
                </c:pt>
                <c:pt idx="158">
                  <c:v>9605.525</c:v>
                </c:pt>
                <c:pt idx="159">
                  <c:v>9661.15</c:v>
                </c:pt>
                <c:pt idx="160">
                  <c:v>9716.775</c:v>
                </c:pt>
                <c:pt idx="161">
                  <c:v>9772.4</c:v>
                </c:pt>
                <c:pt idx="162">
                  <c:v>9829.3</c:v>
                </c:pt>
                <c:pt idx="163">
                  <c:v>9886.2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Calculations'!$R$13:$R$613</c:f>
              <c:numCache>
                <c:formatCode>0.00</c:formatCode>
                <c:ptCount val="601"/>
                <c:pt idx="0">
                  <c:v>-76.4738737261842</c:v>
                </c:pt>
                <c:pt idx="1">
                  <c:v>-77.6307690963482</c:v>
                </c:pt>
                <c:pt idx="2">
                  <c:v>-78.6952399751079</c:v>
                </c:pt>
                <c:pt idx="3">
                  <c:v>-79.6734550489581</c:v>
                </c:pt>
                <c:pt idx="4">
                  <c:v>-80.5709269412797</c:v>
                </c:pt>
                <c:pt idx="5">
                  <c:v>-81.3950023900425</c:v>
                </c:pt>
                <c:pt idx="6">
                  <c:v>-82.150101443519</c:v>
                </c:pt>
                <c:pt idx="7">
                  <c:v>-82.8421205803735</c:v>
                </c:pt>
                <c:pt idx="8">
                  <c:v>-83.4756550334748</c:v>
                </c:pt>
                <c:pt idx="9">
                  <c:v>-84.055970251977</c:v>
                </c:pt>
                <c:pt idx="10">
                  <c:v>-84.587188281635</c:v>
                </c:pt>
                <c:pt idx="11">
                  <c:v>-85.0735639940062</c:v>
                </c:pt>
                <c:pt idx="12">
                  <c:v>-85.5191916692898</c:v>
                </c:pt>
                <c:pt idx="13">
                  <c:v>-85.9272222065867</c:v>
                </c:pt>
                <c:pt idx="14">
                  <c:v>-86.3013011420516</c:v>
                </c:pt>
                <c:pt idx="15">
                  <c:v>-86.6443296825972</c:v>
                </c:pt>
                <c:pt idx="16">
                  <c:v>-86.9591606663683</c:v>
                </c:pt>
                <c:pt idx="17">
                  <c:v>-87.2483581534075</c:v>
                </c:pt>
                <c:pt idx="18">
                  <c:v>-87.5144082940307</c:v>
                </c:pt>
                <c:pt idx="19">
                  <c:v>-87.7594564120139</c:v>
                </c:pt>
                <c:pt idx="20">
                  <c:v>-87.9856022068167</c:v>
                </c:pt>
                <c:pt idx="21">
                  <c:v>-88.1946966419615</c:v>
                </c:pt>
                <c:pt idx="22">
                  <c:v>-88.3885422261278</c:v>
                </c:pt>
                <c:pt idx="23">
                  <c:v>-88.5687236259497</c:v>
                </c:pt>
                <c:pt idx="24">
                  <c:v>-88.7368064980944</c:v>
                </c:pt>
                <c:pt idx="25">
                  <c:v>-88.8941820158013</c:v>
                </c:pt>
                <c:pt idx="26">
                  <c:v>-89.0422141424722</c:v>
                </c:pt>
                <c:pt idx="27">
                  <c:v>-89.1821059427892</c:v>
                </c:pt>
                <c:pt idx="28">
                  <c:v>-89.3150480581968</c:v>
                </c:pt>
                <c:pt idx="29">
                  <c:v>-89.4420886190593</c:v>
                </c:pt>
                <c:pt idx="30">
                  <c:v>-89.5645144477677</c:v>
                </c:pt>
                <c:pt idx="31">
                  <c:v>-89.683184050302</c:v>
                </c:pt>
                <c:pt idx="32">
                  <c:v>-89.7991806404444</c:v>
                </c:pt>
                <c:pt idx="33">
                  <c:v>-89.9133992985539</c:v>
                </c:pt>
                <c:pt idx="34">
                  <c:v>-90.0268893112641</c:v>
                </c:pt>
                <c:pt idx="35">
                  <c:v>-90.1405383510818</c:v>
                </c:pt>
                <c:pt idx="36">
                  <c:v>-90.2553134078679</c:v>
                </c:pt>
                <c:pt idx="37">
                  <c:v>-90.3722324599989</c:v>
                </c:pt>
                <c:pt idx="38">
                  <c:v>-90.492150893609</c:v>
                </c:pt>
                <c:pt idx="39">
                  <c:v>-90.616149794074</c:v>
                </c:pt>
                <c:pt idx="40">
                  <c:v>-90.7451931162735</c:v>
                </c:pt>
                <c:pt idx="41">
                  <c:v>-90.8803305193348</c:v>
                </c:pt>
                <c:pt idx="42">
                  <c:v>-91.0226152751293</c:v>
                </c:pt>
                <c:pt idx="43">
                  <c:v>-91.173200652557</c:v>
                </c:pt>
                <c:pt idx="44">
                  <c:v>-91.3331985709793</c:v>
                </c:pt>
                <c:pt idx="45">
                  <c:v>-91.5038334082825</c:v>
                </c:pt>
                <c:pt idx="46">
                  <c:v>-91.6863015613474</c:v>
                </c:pt>
                <c:pt idx="47">
                  <c:v>-91.8819075522095</c:v>
                </c:pt>
                <c:pt idx="48">
                  <c:v>-92.091892512619</c:v>
                </c:pt>
                <c:pt idx="49">
                  <c:v>-92.3176101406882</c:v>
                </c:pt>
                <c:pt idx="50">
                  <c:v>-92.5603172486275</c:v>
                </c:pt>
                <c:pt idx="51">
                  <c:v>-92.8213241618771</c:v>
                </c:pt>
                <c:pt idx="52">
                  <c:v>-93.1017185221418</c:v>
                </c:pt>
                <c:pt idx="53">
                  <c:v>-93.402539868588</c:v>
                </c:pt>
                <c:pt idx="54">
                  <c:v>-93.7244090345673</c:v>
                </c:pt>
                <c:pt idx="55">
                  <c:v>-94.0684261474166</c:v>
                </c:pt>
                <c:pt idx="56">
                  <c:v>-94.4342880916844</c:v>
                </c:pt>
                <c:pt idx="57">
                  <c:v>-94.8218894822901</c:v>
                </c:pt>
                <c:pt idx="58">
                  <c:v>-95.2299583746747</c:v>
                </c:pt>
                <c:pt idx="59">
                  <c:v>-95.6570312449326</c:v>
                </c:pt>
                <c:pt idx="60">
                  <c:v>-96.1001720798346</c:v>
                </c:pt>
                <c:pt idx="61">
                  <c:v>-96.5556982502063</c:v>
                </c:pt>
                <c:pt idx="62">
                  <c:v>-97.0189908618118</c:v>
                </c:pt>
                <c:pt idx="63">
                  <c:v>-97.4836043568658</c:v>
                </c:pt>
                <c:pt idx="64">
                  <c:v>-97.9428604096785</c:v>
                </c:pt>
                <c:pt idx="65">
                  <c:v>-98.3887015470236</c:v>
                </c:pt>
                <c:pt idx="66">
                  <c:v>-98.8128159663188</c:v>
                </c:pt>
                <c:pt idx="67">
                  <c:v>-99.2068340459405</c:v>
                </c:pt>
                <c:pt idx="68">
                  <c:v>-99.5632054507644</c:v>
                </c:pt>
                <c:pt idx="69">
                  <c:v>-99.8754952083761</c:v>
                </c:pt>
                <c:pt idx="70">
                  <c:v>-100.139407161474</c:v>
                </c:pt>
                <c:pt idx="71">
                  <c:v>-100.353041883137</c:v>
                </c:pt>
                <c:pt idx="72">
                  <c:v>-100.517444592184</c:v>
                </c:pt>
                <c:pt idx="73">
                  <c:v>-100.636500759716</c:v>
                </c:pt>
                <c:pt idx="74">
                  <c:v>-100.716903523039</c:v>
                </c:pt>
                <c:pt idx="75">
                  <c:v>-100.767614848026</c:v>
                </c:pt>
                <c:pt idx="76">
                  <c:v>-100.799362205608</c:v>
                </c:pt>
                <c:pt idx="77">
                  <c:v>-100.823949631095</c:v>
                </c:pt>
                <c:pt idx="78">
                  <c:v>-100.853663725351</c:v>
                </c:pt>
                <c:pt idx="79">
                  <c:v>-100.900682416728</c:v>
                </c:pt>
                <c:pt idx="80">
                  <c:v>-100.976845786198</c:v>
                </c:pt>
                <c:pt idx="81">
                  <c:v>-101.093107188115</c:v>
                </c:pt>
                <c:pt idx="82">
                  <c:v>-101.259744543556</c:v>
                </c:pt>
                <c:pt idx="83">
                  <c:v>-101.485992967713</c:v>
                </c:pt>
                <c:pt idx="84">
                  <c:v>-101.780635942811</c:v>
                </c:pt>
                <c:pt idx="85">
                  <c:v>-102.151520020171</c:v>
                </c:pt>
                <c:pt idx="86">
                  <c:v>-102.606217492538</c:v>
                </c:pt>
                <c:pt idx="87">
                  <c:v>-103.152299936647</c:v>
                </c:pt>
                <c:pt idx="88">
                  <c:v>-103.79640506404</c:v>
                </c:pt>
                <c:pt idx="89">
                  <c:v>-104.546224977451</c:v>
                </c:pt>
                <c:pt idx="90">
                  <c:v>-105.40887427877</c:v>
                </c:pt>
                <c:pt idx="91">
                  <c:v>-106.392035408693</c:v>
                </c:pt>
                <c:pt idx="92">
                  <c:v>-107.503491513567</c:v>
                </c:pt>
                <c:pt idx="93">
                  <c:v>-108.751872884386</c:v>
                </c:pt>
                <c:pt idx="94">
                  <c:v>-109.086204104876</c:v>
                </c:pt>
                <c:pt idx="95">
                  <c:v>-109.25788100734</c:v>
                </c:pt>
                <c:pt idx="96">
                  <c:v>-109.429902976451</c:v>
                </c:pt>
                <c:pt idx="97">
                  <c:v>-109.606252177775</c:v>
                </c:pt>
                <c:pt idx="98">
                  <c:v>-109.782927491381</c:v>
                </c:pt>
                <c:pt idx="99">
                  <c:v>-109.964063820495</c:v>
                </c:pt>
                <c:pt idx="100">
                  <c:v>-110.145506915163</c:v>
                </c:pt>
                <c:pt idx="101">
                  <c:v>-110.331405276356</c:v>
                </c:pt>
                <c:pt idx="102">
                  <c:v>-110.517590164534</c:v>
                </c:pt>
                <c:pt idx="103">
                  <c:v>-110.708500982474</c:v>
                </c:pt>
                <c:pt idx="104">
                  <c:v>-110.899678009925</c:v>
                </c:pt>
                <c:pt idx="105">
                  <c:v>-111.095572572817</c:v>
                </c:pt>
                <c:pt idx="106">
                  <c:v>-111.291712051639</c:v>
                </c:pt>
                <c:pt idx="107">
                  <c:v>-111.49255847278</c:v>
                </c:pt>
                <c:pt idx="108">
                  <c:v>-111.693627600795</c:v>
                </c:pt>
                <c:pt idx="109">
                  <c:v>-111.899531188459</c:v>
                </c:pt>
                <c:pt idx="110">
                  <c:v>-112.105634676157</c:v>
                </c:pt>
                <c:pt idx="111">
                  <c:v>-112.316839319396</c:v>
                </c:pt>
                <c:pt idx="112">
                  <c:v>-112.528220602078</c:v>
                </c:pt>
                <c:pt idx="113">
                  <c:v>-112.744687476091</c:v>
                </c:pt>
                <c:pt idx="114">
                  <c:v>-112.961306691507</c:v>
                </c:pt>
                <c:pt idx="115">
                  <c:v>-113.183134517878</c:v>
                </c:pt>
                <c:pt idx="116">
                  <c:v>-113.405089557271</c:v>
                </c:pt>
                <c:pt idx="117">
                  <c:v>-113.632374407302</c:v>
                </c:pt>
                <c:pt idx="118">
                  <c:v>-113.85976043723</c:v>
                </c:pt>
                <c:pt idx="119">
                  <c:v>-114.092454354723</c:v>
                </c:pt>
                <c:pt idx="120">
                  <c:v>-114.325222360946</c:v>
                </c:pt>
                <c:pt idx="121">
                  <c:v>-114.563415188462</c:v>
                </c:pt>
                <c:pt idx="122">
                  <c:v>-114.801654053091</c:v>
                </c:pt>
                <c:pt idx="123">
                  <c:v>-115.045573725003</c:v>
                </c:pt>
                <c:pt idx="124">
                  <c:v>-115.289510360647</c:v>
                </c:pt>
                <c:pt idx="125">
                  <c:v>-115.539098927463</c:v>
                </c:pt>
                <c:pt idx="126">
                  <c:v>-115.788674219227</c:v>
                </c:pt>
                <c:pt idx="127">
                  <c:v>-116.044011255831</c:v>
                </c:pt>
                <c:pt idx="128">
                  <c:v>-116.299303608276</c:v>
                </c:pt>
                <c:pt idx="129">
                  <c:v>-116.560464840182</c:v>
                </c:pt>
                <c:pt idx="130">
                  <c:v>-116.821548741711</c:v>
                </c:pt>
                <c:pt idx="131">
                  <c:v>-117.088605819265</c:v>
                </c:pt>
                <c:pt idx="132">
                  <c:v>-117.222093546236</c:v>
                </c:pt>
                <c:pt idx="133">
                  <c:v>-117.355551618304</c:v>
                </c:pt>
                <c:pt idx="134">
                  <c:v>-117.492149636139</c:v>
                </c:pt>
                <c:pt idx="135">
                  <c:v>-117.62871280799</c:v>
                </c:pt>
                <c:pt idx="136">
                  <c:v>-117.765239283512</c:v>
                </c:pt>
                <c:pt idx="137">
                  <c:v>-117.901727247494</c:v>
                </c:pt>
                <c:pt idx="138">
                  <c:v>-118.041272320636</c:v>
                </c:pt>
                <c:pt idx="139">
                  <c:v>-118.180773382264</c:v>
                </c:pt>
                <c:pt idx="140">
                  <c:v>-118.32022859926</c:v>
                </c:pt>
                <c:pt idx="141">
                  <c:v>-118.459636173341</c:v>
                </c:pt>
                <c:pt idx="142">
                  <c:v>-118.602298385136</c:v>
                </c:pt>
                <c:pt idx="143">
                  <c:v>-118.744906962082</c:v>
                </c:pt>
                <c:pt idx="144">
                  <c:v>-118.887460082965</c:v>
                </c:pt>
                <c:pt idx="145">
                  <c:v>-119.029955961279</c:v>
                </c:pt>
                <c:pt idx="146">
                  <c:v>-119.175691556573</c:v>
                </c:pt>
                <c:pt idx="147">
                  <c:v>-119.321363550586</c:v>
                </c:pt>
                <c:pt idx="148">
                  <c:v>-119.466970137276</c:v>
                </c:pt>
                <c:pt idx="149">
                  <c:v>-119.612509545141</c:v>
                </c:pt>
                <c:pt idx="150">
                  <c:v>-119.761342687166</c:v>
                </c:pt>
                <c:pt idx="151">
                  <c:v>-119.910101863537</c:v>
                </c:pt>
                <c:pt idx="152">
                  <c:v>-120.058785284038</c:v>
                </c:pt>
                <c:pt idx="153">
                  <c:v>-120.207391192855</c:v>
                </c:pt>
                <c:pt idx="154">
                  <c:v>-120.359413290081</c:v>
                </c:pt>
                <c:pt idx="155">
                  <c:v>-120.511350568111</c:v>
                </c:pt>
                <c:pt idx="156">
                  <c:v>-120.663201251002</c:v>
                </c:pt>
                <c:pt idx="157">
                  <c:v>-120.814963597175</c:v>
                </c:pt>
                <c:pt idx="158">
                  <c:v>-120.970192893898</c:v>
                </c:pt>
                <c:pt idx="159">
                  <c:v>-121.125326076252</c:v>
                </c:pt>
                <c:pt idx="160">
                  <c:v>-121.280361383899</c:v>
                </c:pt>
                <c:pt idx="161">
                  <c:v>-121.435297090848</c:v>
                </c:pt>
                <c:pt idx="162">
                  <c:v>-121.593679317524</c:v>
                </c:pt>
                <c:pt idx="163">
                  <c:v>-121.751953778451</c:v>
                </c:pt>
                <c:pt idx="164">
                  <c:v>-121.910118732742</c:v>
                </c:pt>
                <c:pt idx="165">
                  <c:v>-122.068172473807</c:v>
                </c:pt>
                <c:pt idx="166">
                  <c:v>-122.22985922278</c:v>
                </c:pt>
                <c:pt idx="167">
                  <c:v>-122.391425906008</c:v>
                </c:pt>
                <c:pt idx="168">
                  <c:v>-122.552870799273</c:v>
                </c:pt>
                <c:pt idx="169">
                  <c:v>-122.714192212764</c:v>
                </c:pt>
                <c:pt idx="170">
                  <c:v>-122.878846254382</c:v>
                </c:pt>
                <c:pt idx="171">
                  <c:v>-123.043368002259</c:v>
                </c:pt>
                <c:pt idx="172">
                  <c:v>-123.207755761763</c:v>
                </c:pt>
                <c:pt idx="173">
                  <c:v>-123.372007872511</c:v>
                </c:pt>
                <c:pt idx="174">
                  <c:v>-123.540258268448</c:v>
                </c:pt>
                <c:pt idx="175">
                  <c:v>-123.708362662906</c:v>
                </c:pt>
                <c:pt idx="176">
                  <c:v>-123.876319374014</c:v>
                </c:pt>
                <c:pt idx="177">
                  <c:v>-124.044126754548</c:v>
                </c:pt>
                <c:pt idx="178">
                  <c:v>-124.215903975441</c:v>
                </c:pt>
                <c:pt idx="179">
                  <c:v>-124.387521038661</c:v>
                </c:pt>
                <c:pt idx="180">
                  <c:v>-124.558976280801</c:v>
                </c:pt>
                <c:pt idx="181">
                  <c:v>-124.730268073455</c:v>
                </c:pt>
                <c:pt idx="182">
                  <c:v>-124.904815663236</c:v>
                </c:pt>
                <c:pt idx="183">
                  <c:v>-125.079189885948</c:v>
                </c:pt>
                <c:pt idx="184">
                  <c:v>-125.253389121332</c:v>
                </c:pt>
                <c:pt idx="185">
                  <c:v>-125.427411783902</c:v>
                </c:pt>
                <c:pt idx="186">
                  <c:v>-125.606025998737</c:v>
                </c:pt>
                <c:pt idx="187">
                  <c:v>-125.784450529808</c:v>
                </c:pt>
                <c:pt idx="188">
                  <c:v>-125.962683767406</c:v>
                </c:pt>
                <c:pt idx="189">
                  <c:v>-126.140724137442</c:v>
                </c:pt>
                <c:pt idx="190">
                  <c:v>-126.321962207308</c:v>
                </c:pt>
                <c:pt idx="191">
                  <c:v>-126.502996787085</c:v>
                </c:pt>
                <c:pt idx="192">
                  <c:v>-126.683826320331</c:v>
                </c:pt>
                <c:pt idx="193">
                  <c:v>-126.864449285955</c:v>
                </c:pt>
                <c:pt idx="194">
                  <c:v>-127.049591364373</c:v>
                </c:pt>
                <c:pt idx="195">
                  <c:v>-127.234512767327</c:v>
                </c:pt>
                <c:pt idx="196">
                  <c:v>-127.419211962352</c:v>
                </c:pt>
                <c:pt idx="197">
                  <c:v>-127.603687453092</c:v>
                </c:pt>
                <c:pt idx="198">
                  <c:v>-127.791969927123</c:v>
                </c:pt>
                <c:pt idx="199">
                  <c:v>-127.980015745155</c:v>
                </c:pt>
                <c:pt idx="200">
                  <c:v>-128.167823422588</c:v>
                </c:pt>
                <c:pt idx="201">
                  <c:v>-128.355391511131</c:v>
                </c:pt>
                <c:pt idx="202">
                  <c:v>-128.546730102235</c:v>
                </c:pt>
                <c:pt idx="203">
                  <c:v>-128.737815784676</c:v>
                </c:pt>
                <c:pt idx="204">
                  <c:v>-128.928647127774</c:v>
                </c:pt>
                <c:pt idx="205">
                  <c:v>-129.119222737329</c:v>
                </c:pt>
                <c:pt idx="206">
                  <c:v>-129.314196165946</c:v>
                </c:pt>
                <c:pt idx="207">
                  <c:v>-129.508898341341</c:v>
                </c:pt>
                <c:pt idx="208">
                  <c:v>-129.703327878914</c:v>
                </c:pt>
                <c:pt idx="209">
                  <c:v>-129.897483431192</c:v>
                </c:pt>
                <c:pt idx="210">
                  <c:v>-130.096653472873</c:v>
                </c:pt>
                <c:pt idx="211">
                  <c:v>-130.295531597688</c:v>
                </c:pt>
                <c:pt idx="212">
                  <c:v>-130.494116462421</c:v>
                </c:pt>
                <c:pt idx="213">
                  <c:v>-130.692406762074</c:v>
                </c:pt>
                <c:pt idx="214">
                  <c:v>-130.894344946928</c:v>
                </c:pt>
                <c:pt idx="215">
                  <c:v>-131.095974082301</c:v>
                </c:pt>
                <c:pt idx="216">
                  <c:v>-131.297292901724</c:v>
                </c:pt>
                <c:pt idx="217">
                  <c:v>-131.498300176965</c:v>
                </c:pt>
                <c:pt idx="218">
                  <c:v>-131.703567158493</c:v>
                </c:pt>
                <c:pt idx="219">
                  <c:v>-131.908505746899</c:v>
                </c:pt>
                <c:pt idx="220">
                  <c:v>-132.113114747414</c:v>
                </c:pt>
                <c:pt idx="221">
                  <c:v>-132.317393003984</c:v>
                </c:pt>
                <c:pt idx="222">
                  <c:v>-132.525882184262</c:v>
                </c:pt>
                <c:pt idx="223">
                  <c:v>-132.734023387017</c:v>
                </c:pt>
                <c:pt idx="224">
                  <c:v>-132.941815497827</c:v>
                </c:pt>
                <c:pt idx="225">
                  <c:v>-133.149257441391</c:v>
                </c:pt>
                <c:pt idx="226">
                  <c:v>-133.361504826567</c:v>
                </c:pt>
                <c:pt idx="227">
                  <c:v>-133.573382208707</c:v>
                </c:pt>
                <c:pt idx="228">
                  <c:v>-133.784888553152</c:v>
                </c:pt>
                <c:pt idx="229">
                  <c:v>-133.996022865179</c:v>
                </c:pt>
                <c:pt idx="230">
                  <c:v>-134.427393665635</c:v>
                </c:pt>
                <c:pt idx="231">
                  <c:v>-134.642489622988</c:v>
                </c:pt>
                <c:pt idx="232">
                  <c:v>-134.85719140078</c:v>
                </c:pt>
                <c:pt idx="233">
                  <c:v>-135.076580728973</c:v>
                </c:pt>
                <c:pt idx="234">
                  <c:v>-135.2955551525</c:v>
                </c:pt>
                <c:pt idx="235">
                  <c:v>-135.51411382975</c:v>
                </c:pt>
                <c:pt idx="236">
                  <c:v>-135.732255960381</c:v>
                </c:pt>
                <c:pt idx="237">
                  <c:v>-135.954394065112</c:v>
                </c:pt>
                <c:pt idx="238">
                  <c:v>-136.176096992989</c:v>
                </c:pt>
                <c:pt idx="239">
                  <c:v>-136.397364021628</c:v>
                </c:pt>
                <c:pt idx="240">
                  <c:v>-136.618194469941</c:v>
                </c:pt>
                <c:pt idx="241">
                  <c:v>-136.844217013652</c:v>
                </c:pt>
                <c:pt idx="242">
                  <c:v>-137.069779045247</c:v>
                </c:pt>
                <c:pt idx="243">
                  <c:v>-137.294879960085</c:v>
                </c:pt>
                <c:pt idx="244">
                  <c:v>-137.519519195676</c:v>
                </c:pt>
                <c:pt idx="245">
                  <c:v>-137.748658904395</c:v>
                </c:pt>
                <c:pt idx="246">
                  <c:v>-137.977315187593</c:v>
                </c:pt>
                <c:pt idx="247">
                  <c:v>-138.205487575622</c:v>
                </c:pt>
                <c:pt idx="248">
                  <c:v>-138.433175641223</c:v>
                </c:pt>
                <c:pt idx="249">
                  <c:v>-138.665914485716</c:v>
                </c:pt>
                <c:pt idx="250">
                  <c:v>-138.898144319147</c:v>
                </c:pt>
                <c:pt idx="251">
                  <c:v>-139.129864814936</c:v>
                </c:pt>
                <c:pt idx="252">
                  <c:v>-139.361075689432</c:v>
                </c:pt>
                <c:pt idx="253">
                  <c:v>-139.596653751003</c:v>
                </c:pt>
                <c:pt idx="254">
                  <c:v>-139.831699926899</c:v>
                </c:pt>
                <c:pt idx="255">
                  <c:v>-140.066214047866</c:v>
                </c:pt>
                <c:pt idx="256">
                  <c:v>-140.300195987493</c:v>
                </c:pt>
                <c:pt idx="257">
                  <c:v>-140.539686506564</c:v>
                </c:pt>
                <c:pt idx="258">
                  <c:v>-140.778616777836</c:v>
                </c:pt>
                <c:pt idx="259">
                  <c:v>-141.016986799361</c:v>
                </c:pt>
                <c:pt idx="260">
                  <c:v>-141.254796612644</c:v>
                </c:pt>
                <c:pt idx="261">
                  <c:v>-141.497431831261</c:v>
                </c:pt>
                <c:pt idx="262">
                  <c:v>-141.739481311066</c:v>
                </c:pt>
                <c:pt idx="263">
                  <c:v>-141.980945231259</c:v>
                </c:pt>
                <c:pt idx="264">
                  <c:v>-142.221823814441</c:v>
                </c:pt>
                <c:pt idx="265">
                  <c:v>-142.467450538435</c:v>
                </c:pt>
                <c:pt idx="266">
                  <c:v>-142.71246622628</c:v>
                </c:pt>
                <c:pt idx="267">
                  <c:v>-142.956871249963</c:v>
                </c:pt>
                <c:pt idx="268">
                  <c:v>-143.200666024608</c:v>
                </c:pt>
                <c:pt idx="269">
                  <c:v>-143.449717502397</c:v>
                </c:pt>
                <c:pt idx="270">
                  <c:v>-143.698129910084</c:v>
                </c:pt>
                <c:pt idx="271">
                  <c:v>-143.945903827634</c:v>
                </c:pt>
                <c:pt idx="272">
                  <c:v>-144.193039878049</c:v>
                </c:pt>
                <c:pt idx="273">
                  <c:v>-144.445344692649</c:v>
                </c:pt>
                <c:pt idx="274">
                  <c:v>-144.69698265164</c:v>
                </c:pt>
                <c:pt idx="275">
                  <c:v>-144.947954556336</c:v>
                </c:pt>
                <c:pt idx="276">
                  <c:v>-145.198261250707</c:v>
                </c:pt>
                <c:pt idx="277">
                  <c:v>-145.453073511303</c:v>
                </c:pt>
                <c:pt idx="278">
                  <c:v>-145.707194594162</c:v>
                </c:pt>
                <c:pt idx="279">
                  <c:v>-145.960625527294</c:v>
                </c:pt>
                <c:pt idx="280">
                  <c:v>-146.213367380325</c:v>
                </c:pt>
                <c:pt idx="281">
                  <c:v>-146.472239348497</c:v>
                </c:pt>
                <c:pt idx="282">
                  <c:v>-146.730386816597</c:v>
                </c:pt>
                <c:pt idx="283">
                  <c:v>-146.987811073266</c:v>
                </c:pt>
                <c:pt idx="284">
                  <c:v>-147.244513448536</c:v>
                </c:pt>
                <c:pt idx="285">
                  <c:v>-147.505551432798</c:v>
                </c:pt>
                <c:pt idx="286">
                  <c:v>-147.765841615377</c:v>
                </c:pt>
                <c:pt idx="287">
                  <c:v>-148.025385532237</c:v>
                </c:pt>
                <c:pt idx="288">
                  <c:v>-148.284184759098</c:v>
                </c:pt>
                <c:pt idx="289">
                  <c:v>-148.548904933688</c:v>
                </c:pt>
                <c:pt idx="290">
                  <c:v>-148.812844884424</c:v>
                </c:pt>
                <c:pt idx="291">
                  <c:v>-149.076006435053</c:v>
                </c:pt>
                <c:pt idx="292">
                  <c:v>-149.338391448139</c:v>
                </c:pt>
                <c:pt idx="293">
                  <c:v>-149.606038299622</c:v>
                </c:pt>
                <c:pt idx="294">
                  <c:v>-149.872876371875</c:v>
                </c:pt>
                <c:pt idx="295">
                  <c:v>-150.138907777665</c:v>
                </c:pt>
                <c:pt idx="296">
                  <c:v>-150.404134666923</c:v>
                </c:pt>
                <c:pt idx="297">
                  <c:v>-150.674522605427</c:v>
                </c:pt>
                <c:pt idx="298">
                  <c:v>-150.944073933834</c:v>
                </c:pt>
                <c:pt idx="299">
                  <c:v>-151.212791063372</c:v>
                </c:pt>
                <c:pt idx="300">
                  <c:v>-151.480676440423</c:v>
                </c:pt>
                <c:pt idx="301">
                  <c:v>-151.753622032967</c:v>
                </c:pt>
                <c:pt idx="302">
                  <c:v>-152.025703997628</c:v>
                </c:pt>
                <c:pt idx="303">
                  <c:v>-152.296925051921</c:v>
                </c:pt>
                <c:pt idx="304">
                  <c:v>-152.567287946134</c:v>
                </c:pt>
                <c:pt idx="305">
                  <c:v>-152.843667580606</c:v>
                </c:pt>
                <c:pt idx="306">
                  <c:v>-153.119150618993</c:v>
                </c:pt>
                <c:pt idx="307">
                  <c:v>-153.393740126488</c:v>
                </c:pt>
                <c:pt idx="308">
                  <c:v>-153.667439198789</c:v>
                </c:pt>
                <c:pt idx="309">
                  <c:v>-153.945990344329</c:v>
                </c:pt>
                <c:pt idx="310">
                  <c:v>-154.223619745839</c:v>
                </c:pt>
                <c:pt idx="311">
                  <c:v>-154.500330788558</c:v>
                </c:pt>
                <c:pt idx="312">
                  <c:v>-154.776126885088</c:v>
                </c:pt>
                <c:pt idx="313">
                  <c:v>-155.057704618267</c:v>
                </c:pt>
                <c:pt idx="314">
                  <c:v>-155.33832956111</c:v>
                </c:pt>
                <c:pt idx="315">
                  <c:v>-155.618005462471</c:v>
                </c:pt>
                <c:pt idx="316">
                  <c:v>-155.896736095439</c:v>
                </c:pt>
                <c:pt idx="317">
                  <c:v>-156.181127840061</c:v>
                </c:pt>
                <c:pt idx="318">
                  <c:v>-156.464536843461</c:v>
                </c:pt>
                <c:pt idx="319">
                  <c:v>-156.746967224638</c:v>
                </c:pt>
                <c:pt idx="320">
                  <c:v>-157.028423123261</c:v>
                </c:pt>
                <c:pt idx="321">
                  <c:v>-157.315420106862</c:v>
                </c:pt>
                <c:pt idx="322">
                  <c:v>-157.601405586052</c:v>
                </c:pt>
                <c:pt idx="323">
                  <c:v>-157.886384054211</c:v>
                </c:pt>
                <c:pt idx="324">
                  <c:v>-158.170360021394</c:v>
                </c:pt>
                <c:pt idx="325">
                  <c:v>-158.459757768078</c:v>
                </c:pt>
                <c:pt idx="326">
                  <c:v>-158.748116517095</c:v>
                </c:pt>
                <c:pt idx="327">
                  <c:v>-159.035441138113</c:v>
                </c:pt>
                <c:pt idx="328">
                  <c:v>-159.321736513083</c:v>
                </c:pt>
                <c:pt idx="329">
                  <c:v>-159.613822023597</c:v>
                </c:pt>
                <c:pt idx="330">
                  <c:v>-159.904838828314</c:v>
                </c:pt>
                <c:pt idx="331">
                  <c:v>-160.194792199151</c:v>
                </c:pt>
                <c:pt idx="332">
                  <c:v>-160.483687415593</c:v>
                </c:pt>
                <c:pt idx="333">
                  <c:v>-160.777765125608</c:v>
                </c:pt>
                <c:pt idx="334">
                  <c:v>-161.070749413048</c:v>
                </c:pt>
                <c:pt idx="335">
                  <c:v>-161.362645924275</c:v>
                </c:pt>
                <c:pt idx="336">
                  <c:v>-161.653460308083</c:v>
                </c:pt>
                <c:pt idx="337">
                  <c:v>-161.950286166024</c:v>
                </c:pt>
                <c:pt idx="338">
                  <c:v>-162.245988206555</c:v>
                </c:pt>
                <c:pt idx="339">
                  <c:v>-162.540572503323</c:v>
                </c:pt>
                <c:pt idx="340">
                  <c:v>-162.834045126939</c:v>
                </c:pt>
                <c:pt idx="341">
                  <c:v>-163.133393078632</c:v>
                </c:pt>
                <c:pt idx="342">
                  <c:v>-163.431588396757</c:v>
                </c:pt>
                <c:pt idx="343">
                  <c:v>-163.72863757972</c:v>
                </c:pt>
                <c:pt idx="344">
                  <c:v>-164.024547117015</c:v>
                </c:pt>
                <c:pt idx="345">
                  <c:v>-164.325739056862</c:v>
                </c:pt>
                <c:pt idx="346">
                  <c:v>-164.625754770004</c:v>
                </c:pt>
                <c:pt idx="347">
                  <c:v>-164.924601142822</c:v>
                </c:pt>
                <c:pt idx="348">
                  <c:v>-165.222285046655</c:v>
                </c:pt>
                <c:pt idx="349">
                  <c:v>-165.526031354997</c:v>
                </c:pt>
                <c:pt idx="350">
                  <c:v>-165.828572340527</c:v>
                </c:pt>
                <c:pt idx="351">
                  <c:v>-166.12991533283</c:v>
                </c:pt>
                <c:pt idx="352">
                  <c:v>-166.430067639836</c:v>
                </c:pt>
                <c:pt idx="353">
                  <c:v>-166.736140490193</c:v>
                </c:pt>
                <c:pt idx="354">
                  <c:v>-167.040980709013</c:v>
                </c:pt>
                <c:pt idx="355">
                  <c:v>-167.344596060829</c:v>
                </c:pt>
                <c:pt idx="356">
                  <c:v>-167.646994281586</c:v>
                </c:pt>
                <c:pt idx="357">
                  <c:v>-167.954736279848</c:v>
                </c:pt>
                <c:pt idx="358">
                  <c:v>-168.261223730053</c:v>
                </c:pt>
                <c:pt idx="359">
                  <c:v>-168.566464785936</c:v>
                </c:pt>
                <c:pt idx="360">
                  <c:v>-168.870467565656</c:v>
                </c:pt>
                <c:pt idx="361">
                  <c:v>-169.180546653995</c:v>
                </c:pt>
                <c:pt idx="362">
                  <c:v>-169.489343972335</c:v>
                </c:pt>
                <c:pt idx="363">
                  <c:v>-169.79686811987</c:v>
                </c:pt>
                <c:pt idx="364">
                  <c:v>-170.103127652636</c:v>
                </c:pt>
                <c:pt idx="365">
                  <c:v>-170.414894734694</c:v>
                </c:pt>
                <c:pt idx="366">
                  <c:v>-170.725358310421</c:v>
                </c:pt>
                <c:pt idx="367">
                  <c:v>-171.034527373666</c:v>
                </c:pt>
                <c:pt idx="368">
                  <c:v>-171.342410867611</c:v>
                </c:pt>
                <c:pt idx="369">
                  <c:v>-171.656500301769</c:v>
                </c:pt>
                <c:pt idx="370">
                  <c:v>-171.969259351847</c:v>
                </c:pt>
                <c:pt idx="371">
                  <c:v>-172.280697463159</c:v>
                </c:pt>
                <c:pt idx="372">
                  <c:v>-172.590824022166</c:v>
                </c:pt>
                <c:pt idx="373">
                  <c:v>-172.906596299581</c:v>
                </c:pt>
                <c:pt idx="374">
                  <c:v>-173.221016875627</c:v>
                </c:pt>
                <c:pt idx="375">
                  <c:v>-173.534095591239</c:v>
                </c:pt>
                <c:pt idx="376">
                  <c:v>-173.845842220532</c:v>
                </c:pt>
                <c:pt idx="377">
                  <c:v>-174.163899741367</c:v>
                </c:pt>
                <c:pt idx="378">
                  <c:v>-174.480579272127</c:v>
                </c:pt>
                <c:pt idx="379">
                  <c:v>-174.795891106129</c:v>
                </c:pt>
                <c:pt idx="380">
                  <c:v>-175.109845461156</c:v>
                </c:pt>
                <c:pt idx="381">
                  <c:v>-175.429164731641</c:v>
                </c:pt>
                <c:pt idx="382">
                  <c:v>-175.747088782944</c:v>
                </c:pt>
                <c:pt idx="383">
                  <c:v>-176.063628260579</c:v>
                </c:pt>
                <c:pt idx="384">
                  <c:v>-176.378793726602</c:v>
                </c:pt>
                <c:pt idx="385">
                  <c:v>-176.700355433201</c:v>
                </c:pt>
                <c:pt idx="386">
                  <c:v>-177.020496369124</c:v>
                </c:pt>
                <c:pt idx="387">
                  <c:v>-177.339227627538</c:v>
                </c:pt>
                <c:pt idx="388">
                  <c:v>-177.656560209051</c:v>
                </c:pt>
                <c:pt idx="389">
                  <c:v>-177.979747507516</c:v>
                </c:pt>
                <c:pt idx="390">
                  <c:v>-178.301494114418</c:v>
                </c:pt>
                <c:pt idx="391">
                  <c:v>-178.621811505571</c:v>
                </c:pt>
                <c:pt idx="392">
                  <c:v>-178.940711055668</c:v>
                </c:pt>
                <c:pt idx="393">
                  <c:v>-179.265318432661</c:v>
                </c:pt>
                <c:pt idx="394">
                  <c:v>-179.58846729494</c:v>
                </c:pt>
                <c:pt idx="395">
                  <c:v>-179.910169474289</c:v>
                </c:pt>
                <c:pt idx="396">
                  <c:v>-180.230436692991</c:v>
                </c:pt>
                <c:pt idx="397">
                  <c:v>-180.557003682101</c:v>
                </c:pt>
                <c:pt idx="398">
                  <c:v>-180.882089735188</c:v>
                </c:pt>
                <c:pt idx="399">
                  <c:v>-181.20570709442</c:v>
                </c:pt>
                <c:pt idx="400">
                  <c:v>-181.527867883282</c:v>
                </c:pt>
                <c:pt idx="401">
                  <c:v>-181.855807171346</c:v>
                </c:pt>
                <c:pt idx="402">
                  <c:v>-182.182248650231</c:v>
                </c:pt>
                <c:pt idx="403">
                  <c:v>-182.507204901899</c:v>
                </c:pt>
                <c:pt idx="404">
                  <c:v>-182.830688381235</c:v>
                </c:pt>
                <c:pt idx="405">
                  <c:v>-183.16015830675</c:v>
                </c:pt>
                <c:pt idx="406">
                  <c:v>-183.488112370547</c:v>
                </c:pt>
                <c:pt idx="407">
                  <c:v>-183.81456350586</c:v>
                </c:pt>
                <c:pt idx="408">
                  <c:v>-184.139524510217</c:v>
                </c:pt>
                <c:pt idx="409">
                  <c:v>-184.470667264725</c:v>
                </c:pt>
                <c:pt idx="410">
                  <c:v>-184.800275031188</c:v>
                </c:pt>
                <c:pt idx="411">
                  <c:v>-185.128361104635</c:v>
                </c:pt>
                <c:pt idx="412">
                  <c:v>-185.454938635531</c:v>
                </c:pt>
                <c:pt idx="413">
                  <c:v>-185.787539144727</c:v>
                </c:pt>
                <c:pt idx="414">
                  <c:v>-186.118587753078</c:v>
                </c:pt>
                <c:pt idx="415">
                  <c:v>-186.448098084973</c:v>
                </c:pt>
                <c:pt idx="416">
                  <c:v>-186.776083611777</c:v>
                </c:pt>
                <c:pt idx="417">
                  <c:v>-187.110272600737</c:v>
                </c:pt>
                <c:pt idx="418">
                  <c:v>-187.442891776681</c:v>
                </c:pt>
                <c:pt idx="419">
                  <c:v>-187.773955102164</c:v>
                </c:pt>
                <c:pt idx="420">
                  <c:v>-188.103476378068</c:v>
                </c:pt>
                <c:pt idx="421">
                  <c:v>-188.438711459468</c:v>
                </c:pt>
                <c:pt idx="422">
                  <c:v>-188.772364122676</c:v>
                </c:pt>
                <c:pt idx="423">
                  <c:v>-189.104448592443</c:v>
                </c:pt>
                <c:pt idx="424">
                  <c:v>-189.434978924345</c:v>
                </c:pt>
                <c:pt idx="425">
                  <c:v>-189.772044935914</c:v>
                </c:pt>
                <c:pt idx="426">
                  <c:v>-190.107508723652</c:v>
                </c:pt>
                <c:pt idx="427">
                  <c:v>-190.441384866066</c:v>
                </c:pt>
                <c:pt idx="428">
                  <c:v>-190.773687763507</c:v>
                </c:pt>
                <c:pt idx="429">
                  <c:v>-191.112038585656</c:v>
                </c:pt>
                <c:pt idx="430">
                  <c:v>-191.448772714652</c:v>
                </c:pt>
                <c:pt idx="431">
                  <c:v>-191.783905004831</c:v>
                </c:pt>
                <c:pt idx="432">
                  <c:v>-192.117450124634</c:v>
                </c:pt>
                <c:pt idx="433">
                  <c:v>-192.456885619583</c:v>
                </c:pt>
                <c:pt idx="434">
                  <c:v>-192.79469203845</c:v>
                </c:pt>
                <c:pt idx="435">
                  <c:v>-193.130884476061</c:v>
                </c:pt>
                <c:pt idx="436">
                  <c:v>-193.465477834214</c:v>
                </c:pt>
                <c:pt idx="437">
                  <c:v>-193.806418207161</c:v>
                </c:pt>
                <c:pt idx="438">
                  <c:v>-194.145713240346</c:v>
                </c:pt>
                <c:pt idx="439">
                  <c:v>-194.483378316268</c:v>
                </c:pt>
                <c:pt idx="440">
                  <c:v>-194.819428616479</c:v>
                </c:pt>
                <c:pt idx="441">
                  <c:v>-195.161659002428</c:v>
                </c:pt>
                <c:pt idx="442">
                  <c:v>-195.502229960563</c:v>
                </c:pt>
                <c:pt idx="443">
                  <c:v>-195.841157123998</c:v>
                </c:pt>
                <c:pt idx="444">
                  <c:v>-196.17845591764</c:v>
                </c:pt>
                <c:pt idx="445">
                  <c:v>-196.521772159771</c:v>
                </c:pt>
                <c:pt idx="446">
                  <c:v>-196.863416960773</c:v>
                </c:pt>
                <c:pt idx="447">
                  <c:v>-197.203406167819</c:v>
                </c:pt>
                <c:pt idx="448">
                  <c:v>-197.541755413301</c:v>
                </c:pt>
                <c:pt idx="449">
                  <c:v>-197.886539372619</c:v>
                </c:pt>
                <c:pt idx="450">
                  <c:v>-198.229636230669</c:v>
                </c:pt>
                <c:pt idx="451">
                  <c:v>-198.571062093098</c:v>
                </c:pt>
                <c:pt idx="452">
                  <c:v>-198.910832843433</c:v>
                </c:pt>
                <c:pt idx="453">
                  <c:v>-199.256585114611</c:v>
                </c:pt>
                <c:pt idx="454">
                  <c:v>-199.600639535011</c:v>
                </c:pt>
                <c:pt idx="455">
                  <c:v>-199.943012391029</c:v>
                </c:pt>
                <c:pt idx="456">
                  <c:v>-200.283719741088</c:v>
                </c:pt>
                <c:pt idx="457">
                  <c:v>-200.630803885427</c:v>
                </c:pt>
                <c:pt idx="458">
                  <c:v>-200.976175877983</c:v>
                </c:pt>
                <c:pt idx="459">
                  <c:v>-201.319852229026</c:v>
                </c:pt>
                <c:pt idx="460">
                  <c:v>-201.661849214256</c:v>
                </c:pt>
                <c:pt idx="461">
                  <c:v>-202.010052709061</c:v>
                </c:pt>
                <c:pt idx="462">
                  <c:v>-202.356531812929</c:v>
                </c:pt>
                <c:pt idx="463">
                  <c:v>-202.701303222393</c:v>
                </c:pt>
                <c:pt idx="464">
                  <c:v>-203.044383393589</c:v>
                </c:pt>
                <c:pt idx="465">
                  <c:v>-203.393770270184</c:v>
                </c:pt>
                <c:pt idx="466">
                  <c:v>-203.741419825987</c:v>
                </c:pt>
                <c:pt idx="467">
                  <c:v>-204.087348945733</c:v>
                </c:pt>
                <c:pt idx="468">
                  <c:v>-204.431574267973</c:v>
                </c:pt>
                <c:pt idx="469">
                  <c:v>-204.781936933423</c:v>
                </c:pt>
                <c:pt idx="470">
                  <c:v>-205.130551318323</c:v>
                </c:pt>
                <c:pt idx="471">
                  <c:v>-205.477434458762</c:v>
                </c:pt>
                <c:pt idx="472">
                  <c:v>-205.822603139658</c:v>
                </c:pt>
                <c:pt idx="473">
                  <c:v>-206.174255563034</c:v>
                </c:pt>
                <c:pt idx="474">
                  <c:v>-206.524145489283</c:v>
                </c:pt>
                <c:pt idx="475">
                  <c:v>-206.872290145145</c:v>
                </c:pt>
                <c:pt idx="476">
                  <c:v>-207.218706500513</c:v>
                </c:pt>
                <c:pt idx="477">
                  <c:v>-207.571430741872</c:v>
                </c:pt>
                <c:pt idx="478">
                  <c:v>-207.922380274185</c:v>
                </c:pt>
                <c:pt idx="479">
                  <c:v>-208.271572477328</c:v>
                </c:pt>
                <c:pt idx="480">
                  <c:v>-208.619024469491</c:v>
                </c:pt>
                <c:pt idx="481">
                  <c:v>-208.972613011157</c:v>
                </c:pt>
                <c:pt idx="482">
                  <c:v>-209.324416517518</c:v>
                </c:pt>
                <c:pt idx="483">
                  <c:v>-209.674452485668</c:v>
                </c:pt>
                <c:pt idx="484">
                  <c:v>-210.022738146993</c:v>
                </c:pt>
                <c:pt idx="485">
                  <c:v>-210.377234177146</c:v>
                </c:pt>
                <c:pt idx="486">
                  <c:v>-210.729934179546</c:v>
                </c:pt>
                <c:pt idx="487">
                  <c:v>-211.080855770032</c:v>
                </c:pt>
                <c:pt idx="488">
                  <c:v>-211.430016294803</c:v>
                </c:pt>
                <c:pt idx="489">
                  <c:v>-211.785689156942</c:v>
                </c:pt>
                <c:pt idx="490">
                  <c:v>-212.139551990777</c:v>
                </c:pt>
                <c:pt idx="491">
                  <c:v>-212.491622566914</c:v>
                </c:pt>
                <c:pt idx="492">
                  <c:v>-212.841918381772</c:v>
                </c:pt>
                <c:pt idx="493">
                  <c:v>-213.198546804418</c:v>
                </c:pt>
                <c:pt idx="494">
                  <c:v>-213.553353112977</c:v>
                </c:pt>
                <c:pt idx="495">
                  <c:v>-213.906355196666</c:v>
                </c:pt>
                <c:pt idx="496">
                  <c:v>-214.257570666816</c:v>
                </c:pt>
                <c:pt idx="497">
                  <c:v>-214.615170003351</c:v>
                </c:pt>
                <c:pt idx="498">
                  <c:v>-214.970934617709</c:v>
                </c:pt>
                <c:pt idx="499">
                  <c:v>-215.324882517495</c:v>
                </c:pt>
                <c:pt idx="500">
                  <c:v>-215.677031428879</c:v>
                </c:pt>
                <c:pt idx="501">
                  <c:v>-216.035608376999</c:v>
                </c:pt>
                <c:pt idx="502">
                  <c:v>-216.392337514752</c:v>
                </c:pt>
                <c:pt idx="503">
                  <c:v>-216.747236967475</c:v>
                </c:pt>
                <c:pt idx="504">
                  <c:v>-217.100324575663</c:v>
                </c:pt>
                <c:pt idx="505">
                  <c:v>-217.459660157734</c:v>
                </c:pt>
                <c:pt idx="506">
                  <c:v>-217.817136644948</c:v>
                </c:pt>
                <c:pt idx="507">
                  <c:v>-218.172772246459</c:v>
                </c:pt>
                <c:pt idx="508">
                  <c:v>-218.526584884032</c:v>
                </c:pt>
                <c:pt idx="509">
                  <c:v>-218.886682807239</c:v>
                </c:pt>
                <c:pt idx="510">
                  <c:v>-219.244909831574</c:v>
                </c:pt>
                <c:pt idx="511">
                  <c:v>-219.601284250536</c:v>
                </c:pt>
                <c:pt idx="512">
                  <c:v>-219.955824067834</c:v>
                </c:pt>
                <c:pt idx="513">
                  <c:v>-220.316888414151</c:v>
                </c:pt>
                <c:pt idx="514">
                  <c:v>-220.676067405643</c:v>
                </c:pt>
                <c:pt idx="515">
                  <c:v>-221.033379452126</c:v>
                </c:pt>
                <c:pt idx="516">
                  <c:v>-221.388842670718</c:v>
                </c:pt>
                <c:pt idx="517">
                  <c:v>-221.750644008232</c:v>
                </c:pt>
                <c:pt idx="518">
                  <c:v>-222.110547341834</c:v>
                </c:pt>
                <c:pt idx="519">
                  <c:v>-222.468571164785</c:v>
                </c:pt>
                <c:pt idx="520">
                  <c:v>-222.824733675611</c:v>
                </c:pt>
                <c:pt idx="521">
                  <c:v>-223.187252369568</c:v>
                </c:pt>
                <c:pt idx="522">
                  <c:v>-223.547860001977</c:v>
                </c:pt>
                <c:pt idx="523">
                  <c:v>-223.906575149555</c:v>
                </c:pt>
                <c:pt idx="524">
                  <c:v>-224.263416092421</c:v>
                </c:pt>
                <c:pt idx="525">
                  <c:v>-224.626625228634</c:v>
                </c:pt>
                <c:pt idx="526">
                  <c:v>-224.987909871986</c:v>
                </c:pt>
                <c:pt idx="527">
                  <c:v>-225.347288682627</c:v>
                </c:pt>
                <c:pt idx="528">
                  <c:v>-225.704780022438</c:v>
                </c:pt>
                <c:pt idx="529">
                  <c:v>-226.068645681375</c:v>
                </c:pt>
                <c:pt idx="530">
                  <c:v>-226.430573076449</c:v>
                </c:pt>
                <c:pt idx="531">
                  <c:v>-226.790580951256</c:v>
                </c:pt>
                <c:pt idx="532">
                  <c:v>-227.148687749643</c:v>
                </c:pt>
                <c:pt idx="533">
                  <c:v>-227.513356936473</c:v>
                </c:pt>
                <c:pt idx="534">
                  <c:v>-227.87607177562</c:v>
                </c:pt>
                <c:pt idx="535">
                  <c:v>-228.236851123177</c:v>
                </c:pt>
                <c:pt idx="536">
                  <c:v>-228.595713533596</c:v>
                </c:pt>
                <c:pt idx="537">
                  <c:v>-228.960759804237</c:v>
                </c:pt>
                <c:pt idx="538">
                  <c:v>-229.323839422019</c:v>
                </c:pt>
                <c:pt idx="539">
                  <c:v>-229.684971297315</c:v>
                </c:pt>
                <c:pt idx="540">
                  <c:v>-230.044174038406</c:v>
                </c:pt>
                <c:pt idx="541">
                  <c:v>-230.409915526563</c:v>
                </c:pt>
                <c:pt idx="542">
                  <c:v>-230.773673826382</c:v>
                </c:pt>
                <c:pt idx="543">
                  <c:v>-231.135467960456</c:v>
                </c:pt>
                <c:pt idx="544">
                  <c:v>-231.495316647821</c:v>
                </c:pt>
                <c:pt idx="545">
                  <c:v>-231.861506560627</c:v>
                </c:pt>
                <c:pt idx="546">
                  <c:v>-232.225698555742</c:v>
                </c:pt>
                <c:pt idx="547">
                  <c:v>-232.587911739739</c:v>
                </c:pt>
                <c:pt idx="548">
                  <c:v>-232.948164914981</c:v>
                </c:pt>
                <c:pt idx="549">
                  <c:v>-233.31473843102</c:v>
                </c:pt>
                <c:pt idx="550">
                  <c:v>-233.679299126816</c:v>
                </c:pt>
                <c:pt idx="551">
                  <c:v>-234.041866194001</c:v>
                </c:pt>
                <c:pt idx="552">
                  <c:v>-234.402458519536</c:v>
                </c:pt>
                <c:pt idx="553">
                  <c:v>-234.769513746457</c:v>
                </c:pt>
                <c:pt idx="554">
                  <c:v>-235.134539255016</c:v>
                </c:pt>
                <c:pt idx="555">
                  <c:v>-235.497554349728</c:v>
                </c:pt>
                <c:pt idx="556">
                  <c:v>-235.858578029597</c:v>
                </c:pt>
                <c:pt idx="557">
                  <c:v>-236.591432266713</c:v>
                </c:pt>
                <c:pt idx="558">
                  <c:v>-237.31617736189</c:v>
                </c:pt>
                <c:pt idx="559">
                  <c:v>-238.049302646528</c:v>
                </c:pt>
                <c:pt idx="560">
                  <c:v>-238.77425882224</c:v>
                </c:pt>
                <c:pt idx="561">
                  <c:v>-239.50811215475</c:v>
                </c:pt>
                <c:pt idx="562">
                  <c:v>-240.233722302209</c:v>
                </c:pt>
                <c:pt idx="563">
                  <c:v>-240.966552680888</c:v>
                </c:pt>
                <c:pt idx="564">
                  <c:v>-241.691101051102</c:v>
                </c:pt>
                <c:pt idx="565">
                  <c:v>-242.425478392718</c:v>
                </c:pt>
                <c:pt idx="566">
                  <c:v>-243.151472944761</c:v>
                </c:pt>
                <c:pt idx="567">
                  <c:v>-243.886787992049</c:v>
                </c:pt>
                <c:pt idx="568">
                  <c:v>-244.613628520239</c:v>
                </c:pt>
                <c:pt idx="569">
                  <c:v>-245.346438533478</c:v>
                </c:pt>
                <c:pt idx="570">
                  <c:v>-246.070757195282</c:v>
                </c:pt>
                <c:pt idx="571">
                  <c:v>-246.80627989976</c:v>
                </c:pt>
                <c:pt idx="572">
                  <c:v>-247.533169519243</c:v>
                </c:pt>
                <c:pt idx="573">
                  <c:v>-248.265215105896</c:v>
                </c:pt>
                <c:pt idx="574">
                  <c:v>-248.988625737043</c:v>
                </c:pt>
                <c:pt idx="575">
                  <c:v>-249.722191988952</c:v>
                </c:pt>
                <c:pt idx="576">
                  <c:v>-250.446999899125</c:v>
                </c:pt>
                <c:pt idx="577">
                  <c:v>-253.422152257975</c:v>
                </c:pt>
                <c:pt idx="578">
                  <c:v>-256.254557860329</c:v>
                </c:pt>
                <c:pt idx="579">
                  <c:v>-262.01039036817</c:v>
                </c:pt>
                <c:pt idx="580">
                  <c:v>-267.700047753231</c:v>
                </c:pt>
                <c:pt idx="581">
                  <c:v>-273.290258697946</c:v>
                </c:pt>
                <c:pt idx="582">
                  <c:v>-278.759296048046</c:v>
                </c:pt>
                <c:pt idx="583">
                  <c:v>-284.078406615034</c:v>
                </c:pt>
                <c:pt idx="584">
                  <c:v>-289.228358962135</c:v>
                </c:pt>
                <c:pt idx="585">
                  <c:v>-294.18525061514</c:v>
                </c:pt>
                <c:pt idx="586">
                  <c:v>-298.932025924933</c:v>
                </c:pt>
                <c:pt idx="587">
                  <c:v>-303.456787235723</c:v>
                </c:pt>
                <c:pt idx="588">
                  <c:v>-307.744779730677</c:v>
                </c:pt>
                <c:pt idx="589">
                  <c:v>-311.792994000496</c:v>
                </c:pt>
                <c:pt idx="590">
                  <c:v>-315.59707046907</c:v>
                </c:pt>
                <c:pt idx="591">
                  <c:v>-319.158088134388</c:v>
                </c:pt>
                <c:pt idx="592">
                  <c:v>-322.479367890468</c:v>
                </c:pt>
                <c:pt idx="593">
                  <c:v>-325.56818299147</c:v>
                </c:pt>
                <c:pt idx="594">
                  <c:v>-328.432019239264</c:v>
                </c:pt>
                <c:pt idx="595">
                  <c:v>-331.081300496665</c:v>
                </c:pt>
                <c:pt idx="596">
                  <c:v>-333.526389486213</c:v>
                </c:pt>
                <c:pt idx="597">
                  <c:v>-335.77935705401</c:v>
                </c:pt>
                <c:pt idx="598">
                  <c:v>-337.851509933386</c:v>
                </c:pt>
                <c:pt idx="599">
                  <c:v>-339.755272937355</c:v>
                </c:pt>
                <c:pt idx="600">
                  <c:v>-341.502043349849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"Fc1"</c:f>
              <c:strCache>
                <c:ptCount val="1"/>
                <c:pt idx="0">
                  <c:v>Fc1</c:v>
                </c:pt>
              </c:strCache>
            </c:strRef>
          </c:tx>
          <c:spPr>
            <a:solidFill>
              <a:srgbClr val="808080"/>
            </a:solidFill>
            <a:ln w="25560">
              <a:solidFill>
                <a:srgbClr val="808080"/>
              </a:solidFill>
              <a:prstDash val="sysDash"/>
              <a:round/>
            </a:ln>
          </c:spPr>
          <c:marker>
            <c:symbol val="plus"/>
            <c:size val="10"/>
            <c:spPr>
              <a:solidFill>
                <a:srgbClr val="808080"/>
              </a:solidFill>
            </c:spPr>
          </c:marker>
          <c:dLbls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'Stability Calculations'!$A$617:$A$618</c:f>
              <c:numCache>
                <c:formatCode>General</c:formatCode>
                <c:ptCount val="2"/>
                <c:pt idx="0">
                  <c:v>4786.3</c:v>
                </c:pt>
                <c:pt idx="1">
                  <c:v>4786.3</c:v>
                </c:pt>
              </c:numCache>
            </c:numRef>
          </c:xVal>
          <c:yVal>
            <c:numRef>
              <c:f>'Stability Calculations'!$R$617:$R$618</c:f>
              <c:numCache>
                <c:formatCode>0.00</c:formatCode>
                <c:ptCount val="2"/>
                <c:pt idx="0">
                  <c:v>-107.503491513567</c:v>
                </c:pt>
                <c:pt idx="1">
                  <c:v>-90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"Fc2"</c:f>
              <c:strCache>
                <c:ptCount val="1"/>
                <c:pt idx="0">
                  <c:v>Fc2</c:v>
                </c:pt>
              </c:strCache>
            </c:strRef>
          </c:tx>
          <c:spPr>
            <a:solidFill>
              <a:srgbClr val="808080"/>
            </a:solidFill>
            <a:ln w="22320">
              <a:solidFill>
                <a:srgbClr val="808080"/>
              </a:solidFill>
              <a:prstDash val="sys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1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232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'Stability Calculations'!$A$619:$A$620</c:f>
              <c:numCache>
                <c:formatCode>General</c:formatCode>
                <c:ptCount val="2"/>
                <c:pt idx="0">
                  <c:v>4786.3</c:v>
                </c:pt>
                <c:pt idx="1">
                  <c:v>1000000</c:v>
                </c:pt>
              </c:numCache>
            </c:numRef>
          </c:xVal>
          <c:yVal>
            <c:numRef>
              <c:f>'Stability Calculations'!$R$619:$R$620</c:f>
              <c:numCache>
                <c:formatCode>0.00</c:formatCode>
                <c:ptCount val="2"/>
                <c:pt idx="0">
                  <c:v>-107.503491513567</c:v>
                </c:pt>
                <c:pt idx="1">
                  <c:v>-107.503491513567</c:v>
                </c:pt>
              </c:numCache>
            </c:numRef>
          </c:yVal>
          <c:smooth val="1"/>
        </c:ser>
        <c:axId val="58547617"/>
        <c:axId val="40581311"/>
      </c:scatterChart>
      <c:valAx>
        <c:axId val="35311633"/>
        <c:scaling>
          <c:logBase val="10"/>
          <c:orientation val="minMax"/>
          <c:max val="1000000"/>
          <c:min val="1"/>
        </c:scaling>
        <c:delete val="0"/>
        <c:axPos val="b"/>
        <c:majorGridlines>
          <c:spPr>
            <a:ln w="3240">
              <a:solidFill>
                <a:srgbClr val="969696"/>
              </a:solidFill>
              <a:round/>
            </a:ln>
          </c:spPr>
        </c:majorGridlines>
        <c:minorGridlines>
          <c:spPr>
            <a:ln w="3240">
              <a:solidFill>
                <a:srgbClr val="969696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000000"/>
                    </a:solidFill>
                    <a:uFillTx/>
                    <a:latin typeface="Arial"/>
                    <a:ea typeface="Calibri"/>
                  </a:rPr>
                  <a:t>Frequency (Hz)</a:t>
                </a:r>
              </a:p>
            </c:rich>
          </c:tx>
          <c:layout>
            <c:manualLayout>
              <c:xMode val="edge"/>
              <c:yMode val="edge"/>
              <c:x val="0.431304546667175"/>
              <c:y val="0.938198861734181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000000"/>
                </a:solidFill>
                <a:uFillTx/>
                <a:latin typeface="Arial"/>
                <a:ea typeface="Calibri"/>
              </a:defRPr>
            </a:pPr>
          </a:p>
        </c:txPr>
        <c:crossAx val="19659792"/>
        <c:crossesAt val="-80"/>
        <c:crossBetween val="midCat"/>
      </c:valAx>
      <c:valAx>
        <c:axId val="19659792"/>
        <c:scaling>
          <c:orientation val="minMax"/>
          <c:max val="80"/>
          <c:min val="-80"/>
        </c:scaling>
        <c:delete val="0"/>
        <c:axPos val="l"/>
        <c:majorGridlines>
          <c:spPr>
            <a:ln w="3240">
              <a:solidFill>
                <a:srgbClr val="969696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ff0000"/>
                    </a:solidFill>
                    <a:uFillTx/>
                    <a:latin typeface="Arial"/>
                    <a:ea typeface="Calibri"/>
                  </a:rPr>
                  <a:t>Loop Gain (dB)</a:t>
                </a:r>
              </a:p>
            </c:rich>
          </c:tx>
          <c:layout>
            <c:manualLayout>
              <c:xMode val="edge"/>
              <c:yMode val="edge"/>
              <c:x val="0.0179884904150311"/>
              <c:y val="0.374020756611985"/>
            </c:manualLayout>
          </c:layout>
          <c:overlay val="0"/>
          <c:spPr>
            <a:noFill/>
            <a:ln w="2556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ff0000"/>
                </a:solidFill>
                <a:uFillTx/>
                <a:latin typeface="Arial"/>
                <a:ea typeface="Calibri"/>
              </a:defRPr>
            </a:pPr>
          </a:p>
        </c:txPr>
        <c:crossAx val="35311633"/>
        <c:crossesAt val="0.01"/>
        <c:crossBetween val="midCat"/>
        <c:majorUnit val="20"/>
      </c:valAx>
      <c:valAx>
        <c:axId val="58547617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1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40581311"/>
        <c:crossBetween val="midCat"/>
      </c:valAx>
      <c:valAx>
        <c:axId val="40581311"/>
        <c:scaling>
          <c:orientation val="minMax"/>
          <c:max val="0"/>
          <c:min val="-180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002060"/>
                    </a:solidFill>
                    <a:uFillTx/>
                    <a:latin typeface="Arial"/>
                    <a:ea typeface="Calibri"/>
                  </a:rPr>
                  <a:t>Loop Phase  (°)</a:t>
                </a:r>
              </a:p>
            </c:rich>
          </c:tx>
          <c:layout>
            <c:manualLayout>
              <c:xMode val="edge"/>
              <c:yMode val="edge"/>
              <c:x val="0.964899576965586"/>
              <c:y val="0.367525945764982"/>
            </c:manualLayout>
          </c:layout>
          <c:overlay val="0"/>
          <c:spPr>
            <a:noFill/>
            <a:ln w="2556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050" strike="noStrike" u="none">
                <a:solidFill>
                  <a:srgbClr val="002060"/>
                </a:solidFill>
                <a:uFillTx/>
                <a:latin typeface="Arial"/>
                <a:ea typeface="Calibri"/>
              </a:defRPr>
            </a:pPr>
          </a:p>
        </c:txPr>
        <c:crossAx val="58547617"/>
        <c:crosses val="max"/>
        <c:crossBetween val="midCat"/>
        <c:majorUnit val="45"/>
      </c:valAx>
      <c:spPr>
        <a:noFill/>
        <a:ln w="12600">
          <a:solidFill>
            <a:srgbClr val="808080"/>
          </a:solidFill>
          <a:round/>
        </a:ln>
      </c:spPr>
    </c:plotArea>
    <c:plotVisOnly val="1"/>
    <c:dispBlanksAs val="span"/>
  </c:chart>
  <c:spPr>
    <a:noFill/>
    <a:ln w="9360">
      <a:solidFill>
        <a:srgbClr val="808080"/>
      </a:solidFill>
      <a:round/>
    </a:ln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</a:t>
            </a: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,  V</a:t>
            </a:r>
            <a:r>
              <a:rPr b="1" lang="en-US" sz="2000" strike="noStrike" u="none" baseline="-25000">
                <a:solidFill>
                  <a:srgbClr val="000000"/>
                </a:solidFill>
                <a:uFillTx/>
                <a:latin typeface="Arial"/>
                <a:ea typeface="Calibri"/>
              </a:rPr>
              <a:t>IN</a:t>
            </a: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 = V</a:t>
            </a:r>
            <a:r>
              <a:rPr b="1" lang="en-US" sz="2000" strike="noStrike" u="none" baseline="-25000">
                <a:solidFill>
                  <a:srgbClr val="000000"/>
                </a:solidFill>
                <a:uFillTx/>
                <a:latin typeface="Arial"/>
                <a:ea typeface="Calibri"/>
              </a:rPr>
              <a:t>IN(nom)</a:t>
            </a:r>
          </a:p>
        </c:rich>
      </c:tx>
      <c:layout>
        <c:manualLayout>
          <c:xMode val="edge"/>
          <c:yMode val="edge"/>
          <c:x val="0.0770525942664717"/>
          <c:y val="0.0141819197987984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24139306127875"/>
          <c:y val="0.123725024451586"/>
          <c:w val="0.825778723027161"/>
          <c:h val="0.76065390526757"/>
        </c:manualLayout>
      </c:layout>
      <c:lineChart>
        <c:grouping val="standard"/>
        <c:varyColors val="0"/>
        <c:ser>
          <c:idx val="0"/>
          <c:order val="0"/>
          <c:tx>
            <c:strRef>
              <c:f>"Efficiency"</c:f>
              <c:strCache>
                <c:ptCount val="1"/>
                <c:pt idx="0">
                  <c:v>Efficiency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'Efficiency vs Load Calculations'!$K$9:$K$109</c:f>
              <c:strCache>
                <c:ptCount val="101"/>
                <c:pt idx="0">
                  <c:v>0</c:v>
                </c:pt>
                <c:pt idx="1">
                  <c:v>0.060</c:v>
                </c:pt>
                <c:pt idx="2">
                  <c:v>0.120</c:v>
                </c:pt>
                <c:pt idx="3">
                  <c:v>0.180</c:v>
                </c:pt>
                <c:pt idx="4">
                  <c:v>0.240</c:v>
                </c:pt>
                <c:pt idx="5">
                  <c:v>0.300</c:v>
                </c:pt>
                <c:pt idx="6">
                  <c:v>0.360</c:v>
                </c:pt>
                <c:pt idx="7">
                  <c:v>0.420</c:v>
                </c:pt>
                <c:pt idx="8">
                  <c:v>0.480</c:v>
                </c:pt>
                <c:pt idx="9">
                  <c:v>0.540</c:v>
                </c:pt>
                <c:pt idx="10">
                  <c:v>0.600</c:v>
                </c:pt>
                <c:pt idx="11">
                  <c:v>0.660</c:v>
                </c:pt>
                <c:pt idx="12">
                  <c:v>0.720</c:v>
                </c:pt>
                <c:pt idx="13">
                  <c:v>0.780</c:v>
                </c:pt>
                <c:pt idx="14">
                  <c:v>0.840</c:v>
                </c:pt>
                <c:pt idx="15">
                  <c:v>0.900</c:v>
                </c:pt>
                <c:pt idx="16">
                  <c:v>0.960</c:v>
                </c:pt>
                <c:pt idx="17">
                  <c:v>1.020</c:v>
                </c:pt>
                <c:pt idx="18">
                  <c:v>1.080</c:v>
                </c:pt>
                <c:pt idx="19">
                  <c:v>1.140</c:v>
                </c:pt>
                <c:pt idx="20">
                  <c:v>1.200</c:v>
                </c:pt>
                <c:pt idx="21">
                  <c:v>1.260</c:v>
                </c:pt>
                <c:pt idx="22">
                  <c:v>1.320</c:v>
                </c:pt>
                <c:pt idx="23">
                  <c:v>1.380</c:v>
                </c:pt>
                <c:pt idx="24">
                  <c:v>1.440</c:v>
                </c:pt>
                <c:pt idx="25">
                  <c:v>1.500</c:v>
                </c:pt>
                <c:pt idx="26">
                  <c:v>1.560</c:v>
                </c:pt>
                <c:pt idx="27">
                  <c:v>1.620</c:v>
                </c:pt>
                <c:pt idx="28">
                  <c:v>1.680</c:v>
                </c:pt>
                <c:pt idx="29">
                  <c:v>1.740</c:v>
                </c:pt>
                <c:pt idx="30">
                  <c:v>1.800</c:v>
                </c:pt>
                <c:pt idx="31">
                  <c:v>1.860</c:v>
                </c:pt>
                <c:pt idx="32">
                  <c:v>1.920</c:v>
                </c:pt>
                <c:pt idx="33">
                  <c:v>1.980</c:v>
                </c:pt>
                <c:pt idx="34">
                  <c:v>2.040</c:v>
                </c:pt>
                <c:pt idx="35">
                  <c:v>2.100</c:v>
                </c:pt>
                <c:pt idx="36">
                  <c:v>2.160</c:v>
                </c:pt>
                <c:pt idx="37">
                  <c:v>2.220</c:v>
                </c:pt>
                <c:pt idx="38">
                  <c:v>2.280</c:v>
                </c:pt>
                <c:pt idx="39">
                  <c:v>2.340</c:v>
                </c:pt>
                <c:pt idx="40">
                  <c:v>2.400</c:v>
                </c:pt>
                <c:pt idx="41">
                  <c:v>2.460</c:v>
                </c:pt>
                <c:pt idx="42">
                  <c:v>2.520</c:v>
                </c:pt>
                <c:pt idx="43">
                  <c:v>2.580</c:v>
                </c:pt>
                <c:pt idx="44">
                  <c:v>2.640</c:v>
                </c:pt>
                <c:pt idx="45">
                  <c:v>2.700</c:v>
                </c:pt>
                <c:pt idx="46">
                  <c:v>2.760</c:v>
                </c:pt>
                <c:pt idx="47">
                  <c:v>2.820</c:v>
                </c:pt>
                <c:pt idx="48">
                  <c:v>2.880</c:v>
                </c:pt>
                <c:pt idx="49">
                  <c:v>2.940</c:v>
                </c:pt>
                <c:pt idx="50">
                  <c:v>3.000</c:v>
                </c:pt>
                <c:pt idx="51">
                  <c:v>3.060</c:v>
                </c:pt>
                <c:pt idx="52">
                  <c:v>3.120</c:v>
                </c:pt>
                <c:pt idx="53">
                  <c:v>3.180</c:v>
                </c:pt>
                <c:pt idx="54">
                  <c:v>3.240</c:v>
                </c:pt>
                <c:pt idx="55">
                  <c:v>3.300</c:v>
                </c:pt>
                <c:pt idx="56">
                  <c:v>3.360</c:v>
                </c:pt>
                <c:pt idx="57">
                  <c:v>3.420</c:v>
                </c:pt>
                <c:pt idx="58">
                  <c:v>3.480</c:v>
                </c:pt>
                <c:pt idx="59">
                  <c:v>3.540</c:v>
                </c:pt>
                <c:pt idx="60">
                  <c:v>3.600</c:v>
                </c:pt>
                <c:pt idx="61">
                  <c:v>3.660</c:v>
                </c:pt>
                <c:pt idx="62">
                  <c:v>3.720</c:v>
                </c:pt>
                <c:pt idx="63">
                  <c:v>3.780</c:v>
                </c:pt>
                <c:pt idx="64">
                  <c:v>3.840</c:v>
                </c:pt>
                <c:pt idx="65">
                  <c:v>3.900</c:v>
                </c:pt>
                <c:pt idx="66">
                  <c:v>3.960</c:v>
                </c:pt>
                <c:pt idx="67">
                  <c:v>4.020</c:v>
                </c:pt>
                <c:pt idx="68">
                  <c:v>4.080</c:v>
                </c:pt>
                <c:pt idx="69">
                  <c:v>4.140</c:v>
                </c:pt>
                <c:pt idx="70">
                  <c:v>4.200</c:v>
                </c:pt>
                <c:pt idx="71">
                  <c:v>4.260</c:v>
                </c:pt>
                <c:pt idx="72">
                  <c:v>4.320</c:v>
                </c:pt>
                <c:pt idx="73">
                  <c:v>4.380</c:v>
                </c:pt>
                <c:pt idx="74">
                  <c:v>4.440</c:v>
                </c:pt>
                <c:pt idx="75">
                  <c:v>4.500</c:v>
                </c:pt>
                <c:pt idx="76">
                  <c:v>4.560</c:v>
                </c:pt>
                <c:pt idx="77">
                  <c:v>4.620</c:v>
                </c:pt>
                <c:pt idx="78">
                  <c:v>4.680</c:v>
                </c:pt>
                <c:pt idx="79">
                  <c:v>4.740</c:v>
                </c:pt>
                <c:pt idx="80">
                  <c:v>4.800</c:v>
                </c:pt>
                <c:pt idx="81">
                  <c:v>4.860</c:v>
                </c:pt>
                <c:pt idx="82">
                  <c:v>4.920</c:v>
                </c:pt>
                <c:pt idx="83">
                  <c:v>4.980</c:v>
                </c:pt>
                <c:pt idx="84">
                  <c:v>5.040</c:v>
                </c:pt>
                <c:pt idx="85">
                  <c:v>5.100</c:v>
                </c:pt>
                <c:pt idx="86">
                  <c:v>5.160</c:v>
                </c:pt>
                <c:pt idx="87">
                  <c:v>5.220</c:v>
                </c:pt>
                <c:pt idx="88">
                  <c:v>5.280</c:v>
                </c:pt>
                <c:pt idx="89">
                  <c:v>5.340</c:v>
                </c:pt>
                <c:pt idx="90">
                  <c:v>5.400</c:v>
                </c:pt>
                <c:pt idx="91">
                  <c:v>5.460</c:v>
                </c:pt>
                <c:pt idx="92">
                  <c:v>5.520</c:v>
                </c:pt>
                <c:pt idx="93">
                  <c:v>5.580</c:v>
                </c:pt>
                <c:pt idx="94">
                  <c:v>5.640</c:v>
                </c:pt>
                <c:pt idx="95">
                  <c:v>5.700</c:v>
                </c:pt>
                <c:pt idx="96">
                  <c:v>5.760</c:v>
                </c:pt>
                <c:pt idx="97">
                  <c:v>5.820</c:v>
                </c:pt>
                <c:pt idx="98">
                  <c:v>5.880</c:v>
                </c:pt>
                <c:pt idx="99">
                  <c:v>5.940</c:v>
                </c:pt>
                <c:pt idx="100">
                  <c:v>6.000</c:v>
                </c:pt>
              </c:strCache>
            </c:strRef>
          </c:cat>
          <c:val>
            <c:numRef>
              <c:f>'Efficiency vs Load Calculations'!$BH$9:$BH$109</c:f>
              <c:numCache>
                <c:formatCode>0.00</c:formatCode>
                <c:ptCount val="101"/>
                <c:pt idx="0">
                  <c:v>0</c:v>
                </c:pt>
                <c:pt idx="1">
                  <c:v>64.2573335473334</c:v>
                </c:pt>
                <c:pt idx="2">
                  <c:v>78.1056788819836</c:v>
                </c:pt>
                <c:pt idx="3">
                  <c:v>84.1478323408196</c:v>
                </c:pt>
                <c:pt idx="4">
                  <c:v>87.5310776649401</c:v>
                </c:pt>
                <c:pt idx="5">
                  <c:v>89.6927410859798</c:v>
                </c:pt>
                <c:pt idx="6">
                  <c:v>91.1923515227259</c:v>
                </c:pt>
                <c:pt idx="7">
                  <c:v>92.2929867334606</c:v>
                </c:pt>
                <c:pt idx="8">
                  <c:v>93.1346427374198</c:v>
                </c:pt>
                <c:pt idx="9">
                  <c:v>93.7986765690386</c:v>
                </c:pt>
                <c:pt idx="10">
                  <c:v>94.3355980675257</c:v>
                </c:pt>
                <c:pt idx="11">
                  <c:v>94.7784239928054</c:v>
                </c:pt>
                <c:pt idx="12">
                  <c:v>95.1496475487654</c:v>
                </c:pt>
                <c:pt idx="13">
                  <c:v>95.4651217014433</c:v>
                </c:pt>
                <c:pt idx="14">
                  <c:v>95.736341095397</c:v>
                </c:pt>
                <c:pt idx="15">
                  <c:v>95.9718434706441</c:v>
                </c:pt>
                <c:pt idx="16">
                  <c:v>96.1781030036919</c:v>
                </c:pt>
                <c:pt idx="17">
                  <c:v>96.3601182275344</c:v>
                </c:pt>
                <c:pt idx="18">
                  <c:v>96.521809785725</c:v>
                </c:pt>
                <c:pt idx="19">
                  <c:v>96.6662961116855</c:v>
                </c:pt>
                <c:pt idx="20">
                  <c:v>96.7960886165129</c:v>
                </c:pt>
                <c:pt idx="21">
                  <c:v>96.9132325313828</c:v>
                </c:pt>
                <c:pt idx="22">
                  <c:v>97.0194102747494</c:v>
                </c:pt>
                <c:pt idx="23">
                  <c:v>97.1160184836095</c:v>
                </c:pt>
                <c:pt idx="24">
                  <c:v>97.2042262181548</c:v>
                </c:pt>
                <c:pt idx="25">
                  <c:v>97.2850194978468</c:v>
                </c:pt>
                <c:pt idx="26">
                  <c:v>97.359235772726</c:v>
                </c:pt>
                <c:pt idx="27">
                  <c:v>97.4275908872728</c:v>
                </c:pt>
                <c:pt idx="28">
                  <c:v>97.4907003775461</c:v>
                </c:pt>
                <c:pt idx="29">
                  <c:v>97.5490964439834</c:v>
                </c:pt>
                <c:pt idx="30">
                  <c:v>97.6032415907198</c:v>
                </c:pt>
                <c:pt idx="31">
                  <c:v>97.6535396710315</c:v>
                </c:pt>
                <c:pt idx="32">
                  <c:v>97.7003448967334</c:v>
                </c:pt>
                <c:pt idx="33">
                  <c:v>97.7439692363416</c:v>
                </c:pt>
                <c:pt idx="34">
                  <c:v>97.7846885284478</c:v>
                </c:pt>
                <c:pt idx="35">
                  <c:v>97.8227475632915</c:v>
                </c:pt>
                <c:pt idx="36">
                  <c:v>97.8583643301388</c:v>
                </c:pt>
                <c:pt idx="37">
                  <c:v>97.8917335859791</c:v>
                </c:pt>
                <c:pt idx="38">
                  <c:v>97.9230298687772</c:v>
                </c:pt>
                <c:pt idx="39">
                  <c:v>97.95241005359</c:v>
                </c:pt>
                <c:pt idx="40">
                  <c:v>97.9800155304619</c:v>
                </c:pt>
                <c:pt idx="41">
                  <c:v>98.0059740678196</c:v>
                </c:pt>
                <c:pt idx="42">
                  <c:v>98.0304014131054</c:v>
                </c:pt>
                <c:pt idx="43">
                  <c:v>98.0534026728839</c:v>
                </c:pt>
                <c:pt idx="44">
                  <c:v>98.0750735070742</c:v>
                </c:pt>
                <c:pt idx="45">
                  <c:v>98.0955011658708</c:v>
                </c:pt>
                <c:pt idx="46">
                  <c:v>98.1147653930104</c:v>
                </c:pt>
                <c:pt idx="47">
                  <c:v>98.1329392150604</c:v>
                </c:pt>
                <c:pt idx="48">
                  <c:v>98.1500896331612</c:v>
                </c:pt>
                <c:pt idx="49">
                  <c:v>98.1662782310054</c:v>
                </c:pt>
                <c:pt idx="50">
                  <c:v>98.181561710651</c:v>
                </c:pt>
                <c:pt idx="51">
                  <c:v>98.1959923659691</c:v>
                </c:pt>
                <c:pt idx="52">
                  <c:v>98.2096185020331</c:v>
                </c:pt>
                <c:pt idx="53">
                  <c:v>98.2224848075174</c:v>
                </c:pt>
                <c:pt idx="54">
                  <c:v>98.2346326861329</c:v>
                </c:pt>
                <c:pt idx="55">
                  <c:v>98.2461005522638</c:v>
                </c:pt>
                <c:pt idx="56">
                  <c:v>98.2569240952356</c:v>
                </c:pt>
                <c:pt idx="57">
                  <c:v>98.2671365160299</c:v>
                </c:pt>
                <c:pt idx="58">
                  <c:v>98.2767687397411</c:v>
                </c:pt>
                <c:pt idx="59">
                  <c:v>98.285849606625</c:v>
                </c:pt>
                <c:pt idx="60">
                  <c:v>98.2944060442156</c:v>
                </c:pt>
                <c:pt idx="61">
                  <c:v>98.3024632226623</c:v>
                </c:pt>
                <c:pt idx="62">
                  <c:v>98.310044695166</c:v>
                </c:pt>
                <c:pt idx="63">
                  <c:v>98.3171725251547</c:v>
                </c:pt>
                <c:pt idx="64">
                  <c:v>98.3238674016371</c:v>
                </c:pt>
                <c:pt idx="65">
                  <c:v>98.3301487439968</c:v>
                </c:pt>
                <c:pt idx="66">
                  <c:v>98.3360347973372</c:v>
                </c:pt>
                <c:pt idx="67">
                  <c:v>98.3415427193565</c:v>
                </c:pt>
                <c:pt idx="68">
                  <c:v>98.3466886596185</c:v>
                </c:pt>
                <c:pt idx="69">
                  <c:v>98.3514878319832</c:v>
                </c:pt>
                <c:pt idx="70">
                  <c:v>98.3559545808763</c:v>
                </c:pt>
                <c:pt idx="71">
                  <c:v>98.3601024420016</c:v>
                </c:pt>
                <c:pt idx="72">
                  <c:v>98.3639441980305</c:v>
                </c:pt>
                <c:pt idx="73">
                  <c:v>98.3674919297479</c:v>
                </c:pt>
                <c:pt idx="74">
                  <c:v>98.3707570630807</c:v>
                </c:pt>
                <c:pt idx="75">
                  <c:v>98.3737504123911</c:v>
                </c:pt>
                <c:pt idx="76">
                  <c:v>98.3764822203745</c:v>
                </c:pt>
                <c:pt idx="77">
                  <c:v>98.3789621948706</c:v>
                </c:pt>
                <c:pt idx="78">
                  <c:v>98.3811995428614</c:v>
                </c:pt>
                <c:pt idx="79">
                  <c:v>98.3832030019036</c:v>
                </c:pt>
                <c:pt idx="80">
                  <c:v>98.38498086922</c:v>
                </c:pt>
                <c:pt idx="81">
                  <c:v>98.3865410286479</c:v>
                </c:pt>
                <c:pt idx="82">
                  <c:v>98.3878909756292</c:v>
                </c:pt>
                <c:pt idx="83">
                  <c:v>98.3890378404043</c:v>
                </c:pt>
                <c:pt idx="84">
                  <c:v>98.3899884095595</c:v>
                </c:pt>
                <c:pt idx="85">
                  <c:v>98.390749146062</c:v>
                </c:pt>
                <c:pt idx="86">
                  <c:v>98.391326207905</c:v>
                </c:pt>
                <c:pt idx="87">
                  <c:v>98.3917254654745</c:v>
                </c:pt>
                <c:pt idx="88">
                  <c:v>98.3919525177381</c:v>
                </c:pt>
                <c:pt idx="89">
                  <c:v>98.3920127073481</c:v>
                </c:pt>
                <c:pt idx="90">
                  <c:v>98.3919111347431</c:v>
                </c:pt>
                <c:pt idx="91">
                  <c:v>98.3916526713245</c:v>
                </c:pt>
                <c:pt idx="92">
                  <c:v>98.3912419717775</c:v>
                </c:pt>
                <c:pt idx="93">
                  <c:v>98.3906834856016</c:v>
                </c:pt>
                <c:pt idx="94">
                  <c:v>98.3899814679074</c:v>
                </c:pt>
                <c:pt idx="95">
                  <c:v>98.3891399895357</c:v>
                </c:pt>
                <c:pt idx="96">
                  <c:v>98.3881629465455</c:v>
                </c:pt>
                <c:pt idx="97">
                  <c:v>98.3870540691186</c:v>
                </c:pt>
                <c:pt idx="98">
                  <c:v>98.3858169299204</c:v>
                </c:pt>
                <c:pt idx="99">
                  <c:v>98.384454951956</c:v>
                </c:pt>
                <c:pt idx="100">
                  <c:v>98.3829714159565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20863333"/>
        <c:axId val="3555650"/>
      </c:lineChart>
      <c:lineChart>
        <c:grouping val="standard"/>
        <c:varyColors val="0"/>
        <c:ser>
          <c:idx val="1"/>
          <c:order val="1"/>
          <c:tx>
            <c:strRef>
              <c:f>'Efficiency vs Load Calculations'!$BK$8</c:f>
              <c:strCache>
                <c:ptCount val="1"/>
                <c:pt idx="0">
                  <c:v>Boost ''Control'' MOSFET Loss</c:v>
                </c:pt>
              </c:strCache>
            </c:strRef>
          </c:tx>
          <c:spPr>
            <a:solidFill>
              <a:srgbClr val="808000"/>
            </a:solidFill>
            <a:ln w="38160">
              <a:solidFill>
                <a:srgbClr val="808000"/>
              </a:solidFill>
              <a:prstDash val="sys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81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'Efficiency vs Load Calculations'!$K$9:$K$109</c:f>
              <c:strCache>
                <c:ptCount val="101"/>
                <c:pt idx="0">
                  <c:v>0</c:v>
                </c:pt>
                <c:pt idx="1">
                  <c:v>0.060</c:v>
                </c:pt>
                <c:pt idx="2">
                  <c:v>0.120</c:v>
                </c:pt>
                <c:pt idx="3">
                  <c:v>0.180</c:v>
                </c:pt>
                <c:pt idx="4">
                  <c:v>0.240</c:v>
                </c:pt>
                <c:pt idx="5">
                  <c:v>0.300</c:v>
                </c:pt>
                <c:pt idx="6">
                  <c:v>0.360</c:v>
                </c:pt>
                <c:pt idx="7">
                  <c:v>0.420</c:v>
                </c:pt>
                <c:pt idx="8">
                  <c:v>0.480</c:v>
                </c:pt>
                <c:pt idx="9">
                  <c:v>0.540</c:v>
                </c:pt>
                <c:pt idx="10">
                  <c:v>0.600</c:v>
                </c:pt>
                <c:pt idx="11">
                  <c:v>0.660</c:v>
                </c:pt>
                <c:pt idx="12">
                  <c:v>0.720</c:v>
                </c:pt>
                <c:pt idx="13">
                  <c:v>0.780</c:v>
                </c:pt>
                <c:pt idx="14">
                  <c:v>0.840</c:v>
                </c:pt>
                <c:pt idx="15">
                  <c:v>0.900</c:v>
                </c:pt>
                <c:pt idx="16">
                  <c:v>0.960</c:v>
                </c:pt>
                <c:pt idx="17">
                  <c:v>1.020</c:v>
                </c:pt>
                <c:pt idx="18">
                  <c:v>1.080</c:v>
                </c:pt>
                <c:pt idx="19">
                  <c:v>1.140</c:v>
                </c:pt>
                <c:pt idx="20">
                  <c:v>1.200</c:v>
                </c:pt>
                <c:pt idx="21">
                  <c:v>1.260</c:v>
                </c:pt>
                <c:pt idx="22">
                  <c:v>1.320</c:v>
                </c:pt>
                <c:pt idx="23">
                  <c:v>1.380</c:v>
                </c:pt>
                <c:pt idx="24">
                  <c:v>1.440</c:v>
                </c:pt>
                <c:pt idx="25">
                  <c:v>1.500</c:v>
                </c:pt>
                <c:pt idx="26">
                  <c:v>1.560</c:v>
                </c:pt>
                <c:pt idx="27">
                  <c:v>1.620</c:v>
                </c:pt>
                <c:pt idx="28">
                  <c:v>1.680</c:v>
                </c:pt>
                <c:pt idx="29">
                  <c:v>1.740</c:v>
                </c:pt>
                <c:pt idx="30">
                  <c:v>1.800</c:v>
                </c:pt>
                <c:pt idx="31">
                  <c:v>1.860</c:v>
                </c:pt>
                <c:pt idx="32">
                  <c:v>1.920</c:v>
                </c:pt>
                <c:pt idx="33">
                  <c:v>1.980</c:v>
                </c:pt>
                <c:pt idx="34">
                  <c:v>2.040</c:v>
                </c:pt>
                <c:pt idx="35">
                  <c:v>2.100</c:v>
                </c:pt>
                <c:pt idx="36">
                  <c:v>2.160</c:v>
                </c:pt>
                <c:pt idx="37">
                  <c:v>2.220</c:v>
                </c:pt>
                <c:pt idx="38">
                  <c:v>2.280</c:v>
                </c:pt>
                <c:pt idx="39">
                  <c:v>2.340</c:v>
                </c:pt>
                <c:pt idx="40">
                  <c:v>2.400</c:v>
                </c:pt>
                <c:pt idx="41">
                  <c:v>2.460</c:v>
                </c:pt>
                <c:pt idx="42">
                  <c:v>2.520</c:v>
                </c:pt>
                <c:pt idx="43">
                  <c:v>2.580</c:v>
                </c:pt>
                <c:pt idx="44">
                  <c:v>2.640</c:v>
                </c:pt>
                <c:pt idx="45">
                  <c:v>2.700</c:v>
                </c:pt>
                <c:pt idx="46">
                  <c:v>2.760</c:v>
                </c:pt>
                <c:pt idx="47">
                  <c:v>2.820</c:v>
                </c:pt>
                <c:pt idx="48">
                  <c:v>2.880</c:v>
                </c:pt>
                <c:pt idx="49">
                  <c:v>2.940</c:v>
                </c:pt>
                <c:pt idx="50">
                  <c:v>3.000</c:v>
                </c:pt>
                <c:pt idx="51">
                  <c:v>3.060</c:v>
                </c:pt>
                <c:pt idx="52">
                  <c:v>3.120</c:v>
                </c:pt>
                <c:pt idx="53">
                  <c:v>3.180</c:v>
                </c:pt>
                <c:pt idx="54">
                  <c:v>3.240</c:v>
                </c:pt>
                <c:pt idx="55">
                  <c:v>3.300</c:v>
                </c:pt>
                <c:pt idx="56">
                  <c:v>3.360</c:v>
                </c:pt>
                <c:pt idx="57">
                  <c:v>3.420</c:v>
                </c:pt>
                <c:pt idx="58">
                  <c:v>3.480</c:v>
                </c:pt>
                <c:pt idx="59">
                  <c:v>3.540</c:v>
                </c:pt>
                <c:pt idx="60">
                  <c:v>3.600</c:v>
                </c:pt>
                <c:pt idx="61">
                  <c:v>3.660</c:v>
                </c:pt>
                <c:pt idx="62">
                  <c:v>3.720</c:v>
                </c:pt>
                <c:pt idx="63">
                  <c:v>3.780</c:v>
                </c:pt>
                <c:pt idx="64">
                  <c:v>3.840</c:v>
                </c:pt>
                <c:pt idx="65">
                  <c:v>3.900</c:v>
                </c:pt>
                <c:pt idx="66">
                  <c:v>3.960</c:v>
                </c:pt>
                <c:pt idx="67">
                  <c:v>4.020</c:v>
                </c:pt>
                <c:pt idx="68">
                  <c:v>4.080</c:v>
                </c:pt>
                <c:pt idx="69">
                  <c:v>4.140</c:v>
                </c:pt>
                <c:pt idx="70">
                  <c:v>4.200</c:v>
                </c:pt>
                <c:pt idx="71">
                  <c:v>4.260</c:v>
                </c:pt>
                <c:pt idx="72">
                  <c:v>4.320</c:v>
                </c:pt>
                <c:pt idx="73">
                  <c:v>4.380</c:v>
                </c:pt>
                <c:pt idx="74">
                  <c:v>4.440</c:v>
                </c:pt>
                <c:pt idx="75">
                  <c:v>4.500</c:v>
                </c:pt>
                <c:pt idx="76">
                  <c:v>4.560</c:v>
                </c:pt>
                <c:pt idx="77">
                  <c:v>4.620</c:v>
                </c:pt>
                <c:pt idx="78">
                  <c:v>4.680</c:v>
                </c:pt>
                <c:pt idx="79">
                  <c:v>4.740</c:v>
                </c:pt>
                <c:pt idx="80">
                  <c:v>4.800</c:v>
                </c:pt>
                <c:pt idx="81">
                  <c:v>4.860</c:v>
                </c:pt>
                <c:pt idx="82">
                  <c:v>4.920</c:v>
                </c:pt>
                <c:pt idx="83">
                  <c:v>4.980</c:v>
                </c:pt>
                <c:pt idx="84">
                  <c:v>5.040</c:v>
                </c:pt>
                <c:pt idx="85">
                  <c:v>5.100</c:v>
                </c:pt>
                <c:pt idx="86">
                  <c:v>5.160</c:v>
                </c:pt>
                <c:pt idx="87">
                  <c:v>5.220</c:v>
                </c:pt>
                <c:pt idx="88">
                  <c:v>5.280</c:v>
                </c:pt>
                <c:pt idx="89">
                  <c:v>5.340</c:v>
                </c:pt>
                <c:pt idx="90">
                  <c:v>5.400</c:v>
                </c:pt>
                <c:pt idx="91">
                  <c:v>5.460</c:v>
                </c:pt>
                <c:pt idx="92">
                  <c:v>5.520</c:v>
                </c:pt>
                <c:pt idx="93">
                  <c:v>5.580</c:v>
                </c:pt>
                <c:pt idx="94">
                  <c:v>5.640</c:v>
                </c:pt>
                <c:pt idx="95">
                  <c:v>5.700</c:v>
                </c:pt>
                <c:pt idx="96">
                  <c:v>5.760</c:v>
                </c:pt>
                <c:pt idx="97">
                  <c:v>5.820</c:v>
                </c:pt>
                <c:pt idx="98">
                  <c:v>5.880</c:v>
                </c:pt>
                <c:pt idx="99">
                  <c:v>5.940</c:v>
                </c:pt>
                <c:pt idx="100">
                  <c:v>6.000</c:v>
                </c:pt>
              </c:strCache>
            </c:strRef>
          </c:cat>
          <c:val>
            <c:numRef>
              <c:f>'Efficiency vs Load Calculations'!$BK$9:$BK$109</c:f>
              <c:numCache>
                <c:formatCode>0.000</c:formatCode>
                <c:ptCount val="101"/>
                <c:pt idx="0">
                  <c:v>0.0741111770123085</c:v>
                </c:pt>
                <c:pt idx="1">
                  <c:v>0.0748599355287099</c:v>
                </c:pt>
                <c:pt idx="2">
                  <c:v>0.0756093310781894</c:v>
                </c:pt>
                <c:pt idx="3">
                  <c:v>0.0763593636615728</c:v>
                </c:pt>
                <c:pt idx="4">
                  <c:v>0.0771100332802364</c:v>
                </c:pt>
                <c:pt idx="5">
                  <c:v>0.0778613399361072</c:v>
                </c:pt>
                <c:pt idx="6">
                  <c:v>0.0786132836316625</c:v>
                </c:pt>
                <c:pt idx="7">
                  <c:v>0.0793658643699303</c:v>
                </c:pt>
                <c:pt idx="8">
                  <c:v>0.0801190821544893</c:v>
                </c:pt>
                <c:pt idx="9">
                  <c:v>0.0808729369894684</c:v>
                </c:pt>
                <c:pt idx="10">
                  <c:v>0.0816274288795474</c:v>
                </c:pt>
                <c:pt idx="11">
                  <c:v>0.0823825578299565</c:v>
                </c:pt>
                <c:pt idx="12">
                  <c:v>0.0831383238464766</c:v>
                </c:pt>
                <c:pt idx="13">
                  <c:v>0.0838947269354392</c:v>
                </c:pt>
                <c:pt idx="14">
                  <c:v>0.0846517671037262</c:v>
                </c:pt>
                <c:pt idx="15">
                  <c:v>0.0854094443587705</c:v>
                </c:pt>
                <c:pt idx="16">
                  <c:v>0.0861677587085554</c:v>
                </c:pt>
                <c:pt idx="17">
                  <c:v>0.0869267101616149</c:v>
                </c:pt>
                <c:pt idx="18">
                  <c:v>0.0876862987270337</c:v>
                </c:pt>
                <c:pt idx="19">
                  <c:v>0.0884465244144471</c:v>
                </c:pt>
                <c:pt idx="20">
                  <c:v>0.0892073872340414</c:v>
                </c:pt>
                <c:pt idx="21">
                  <c:v>0.0899688871965533</c:v>
                </c:pt>
                <c:pt idx="22">
                  <c:v>0.0907310243132705</c:v>
                </c:pt>
                <c:pt idx="23">
                  <c:v>0.0914937985960313</c:v>
                </c:pt>
                <c:pt idx="24">
                  <c:v>0.092257210057225</c:v>
                </c:pt>
                <c:pt idx="25">
                  <c:v>0.0930212587097916</c:v>
                </c:pt>
                <c:pt idx="26">
                  <c:v>0.093785944567222</c:v>
                </c:pt>
                <c:pt idx="27">
                  <c:v>0.0945512676435579</c:v>
                </c:pt>
                <c:pt idx="28">
                  <c:v>0.095317227953392</c:v>
                </c:pt>
                <c:pt idx="29">
                  <c:v>0.096083825511868</c:v>
                </c:pt>
                <c:pt idx="30">
                  <c:v>0.0968510603346806</c:v>
                </c:pt>
                <c:pt idx="31">
                  <c:v>0.0976189324380752</c:v>
                </c:pt>
                <c:pt idx="32">
                  <c:v>0.0983874418388485</c:v>
                </c:pt>
                <c:pt idx="33">
                  <c:v>0.0991565885543484</c:v>
                </c:pt>
                <c:pt idx="34">
                  <c:v>0.0999263726024735</c:v>
                </c:pt>
                <c:pt idx="35">
                  <c:v>0.100696794001674</c:v>
                </c:pt>
                <c:pt idx="36">
                  <c:v>0.101467852770951</c:v>
                </c:pt>
                <c:pt idx="37">
                  <c:v>0.102239548929857</c:v>
                </c:pt>
                <c:pt idx="38">
                  <c:v>0.103011882498495</c:v>
                </c:pt>
                <c:pt idx="39">
                  <c:v>0.10378485349752</c:v>
                </c:pt>
                <c:pt idx="40">
                  <c:v>0.10455846194814</c:v>
                </c:pt>
                <c:pt idx="41">
                  <c:v>0.10533270787211</c:v>
                </c:pt>
                <c:pt idx="42">
                  <c:v>0.106107591291742</c:v>
                </c:pt>
                <c:pt idx="43">
                  <c:v>0.106883112229894</c:v>
                </c:pt>
                <c:pt idx="44">
                  <c:v>0.107659270709979</c:v>
                </c:pt>
                <c:pt idx="45">
                  <c:v>0.108436066755961</c:v>
                </c:pt>
                <c:pt idx="46">
                  <c:v>0.109213500392355</c:v>
                </c:pt>
                <c:pt idx="47">
                  <c:v>0.109991571644228</c:v>
                </c:pt>
                <c:pt idx="48">
                  <c:v>0.110770280537199</c:v>
                </c:pt>
                <c:pt idx="49">
                  <c:v>0.111549627097438</c:v>
                </c:pt>
                <c:pt idx="50">
                  <c:v>0.112329611351667</c:v>
                </c:pt>
                <c:pt idx="51">
                  <c:v>0.113110233327161</c:v>
                </c:pt>
                <c:pt idx="52">
                  <c:v>0.113891493051745</c:v>
                </c:pt>
                <c:pt idx="53">
                  <c:v>0.114673390553798</c:v>
                </c:pt>
                <c:pt idx="54">
                  <c:v>0.11545592586225</c:v>
                </c:pt>
                <c:pt idx="55">
                  <c:v>0.116239099006582</c:v>
                </c:pt>
                <c:pt idx="56">
                  <c:v>0.11702291001683</c:v>
                </c:pt>
                <c:pt idx="57">
                  <c:v>0.117807358923579</c:v>
                </c:pt>
                <c:pt idx="58">
                  <c:v>0.11859244575797</c:v>
                </c:pt>
                <c:pt idx="59">
                  <c:v>0.119378170551692</c:v>
                </c:pt>
                <c:pt idx="60">
                  <c:v>0.12016453333699</c:v>
                </c:pt>
                <c:pt idx="61">
                  <c:v>0.120951534146659</c:v>
                </c:pt>
                <c:pt idx="62">
                  <c:v>0.121739173014049</c:v>
                </c:pt>
                <c:pt idx="63">
                  <c:v>0.12252744997306</c:v>
                </c:pt>
                <c:pt idx="64">
                  <c:v>0.123316365058148</c:v>
                </c:pt>
                <c:pt idx="65">
                  <c:v>0.124105918304317</c:v>
                </c:pt>
                <c:pt idx="66">
                  <c:v>0.124896109747128</c:v>
                </c:pt>
                <c:pt idx="67">
                  <c:v>0.125686939422694</c:v>
                </c:pt>
                <c:pt idx="68">
                  <c:v>0.126478407367679</c:v>
                </c:pt>
                <c:pt idx="69">
                  <c:v>0.127270513619303</c:v>
                </c:pt>
                <c:pt idx="70">
                  <c:v>0.128063258215336</c:v>
                </c:pt>
                <c:pt idx="71">
                  <c:v>0.128856641194103</c:v>
                </c:pt>
                <c:pt idx="72">
                  <c:v>0.129650662594483</c:v>
                </c:pt>
                <c:pt idx="73">
                  <c:v>0.130445322455907</c:v>
                </c:pt>
                <c:pt idx="74">
                  <c:v>0.13124062081836</c:v>
                </c:pt>
                <c:pt idx="75">
                  <c:v>0.132036557722379</c:v>
                </c:pt>
                <c:pt idx="76">
                  <c:v>0.132833133209058</c:v>
                </c:pt>
                <c:pt idx="77">
                  <c:v>0.133630347320041</c:v>
                </c:pt>
                <c:pt idx="78">
                  <c:v>0.134428200097528</c:v>
                </c:pt>
                <c:pt idx="79">
                  <c:v>0.135226691584272</c:v>
                </c:pt>
                <c:pt idx="80">
                  <c:v>0.13602582182358</c:v>
                </c:pt>
                <c:pt idx="81">
                  <c:v>0.136825590859313</c:v>
                </c:pt>
                <c:pt idx="82">
                  <c:v>0.137625998735887</c:v>
                </c:pt>
                <c:pt idx="83">
                  <c:v>0.138427045498272</c:v>
                </c:pt>
                <c:pt idx="84">
                  <c:v>0.13922873119199</c:v>
                </c:pt>
                <c:pt idx="85">
                  <c:v>0.14003105586312</c:v>
                </c:pt>
                <c:pt idx="86">
                  <c:v>0.140834019558295</c:v>
                </c:pt>
                <c:pt idx="87">
                  <c:v>0.141637622324702</c:v>
                </c:pt>
                <c:pt idx="88">
                  <c:v>0.142441864210083</c:v>
                </c:pt>
                <c:pt idx="89">
                  <c:v>0.143246745262734</c:v>
                </c:pt>
                <c:pt idx="90">
                  <c:v>0.144052265531507</c:v>
                </c:pt>
                <c:pt idx="91">
                  <c:v>0.144858425065809</c:v>
                </c:pt>
                <c:pt idx="92">
                  <c:v>0.1456652239156</c:v>
                </c:pt>
                <c:pt idx="93">
                  <c:v>0.146472662131399</c:v>
                </c:pt>
                <c:pt idx="94">
                  <c:v>0.147280739764275</c:v>
                </c:pt>
                <c:pt idx="95">
                  <c:v>0.148089456865858</c:v>
                </c:pt>
                <c:pt idx="96">
                  <c:v>0.14889881348833</c:v>
                </c:pt>
                <c:pt idx="97">
                  <c:v>0.149708809684428</c:v>
                </c:pt>
                <c:pt idx="98">
                  <c:v>0.150519445507448</c:v>
                </c:pt>
                <c:pt idx="99">
                  <c:v>0.151330721011239</c:v>
                </c:pt>
                <c:pt idx="100">
                  <c:v>0.152142636250208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"Inductor Loss"</c:f>
              <c:strCache>
                <c:ptCount val="1"/>
                <c:pt idx="0">
                  <c:v>Inductor Loss</c:v>
                </c:pt>
              </c:strCache>
            </c:strRef>
          </c:tx>
          <c:spPr>
            <a:solidFill>
              <a:srgbClr val="800080"/>
            </a:solidFill>
            <a:ln w="38160">
              <a:solidFill>
                <a:srgbClr val="80008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81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'Efficiency vs Load Calculations'!$K$9:$K$109</c:f>
              <c:strCache>
                <c:ptCount val="101"/>
                <c:pt idx="0">
                  <c:v>0</c:v>
                </c:pt>
                <c:pt idx="1">
                  <c:v>0.060</c:v>
                </c:pt>
                <c:pt idx="2">
                  <c:v>0.120</c:v>
                </c:pt>
                <c:pt idx="3">
                  <c:v>0.180</c:v>
                </c:pt>
                <c:pt idx="4">
                  <c:v>0.240</c:v>
                </c:pt>
                <c:pt idx="5">
                  <c:v>0.300</c:v>
                </c:pt>
                <c:pt idx="6">
                  <c:v>0.360</c:v>
                </c:pt>
                <c:pt idx="7">
                  <c:v>0.420</c:v>
                </c:pt>
                <c:pt idx="8">
                  <c:v>0.480</c:v>
                </c:pt>
                <c:pt idx="9">
                  <c:v>0.540</c:v>
                </c:pt>
                <c:pt idx="10">
                  <c:v>0.600</c:v>
                </c:pt>
                <c:pt idx="11">
                  <c:v>0.660</c:v>
                </c:pt>
                <c:pt idx="12">
                  <c:v>0.720</c:v>
                </c:pt>
                <c:pt idx="13">
                  <c:v>0.780</c:v>
                </c:pt>
                <c:pt idx="14">
                  <c:v>0.840</c:v>
                </c:pt>
                <c:pt idx="15">
                  <c:v>0.900</c:v>
                </c:pt>
                <c:pt idx="16">
                  <c:v>0.960</c:v>
                </c:pt>
                <c:pt idx="17">
                  <c:v>1.020</c:v>
                </c:pt>
                <c:pt idx="18">
                  <c:v>1.080</c:v>
                </c:pt>
                <c:pt idx="19">
                  <c:v>1.140</c:v>
                </c:pt>
                <c:pt idx="20">
                  <c:v>1.200</c:v>
                </c:pt>
                <c:pt idx="21">
                  <c:v>1.260</c:v>
                </c:pt>
                <c:pt idx="22">
                  <c:v>1.320</c:v>
                </c:pt>
                <c:pt idx="23">
                  <c:v>1.380</c:v>
                </c:pt>
                <c:pt idx="24">
                  <c:v>1.440</c:v>
                </c:pt>
                <c:pt idx="25">
                  <c:v>1.500</c:v>
                </c:pt>
                <c:pt idx="26">
                  <c:v>1.560</c:v>
                </c:pt>
                <c:pt idx="27">
                  <c:v>1.620</c:v>
                </c:pt>
                <c:pt idx="28">
                  <c:v>1.680</c:v>
                </c:pt>
                <c:pt idx="29">
                  <c:v>1.740</c:v>
                </c:pt>
                <c:pt idx="30">
                  <c:v>1.800</c:v>
                </c:pt>
                <c:pt idx="31">
                  <c:v>1.860</c:v>
                </c:pt>
                <c:pt idx="32">
                  <c:v>1.920</c:v>
                </c:pt>
                <c:pt idx="33">
                  <c:v>1.980</c:v>
                </c:pt>
                <c:pt idx="34">
                  <c:v>2.040</c:v>
                </c:pt>
                <c:pt idx="35">
                  <c:v>2.100</c:v>
                </c:pt>
                <c:pt idx="36">
                  <c:v>2.160</c:v>
                </c:pt>
                <c:pt idx="37">
                  <c:v>2.220</c:v>
                </c:pt>
                <c:pt idx="38">
                  <c:v>2.280</c:v>
                </c:pt>
                <c:pt idx="39">
                  <c:v>2.340</c:v>
                </c:pt>
                <c:pt idx="40">
                  <c:v>2.400</c:v>
                </c:pt>
                <c:pt idx="41">
                  <c:v>2.460</c:v>
                </c:pt>
                <c:pt idx="42">
                  <c:v>2.520</c:v>
                </c:pt>
                <c:pt idx="43">
                  <c:v>2.580</c:v>
                </c:pt>
                <c:pt idx="44">
                  <c:v>2.640</c:v>
                </c:pt>
                <c:pt idx="45">
                  <c:v>2.700</c:v>
                </c:pt>
                <c:pt idx="46">
                  <c:v>2.760</c:v>
                </c:pt>
                <c:pt idx="47">
                  <c:v>2.820</c:v>
                </c:pt>
                <c:pt idx="48">
                  <c:v>2.880</c:v>
                </c:pt>
                <c:pt idx="49">
                  <c:v>2.940</c:v>
                </c:pt>
                <c:pt idx="50">
                  <c:v>3.000</c:v>
                </c:pt>
                <c:pt idx="51">
                  <c:v>3.060</c:v>
                </c:pt>
                <c:pt idx="52">
                  <c:v>3.120</c:v>
                </c:pt>
                <c:pt idx="53">
                  <c:v>3.180</c:v>
                </c:pt>
                <c:pt idx="54">
                  <c:v>3.240</c:v>
                </c:pt>
                <c:pt idx="55">
                  <c:v>3.300</c:v>
                </c:pt>
                <c:pt idx="56">
                  <c:v>3.360</c:v>
                </c:pt>
                <c:pt idx="57">
                  <c:v>3.420</c:v>
                </c:pt>
                <c:pt idx="58">
                  <c:v>3.480</c:v>
                </c:pt>
                <c:pt idx="59">
                  <c:v>3.540</c:v>
                </c:pt>
                <c:pt idx="60">
                  <c:v>3.600</c:v>
                </c:pt>
                <c:pt idx="61">
                  <c:v>3.660</c:v>
                </c:pt>
                <c:pt idx="62">
                  <c:v>3.720</c:v>
                </c:pt>
                <c:pt idx="63">
                  <c:v>3.780</c:v>
                </c:pt>
                <c:pt idx="64">
                  <c:v>3.840</c:v>
                </c:pt>
                <c:pt idx="65">
                  <c:v>3.900</c:v>
                </c:pt>
                <c:pt idx="66">
                  <c:v>3.960</c:v>
                </c:pt>
                <c:pt idx="67">
                  <c:v>4.020</c:v>
                </c:pt>
                <c:pt idx="68">
                  <c:v>4.080</c:v>
                </c:pt>
                <c:pt idx="69">
                  <c:v>4.140</c:v>
                </c:pt>
                <c:pt idx="70">
                  <c:v>4.200</c:v>
                </c:pt>
                <c:pt idx="71">
                  <c:v>4.260</c:v>
                </c:pt>
                <c:pt idx="72">
                  <c:v>4.320</c:v>
                </c:pt>
                <c:pt idx="73">
                  <c:v>4.380</c:v>
                </c:pt>
                <c:pt idx="74">
                  <c:v>4.440</c:v>
                </c:pt>
                <c:pt idx="75">
                  <c:v>4.500</c:v>
                </c:pt>
                <c:pt idx="76">
                  <c:v>4.560</c:v>
                </c:pt>
                <c:pt idx="77">
                  <c:v>4.620</c:v>
                </c:pt>
                <c:pt idx="78">
                  <c:v>4.680</c:v>
                </c:pt>
                <c:pt idx="79">
                  <c:v>4.740</c:v>
                </c:pt>
                <c:pt idx="80">
                  <c:v>4.800</c:v>
                </c:pt>
                <c:pt idx="81">
                  <c:v>4.860</c:v>
                </c:pt>
                <c:pt idx="82">
                  <c:v>4.920</c:v>
                </c:pt>
                <c:pt idx="83">
                  <c:v>4.980</c:v>
                </c:pt>
                <c:pt idx="84">
                  <c:v>5.040</c:v>
                </c:pt>
                <c:pt idx="85">
                  <c:v>5.100</c:v>
                </c:pt>
                <c:pt idx="86">
                  <c:v>5.160</c:v>
                </c:pt>
                <c:pt idx="87">
                  <c:v>5.220</c:v>
                </c:pt>
                <c:pt idx="88">
                  <c:v>5.280</c:v>
                </c:pt>
                <c:pt idx="89">
                  <c:v>5.340</c:v>
                </c:pt>
                <c:pt idx="90">
                  <c:v>5.400</c:v>
                </c:pt>
                <c:pt idx="91">
                  <c:v>5.460</c:v>
                </c:pt>
                <c:pt idx="92">
                  <c:v>5.520</c:v>
                </c:pt>
                <c:pt idx="93">
                  <c:v>5.580</c:v>
                </c:pt>
                <c:pt idx="94">
                  <c:v>5.640</c:v>
                </c:pt>
                <c:pt idx="95">
                  <c:v>5.700</c:v>
                </c:pt>
                <c:pt idx="96">
                  <c:v>5.760</c:v>
                </c:pt>
                <c:pt idx="97">
                  <c:v>5.820</c:v>
                </c:pt>
                <c:pt idx="98">
                  <c:v>5.880</c:v>
                </c:pt>
                <c:pt idx="99">
                  <c:v>5.940</c:v>
                </c:pt>
                <c:pt idx="100">
                  <c:v>6.000</c:v>
                </c:pt>
              </c:strCache>
            </c:strRef>
          </c:cat>
          <c:val>
            <c:numRef>
              <c:f>'Efficiency vs Load Calculations'!$BI$9:$BI$109</c:f>
              <c:numCache>
                <c:formatCode>0.000</c:formatCode>
                <c:ptCount val="101"/>
                <c:pt idx="0">
                  <c:v>0</c:v>
                </c:pt>
                <c:pt idx="1">
                  <c:v>1.32233357176331E-005</c:v>
                </c:pt>
                <c:pt idx="2">
                  <c:v>5.28935107334082E-005</c:v>
                </c:pt>
                <c:pt idx="3">
                  <c:v>0.000119011028641281</c:v>
                </c:pt>
                <c:pt idx="4">
                  <c:v>0.000211576728782267</c:v>
                </c:pt>
                <c:pt idx="5">
                  <c:v>0.000330591786271083</c:v>
                </c:pt>
                <c:pt idx="6">
                  <c:v>0.000476057712033443</c:v>
                </c:pt>
                <c:pt idx="7">
                  <c:v>0.000647976352854008</c:v>
                </c:pt>
                <c:pt idx="8">
                  <c:v>0.000846349891435012</c:v>
                </c:pt>
                <c:pt idx="9">
                  <c:v>0.00107118084646554</c:v>
                </c:pt>
                <c:pt idx="10">
                  <c:v>0.00132247207270149</c:v>
                </c:pt>
                <c:pt idx="11">
                  <c:v>0.00160022676105619</c:v>
                </c:pt>
                <c:pt idx="12">
                  <c:v>0.00190444843870171</c:v>
                </c:pt>
                <c:pt idx="13">
                  <c:v>0.00223514096918088</c:v>
                </c:pt>
                <c:pt idx="14">
                  <c:v>0.00259230855252995</c:v>
                </c:pt>
                <c:pt idx="15">
                  <c:v>0.00297595572541199</c:v>
                </c:pt>
                <c:pt idx="16">
                  <c:v>0.00338608736126099</c:v>
                </c:pt>
                <c:pt idx="17">
                  <c:v>0.00382270867043666</c:v>
                </c:pt>
                <c:pt idx="18">
                  <c:v>0.00428582520038999</c:v>
                </c:pt>
                <c:pt idx="19">
                  <c:v>0.00477544283583952</c:v>
                </c:pt>
                <c:pt idx="20">
                  <c:v>0.00529156779895833</c:v>
                </c:pt>
                <c:pt idx="21">
                  <c:v>0.00583420664957189</c:v>
                </c:pt>
                <c:pt idx="22">
                  <c:v>0.00640336628536651</c:v>
                </c:pt>
                <c:pt idx="23">
                  <c:v>0.00699905394210875</c:v>
                </c:pt>
                <c:pt idx="24">
                  <c:v>0.00762127719387551</c:v>
                </c:pt>
                <c:pt idx="25">
                  <c:v>0.00827004395329496</c:v>
                </c:pt>
                <c:pt idx="26">
                  <c:v>0.0089453624717983</c:v>
                </c:pt>
                <c:pt idx="27">
                  <c:v>0.00964724133988235</c:v>
                </c:pt>
                <c:pt idx="28">
                  <c:v>0.010375689487383</c:v>
                </c:pt>
                <c:pt idx="29">
                  <c:v>0.0111307161837595</c:v>
                </c:pt>
                <c:pt idx="30">
                  <c:v>0.0119123310383896</c:v>
                </c:pt>
                <c:pt idx="31">
                  <c:v>0.0127205440008759</c:v>
                </c:pt>
                <c:pt idx="32">
                  <c:v>0.0135553653613625</c:v>
                </c:pt>
                <c:pt idx="33">
                  <c:v>0.0144168057508634</c:v>
                </c:pt>
                <c:pt idx="34">
                  <c:v>0.015304876141601</c:v>
                </c:pt>
                <c:pt idx="35">
                  <c:v>0.0162195878473562</c:v>
                </c:pt>
                <c:pt idx="36">
                  <c:v>0.0171609525238294</c:v>
                </c:pt>
                <c:pt idx="37">
                  <c:v>0.0181289821690123</c:v>
                </c:pt>
                <c:pt idx="38">
                  <c:v>0.0191236891235709</c:v>
                </c:pt>
                <c:pt idx="39">
                  <c:v>0.0201450860712395</c:v>
                </c:pt>
                <c:pt idx="40">
                  <c:v>0.0211931860392259</c:v>
                </c:pt>
                <c:pt idx="41">
                  <c:v>0.0222680023986279</c:v>
                </c:pt>
                <c:pt idx="42">
                  <c:v>0.0233695488648599</c:v>
                </c:pt>
                <c:pt idx="43">
                  <c:v>0.0244978394980925</c:v>
                </c:pt>
                <c:pt idx="44">
                  <c:v>0.0256528887037014</c:v>
                </c:pt>
                <c:pt idx="45">
                  <c:v>0.0268347112327289</c:v>
                </c:pt>
                <c:pt idx="46">
                  <c:v>0.0280433221823559</c:v>
                </c:pt>
                <c:pt idx="47">
                  <c:v>0.0292787369963851</c:v>
                </c:pt>
                <c:pt idx="48">
                  <c:v>0.0305409714657366</c:v>
                </c:pt>
                <c:pt idx="49">
                  <c:v>0.0318300417289531</c:v>
                </c:pt>
                <c:pt idx="50">
                  <c:v>0.0331459642727182</c:v>
                </c:pt>
                <c:pt idx="51">
                  <c:v>0.0344887559323845</c:v>
                </c:pt>
                <c:pt idx="52">
                  <c:v>0.0358584338925147</c:v>
                </c:pt>
                <c:pt idx="53">
                  <c:v>0.0372550156874328</c:v>
                </c:pt>
                <c:pt idx="54">
                  <c:v>0.0386785192017875</c:v>
                </c:pt>
                <c:pt idx="55">
                  <c:v>0.0401289626711274</c:v>
                </c:pt>
                <c:pt idx="56">
                  <c:v>0.0416063646824866</c:v>
                </c:pt>
                <c:pt idx="57">
                  <c:v>0.0431107441749833</c:v>
                </c:pt>
                <c:pt idx="58">
                  <c:v>0.0446421204404291</c:v>
                </c:pt>
                <c:pt idx="59">
                  <c:v>0.0462005131239503</c:v>
                </c:pt>
                <c:pt idx="60">
                  <c:v>0.047785942224621</c:v>
                </c:pt>
                <c:pt idx="61">
                  <c:v>0.0493984280961074</c:v>
                </c:pt>
                <c:pt idx="62">
                  <c:v>0.0510379914473248</c:v>
                </c:pt>
                <c:pt idx="63">
                  <c:v>0.0527046533431055</c:v>
                </c:pt>
                <c:pt idx="64">
                  <c:v>0.0543984352048794</c:v>
                </c:pt>
                <c:pt idx="65">
                  <c:v>0.0561193588113655</c:v>
                </c:pt>
                <c:pt idx="66">
                  <c:v>0.0578674462992765</c:v>
                </c:pt>
                <c:pt idx="67">
                  <c:v>0.0596427201640346</c:v>
                </c:pt>
                <c:pt idx="68">
                  <c:v>0.0614452032604993</c:v>
                </c:pt>
                <c:pt idx="69">
                  <c:v>0.0632749188037081</c:v>
                </c:pt>
                <c:pt idx="70">
                  <c:v>0.0651318903696283</c:v>
                </c:pt>
                <c:pt idx="71">
                  <c:v>0.0670161418959214</c:v>
                </c:pt>
                <c:pt idx="72">
                  <c:v>0.06892769768272</c:v>
                </c:pt>
                <c:pt idx="73">
                  <c:v>0.0708665823934167</c:v>
                </c:pt>
                <c:pt idx="74">
                  <c:v>0.0728328210554652</c:v>
                </c:pt>
                <c:pt idx="75">
                  <c:v>0.0748264390611936</c:v>
                </c:pt>
                <c:pt idx="76">
                  <c:v>0.076847462168631</c:v>
                </c:pt>
                <c:pt idx="77">
                  <c:v>0.0788959165023455</c:v>
                </c:pt>
                <c:pt idx="78">
                  <c:v>0.0809718285542951</c:v>
                </c:pt>
                <c:pt idx="79">
                  <c:v>0.0830752251846917</c:v>
                </c:pt>
                <c:pt idx="80">
                  <c:v>0.0852061336228764</c:v>
                </c:pt>
                <c:pt idx="81">
                  <c:v>0.0873645814682094</c:v>
                </c:pt>
                <c:pt idx="82">
                  <c:v>0.0895505966909706</c:v>
                </c:pt>
                <c:pt idx="83">
                  <c:v>0.0917642076332742</c:v>
                </c:pt>
                <c:pt idx="84">
                  <c:v>0.094005443009996</c:v>
                </c:pt>
                <c:pt idx="85">
                  <c:v>0.0962743319097134</c:v>
                </c:pt>
                <c:pt idx="86">
                  <c:v>0.0985709037956583</c:v>
                </c:pt>
                <c:pt idx="87">
                  <c:v>0.100895188506683</c:v>
                </c:pt>
                <c:pt idx="88">
                  <c:v>0.103247216258239</c:v>
                </c:pt>
                <c:pt idx="89">
                  <c:v>0.105627017643371</c:v>
                </c:pt>
                <c:pt idx="90">
                  <c:v>0.108034623633719</c:v>
                </c:pt>
                <c:pt idx="91">
                  <c:v>0.11047006558054</c:v>
                </c:pt>
                <c:pt idx="92">
                  <c:v>0.112933375215739</c:v>
                </c:pt>
                <c:pt idx="93">
                  <c:v>0.115424584652913</c:v>
                </c:pt>
                <c:pt idx="94">
                  <c:v>0.117943726388412</c:v>
                </c:pt>
                <c:pt idx="95">
                  <c:v>0.12049083330241</c:v>
                </c:pt>
                <c:pt idx="96">
                  <c:v>0.123065938659991</c:v>
                </c:pt>
                <c:pt idx="97">
                  <c:v>0.125669076112248</c:v>
                </c:pt>
                <c:pt idx="98">
                  <c:v>0.128300279697398</c:v>
                </c:pt>
                <c:pt idx="99">
                  <c:v>0.130959583841907</c:v>
                </c:pt>
                <c:pt idx="100">
                  <c:v>0.133647023361633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'Efficiency vs Load Calculations'!$BL$8</c:f>
              <c:strCache>
                <c:ptCount val="1"/>
                <c:pt idx="0">
                  <c:v>Boost ''SYNC'' MOSFET Loss</c:v>
                </c:pt>
              </c:strCache>
            </c:strRef>
          </c:tx>
          <c:spPr>
            <a:solidFill>
              <a:srgbClr val="002060"/>
            </a:solidFill>
            <a:ln w="38160">
              <a:solidFill>
                <a:srgbClr val="00206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81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'Efficiency vs Load Calculations'!$K$9:$K$109</c:f>
              <c:strCache>
                <c:ptCount val="101"/>
                <c:pt idx="0">
                  <c:v>0</c:v>
                </c:pt>
                <c:pt idx="1">
                  <c:v>0.060</c:v>
                </c:pt>
                <c:pt idx="2">
                  <c:v>0.120</c:v>
                </c:pt>
                <c:pt idx="3">
                  <c:v>0.180</c:v>
                </c:pt>
                <c:pt idx="4">
                  <c:v>0.240</c:v>
                </c:pt>
                <c:pt idx="5">
                  <c:v>0.300</c:v>
                </c:pt>
                <c:pt idx="6">
                  <c:v>0.360</c:v>
                </c:pt>
                <c:pt idx="7">
                  <c:v>0.420</c:v>
                </c:pt>
                <c:pt idx="8">
                  <c:v>0.480</c:v>
                </c:pt>
                <c:pt idx="9">
                  <c:v>0.540</c:v>
                </c:pt>
                <c:pt idx="10">
                  <c:v>0.600</c:v>
                </c:pt>
                <c:pt idx="11">
                  <c:v>0.660</c:v>
                </c:pt>
                <c:pt idx="12">
                  <c:v>0.720</c:v>
                </c:pt>
                <c:pt idx="13">
                  <c:v>0.780</c:v>
                </c:pt>
                <c:pt idx="14">
                  <c:v>0.840</c:v>
                </c:pt>
                <c:pt idx="15">
                  <c:v>0.900</c:v>
                </c:pt>
                <c:pt idx="16">
                  <c:v>0.960</c:v>
                </c:pt>
                <c:pt idx="17">
                  <c:v>1.020</c:v>
                </c:pt>
                <c:pt idx="18">
                  <c:v>1.080</c:v>
                </c:pt>
                <c:pt idx="19">
                  <c:v>1.140</c:v>
                </c:pt>
                <c:pt idx="20">
                  <c:v>1.200</c:v>
                </c:pt>
                <c:pt idx="21">
                  <c:v>1.260</c:v>
                </c:pt>
                <c:pt idx="22">
                  <c:v>1.320</c:v>
                </c:pt>
                <c:pt idx="23">
                  <c:v>1.380</c:v>
                </c:pt>
                <c:pt idx="24">
                  <c:v>1.440</c:v>
                </c:pt>
                <c:pt idx="25">
                  <c:v>1.500</c:v>
                </c:pt>
                <c:pt idx="26">
                  <c:v>1.560</c:v>
                </c:pt>
                <c:pt idx="27">
                  <c:v>1.620</c:v>
                </c:pt>
                <c:pt idx="28">
                  <c:v>1.680</c:v>
                </c:pt>
                <c:pt idx="29">
                  <c:v>1.740</c:v>
                </c:pt>
                <c:pt idx="30">
                  <c:v>1.800</c:v>
                </c:pt>
                <c:pt idx="31">
                  <c:v>1.860</c:v>
                </c:pt>
                <c:pt idx="32">
                  <c:v>1.920</c:v>
                </c:pt>
                <c:pt idx="33">
                  <c:v>1.980</c:v>
                </c:pt>
                <c:pt idx="34">
                  <c:v>2.040</c:v>
                </c:pt>
                <c:pt idx="35">
                  <c:v>2.100</c:v>
                </c:pt>
                <c:pt idx="36">
                  <c:v>2.160</c:v>
                </c:pt>
                <c:pt idx="37">
                  <c:v>2.220</c:v>
                </c:pt>
                <c:pt idx="38">
                  <c:v>2.280</c:v>
                </c:pt>
                <c:pt idx="39">
                  <c:v>2.340</c:v>
                </c:pt>
                <c:pt idx="40">
                  <c:v>2.400</c:v>
                </c:pt>
                <c:pt idx="41">
                  <c:v>2.460</c:v>
                </c:pt>
                <c:pt idx="42">
                  <c:v>2.520</c:v>
                </c:pt>
                <c:pt idx="43">
                  <c:v>2.580</c:v>
                </c:pt>
                <c:pt idx="44">
                  <c:v>2.640</c:v>
                </c:pt>
                <c:pt idx="45">
                  <c:v>2.700</c:v>
                </c:pt>
                <c:pt idx="46">
                  <c:v>2.760</c:v>
                </c:pt>
                <c:pt idx="47">
                  <c:v>2.820</c:v>
                </c:pt>
                <c:pt idx="48">
                  <c:v>2.880</c:v>
                </c:pt>
                <c:pt idx="49">
                  <c:v>2.940</c:v>
                </c:pt>
                <c:pt idx="50">
                  <c:v>3.000</c:v>
                </c:pt>
                <c:pt idx="51">
                  <c:v>3.060</c:v>
                </c:pt>
                <c:pt idx="52">
                  <c:v>3.120</c:v>
                </c:pt>
                <c:pt idx="53">
                  <c:v>3.180</c:v>
                </c:pt>
                <c:pt idx="54">
                  <c:v>3.240</c:v>
                </c:pt>
                <c:pt idx="55">
                  <c:v>3.300</c:v>
                </c:pt>
                <c:pt idx="56">
                  <c:v>3.360</c:v>
                </c:pt>
                <c:pt idx="57">
                  <c:v>3.420</c:v>
                </c:pt>
                <c:pt idx="58">
                  <c:v>3.480</c:v>
                </c:pt>
                <c:pt idx="59">
                  <c:v>3.540</c:v>
                </c:pt>
                <c:pt idx="60">
                  <c:v>3.600</c:v>
                </c:pt>
                <c:pt idx="61">
                  <c:v>3.660</c:v>
                </c:pt>
                <c:pt idx="62">
                  <c:v>3.720</c:v>
                </c:pt>
                <c:pt idx="63">
                  <c:v>3.780</c:v>
                </c:pt>
                <c:pt idx="64">
                  <c:v>3.840</c:v>
                </c:pt>
                <c:pt idx="65">
                  <c:v>3.900</c:v>
                </c:pt>
                <c:pt idx="66">
                  <c:v>3.960</c:v>
                </c:pt>
                <c:pt idx="67">
                  <c:v>4.020</c:v>
                </c:pt>
                <c:pt idx="68">
                  <c:v>4.080</c:v>
                </c:pt>
                <c:pt idx="69">
                  <c:v>4.140</c:v>
                </c:pt>
                <c:pt idx="70">
                  <c:v>4.200</c:v>
                </c:pt>
                <c:pt idx="71">
                  <c:v>4.260</c:v>
                </c:pt>
                <c:pt idx="72">
                  <c:v>4.320</c:v>
                </c:pt>
                <c:pt idx="73">
                  <c:v>4.380</c:v>
                </c:pt>
                <c:pt idx="74">
                  <c:v>4.440</c:v>
                </c:pt>
                <c:pt idx="75">
                  <c:v>4.500</c:v>
                </c:pt>
                <c:pt idx="76">
                  <c:v>4.560</c:v>
                </c:pt>
                <c:pt idx="77">
                  <c:v>4.620</c:v>
                </c:pt>
                <c:pt idx="78">
                  <c:v>4.680</c:v>
                </c:pt>
                <c:pt idx="79">
                  <c:v>4.740</c:v>
                </c:pt>
                <c:pt idx="80">
                  <c:v>4.800</c:v>
                </c:pt>
                <c:pt idx="81">
                  <c:v>4.860</c:v>
                </c:pt>
                <c:pt idx="82">
                  <c:v>4.920</c:v>
                </c:pt>
                <c:pt idx="83">
                  <c:v>4.980</c:v>
                </c:pt>
                <c:pt idx="84">
                  <c:v>5.040</c:v>
                </c:pt>
                <c:pt idx="85">
                  <c:v>5.100</c:v>
                </c:pt>
                <c:pt idx="86">
                  <c:v>5.160</c:v>
                </c:pt>
                <c:pt idx="87">
                  <c:v>5.220</c:v>
                </c:pt>
                <c:pt idx="88">
                  <c:v>5.280</c:v>
                </c:pt>
                <c:pt idx="89">
                  <c:v>5.340</c:v>
                </c:pt>
                <c:pt idx="90">
                  <c:v>5.400</c:v>
                </c:pt>
                <c:pt idx="91">
                  <c:v>5.460</c:v>
                </c:pt>
                <c:pt idx="92">
                  <c:v>5.520</c:v>
                </c:pt>
                <c:pt idx="93">
                  <c:v>5.580</c:v>
                </c:pt>
                <c:pt idx="94">
                  <c:v>5.640</c:v>
                </c:pt>
                <c:pt idx="95">
                  <c:v>5.700</c:v>
                </c:pt>
                <c:pt idx="96">
                  <c:v>5.760</c:v>
                </c:pt>
                <c:pt idx="97">
                  <c:v>5.820</c:v>
                </c:pt>
                <c:pt idx="98">
                  <c:v>5.880</c:v>
                </c:pt>
                <c:pt idx="99">
                  <c:v>5.940</c:v>
                </c:pt>
                <c:pt idx="100">
                  <c:v>6.000</c:v>
                </c:pt>
              </c:strCache>
            </c:strRef>
          </c:cat>
          <c:val>
            <c:numRef>
              <c:f>'Efficiency vs Load Calculations'!$BL$9:$BL$109</c:f>
              <c:numCache>
                <c:formatCode>0.000</c:formatCode>
                <c:ptCount val="101"/>
                <c:pt idx="0">
                  <c:v>0.019602</c:v>
                </c:pt>
                <c:pt idx="1">
                  <c:v>0.0207833727946249</c:v>
                </c:pt>
                <c:pt idx="2">
                  <c:v>0.0219790558855373</c:v>
                </c:pt>
                <c:pt idx="3">
                  <c:v>0.023189056518153</c:v>
                </c:pt>
                <c:pt idx="4">
                  <c:v>0.0244133821845375</c:v>
                </c:pt>
                <c:pt idx="5">
                  <c:v>0.0256520406236302</c:v>
                </c:pt>
                <c:pt idx="6">
                  <c:v>0.0269050398214785</c:v>
                </c:pt>
                <c:pt idx="7">
                  <c:v>0.0281723880114817</c:v>
                </c:pt>
                <c:pt idx="8">
                  <c:v>0.0294540936746476</c:v>
                </c:pt>
                <c:pt idx="9">
                  <c:v>0.0307501655398576</c:v>
                </c:pt>
                <c:pt idx="10">
                  <c:v>0.0320606125841439</c:v>
                </c:pt>
                <c:pt idx="11">
                  <c:v>0.0333854440329767</c:v>
                </c:pt>
                <c:pt idx="12">
                  <c:v>0.0347246693605628</c:v>
                </c:pt>
                <c:pt idx="13">
                  <c:v>0.036078298290154</c:v>
                </c:pt>
                <c:pt idx="14">
                  <c:v>0.0374463407943671</c:v>
                </c:pt>
                <c:pt idx="15">
                  <c:v>0.0388288070955142</c:v>
                </c:pt>
                <c:pt idx="16">
                  <c:v>0.0402257076659441</c:v>
                </c:pt>
                <c:pt idx="17">
                  <c:v>0.0416370532283944</c:v>
                </c:pt>
                <c:pt idx="18">
                  <c:v>0.0430628547563544</c:v>
                </c:pt>
                <c:pt idx="19">
                  <c:v>0.0445031234744389</c:v>
                </c:pt>
                <c:pt idx="20">
                  <c:v>0.045957870858773</c:v>
                </c:pt>
                <c:pt idx="21">
                  <c:v>0.0474271086373878</c:v>
                </c:pt>
                <c:pt idx="22">
                  <c:v>0.0489108487906272</c:v>
                </c:pt>
                <c:pt idx="23">
                  <c:v>0.050409103551565</c:v>
                </c:pt>
                <c:pt idx="24">
                  <c:v>0.0519218854064343</c:v>
                </c:pt>
                <c:pt idx="25">
                  <c:v>0.0534492070950667</c:v>
                </c:pt>
                <c:pt idx="26">
                  <c:v>0.0549910816113431</c:v>
                </c:pt>
                <c:pt idx="27">
                  <c:v>0.056547522203656</c:v>
                </c:pt>
                <c:pt idx="28">
                  <c:v>0.0581185423753819</c:v>
                </c:pt>
                <c:pt idx="29">
                  <c:v>0.0597041558853664</c:v>
                </c:pt>
                <c:pt idx="30">
                  <c:v>0.0613043767484189</c:v>
                </c:pt>
                <c:pt idx="31">
                  <c:v>0.0629192192358195</c:v>
                </c:pt>
                <c:pt idx="32">
                  <c:v>0.0645486978758374</c:v>
                </c:pt>
                <c:pt idx="33">
                  <c:v>0.0661928274542595</c:v>
                </c:pt>
                <c:pt idx="34">
                  <c:v>0.0678516230149319</c:v>
                </c:pt>
                <c:pt idx="35">
                  <c:v>0.0695250998603115</c:v>
                </c:pt>
                <c:pt idx="36">
                  <c:v>0.0712132735520296</c:v>
                </c:pt>
                <c:pt idx="37">
                  <c:v>0.0729161599114669</c:v>
                </c:pt>
                <c:pt idx="38">
                  <c:v>0.0746337750203403</c:v>
                </c:pt>
                <c:pt idx="39">
                  <c:v>0.0763661352213011</c:v>
                </c:pt>
                <c:pt idx="40">
                  <c:v>0.0781132571185443</c:v>
                </c:pt>
                <c:pt idx="41">
                  <c:v>0.0798751575784305</c:v>
                </c:pt>
                <c:pt idx="42">
                  <c:v>0.0816518537301187</c:v>
                </c:pt>
                <c:pt idx="43">
                  <c:v>0.0834433629662116</c:v>
                </c:pt>
                <c:pt idx="44">
                  <c:v>0.0852497029434119</c:v>
                </c:pt>
                <c:pt idx="45">
                  <c:v>0.0870708915831913</c:v>
                </c:pt>
                <c:pt idx="46">
                  <c:v>0.0889069470724705</c:v>
                </c:pt>
                <c:pt idx="47">
                  <c:v>0.090757887864312</c:v>
                </c:pt>
                <c:pt idx="48">
                  <c:v>0.0926237326786244</c:v>
                </c:pt>
                <c:pt idx="49">
                  <c:v>0.0945045005028792</c:v>
                </c:pt>
                <c:pt idx="50">
                  <c:v>0.0964002105928388</c:v>
                </c:pt>
                <c:pt idx="51">
                  <c:v>0.098310882473298</c:v>
                </c:pt>
                <c:pt idx="52">
                  <c:v>0.100236535938837</c:v>
                </c:pt>
                <c:pt idx="53">
                  <c:v>0.102177191054585</c:v>
                </c:pt>
                <c:pt idx="54">
                  <c:v>0.104132868157003</c:v>
                </c:pt>
                <c:pt idx="55">
                  <c:v>0.106103587854665</c:v>
                </c:pt>
                <c:pt idx="56">
                  <c:v>0.108089371029071</c:v>
                </c:pt>
                <c:pt idx="57">
                  <c:v>0.110090238835454</c:v>
                </c:pt>
                <c:pt idx="58">
                  <c:v>0.112106212703611</c:v>
                </c:pt>
                <c:pt idx="59">
                  <c:v>0.114137314338744</c:v>
                </c:pt>
                <c:pt idx="60">
                  <c:v>0.116183565722311</c:v>
                </c:pt>
                <c:pt idx="61">
                  <c:v>0.118244989112894</c:v>
                </c:pt>
                <c:pt idx="62">
                  <c:v>0.120321607047076</c:v>
                </c:pt>
                <c:pt idx="63">
                  <c:v>0.122413442340332</c:v>
                </c:pt>
                <c:pt idx="64">
                  <c:v>0.124520518087939</c:v>
                </c:pt>
                <c:pt idx="65">
                  <c:v>0.126642857665885</c:v>
                </c:pt>
                <c:pt idx="66">
                  <c:v>0.128780484731807</c:v>
                </c:pt>
                <c:pt idx="67">
                  <c:v>0.130933423225933</c:v>
                </c:pt>
                <c:pt idx="68">
                  <c:v>0.133101697372038</c:v>
                </c:pt>
                <c:pt idx="69">
                  <c:v>0.135285331678416</c:v>
                </c:pt>
                <c:pt idx="70">
                  <c:v>0.137484350938863</c:v>
                </c:pt>
                <c:pt idx="71">
                  <c:v>0.139698780233677</c:v>
                </c:pt>
                <c:pt idx="72">
                  <c:v>0.141928644930667</c:v>
                </c:pt>
                <c:pt idx="73">
                  <c:v>0.144173970686178</c:v>
                </c:pt>
                <c:pt idx="74">
                  <c:v>0.146434783446132</c:v>
                </c:pt>
                <c:pt idx="75">
                  <c:v>0.148711109447079</c:v>
                </c:pt>
                <c:pt idx="76">
                  <c:v>0.151002975217261</c:v>
                </c:pt>
                <c:pt idx="77">
                  <c:v>0.153310407577697</c:v>
                </c:pt>
                <c:pt idx="78">
                  <c:v>0.155633433643276</c:v>
                </c:pt>
                <c:pt idx="79">
                  <c:v>0.157972080823863</c:v>
                </c:pt>
                <c:pt idx="80">
                  <c:v>0.160326376825426</c:v>
                </c:pt>
                <c:pt idx="81">
                  <c:v>0.162696349651173</c:v>
                </c:pt>
                <c:pt idx="82">
                  <c:v>0.165082027602698</c:v>
                </c:pt>
                <c:pt idx="83">
                  <c:v>0.167483439281158</c:v>
                </c:pt>
                <c:pt idx="84">
                  <c:v>0.169900613588442</c:v>
                </c:pt>
                <c:pt idx="85">
                  <c:v>0.172333579728379</c:v>
                </c:pt>
                <c:pt idx="86">
                  <c:v>0.174782367207936</c:v>
                </c:pt>
                <c:pt idx="87">
                  <c:v>0.177247005838456</c:v>
                </c:pt>
                <c:pt idx="88">
                  <c:v>0.179727525736889</c:v>
                </c:pt>
                <c:pt idx="89">
                  <c:v>0.182223957327052</c:v>
                </c:pt>
                <c:pt idx="90">
                  <c:v>0.184736331340901</c:v>
                </c:pt>
                <c:pt idx="91">
                  <c:v>0.187264678819813</c:v>
                </c:pt>
                <c:pt idx="92">
                  <c:v>0.189809031115894</c:v>
                </c:pt>
                <c:pt idx="93">
                  <c:v>0.19236941989329</c:v>
                </c:pt>
                <c:pt idx="94">
                  <c:v>0.194945877129524</c:v>
                </c:pt>
                <c:pt idx="95">
                  <c:v>0.197538435116844</c:v>
                </c:pt>
                <c:pt idx="96">
                  <c:v>0.200147126463586</c:v>
                </c:pt>
                <c:pt idx="97">
                  <c:v>0.202771984095559</c:v>
                </c:pt>
                <c:pt idx="98">
                  <c:v>0.205413041257436</c:v>
                </c:pt>
                <c:pt idx="99">
                  <c:v>0.208070331514171</c:v>
                </c:pt>
                <c:pt idx="100">
                  <c:v>0.210743888752429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97638028"/>
        <c:axId val="64919737"/>
      </c:lineChart>
      <c:catAx>
        <c:axId val="20863333"/>
        <c:scaling>
          <c:orientation val="minMax"/>
        </c:scaling>
        <c:delete val="0"/>
        <c:axPos val="b"/>
        <c:majorGridlines>
          <c:spPr>
            <a:ln w="15840">
              <a:solidFill>
                <a:srgbClr val="969696"/>
              </a:solidFill>
              <a:prstDash val="sysDash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300" strike="noStrike" u="none">
                    <a:solidFill>
                      <a:srgbClr val="0000ff"/>
                    </a:solidFill>
                    <a:uFillTx/>
                    <a:latin typeface="Arial"/>
                    <a:ea typeface="Calibri"/>
                  </a:rPr>
                  <a:t>Load Current (A)</a:t>
                </a:r>
              </a:p>
            </c:rich>
          </c:tx>
          <c:layout>
            <c:manualLayout>
              <c:xMode val="edge"/>
              <c:yMode val="edge"/>
              <c:x val="0.416234658159422"/>
              <c:y val="0.945717479390806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0000ff"/>
                </a:solidFill>
                <a:uFillTx/>
                <a:latin typeface="Arial"/>
                <a:ea typeface="Calibri"/>
              </a:defRPr>
            </a:pPr>
          </a:p>
        </c:txPr>
        <c:crossAx val="3555650"/>
        <c:crosses val="autoZero"/>
        <c:auto val="1"/>
        <c:lblAlgn val="ctr"/>
        <c:lblOffset val="100"/>
        <c:noMultiLvlLbl val="0"/>
      </c:catAx>
      <c:valAx>
        <c:axId val="3555650"/>
        <c:scaling>
          <c:orientation val="minMax"/>
          <c:max val="100"/>
          <c:min val="75"/>
        </c:scaling>
        <c:delete val="0"/>
        <c:axPos val="l"/>
        <c:majorGridlines>
          <c:spPr>
            <a:ln w="15840">
              <a:solidFill>
                <a:srgbClr val="808080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300" strike="noStrike" u="none">
                    <a:solidFill>
                      <a:srgbClr val="ff0000"/>
                    </a:solidFill>
                    <a:uFillTx/>
                    <a:latin typeface="Arial"/>
                    <a:ea typeface="Calibri"/>
                  </a:rPr>
                  <a:t>Efficiency (%)</a:t>
                </a:r>
              </a:p>
            </c:rich>
          </c:tx>
          <c:layout>
            <c:manualLayout>
              <c:xMode val="edge"/>
              <c:yMode val="edge"/>
              <c:x val="0.0128937923700651"/>
              <c:y val="0.376274975548414"/>
            </c:manualLayout>
          </c:layout>
          <c:overlay val="0"/>
          <c:spPr>
            <a:noFill/>
            <a:ln w="25560">
              <a:noFill/>
            </a:ln>
          </c:spPr>
        </c:title>
        <c:numFmt formatCode="#,##0" sourceLinked="0"/>
        <c:majorTickMark val="out"/>
        <c:minorTickMark val="out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ff0000"/>
                </a:solidFill>
                <a:uFillTx/>
                <a:latin typeface="Arial"/>
                <a:ea typeface="Calibri"/>
              </a:defRPr>
            </a:pPr>
          </a:p>
        </c:txPr>
        <c:crossAx val="20863333"/>
        <c:crosses val="autoZero"/>
        <c:crossBetween val="between"/>
        <c:majorUnit val="5"/>
        <c:minorUnit val="2.5"/>
      </c:valAx>
      <c:catAx>
        <c:axId val="9763802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85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4919737"/>
        <c:auto val="1"/>
        <c:lblAlgn val="ctr"/>
        <c:lblOffset val="100"/>
        <c:noMultiLvlLbl val="0"/>
      </c:catAx>
      <c:valAx>
        <c:axId val="64919737"/>
        <c:scaling>
          <c:orientation val="minMax"/>
          <c:min val="0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4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Power Loss (W)</a:t>
                </a:r>
              </a:p>
            </c:rich>
          </c:tx>
          <c:layout>
            <c:manualLayout>
              <c:xMode val="edge"/>
              <c:yMode val="edge"/>
              <c:x val="0.955912977978643"/>
              <c:y val="0.370406594942015"/>
            </c:manualLayout>
          </c:layout>
          <c:overlay val="0"/>
          <c:spPr>
            <a:noFill/>
            <a:ln w="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7638028"/>
        <c:crosses val="max"/>
        <c:crossBetween val="between"/>
      </c:valAx>
      <c:spPr>
        <a:noFill/>
        <a:ln w="25560">
          <a:noFill/>
        </a:ln>
      </c:spPr>
    </c:plotArea>
    <c:legend>
      <c:legendPos val="t"/>
      <c:layout>
        <c:manualLayout>
          <c:xMode val="edge"/>
          <c:yMode val="edge"/>
          <c:x val="0.361204087472653"/>
          <c:y val="0.011892626175887"/>
          <c:w val="0.614179997723028"/>
          <c:h val="0.0905765609084237"/>
        </c:manualLayout>
      </c:layout>
      <c:overlay val="0"/>
      <c:spPr>
        <a:solidFill>
          <a:srgbClr val="ffffff"/>
        </a:solidFill>
        <a:ln w="25560">
          <a:noFill/>
        </a:ln>
      </c:spPr>
      <c:txPr>
        <a:bodyPr/>
        <a:lstStyle/>
        <a:p>
          <a:pPr>
            <a:defRPr b="0" sz="1200" strike="noStrike" u="none">
              <a:solidFill>
                <a:srgbClr val="000000"/>
              </a:solidFill>
              <a:uFillTx/>
              <a:latin typeface="Arial"/>
              <a:ea typeface="Calibri"/>
            </a:defRPr>
          </a:pPr>
        </a:p>
      </c:txPr>
    </c:legend>
    <c:plotVisOnly val="1"/>
    <c:dispBlanksAs val="gap"/>
  </c:chart>
  <c:spPr>
    <a:noFill/>
    <a:ln w="9360">
      <a:solidFill>
        <a:srgbClr val="808080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</a:t>
            </a: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,  I</a:t>
            </a:r>
            <a:r>
              <a:rPr b="1" lang="en-US" sz="2000" strike="noStrike" u="none" baseline="-25000">
                <a:solidFill>
                  <a:srgbClr val="000000"/>
                </a:solidFill>
                <a:uFillTx/>
                <a:latin typeface="Arial"/>
                <a:ea typeface="Calibri"/>
              </a:rPr>
              <a:t>OUT</a:t>
            </a:r>
            <a:r>
              <a:rPr b="1" lang="en-US" sz="2000" strike="noStrike" u="none">
                <a:solidFill>
                  <a:srgbClr val="000000"/>
                </a:solidFill>
                <a:uFillTx/>
                <a:latin typeface="Arial"/>
                <a:ea typeface="Calibri"/>
              </a:rPr>
              <a:t> = I</a:t>
            </a:r>
            <a:r>
              <a:rPr b="1" lang="en-US" sz="2000" strike="noStrike" u="none" baseline="-25000">
                <a:solidFill>
                  <a:srgbClr val="000000"/>
                </a:solidFill>
                <a:uFillTx/>
                <a:latin typeface="Arial"/>
                <a:ea typeface="Calibri"/>
              </a:rPr>
              <a:t>OUT(max)</a:t>
            </a:r>
          </a:p>
        </c:rich>
      </c:tx>
      <c:layout>
        <c:manualLayout>
          <c:xMode val="edge"/>
          <c:yMode val="edge"/>
          <c:x val="0.0770525942664717"/>
          <c:y val="0.0141819197987984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24139306127875"/>
          <c:y val="0.123725024451586"/>
          <c:w val="0.825778723027161"/>
          <c:h val="0.76065390526757"/>
        </c:manualLayout>
      </c:layout>
      <c:lineChart>
        <c:grouping val="standard"/>
        <c:varyColors val="0"/>
        <c:ser>
          <c:idx val="0"/>
          <c:order val="0"/>
          <c:tx>
            <c:strRef>
              <c:f>"Efficiency"</c:f>
              <c:strCache>
                <c:ptCount val="1"/>
                <c:pt idx="0">
                  <c:v>Efficiency</c:v>
                </c:pt>
              </c:strCache>
            </c:strRef>
          </c:tx>
          <c:spPr>
            <a:solidFill>
              <a:srgbClr val="ff0000"/>
            </a:solidFill>
            <a:ln w="3168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16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'Efficiency vs VIN Calculations'!$H$9:$H$209</c:f>
              <c:strCache>
                <c:ptCount val="201"/>
                <c:pt idx="0">
                  <c:v>6.00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7.10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8.20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9.30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10.40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11.50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12.60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13.70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14.80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15.90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17.00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18.10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19.20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20.30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21.40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22.50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23.60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24.70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25.80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26.90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28.00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29.10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30.20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31.30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32.40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33.50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34.60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35.70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36.80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37.90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39.00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40.10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41.20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42.30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43.40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44.50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45.60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46.70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47.80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48.90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50.00</c:v>
                </c:pt>
              </c:strCache>
            </c:strRef>
          </c:cat>
          <c:val>
            <c:numRef>
              <c:f>'Efficiency vs VIN Calculations'!$BH$9:$BH$209</c:f>
              <c:numCache>
                <c:formatCode>0.00</c:formatCode>
                <c:ptCount val="201"/>
                <c:pt idx="0">
                  <c:v>94.4694125758836</c:v>
                </c:pt>
                <c:pt idx="1">
                  <c:v>94.8264652504134</c:v>
                </c:pt>
                <c:pt idx="2">
                  <c:v>95.1461947445739</c:v>
                </c:pt>
                <c:pt idx="3">
                  <c:v>95.4340078272344</c:v>
                </c:pt>
                <c:pt idx="4">
                  <c:v>95.6943443438051</c:v>
                </c:pt>
                <c:pt idx="5">
                  <c:v>95.9308803311732</c:v>
                </c:pt>
                <c:pt idx="6">
                  <c:v>96.1466810198205</c:v>
                </c:pt>
                <c:pt idx="7">
                  <c:v>96.3443178430287</c:v>
                </c:pt>
                <c:pt idx="8">
                  <c:v>96.5259591297748</c:v>
                </c:pt>
                <c:pt idx="9">
                  <c:v>96.6934412531103</c:v>
                </c:pt>
                <c:pt idx="10">
                  <c:v>96.848325062076</c:v>
                </c:pt>
                <c:pt idx="11">
                  <c:v>96.9919410974077</c:v>
                </c:pt>
                <c:pt idx="12">
                  <c:v>97.1254261674466</c:v>
                </c:pt>
                <c:pt idx="13">
                  <c:v>97.249753207405</c:v>
                </c:pt>
                <c:pt idx="14">
                  <c:v>97.3657558766409</c:v>
                </c:pt>
                <c:pt idx="15">
                  <c:v>97.474149008685</c:v>
                </c:pt>
                <c:pt idx="16">
                  <c:v>97.5755457800214</c:v>
                </c:pt>
                <c:pt idx="17">
                  <c:v>97.6704722810304</c:v>
                </c:pt>
                <c:pt idx="18">
                  <c:v>97.7593800393497</c:v>
                </c:pt>
                <c:pt idx="19">
                  <c:v>97.8426569516889</c:v>
                </c:pt>
                <c:pt idx="20">
                  <c:v>97.9206370194876</c:v>
                </c:pt>
                <c:pt idx="21">
                  <c:v>97.993609257176</c:v>
                </c:pt>
                <c:pt idx="22">
                  <c:v>98.0618261586836</c:v>
                </c:pt>
                <c:pt idx="23">
                  <c:v>98.1082325610557</c:v>
                </c:pt>
                <c:pt idx="24">
                  <c:v>98.1798202617741</c:v>
                </c:pt>
                <c:pt idx="25">
                  <c:v>98.2449128204231</c:v>
                </c:pt>
                <c:pt idx="26">
                  <c:v>98.3032947183486</c:v>
                </c:pt>
                <c:pt idx="27">
                  <c:v>98.354816323252</c:v>
                </c:pt>
                <c:pt idx="28">
                  <c:v>98.3800654622689</c:v>
                </c:pt>
                <c:pt idx="29">
                  <c:v>98.3668302933426</c:v>
                </c:pt>
                <c:pt idx="30">
                  <c:v>98.3496479208931</c:v>
                </c:pt>
                <c:pt idx="31">
                  <c:v>98.3282961061867</c:v>
                </c:pt>
                <c:pt idx="32">
                  <c:v>98.3027893883038</c:v>
                </c:pt>
                <c:pt idx="33">
                  <c:v>98.2732529523181</c:v>
                </c:pt>
                <c:pt idx="34">
                  <c:v>98.2398702636708</c:v>
                </c:pt>
                <c:pt idx="35">
                  <c:v>98.202855698723</c:v>
                </c:pt>
                <c:pt idx="36">
                  <c:v>98.1624386086407</c:v>
                </c:pt>
                <c:pt idx="37">
                  <c:v>98.2939891445295</c:v>
                </c:pt>
                <c:pt idx="38">
                  <c:v>98.2719371143932</c:v>
                </c:pt>
                <c:pt idx="39">
                  <c:v>98.2494200627523</c:v>
                </c:pt>
                <c:pt idx="40">
                  <c:v>98.2264795469021</c:v>
                </c:pt>
                <c:pt idx="41">
                  <c:v>98.2031555604096</c:v>
                </c:pt>
                <c:pt idx="42">
                  <c:v>98.1794862896173</c:v>
                </c:pt>
                <c:pt idx="43">
                  <c:v>98.1555079764918</c:v>
                </c:pt>
                <c:pt idx="44">
                  <c:v>98.1312548558385</c:v>
                </c:pt>
                <c:pt idx="45">
                  <c:v>98.1067591445859</c:v>
                </c:pt>
                <c:pt idx="46">
                  <c:v>98.0820510673363</c:v>
                </c:pt>
                <c:pt idx="47">
                  <c:v>98.0571589068576</c:v>
                </c:pt>
                <c:pt idx="48">
                  <c:v>98.032109071324</c:v>
                </c:pt>
                <c:pt idx="49">
                  <c:v>98.0069261723515</c:v>
                </c:pt>
                <c:pt idx="50">
                  <c:v>97.981633109487</c:v>
                </c:pt>
                <c:pt idx="51">
                  <c:v>97.9562511579892</c:v>
                </c:pt>
                <c:pt idx="52">
                  <c:v>97.9308000576068</c:v>
                </c:pt>
                <c:pt idx="53">
                  <c:v>97.9052981007013</c:v>
                </c:pt>
                <c:pt idx="54">
                  <c:v>97.8797622185427</c:v>
                </c:pt>
                <c:pt idx="55">
                  <c:v>97.8542080649601</c:v>
                </c:pt>
                <c:pt idx="56">
                  <c:v>97.8286500968009</c:v>
                </c:pt>
                <c:pt idx="57">
                  <c:v>97.8031016508488</c:v>
                </c:pt>
                <c:pt idx="58">
                  <c:v>97.7775750170021</c:v>
                </c:pt>
                <c:pt idx="59">
                  <c:v>97.7520815076232</c:v>
                </c:pt>
                <c:pt idx="60">
                  <c:v>97.7266315230528</c:v>
                </c:pt>
                <c:pt idx="61">
                  <c:v>97.7012346133397</c:v>
                </c:pt>
                <c:pt idx="62">
                  <c:v>97.6758995362835</c:v>
                </c:pt>
                <c:pt idx="63">
                  <c:v>97.6506343119114</c:v>
                </c:pt>
                <c:pt idx="64">
                  <c:v>97.6254462735351</c:v>
                </c:pt>
                <c:pt idx="65">
                  <c:v>97.6003421155441</c:v>
                </c:pt>
                <c:pt idx="66">
                  <c:v>97.5753279380972</c:v>
                </c:pt>
                <c:pt idx="67">
                  <c:v>97.5504092888792</c:v>
                </c:pt>
                <c:pt idx="68">
                  <c:v>97.5255912020877</c:v>
                </c:pt>
                <c:pt idx="69">
                  <c:v>97.5008782348111</c:v>
                </c:pt>
                <c:pt idx="70">
                  <c:v>97.476274500957</c:v>
                </c:pt>
                <c:pt idx="71">
                  <c:v>97.4517837028826</c:v>
                </c:pt>
                <c:pt idx="72">
                  <c:v>97.4274091608719</c:v>
                </c:pt>
                <c:pt idx="73">
                  <c:v>97.4031538406007</c:v>
                </c:pt>
                <c:pt idx="74">
                  <c:v>97.3790203787184</c:v>
                </c:pt>
                <c:pt idx="75">
                  <c:v>97.355011106674</c:v>
                </c:pt>
                <c:pt idx="76">
                  <c:v>97.3311280729015</c:v>
                </c:pt>
                <c:pt idx="77">
                  <c:v>97.3073730634768</c:v>
                </c:pt>
                <c:pt idx="78">
                  <c:v>97.2837476213493</c:v>
                </c:pt>
                <c:pt idx="79">
                  <c:v>97.2602530642444</c:v>
                </c:pt>
                <c:pt idx="80">
                  <c:v>97.2368905013299</c:v>
                </c:pt>
                <c:pt idx="81">
                  <c:v>97.2136608487294</c:v>
                </c:pt>
                <c:pt idx="82">
                  <c:v>97.190564843963</c:v>
                </c:pt>
                <c:pt idx="83">
                  <c:v>97.1676030593895</c:v>
                </c:pt>
                <c:pt idx="84">
                  <c:v>97.1447759147179</c:v>
                </c:pt>
                <c:pt idx="85">
                  <c:v>97.1220836886549</c:v>
                </c:pt>
                <c:pt idx="86">
                  <c:v>97.0995265297451</c:v>
                </c:pt>
                <c:pt idx="87">
                  <c:v>97.0771044664624</c:v>
                </c:pt>
                <c:pt idx="88">
                  <c:v>97.0548174166033</c:v>
                </c:pt>
                <c:pt idx="89">
                  <c:v>97.0326651960299</c:v>
                </c:pt>
                <c:pt idx="90">
                  <c:v>97.0106475268089</c:v>
                </c:pt>
                <c:pt idx="91">
                  <c:v>96.9887640447871</c:v>
                </c:pt>
                <c:pt idx="92">
                  <c:v>96.9670143066422</c:v>
                </c:pt>
                <c:pt idx="93">
                  <c:v>96.9453977964469</c:v>
                </c:pt>
                <c:pt idx="94">
                  <c:v>96.9239139317766</c:v>
                </c:pt>
                <c:pt idx="95">
                  <c:v>96.9025620693952</c:v>
                </c:pt>
                <c:pt idx="96">
                  <c:v>96.8813415105464</c:v>
                </c:pt>
                <c:pt idx="97">
                  <c:v>96.8602515058767</c:v>
                </c:pt>
                <c:pt idx="98">
                  <c:v>96.8392912600179</c:v>
                </c:pt>
                <c:pt idx="99">
                  <c:v>96.8184599358492</c:v>
                </c:pt>
                <c:pt idx="100">
                  <c:v>96.7977566584632</c:v>
                </c:pt>
                <c:pt idx="101">
                  <c:v>96.7771805188548</c:v>
                </c:pt>
                <c:pt idx="102">
                  <c:v>96.7567305773517</c:v>
                </c:pt>
                <c:pt idx="103">
                  <c:v>96.7364058668049</c:v>
                </c:pt>
                <c:pt idx="104">
                  <c:v>96.7162053955544</c:v>
                </c:pt>
                <c:pt idx="105">
                  <c:v>96.6961281501863</c:v>
                </c:pt>
                <c:pt idx="106">
                  <c:v>96.6761730980942</c:v>
                </c:pt>
                <c:pt idx="107">
                  <c:v>96.6563391898595</c:v>
                </c:pt>
                <c:pt idx="108">
                  <c:v>96.6366253614616</c:v>
                </c:pt>
                <c:pt idx="109">
                  <c:v>96.6170305363302</c:v>
                </c:pt>
                <c:pt idx="110">
                  <c:v>96.5975536272493</c:v>
                </c:pt>
                <c:pt idx="111">
                  <c:v>96.5781935381249</c:v>
                </c:pt>
                <c:pt idx="112">
                  <c:v>96.5589491656225</c:v>
                </c:pt>
                <c:pt idx="113">
                  <c:v>96.5398194006861</c:v>
                </c:pt>
                <c:pt idx="114">
                  <c:v>96.5208031299445</c:v>
                </c:pt>
                <c:pt idx="115">
                  <c:v>96.5018992370141</c:v>
                </c:pt>
                <c:pt idx="116">
                  <c:v>96.4831066037028</c:v>
                </c:pt>
                <c:pt idx="117">
                  <c:v>96.4644241111247</c:v>
                </c:pt>
                <c:pt idx="118">
                  <c:v>96.4458506407289</c:v>
                </c:pt>
                <c:pt idx="119">
                  <c:v>96.4273850752492</c:v>
                </c:pt>
                <c:pt idx="120">
                  <c:v>96.4090262995801</c:v>
                </c:pt>
                <c:pt idx="121">
                  <c:v>96.390773201584</c:v>
                </c:pt>
                <c:pt idx="122">
                  <c:v>96.3726246728336</c:v>
                </c:pt>
                <c:pt idx="123">
                  <c:v>96.3545796092943</c:v>
                </c:pt>
                <c:pt idx="124">
                  <c:v>96.3366369119509</c:v>
                </c:pt>
                <c:pt idx="125">
                  <c:v>96.3187954873818</c:v>
                </c:pt>
                <c:pt idx="126">
                  <c:v>96.3010542482837</c:v>
                </c:pt>
                <c:pt idx="127">
                  <c:v>96.2834121139523</c:v>
                </c:pt>
                <c:pt idx="128">
                  <c:v>96.2658680107188</c:v>
                </c:pt>
                <c:pt idx="129">
                  <c:v>96.2484208723482</c:v>
                </c:pt>
                <c:pt idx="130">
                  <c:v>96.2310696403992</c:v>
                </c:pt>
                <c:pt idx="131">
                  <c:v>96.2138132645513</c:v>
                </c:pt>
                <c:pt idx="132">
                  <c:v>96.1966507028984</c:v>
                </c:pt>
                <c:pt idx="133">
                  <c:v>96.1795809222131</c:v>
                </c:pt>
                <c:pt idx="134">
                  <c:v>96.1626028981825</c:v>
                </c:pt>
                <c:pt idx="135">
                  <c:v>96.1457156156195</c:v>
                </c:pt>
                <c:pt idx="136">
                  <c:v>96.1289180686475</c:v>
                </c:pt>
                <c:pt idx="137">
                  <c:v>96.1122092608649</c:v>
                </c:pt>
                <c:pt idx="138">
                  <c:v>96.0955882054869</c:v>
                </c:pt>
                <c:pt idx="139">
                  <c:v>96.0790539254689</c:v>
                </c:pt>
                <c:pt idx="140">
                  <c:v>96.0626054536109</c:v>
                </c:pt>
                <c:pt idx="141">
                  <c:v>96.0462418326456</c:v>
                </c:pt>
                <c:pt idx="142">
                  <c:v>96.0299621153107</c:v>
                </c:pt>
                <c:pt idx="143">
                  <c:v>96.013765364406</c:v>
                </c:pt>
                <c:pt idx="144">
                  <c:v>95.9976506528382</c:v>
                </c:pt>
                <c:pt idx="145">
                  <c:v>95.9816170636517</c:v>
                </c:pt>
                <c:pt idx="146">
                  <c:v>95.9656636900493</c:v>
                </c:pt>
                <c:pt idx="147">
                  <c:v>95.9497896354005</c:v>
                </c:pt>
                <c:pt idx="148">
                  <c:v>95.9339940132413</c:v>
                </c:pt>
                <c:pt idx="149">
                  <c:v>95.9182759472637</c:v>
                </c:pt>
                <c:pt idx="150">
                  <c:v>95.9026345712975</c:v>
                </c:pt>
                <c:pt idx="151">
                  <c:v>95.8870690292834</c:v>
                </c:pt>
                <c:pt idx="152">
                  <c:v>95.8715784752397</c:v>
                </c:pt>
                <c:pt idx="153">
                  <c:v>95.8561620732217</c:v>
                </c:pt>
                <c:pt idx="154">
                  <c:v>95.8408189972751</c:v>
                </c:pt>
                <c:pt idx="155">
                  <c:v>95.825548431384</c:v>
                </c:pt>
                <c:pt idx="156">
                  <c:v>95.8103495694137</c:v>
                </c:pt>
                <c:pt idx="157">
                  <c:v>95.7952216150483</c:v>
                </c:pt>
                <c:pt idx="158">
                  <c:v>95.7801637817247</c:v>
                </c:pt>
                <c:pt idx="159">
                  <c:v>95.7651752925621</c:v>
                </c:pt>
                <c:pt idx="160">
                  <c:v>95.750255380288</c:v>
                </c:pt>
                <c:pt idx="161">
                  <c:v>95.7354032871617</c:v>
                </c:pt>
                <c:pt idx="162">
                  <c:v>95.7206182648935</c:v>
                </c:pt>
                <c:pt idx="163">
                  <c:v>95.7058995745626</c:v>
                </c:pt>
                <c:pt idx="164">
                  <c:v>95.6912464865319</c:v>
                </c:pt>
                <c:pt idx="165">
                  <c:v>95.6766582803612</c:v>
                </c:pt>
                <c:pt idx="166">
                  <c:v>95.6621342447175</c:v>
                </c:pt>
                <c:pt idx="167">
                  <c:v>95.6476736772853</c:v>
                </c:pt>
                <c:pt idx="168">
                  <c:v>95.6332758846739</c:v>
                </c:pt>
                <c:pt idx="169">
                  <c:v>95.6189401823245</c:v>
                </c:pt>
                <c:pt idx="170">
                  <c:v>95.6046658944157</c:v>
                </c:pt>
                <c:pt idx="171">
                  <c:v>95.5904523537682</c:v>
                </c:pt>
                <c:pt idx="172">
                  <c:v>95.5762989017492</c:v>
                </c:pt>
                <c:pt idx="173">
                  <c:v>95.5622048881753</c:v>
                </c:pt>
                <c:pt idx="174">
                  <c:v>95.5481696712161</c:v>
                </c:pt>
                <c:pt idx="175">
                  <c:v>95.5341926172962</c:v>
                </c:pt>
                <c:pt idx="176">
                  <c:v>95.5202731009982</c:v>
                </c:pt>
                <c:pt idx="177">
                  <c:v>95.5064105049647</c:v>
                </c:pt>
                <c:pt idx="178">
                  <c:v>95.4926042198008</c:v>
                </c:pt>
                <c:pt idx="179">
                  <c:v>95.4788536439764</c:v>
                </c:pt>
                <c:pt idx="180">
                  <c:v>95.4651581837289</c:v>
                </c:pt>
                <c:pt idx="181">
                  <c:v>95.4515172529659</c:v>
                </c:pt>
                <c:pt idx="182">
                  <c:v>95.4379302731685</c:v>
                </c:pt>
                <c:pt idx="183">
                  <c:v>95.4243966732946</c:v>
                </c:pt>
                <c:pt idx="184">
                  <c:v>95.4109158896831</c:v>
                </c:pt>
                <c:pt idx="185">
                  <c:v>95.3974873659585</c:v>
                </c:pt>
                <c:pt idx="186">
                  <c:v>95.3841105529358</c:v>
                </c:pt>
                <c:pt idx="187">
                  <c:v>95.3707849085262</c:v>
                </c:pt>
                <c:pt idx="188">
                  <c:v>95.3575098976433</c:v>
                </c:pt>
                <c:pt idx="189">
                  <c:v>95.3442849921105</c:v>
                </c:pt>
                <c:pt idx="190">
                  <c:v>95.3311096705684</c:v>
                </c:pt>
                <c:pt idx="191">
                  <c:v>95.3179834183836</c:v>
                </c:pt>
                <c:pt idx="192">
                  <c:v>95.3049057275577</c:v>
                </c:pt>
                <c:pt idx="193">
                  <c:v>95.2918760966377</c:v>
                </c:pt>
                <c:pt idx="194">
                  <c:v>95.2788940306269</c:v>
                </c:pt>
                <c:pt idx="195">
                  <c:v>95.2659590408966</c:v>
                </c:pt>
                <c:pt idx="196">
                  <c:v>95.2530706450992</c:v>
                </c:pt>
                <c:pt idx="197">
                  <c:v>95.2402283670813</c:v>
                </c:pt>
                <c:pt idx="198">
                  <c:v>95.2274317367988</c:v>
                </c:pt>
                <c:pt idx="199">
                  <c:v>95.214680290232</c:v>
                </c:pt>
                <c:pt idx="200">
                  <c:v>95.201973569302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7788776"/>
        <c:axId val="10413753"/>
      </c:lineChart>
      <c:lineChart>
        <c:grouping val="standard"/>
        <c:varyColors val="0"/>
        <c:ser>
          <c:idx val="1"/>
          <c:order val="1"/>
          <c:tx>
            <c:strRef>
              <c:f>"Inductor Loss"</c:f>
              <c:strCache>
                <c:ptCount val="1"/>
                <c:pt idx="0">
                  <c:v>Inductor Loss</c:v>
                </c:pt>
              </c:strCache>
            </c:strRef>
          </c:tx>
          <c:spPr>
            <a:solidFill>
              <a:srgbClr val="800080"/>
            </a:solidFill>
            <a:ln w="38160">
              <a:solidFill>
                <a:srgbClr val="80008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81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'Efficiency vs VIN Calculations'!$H$9:$H$209</c:f>
              <c:strCache>
                <c:ptCount val="201"/>
                <c:pt idx="0">
                  <c:v>6.00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7.10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8.20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9.30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10.40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11.50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12.60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13.70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14.80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15.90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17.00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18.10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19.20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20.30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21.40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22.50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23.60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24.70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25.80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26.90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28.00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29.10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30.20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31.30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32.40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33.50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34.60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35.70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36.80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37.90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39.00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40.10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41.20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42.30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43.40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44.50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45.60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46.70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47.80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48.90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50.00</c:v>
                </c:pt>
              </c:strCache>
            </c:strRef>
          </c:cat>
          <c:val>
            <c:numRef>
              <c:f>'Efficiency vs VIN Calculations'!$BI$9:$BI$209</c:f>
              <c:numCache>
                <c:formatCode>0.000</c:formatCode>
                <c:ptCount val="201"/>
                <c:pt idx="0">
                  <c:v>0.719724500647861</c:v>
                </c:pt>
                <c:pt idx="1">
                  <c:v>0.674344150087027</c:v>
                </c:pt>
                <c:pt idx="2">
                  <c:v>0.633192276707585</c:v>
                </c:pt>
                <c:pt idx="3">
                  <c:v>0.595604523986508</c:v>
                </c:pt>
                <c:pt idx="4">
                  <c:v>0.561037041799381</c:v>
                </c:pt>
                <c:pt idx="5">
                  <c:v>0.529043742325003</c:v>
                </c:pt>
                <c:pt idx="6">
                  <c:v>0.499258653474178</c:v>
                </c:pt>
                <c:pt idx="7">
                  <c:v>0.471382077922125</c:v>
                </c:pt>
                <c:pt idx="8">
                  <c:v>0.445169622051657</c:v>
                </c:pt>
                <c:pt idx="9">
                  <c:v>0.420423408457455</c:v>
                </c:pt>
                <c:pt idx="10">
                  <c:v>0.396984962398179</c:v>
                </c:pt>
                <c:pt idx="11">
                  <c:v>0.374729389251755</c:v>
                </c:pt>
                <c:pt idx="12">
                  <c:v>0.353560551660879</c:v>
                </c:pt>
                <c:pt idx="13">
                  <c:v>0.333407021791945</c:v>
                </c:pt>
                <c:pt idx="14">
                  <c:v>0.314218632867119</c:v>
                </c:pt>
                <c:pt idx="15">
                  <c:v>0.295963489554342</c:v>
                </c:pt>
                <c:pt idx="16">
                  <c:v>0.278625322043271</c:v>
                </c:pt>
                <c:pt idx="17">
                  <c:v>0.262201085647142</c:v>
                </c:pt>
                <c:pt idx="18">
                  <c:v>0.246698717485207</c:v>
                </c:pt>
                <c:pt idx="19">
                  <c:v>0.232134964063514</c:v>
                </c:pt>
                <c:pt idx="20">
                  <c:v>0.218533186709961</c:v>
                </c:pt>
                <c:pt idx="21">
                  <c:v>0.205921031478924</c:v>
                </c:pt>
                <c:pt idx="22">
                  <c:v>0.194327806357237</c:v>
                </c:pt>
                <c:pt idx="23">
                  <c:v>0.228623209047447</c:v>
                </c:pt>
                <c:pt idx="24">
                  <c:v>0.203160724875387</c:v>
                </c:pt>
                <c:pt idx="25">
                  <c:v>0.18078226191896</c:v>
                </c:pt>
                <c:pt idx="26">
                  <c:v>0.161752132678796</c:v>
                </c:pt>
                <c:pt idx="27">
                  <c:v>0.146274811867803</c:v>
                </c:pt>
                <c:pt idx="28">
                  <c:v>0.133836501044877</c:v>
                </c:pt>
                <c:pt idx="29">
                  <c:v>0.136056560706652</c:v>
                </c:pt>
                <c:pt idx="30">
                  <c:v>0.141222227136545</c:v>
                </c:pt>
                <c:pt idx="31">
                  <c:v>0.149505022057362</c:v>
                </c:pt>
                <c:pt idx="32">
                  <c:v>0.160901050915646</c:v>
                </c:pt>
                <c:pt idx="33">
                  <c:v>0.175324610109335</c:v>
                </c:pt>
                <c:pt idx="34">
                  <c:v>0.192646938334648</c:v>
                </c:pt>
                <c:pt idx="35">
                  <c:v>0.212716394775044</c:v>
                </c:pt>
                <c:pt idx="36">
                  <c:v>0.235370157112274</c:v>
                </c:pt>
                <c:pt idx="37">
                  <c:v>0.150741484184209</c:v>
                </c:pt>
                <c:pt idx="38">
                  <c:v>0.156985150816403</c:v>
                </c:pt>
                <c:pt idx="39">
                  <c:v>0.163706810917881</c:v>
                </c:pt>
                <c:pt idx="40">
                  <c:v>0.170870589279575</c:v>
                </c:pt>
                <c:pt idx="41">
                  <c:v>0.178442070144539</c:v>
                </c:pt>
                <c:pt idx="42">
                  <c:v>0.186388449954345</c:v>
                </c:pt>
                <c:pt idx="43">
                  <c:v>0.194678614674435</c:v>
                </c:pt>
                <c:pt idx="44">
                  <c:v>0.203283164926628</c:v>
                </c:pt>
                <c:pt idx="45">
                  <c:v>0.212174405053683</c:v>
                </c:pt>
                <c:pt idx="46">
                  <c:v>0.221326307481074</c:v>
                </c:pt>
                <c:pt idx="47">
                  <c:v>0.23071446047645</c:v>
                </c:pt>
                <c:pt idx="48">
                  <c:v>0.240316005124993</c:v>
                </c:pt>
                <c:pt idx="49">
                  <c:v>0.250109565718172</c:v>
                </c:pt>
                <c:pt idx="50">
                  <c:v>0.260075176587842</c:v>
                </c:pt>
                <c:pt idx="51">
                  <c:v>0.270194207570664</c:v>
                </c:pt>
                <c:pt idx="52">
                  <c:v>0.280449289667486</c:v>
                </c:pt>
                <c:pt idx="53">
                  <c:v>0.290824242005105</c:v>
                </c:pt>
                <c:pt idx="54">
                  <c:v>0.301304000869467</c:v>
                </c:pt>
                <c:pt idx="55">
                  <c:v>0.311874551328398</c:v>
                </c:pt>
                <c:pt idx="56">
                  <c:v>0.322522861775616</c:v>
                </c:pt>
                <c:pt idx="57">
                  <c:v>0.333236821589818</c:v>
                </c:pt>
                <c:pt idx="58">
                  <c:v>0.344005182000754</c:v>
                </c:pt>
                <c:pt idx="59">
                  <c:v>0.35481750017962</c:v>
                </c:pt>
                <c:pt idx="60">
                  <c:v>0.365664086517041</c:v>
                </c:pt>
                <c:pt idx="61">
                  <c:v>0.376535955013382</c:v>
                </c:pt>
                <c:pt idx="62">
                  <c:v>0.387424776679393</c:v>
                </c:pt>
                <c:pt idx="63">
                  <c:v>0.398322835827293</c:v>
                </c:pt>
                <c:pt idx="64">
                  <c:v>0.409222989121197</c:v>
                </c:pt>
                <c:pt idx="65">
                  <c:v>0.420118627249652</c:v>
                </c:pt>
                <c:pt idx="66">
                  <c:v>0.431003639080594</c:v>
                </c:pt>
                <c:pt idx="67">
                  <c:v>0.44187237815939</c:v>
                </c:pt>
                <c:pt idx="68">
                  <c:v>0.452719631412978</c:v>
                </c:pt>
                <c:pt idx="69">
                  <c:v>0.463540589926889</c:v>
                </c:pt>
                <c:pt idx="70">
                  <c:v>0.474330821666711</c:v>
                </c:pt>
                <c:pt idx="71">
                  <c:v>0.485086246021009</c:v>
                </c:pt>
                <c:pt idx="72">
                  <c:v>0.4958031100485</c:v>
                </c:pt>
                <c:pt idx="73">
                  <c:v>0.506477966318354</c:v>
                </c:pt>
                <c:pt idx="74">
                  <c:v>0.517107652238582</c:v>
                </c:pt>
                <c:pt idx="75">
                  <c:v>0.527689270773493</c:v>
                </c:pt>
                <c:pt idx="76">
                  <c:v>0.538220172457179</c:v>
                </c:pt>
                <c:pt idx="77">
                  <c:v>0.548697938615671</c:v>
                </c:pt>
                <c:pt idx="78">
                  <c:v>0.559120365715979</c:v>
                </c:pt>
                <c:pt idx="79">
                  <c:v>0.569485450765494</c:v>
                </c:pt>
                <c:pt idx="80">
                  <c:v>0.579791377690236</c:v>
                </c:pt>
                <c:pt idx="81">
                  <c:v>0.590036504625223</c:v>
                </c:pt>
                <c:pt idx="82">
                  <c:v>0.600219352054679</c:v>
                </c:pt>
                <c:pt idx="83">
                  <c:v>0.610338591744067</c:v>
                </c:pt>
                <c:pt idx="84">
                  <c:v>0.620393036409869</c:v>
                </c:pt>
                <c:pt idx="85">
                  <c:v>0.630381630076753</c:v>
                </c:pt>
                <c:pt idx="86">
                  <c:v>0.640303439075262</c:v>
                </c:pt>
                <c:pt idx="87">
                  <c:v>0.650157643636394</c:v>
                </c:pt>
                <c:pt idx="88">
                  <c:v>0.659943530042461</c:v>
                </c:pt>
                <c:pt idx="89">
                  <c:v>0.669660483296474</c:v>
                </c:pt>
                <c:pt idx="90">
                  <c:v>0.679307980274893</c:v>
                </c:pt>
                <c:pt idx="91">
                  <c:v>0.688885583331062</c:v>
                </c:pt>
                <c:pt idx="92">
                  <c:v>0.698392934318908</c:v>
                </c:pt>
                <c:pt idx="93">
                  <c:v>0.707829749008612</c:v>
                </c:pt>
                <c:pt idx="94">
                  <c:v>0.717195811867929</c:v>
                </c:pt>
                <c:pt idx="95">
                  <c:v>0.726490971184665</c:v>
                </c:pt>
                <c:pt idx="96">
                  <c:v>0.735715134507507</c:v>
                </c:pt>
                <c:pt idx="97">
                  <c:v>0.744868264384017</c:v>
                </c:pt>
                <c:pt idx="98">
                  <c:v>0.753950374376012</c:v>
                </c:pt>
                <c:pt idx="99">
                  <c:v>0.762961525333992</c:v>
                </c:pt>
                <c:pt idx="100">
                  <c:v>0.771901821913456</c:v>
                </c:pt>
                <c:pt idx="101">
                  <c:v>0.780771409317206</c:v>
                </c:pt>
                <c:pt idx="102">
                  <c:v>0.789570470248769</c:v>
                </c:pt>
                <c:pt idx="103">
                  <c:v>0.798299222063112</c:v>
                </c:pt>
                <c:pt idx="104">
                  <c:v>0.806957914101776</c:v>
                </c:pt>
                <c:pt idx="105">
                  <c:v>0.81554682520039</c:v>
                </c:pt>
                <c:pt idx="106">
                  <c:v>0.824066261357389</c:v>
                </c:pt>
                <c:pt idx="107">
                  <c:v>0.832516553553491</c:v>
                </c:pt>
                <c:pt idx="108">
                  <c:v>0.840898055712182</c:v>
                </c:pt>
                <c:pt idx="109">
                  <c:v>0.84921114279214</c:v>
                </c:pt>
                <c:pt idx="110">
                  <c:v>0.857456209003114</c:v>
                </c:pt>
                <c:pt idx="111">
                  <c:v>0.865633666137338</c:v>
                </c:pt>
                <c:pt idx="112">
                  <c:v>0.873743942009122</c:v>
                </c:pt>
                <c:pt idx="113">
                  <c:v>0.881787478995685</c:v>
                </c:pt>
                <c:pt idx="114">
                  <c:v>0.889764732672829</c:v>
                </c:pt>
                <c:pt idx="115">
                  <c:v>0.897676170539407</c:v>
                </c:pt>
                <c:pt idx="116">
                  <c:v>0.905522270824983</c:v>
                </c:pt>
                <c:pt idx="117">
                  <c:v>0.913303521375417</c:v>
                </c:pt>
                <c:pt idx="118">
                  <c:v>0.921020418611472</c:v>
                </c:pt>
                <c:pt idx="119">
                  <c:v>0.928673466555848</c:v>
                </c:pt>
                <c:pt idx="120">
                  <c:v>0.936263175924346</c:v>
                </c:pt>
                <c:pt idx="121">
                  <c:v>0.943790063277146</c:v>
                </c:pt>
                <c:pt idx="122">
                  <c:v>0.951254650226442</c:v>
                </c:pt>
                <c:pt idx="123">
                  <c:v>0.958657462696907</c:v>
                </c:pt>
                <c:pt idx="124">
                  <c:v>0.965999030235707</c:v>
                </c:pt>
                <c:pt idx="125">
                  <c:v>0.973279885368973</c:v>
                </c:pt>
                <c:pt idx="126">
                  <c:v>0.980500563001844</c:v>
                </c:pt>
                <c:pt idx="127">
                  <c:v>0.987661599859375</c:v>
                </c:pt>
                <c:pt idx="128">
                  <c:v>0.994763533965787</c:v>
                </c:pt>
                <c:pt idx="129">
                  <c:v>1.00180690415967</c:v>
                </c:pt>
                <c:pt idx="130">
                  <c:v>1.00879224964291</c:v>
                </c:pt>
                <c:pt idx="131">
                  <c:v>1.01572010956131</c:v>
                </c:pt>
                <c:pt idx="132">
                  <c:v>1.02259102261481</c:v>
                </c:pt>
                <c:pt idx="133">
                  <c:v>1.02940552669569</c:v>
                </c:pt>
                <c:pt idx="134">
                  <c:v>1.03616415855281</c:v>
                </c:pt>
                <c:pt idx="135">
                  <c:v>1.04286745348042</c:v>
                </c:pt>
                <c:pt idx="136">
                  <c:v>1.04951594502996</c:v>
                </c:pt>
                <c:pt idx="137">
                  <c:v>1.0561101647435</c:v>
                </c:pt>
                <c:pt idx="138">
                  <c:v>1.06265064190735</c:v>
                </c:pt>
                <c:pt idx="139">
                  <c:v>1.06913790332478</c:v>
                </c:pt>
                <c:pt idx="140">
                  <c:v>1.07557247310646</c:v>
                </c:pt>
                <c:pt idx="141">
                  <c:v>1.08195487247774</c:v>
                </c:pt>
                <c:pt idx="142">
                  <c:v>1.0882856196015</c:v>
                </c:pt>
                <c:pt idx="143">
                  <c:v>1.09456522941583</c:v>
                </c:pt>
                <c:pt idx="144">
                  <c:v>1.10079421348543</c:v>
                </c:pt>
                <c:pt idx="145">
                  <c:v>1.106973079866</c:v>
                </c:pt>
                <c:pt idx="146">
                  <c:v>1.11310233298075</c:v>
                </c:pt>
                <c:pt idx="147">
                  <c:v>1.11918247350828</c:v>
                </c:pt>
                <c:pt idx="148">
                  <c:v>1.12521399828114</c:v>
                </c:pt>
                <c:pt idx="149">
                  <c:v>1.13119740019437</c:v>
                </c:pt>
                <c:pt idx="150">
                  <c:v>1.13713316812344</c:v>
                </c:pt>
                <c:pt idx="151">
                  <c:v>1.14302178685088</c:v>
                </c:pt>
                <c:pt idx="152">
                  <c:v>1.14886373700123</c:v>
                </c:pt>
                <c:pt idx="153">
                  <c:v>1.15465949498362</c:v>
                </c:pt>
                <c:pt idx="154">
                  <c:v>1.16040953294154</c:v>
                </c:pt>
                <c:pt idx="155">
                  <c:v>1.16611431870941</c:v>
                </c:pt>
                <c:pt idx="156">
                  <c:v>1.17177431577537</c:v>
                </c:pt>
                <c:pt idx="157">
                  <c:v>1.17738998325004</c:v>
                </c:pt>
                <c:pt idx="158">
                  <c:v>1.18296177584069</c:v>
                </c:pt>
                <c:pt idx="159">
                  <c:v>1.18849014383069</c:v>
                </c:pt>
                <c:pt idx="160">
                  <c:v>1.19397553306363</c:v>
                </c:pt>
                <c:pt idx="161">
                  <c:v>1.199418384932</c:v>
                </c:pt>
                <c:pt idx="162">
                  <c:v>1.20481913637004</c:v>
                </c:pt>
                <c:pt idx="163">
                  <c:v>1.21017821985045</c:v>
                </c:pt>
                <c:pt idx="164">
                  <c:v>1.21549606338479</c:v>
                </c:pt>
                <c:pt idx="165">
                  <c:v>1.22077309052719</c:v>
                </c:pt>
                <c:pt idx="166">
                  <c:v>1.2260097203813</c:v>
                </c:pt>
                <c:pt idx="167">
                  <c:v>1.23120636761005</c:v>
                </c:pt>
                <c:pt idx="168">
                  <c:v>1.23636344244819</c:v>
                </c:pt>
                <c:pt idx="169">
                  <c:v>1.24148135071735</c:v>
                </c:pt>
                <c:pt idx="170">
                  <c:v>1.24656049384337</c:v>
                </c:pt>
                <c:pt idx="171">
                  <c:v>1.2516012688759</c:v>
                </c:pt>
                <c:pt idx="172">
                  <c:v>1.25660406850983</c:v>
                </c:pt>
                <c:pt idx="173">
                  <c:v>1.26156928110874</c:v>
                </c:pt>
                <c:pt idx="174">
                  <c:v>1.2664972907299</c:v>
                </c:pt>
                <c:pt idx="175">
                  <c:v>1.27138847715092</c:v>
                </c:pt>
                <c:pt idx="176">
                  <c:v>1.27624321589775</c:v>
                </c:pt>
                <c:pt idx="177">
                  <c:v>1.28106187827411</c:v>
                </c:pt>
                <c:pt idx="178">
                  <c:v>1.28584483139201</c:v>
                </c:pt>
                <c:pt idx="179">
                  <c:v>1.29059243820338</c:v>
                </c:pt>
                <c:pt idx="180">
                  <c:v>1.29530505753277</c:v>
                </c:pt>
                <c:pt idx="181">
                  <c:v>1.29998304411085</c:v>
                </c:pt>
                <c:pt idx="182">
                  <c:v>1.30462674860877</c:v>
                </c:pt>
                <c:pt idx="183">
                  <c:v>1.30923651767329</c:v>
                </c:pt>
                <c:pt idx="184">
                  <c:v>1.31381269396246</c:v>
                </c:pt>
                <c:pt idx="185">
                  <c:v>1.31835561618198</c:v>
                </c:pt>
                <c:pt idx="186">
                  <c:v>1.32286561912201</c:v>
                </c:pt>
                <c:pt idx="187">
                  <c:v>1.32734303369446</c:v>
                </c:pt>
                <c:pt idx="188">
                  <c:v>1.33178818697063</c:v>
                </c:pt>
                <c:pt idx="189">
                  <c:v>1.33620140221925</c:v>
                </c:pt>
                <c:pt idx="190">
                  <c:v>1.34058299894474</c:v>
                </c:pt>
                <c:pt idx="191">
                  <c:v>1.34493329292568</c:v>
                </c:pt>
                <c:pt idx="192">
                  <c:v>1.34925259625356</c:v>
                </c:pt>
                <c:pt idx="193">
                  <c:v>1.3535412173716</c:v>
                </c:pt>
                <c:pt idx="194">
                  <c:v>1.35779946111364</c:v>
                </c:pt>
                <c:pt idx="195">
                  <c:v>1.3620276287432</c:v>
                </c:pt>
                <c:pt idx="196">
                  <c:v>1.36622601799248</c:v>
                </c:pt>
                <c:pt idx="197">
                  <c:v>1.37039492310138</c:v>
                </c:pt>
                <c:pt idx="198">
                  <c:v>1.37453463485649</c:v>
                </c:pt>
                <c:pt idx="199">
                  <c:v>1.37864544063003</c:v>
                </c:pt>
                <c:pt idx="200">
                  <c:v>1.38272762441868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"Total MOSFET Loss"</c:f>
              <c:strCache>
                <c:ptCount val="1"/>
                <c:pt idx="0">
                  <c:v>Total MOSFET Loss</c:v>
                </c:pt>
              </c:strCache>
            </c:strRef>
          </c:tx>
          <c:spPr>
            <a:solidFill>
              <a:srgbClr val="808000"/>
            </a:solidFill>
            <a:ln w="38160">
              <a:solidFill>
                <a:srgbClr val="808000"/>
              </a:solidFill>
              <a:prstDash val="sys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81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'Efficiency vs VIN Calculations'!$H$9:$H$209</c:f>
              <c:strCache>
                <c:ptCount val="201"/>
                <c:pt idx="0">
                  <c:v>6.00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7.10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8.20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9.30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10.40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11.50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12.60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13.70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14.80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15.90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17.00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18.10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19.20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20.30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21.40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22.50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23.60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24.70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25.80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26.90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28.00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29.10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30.20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31.30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32.40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33.50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34.60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35.70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36.80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37.90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39.00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40.10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41.20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42.30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43.40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44.50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45.60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46.70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47.80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48.90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50.00</c:v>
                </c:pt>
              </c:strCache>
            </c:strRef>
          </c:cat>
          <c:val>
            <c:numRef>
              <c:f>'Efficiency vs VIN Calculations'!$BJ$9:$BJ$209</c:f>
              <c:numCache>
                <c:formatCode>0.000</c:formatCode>
                <c:ptCount val="201"/>
                <c:pt idx="0">
                  <c:v>2.23503487455606</c:v>
                </c:pt>
                <c:pt idx="1">
                  <c:v>2.08266983680909</c:v>
                </c:pt>
                <c:pt idx="2">
                  <c:v>1.94843676304999</c:v>
                </c:pt>
                <c:pt idx="3">
                  <c:v>1.82937517289341</c:v>
                </c:pt>
                <c:pt idx="4">
                  <c:v>1.72313100019147</c:v>
                </c:pt>
                <c:pt idx="5">
                  <c:v>1.62780884979612</c:v>
                </c:pt>
                <c:pt idx="6">
                  <c:v>1.54186557569532</c:v>
                </c:pt>
                <c:pt idx="7">
                  <c:v>1.46403225537786</c:v>
                </c:pt>
                <c:pt idx="8">
                  <c:v>1.39325607095665</c:v>
                </c:pt>
                <c:pt idx="9">
                  <c:v>1.32865639730626</c:v>
                </c:pt>
                <c:pt idx="10">
                  <c:v>1.2694911942092</c:v>
                </c:pt>
                <c:pt idx="11">
                  <c:v>1.21513098175822</c:v>
                </c:pt>
                <c:pt idx="12">
                  <c:v>1.16503847142322</c:v>
                </c:pt>
                <c:pt idx="13">
                  <c:v>1.11875246679475</c:v>
                </c:pt>
                <c:pt idx="14">
                  <c:v>1.07587502386134</c:v>
                </c:pt>
                <c:pt idx="15">
                  <c:v>1.03606112538503</c:v>
                </c:pt>
                <c:pt idx="16">
                  <c:v>0.999010312930892</c:v>
                </c:pt>
                <c:pt idx="17">
                  <c:v>0.964459856748524</c:v>
                </c:pt>
                <c:pt idx="18">
                  <c:v>0.932179143655821</c:v>
                </c:pt>
                <c:pt idx="19">
                  <c:v>0.901965036985537</c:v>
                </c:pt>
                <c:pt idx="20">
                  <c:v>0.873638017863157</c:v>
                </c:pt>
                <c:pt idx="21">
                  <c:v>0.847038958712596</c:v>
                </c:pt>
                <c:pt idx="22">
                  <c:v>0.822026411552962</c:v>
                </c:pt>
                <c:pt idx="23">
                  <c:v>0.769669900186524</c:v>
                </c:pt>
                <c:pt idx="24">
                  <c:v>0.754567508627901</c:v>
                </c:pt>
                <c:pt idx="25">
                  <c:v>0.740482084157916</c:v>
                </c:pt>
                <c:pt idx="26">
                  <c:v>0.7273502993769</c:v>
                </c:pt>
                <c:pt idx="27">
                  <c:v>0.715116448350422</c:v>
                </c:pt>
                <c:pt idx="28">
                  <c:v>0.712297316621323</c:v>
                </c:pt>
                <c:pt idx="29">
                  <c:v>0.71350594351469</c:v>
                </c:pt>
                <c:pt idx="30">
                  <c:v>0.714886952634257</c:v>
                </c:pt>
                <c:pt idx="31">
                  <c:v>0.716425053318559</c:v>
                </c:pt>
                <c:pt idx="32">
                  <c:v>0.718106486177608</c:v>
                </c:pt>
                <c:pt idx="33">
                  <c:v>0.719918845482767</c:v>
                </c:pt>
                <c:pt idx="34">
                  <c:v>0.721850925241937</c:v>
                </c:pt>
                <c:pt idx="35">
                  <c:v>0.723892585374177</c:v>
                </c:pt>
                <c:pt idx="36">
                  <c:v>0.726034635006186</c:v>
                </c:pt>
                <c:pt idx="37">
                  <c:v>0.783167107063631</c:v>
                </c:pt>
                <c:pt idx="38">
                  <c:v>0.788782570865724</c:v>
                </c:pt>
                <c:pt idx="39">
                  <c:v>0.794416425969102</c:v>
                </c:pt>
                <c:pt idx="40">
                  <c:v>0.800066888443339</c:v>
                </c:pt>
                <c:pt idx="41">
                  <c:v>0.805732338258967</c:v>
                </c:pt>
                <c:pt idx="42">
                  <c:v>0.811411302738159</c:v>
                </c:pt>
                <c:pt idx="43">
                  <c:v>0.817102441876507</c:v>
                </c:pt>
                <c:pt idx="44">
                  <c:v>0.822804535299889</c:v>
                </c:pt>
                <c:pt idx="45">
                  <c:v>0.828516470653385</c:v>
                </c:pt>
                <c:pt idx="46">
                  <c:v>0.83423723324704</c:v>
                </c:pt>
                <c:pt idx="47">
                  <c:v>0.839965896806971</c:v>
                </c:pt>
                <c:pt idx="48">
                  <c:v>0.845701615200528</c:v>
                </c:pt>
                <c:pt idx="49">
                  <c:v>0.85144361502139</c:v>
                </c:pt>
                <c:pt idx="50">
                  <c:v>0.857191188935293</c:v>
                </c:pt>
                <c:pt idx="51">
                  <c:v>0.862943689699728</c:v>
                </c:pt>
                <c:pt idx="52">
                  <c:v>0.868700524781829</c:v>
                </c:pt>
                <c:pt idx="53">
                  <c:v>0.874461151508119</c:v>
                </c:pt>
                <c:pt idx="54">
                  <c:v>0.880225072687832</c:v>
                </c:pt>
                <c:pt idx="55">
                  <c:v>0.885991832658628</c:v>
                </c:pt>
                <c:pt idx="56">
                  <c:v>0.891761013709582</c:v>
                </c:pt>
                <c:pt idx="57">
                  <c:v>0.897532232841649</c:v>
                </c:pt>
                <c:pt idx="58">
                  <c:v>0.903305138830433</c:v>
                </c:pt>
                <c:pt idx="59">
                  <c:v>0.909079409560109</c:v>
                </c:pt>
                <c:pt idx="60">
                  <c:v>0.914854749600907</c:v>
                </c:pt>
                <c:pt idx="61">
                  <c:v>0.920630888005632</c:v>
                </c:pt>
                <c:pt idx="62">
                  <c:v>0.926407576303406</c:v>
                </c:pt>
                <c:pt idx="63">
                  <c:v>0.932184586671237</c:v>
                </c:pt>
                <c:pt idx="64">
                  <c:v>0.937961710266078</c:v>
                </c:pt>
                <c:pt idx="65">
                  <c:v>0.943738755701925</c:v>
                </c:pt>
                <c:pt idx="66">
                  <c:v>0.949515547658103</c:v>
                </c:pt>
                <c:pt idx="67">
                  <c:v>0.955291925606388</c:v>
                </c:pt>
                <c:pt idx="68">
                  <c:v>0.961067742645832</c:v>
                </c:pt>
                <c:pt idx="69">
                  <c:v>0.966842864435343</c:v>
                </c:pt>
                <c:pt idx="70">
                  <c:v>0.972617168215067</c:v>
                </c:pt>
                <c:pt idx="71">
                  <c:v>0.978390541908502</c:v>
                </c:pt>
                <c:pt idx="72">
                  <c:v>0.984162883298096</c:v>
                </c:pt>
                <c:pt idx="73">
                  <c:v>0.989934099267785</c:v>
                </c:pt>
                <c:pt idx="74">
                  <c:v>0.995704105106565</c:v>
                </c:pt>
                <c:pt idx="75">
                  <c:v>1.00147282386774</c:v>
                </c:pt>
                <c:pt idx="76">
                  <c:v>1.00724018577908</c:v>
                </c:pt>
                <c:pt idx="77">
                  <c:v>1.01300612769938</c:v>
                </c:pt>
                <c:pt idx="78">
                  <c:v>1.01877059261769</c:v>
                </c:pt>
                <c:pt idx="79">
                  <c:v>1.02453352919135</c:v>
                </c:pt>
                <c:pt idx="80">
                  <c:v>1.03029489131977</c:v>
                </c:pt>
                <c:pt idx="81">
                  <c:v>1.03605463775091</c:v>
                </c:pt>
                <c:pt idx="82">
                  <c:v>1.04181273171777</c:v>
                </c:pt>
                <c:pt idx="83">
                  <c:v>1.04756914060238</c:v>
                </c:pt>
                <c:pt idx="84">
                  <c:v>1.05332383562525</c:v>
                </c:pt>
                <c:pt idx="85">
                  <c:v>1.0590767915579</c:v>
                </c:pt>
                <c:pt idx="86">
                  <c:v>1.06482798645699</c:v>
                </c:pt>
                <c:pt idx="87">
                  <c:v>1.07057740141804</c:v>
                </c:pt>
                <c:pt idx="88">
                  <c:v>1.07632502034734</c:v>
                </c:pt>
                <c:pt idx="89">
                  <c:v>1.08207082975066</c:v>
                </c:pt>
                <c:pt idx="90">
                  <c:v>1.08781481853729</c:v>
                </c:pt>
                <c:pt idx="91">
                  <c:v>1.09355697783839</c:v>
                </c:pt>
                <c:pt idx="92">
                  <c:v>1.0992973008385</c:v>
                </c:pt>
                <c:pt idx="93">
                  <c:v>1.10503578261916</c:v>
                </c:pt>
                <c:pt idx="94">
                  <c:v>1.11077242001374</c:v>
                </c:pt>
                <c:pt idx="95">
                  <c:v>1.11650721147274</c:v>
                </c:pt>
                <c:pt idx="96">
                  <c:v>1.12224015693859</c:v>
                </c:pt>
                <c:pt idx="97">
                  <c:v>1.12797125772941</c:v>
                </c:pt>
                <c:pt idx="98">
                  <c:v>1.13370051643097</c:v>
                </c:pt>
                <c:pt idx="99">
                  <c:v>1.13942793679633</c:v>
                </c:pt>
                <c:pt idx="100">
                  <c:v>1.14515352365242</c:v>
                </c:pt>
                <c:pt idx="101">
                  <c:v>1.15087728281338</c:v>
                </c:pt>
                <c:pt idx="102">
                  <c:v>1.15659922099977</c:v>
                </c:pt>
                <c:pt idx="103">
                  <c:v>1.16231934576357</c:v>
                </c:pt>
                <c:pt idx="104">
                  <c:v>1.16803766541838</c:v>
                </c:pt>
                <c:pt idx="105">
                  <c:v>1.17375418897445</c:v>
                </c:pt>
                <c:pt idx="106">
                  <c:v>1.17946892607826</c:v>
                </c:pt>
                <c:pt idx="107">
                  <c:v>1.18518188695636</c:v>
                </c:pt>
                <c:pt idx="108">
                  <c:v>1.19089308236297</c:v>
                </c:pt>
                <c:pt idx="109">
                  <c:v>1.1966025235314</c:v>
                </c:pt>
                <c:pt idx="110">
                  <c:v>1.2023102221287</c:v>
                </c:pt>
                <c:pt idx="111">
                  <c:v>1.20801619021353</c:v>
                </c:pt>
                <c:pt idx="112">
                  <c:v>1.21372044019696</c:v>
                </c:pt>
                <c:pt idx="113">
                  <c:v>1.21942298480597</c:v>
                </c:pt>
                <c:pt idx="114">
                  <c:v>1.22512383704952</c:v>
                </c:pt>
                <c:pt idx="115">
                  <c:v>1.23082301018695</c:v>
                </c:pt>
                <c:pt idx="116">
                  <c:v>1.23652051769866</c:v>
                </c:pt>
                <c:pt idx="117">
                  <c:v>1.24221637325872</c:v>
                </c:pt>
                <c:pt idx="118">
                  <c:v>1.24791059070958</c:v>
                </c:pt>
                <c:pt idx="119">
                  <c:v>1.25360318403838</c:v>
                </c:pt>
                <c:pt idx="120">
                  <c:v>1.25929416735506</c:v>
                </c:pt>
                <c:pt idx="121">
                  <c:v>1.26498355487198</c:v>
                </c:pt>
                <c:pt idx="122">
                  <c:v>1.27067136088498</c:v>
                </c:pt>
                <c:pt idx="123">
                  <c:v>1.27635759975583</c:v>
                </c:pt>
                <c:pt idx="124">
                  <c:v>1.28204228589593</c:v>
                </c:pt>
                <c:pt idx="125">
                  <c:v>1.28772543375119</c:v>
                </c:pt>
                <c:pt idx="126">
                  <c:v>1.29340705778801</c:v>
                </c:pt>
                <c:pt idx="127">
                  <c:v>1.29908717248029</c:v>
                </c:pt>
                <c:pt idx="128">
                  <c:v>1.30476579229744</c:v>
                </c:pt>
                <c:pt idx="129">
                  <c:v>1.31044293169324</c:v>
                </c:pt>
                <c:pt idx="130">
                  <c:v>1.31611860509555</c:v>
                </c:pt>
                <c:pt idx="131">
                  <c:v>1.32179282689685</c:v>
                </c:pt>
                <c:pt idx="132">
                  <c:v>1.32746561144543</c:v>
                </c:pt>
                <c:pt idx="133">
                  <c:v>1.33313697303736</c:v>
                </c:pt>
                <c:pt idx="134">
                  <c:v>1.33880692590905</c:v>
                </c:pt>
                <c:pt idx="135">
                  <c:v>1.34447548423038</c:v>
                </c:pt>
                <c:pt idx="136">
                  <c:v>1.35014266209845</c:v>
                </c:pt>
                <c:pt idx="137">
                  <c:v>1.35580847353184</c:v>
                </c:pt>
                <c:pt idx="138">
                  <c:v>1.36147293246531</c:v>
                </c:pt>
                <c:pt idx="139">
                  <c:v>1.367136052745</c:v>
                </c:pt>
                <c:pt idx="140">
                  <c:v>1.37279784812408</c:v>
                </c:pt>
                <c:pt idx="141">
                  <c:v>1.37845833225871</c:v>
                </c:pt>
                <c:pt idx="142">
                  <c:v>1.38411751870447</c:v>
                </c:pt>
                <c:pt idx="143">
                  <c:v>1.38977542091308</c:v>
                </c:pt>
                <c:pt idx="144">
                  <c:v>1.39543205222946</c:v>
                </c:pt>
                <c:pt idx="145">
                  <c:v>1.40108742588909</c:v>
                </c:pt>
                <c:pt idx="146">
                  <c:v>1.40674155501566</c:v>
                </c:pt>
                <c:pt idx="147">
                  <c:v>1.41239445261896</c:v>
                </c:pt>
                <c:pt idx="148">
                  <c:v>1.41804613159307</c:v>
                </c:pt>
                <c:pt idx="149">
                  <c:v>1.42369660471471</c:v>
                </c:pt>
                <c:pt idx="150">
                  <c:v>1.42934588464187</c:v>
                </c:pt>
                <c:pt idx="151">
                  <c:v>1.43499398391258</c:v>
                </c:pt>
                <c:pt idx="152">
                  <c:v>1.44064091494391</c:v>
                </c:pt>
                <c:pt idx="153">
                  <c:v>1.44628669003115</c:v>
                </c:pt>
                <c:pt idx="154">
                  <c:v>1.45193132134707</c:v>
                </c:pt>
                <c:pt idx="155">
                  <c:v>1.45757482094146</c:v>
                </c:pt>
                <c:pt idx="156">
                  <c:v>1.46321720074069</c:v>
                </c:pt>
                <c:pt idx="157">
                  <c:v>1.46885847254749</c:v>
                </c:pt>
                <c:pt idx="158">
                  <c:v>1.47449864804075</c:v>
                </c:pt>
                <c:pt idx="159">
                  <c:v>1.48013773877558</c:v>
                </c:pt>
                <c:pt idx="160">
                  <c:v>1.48577575618332</c:v>
                </c:pt>
                <c:pt idx="161">
                  <c:v>1.49141271157172</c:v>
                </c:pt>
                <c:pt idx="162">
                  <c:v>1.49704861612523</c:v>
                </c:pt>
                <c:pt idx="163">
                  <c:v>1.50268348090534</c:v>
                </c:pt>
                <c:pt idx="164">
                  <c:v>1.50831731685099</c:v>
                </c:pt>
                <c:pt idx="165">
                  <c:v>1.51395013477906</c:v>
                </c:pt>
                <c:pt idx="166">
                  <c:v>1.51958194538494</c:v>
                </c:pt>
                <c:pt idx="167">
                  <c:v>1.52521275924315</c:v>
                </c:pt>
                <c:pt idx="168">
                  <c:v>1.53084258680799</c:v>
                </c:pt>
                <c:pt idx="169">
                  <c:v>1.53647143841428</c:v>
                </c:pt>
                <c:pt idx="170">
                  <c:v>1.54209932427815</c:v>
                </c:pt>
                <c:pt idx="171">
                  <c:v>1.54772625449781</c:v>
                </c:pt>
                <c:pt idx="172">
                  <c:v>1.55335223905442</c:v>
                </c:pt>
                <c:pt idx="173">
                  <c:v>1.55897728781298</c:v>
                </c:pt>
                <c:pt idx="174">
                  <c:v>1.56460141052324</c:v>
                </c:pt>
                <c:pt idx="175">
                  <c:v>1.57022461682067</c:v>
                </c:pt>
                <c:pt idx="176">
                  <c:v>1.57584691622739</c:v>
                </c:pt>
                <c:pt idx="177">
                  <c:v>1.58146831815319</c:v>
                </c:pt>
                <c:pt idx="178">
                  <c:v>1.58708883189655</c:v>
                </c:pt>
                <c:pt idx="179">
                  <c:v>1.59270846664566</c:v>
                </c:pt>
                <c:pt idx="180">
                  <c:v>1.5983272314795</c:v>
                </c:pt>
                <c:pt idx="181">
                  <c:v>1.60394513536887</c:v>
                </c:pt>
                <c:pt idx="182">
                  <c:v>1.60956218717748</c:v>
                </c:pt>
                <c:pt idx="183">
                  <c:v>1.61517839566304</c:v>
                </c:pt>
                <c:pt idx="184">
                  <c:v>1.62079376947838</c:v>
                </c:pt>
                <c:pt idx="185">
                  <c:v>1.62640831717251</c:v>
                </c:pt>
                <c:pt idx="186">
                  <c:v>1.63202204719175</c:v>
                </c:pt>
                <c:pt idx="187">
                  <c:v>1.63763496788086</c:v>
                </c:pt>
                <c:pt idx="188">
                  <c:v>1.64324708748414</c:v>
                </c:pt>
                <c:pt idx="189">
                  <c:v>1.64885841414655</c:v>
                </c:pt>
                <c:pt idx="190">
                  <c:v>1.65446895591483</c:v>
                </c:pt>
                <c:pt idx="191">
                  <c:v>1.66007872073864</c:v>
                </c:pt>
                <c:pt idx="192">
                  <c:v>1.66568771647166</c:v>
                </c:pt>
                <c:pt idx="193">
                  <c:v>1.6712959508727</c:v>
                </c:pt>
                <c:pt idx="194">
                  <c:v>1.67690343160683</c:v>
                </c:pt>
                <c:pt idx="195">
                  <c:v>1.6825101662465</c:v>
                </c:pt>
                <c:pt idx="196">
                  <c:v>1.68811616227263</c:v>
                </c:pt>
                <c:pt idx="197">
                  <c:v>1.69372142707572</c:v>
                </c:pt>
                <c:pt idx="198">
                  <c:v>1.69932596795693</c:v>
                </c:pt>
                <c:pt idx="199">
                  <c:v>1.70492979212922</c:v>
                </c:pt>
                <c:pt idx="200">
                  <c:v>1.71053290671835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"Shunt Loss"</c:f>
              <c:strCache>
                <c:ptCount val="1"/>
                <c:pt idx="0">
                  <c:v>Shunt Loss</c:v>
                </c:pt>
              </c:strCache>
            </c:strRef>
          </c:tx>
          <c:spPr>
            <a:solidFill>
              <a:srgbClr val="002060"/>
            </a:solidFill>
            <a:ln w="38160">
              <a:solidFill>
                <a:srgbClr val="00206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81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'Efficiency vs VIN Calculations'!$H$9:$H$209</c:f>
              <c:strCache>
                <c:ptCount val="201"/>
                <c:pt idx="0">
                  <c:v>6.00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7.10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8.20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9.30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10.40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11.50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12.60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13.70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14.80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15.90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17.00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18.10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19.20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20.30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21.40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22.50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23.60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24.70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25.80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26.90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28.00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29.10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30.20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31.30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32.40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33.50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34.60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35.70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36.80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37.90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39.00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40.10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41.20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42.30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43.40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44.50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45.60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46.70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47.80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48.90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50.00</c:v>
                </c:pt>
              </c:strCache>
            </c:strRef>
          </c:cat>
          <c:val>
            <c:numRef>
              <c:f>'Efficiency vs VIN Calculations'!$BL$9:$BL$209</c:f>
              <c:numCache>
                <c:formatCode>0.000</c:formatCode>
                <c:ptCount val="201"/>
                <c:pt idx="0">
                  <c:v>0.727371203973372</c:v>
                </c:pt>
                <c:pt idx="1">
                  <c:v>0.651916106943455</c:v>
                </c:pt>
                <c:pt idx="2">
                  <c:v>0.584930984161733</c:v>
                </c:pt>
                <c:pt idx="3">
                  <c:v>0.525253764004724</c:v>
                </c:pt>
                <c:pt idx="4">
                  <c:v>0.471911678870378</c:v>
                </c:pt>
                <c:pt idx="5">
                  <c:v>0.424085776815476</c:v>
                </c:pt>
                <c:pt idx="6">
                  <c:v>0.381082919611042</c:v>
                </c:pt>
                <c:pt idx="7">
                  <c:v>0.34231351975626</c:v>
                </c:pt>
                <c:pt idx="8">
                  <c:v>0.307273713983888</c:v>
                </c:pt>
                <c:pt idx="9">
                  <c:v>0.275530993504577</c:v>
                </c:pt>
                <c:pt idx="10">
                  <c:v>0.246712547610339</c:v>
                </c:pt>
                <c:pt idx="11">
                  <c:v>0.220495752011986</c:v>
                </c:pt>
                <c:pt idx="12">
                  <c:v>0.196600363623468</c:v>
                </c:pt>
                <c:pt idx="13">
                  <c:v>0.17478208152469</c:v>
                </c:pt>
                <c:pt idx="14">
                  <c:v>0.154827208125924</c:v>
                </c:pt>
                <c:pt idx="15">
                  <c:v>0.136548201282776</c:v>
                </c:pt>
                <c:pt idx="16">
                  <c:v>0.119779951728319</c:v>
                </c:pt>
                <c:pt idx="17">
                  <c:v>0.104376653951201</c:v>
                </c:pt>
                <c:pt idx="18">
                  <c:v>0.0902091649473673</c:v>
                </c:pt>
                <c:pt idx="19">
                  <c:v>0.0771627658818774</c:v>
                </c:pt>
                <c:pt idx="20">
                  <c:v>0.065135257939641</c:v>
                </c:pt>
                <c:pt idx="21">
                  <c:v>0.0540353365149809</c:v>
                </c:pt>
                <c:pt idx="22">
                  <c:v>0.0437811981426497</c:v>
                </c:pt>
                <c:pt idx="23">
                  <c:v>0.0616471119328323</c:v>
                </c:pt>
                <c:pt idx="24">
                  <c:v>0.0529007726800452</c:v>
                </c:pt>
                <c:pt idx="25">
                  <c:v>0.0447900599841931</c:v>
                </c:pt>
                <c:pt idx="26">
                  <c:v>0.037263559878477</c:v>
                </c:pt>
                <c:pt idx="27">
                  <c:v>0.030273903633821</c:v>
                </c:pt>
                <c:pt idx="28">
                  <c:v>0.0323896740033263</c:v>
                </c:pt>
                <c:pt idx="29">
                  <c:v>0.0376914330627197</c:v>
                </c:pt>
                <c:pt idx="30">
                  <c:v>0.0428255462352499</c:v>
                </c:pt>
                <c:pt idx="31">
                  <c:v>0.0478044482593244</c:v>
                </c:pt>
                <c:pt idx="32">
                  <c:v>0.0526391764782704</c:v>
                </c:pt>
                <c:pt idx="33">
                  <c:v>0.057339556842414</c:v>
                </c:pt>
                <c:pt idx="34">
                  <c:v>0.0619143626218719</c:v>
                </c:pt>
                <c:pt idx="35">
                  <c:v>0.0663714501544177</c:v>
                </c:pt>
                <c:pt idx="36">
                  <c:v>0.0707178752186398</c:v>
                </c:pt>
                <c:pt idx="37">
                  <c:v>0.0424933256123028</c:v>
                </c:pt>
                <c:pt idx="38">
                  <c:v>0.0462896767354835</c:v>
                </c:pt>
                <c:pt idx="39">
                  <c:v>0.0499794726724079</c:v>
                </c:pt>
                <c:pt idx="40">
                  <c:v>0.053567683654184</c:v>
                </c:pt>
                <c:pt idx="41">
                  <c:v>0.0570589439623974</c:v>
                </c:pt>
                <c:pt idx="42">
                  <c:v>0.060457581592926</c:v>
                </c:pt>
                <c:pt idx="43">
                  <c:v>0.0637676447477419</c:v>
                </c:pt>
                <c:pt idx="44">
                  <c:v>0.0669929255454969</c:v>
                </c:pt>
                <c:pt idx="45">
                  <c:v>0.0701369812879261</c:v>
                </c:pt>
                <c:pt idx="46">
                  <c:v>0.0732031535734408</c:v>
                </c:pt>
                <c:pt idx="47">
                  <c:v>0.0761945855103895</c:v>
                </c:pt>
                <c:pt idx="48">
                  <c:v>0.0791142372492755</c:v>
                </c:pt>
                <c:pt idx="49">
                  <c:v>0.0819649000248094</c:v>
                </c:pt>
                <c:pt idx="50">
                  <c:v>0.0847492088743114</c:v>
                </c:pt>
                <c:pt idx="51">
                  <c:v>0.0874696541780391</c:v>
                </c:pt>
                <c:pt idx="52">
                  <c:v>0.090128592148965</c:v>
                </c:pt>
                <c:pt idx="53">
                  <c:v>0.0927282543839529</c:v>
                </c:pt>
                <c:pt idx="54">
                  <c:v>0.0952707565747992</c:v>
                </c:pt>
                <c:pt idx="55">
                  <c:v>0.0977581064659164</c:v>
                </c:pt>
                <c:pt idx="56">
                  <c:v>0.10019221113528</c:v>
                </c:pt>
                <c:pt idx="57">
                  <c:v>0.102574883666419</c:v>
                </c:pt>
                <c:pt idx="58">
                  <c:v>0.104907849271518</c:v>
                </c:pt>
                <c:pt idx="59">
                  <c:v>0.107192750918959</c:v>
                </c:pt>
                <c:pt idx="60">
                  <c:v>0.109431154512733</c:v>
                </c:pt>
                <c:pt idx="61">
                  <c:v>0.111624553665975</c:v>
                </c:pt>
                <c:pt idx="62">
                  <c:v>0.113774374106318</c:v>
                </c:pt>
                <c:pt idx="63">
                  <c:v>0.115881977746782</c:v>
                </c:pt>
                <c:pt idx="64">
                  <c:v>0.117948666452351</c:v>
                </c:pt>
                <c:pt idx="65">
                  <c:v>0.119975685529315</c:v>
                </c:pt>
                <c:pt idx="66">
                  <c:v>0.12196422696164</c:v>
                </c:pt>
                <c:pt idx="67">
                  <c:v>0.123915432416251</c:v>
                </c:pt>
                <c:pt idx="68">
                  <c:v>0.125830396036887</c:v>
                </c:pt>
                <c:pt idx="69">
                  <c:v>0.127710167044283</c:v>
                </c:pt>
                <c:pt idx="70">
                  <c:v>0.129555752158729</c:v>
                </c:pt>
                <c:pt idx="71">
                  <c:v>0.131368117859492</c:v>
                </c:pt>
                <c:pt idx="72">
                  <c:v>0.133148192494262</c:v>
                </c:pt>
                <c:pt idx="73">
                  <c:v>0.134896868250514</c:v>
                </c:pt>
                <c:pt idx="74">
                  <c:v>0.136615002999633</c:v>
                </c:pt>
                <c:pt idx="75">
                  <c:v>0.138303422023625</c:v>
                </c:pt>
                <c:pt idx="76">
                  <c:v>0.139962919633384</c:v>
                </c:pt>
                <c:pt idx="77">
                  <c:v>0.141594260686679</c:v>
                </c:pt>
                <c:pt idx="78">
                  <c:v>0.143198182013312</c:v>
                </c:pt>
                <c:pt idx="79">
                  <c:v>0.144775393754275</c:v>
                </c:pt>
                <c:pt idx="80">
                  <c:v>0.146326580621107</c:v>
                </c:pt>
                <c:pt idx="81">
                  <c:v>0.147852403081197</c:v>
                </c:pt>
                <c:pt idx="82">
                  <c:v>0.149353498474223</c:v>
                </c:pt>
                <c:pt idx="83">
                  <c:v>0.150830482064573</c:v>
                </c:pt>
                <c:pt idx="84">
                  <c:v>0.152283948034119</c:v>
                </c:pt>
                <c:pt idx="85">
                  <c:v>0.153714470419436</c:v>
                </c:pt>
                <c:pt idx="86">
                  <c:v>0.155122603997185</c:v>
                </c:pt>
                <c:pt idx="87">
                  <c:v>0.156508885121106</c:v>
                </c:pt>
                <c:pt idx="88">
                  <c:v>0.157873832513807</c:v>
                </c:pt>
                <c:pt idx="89">
                  <c:v>0.159217948016268</c:v>
                </c:pt>
                <c:pt idx="90">
                  <c:v>0.160541717297792</c:v>
                </c:pt>
                <c:pt idx="91">
                  <c:v>0.161845610528889</c:v>
                </c:pt>
                <c:pt idx="92">
                  <c:v>0.16313008301944</c:v>
                </c:pt>
                <c:pt idx="93">
                  <c:v>0.164395575824271</c:v>
                </c:pt>
                <c:pt idx="94">
                  <c:v>0.165642516318153</c:v>
                </c:pt>
                <c:pt idx="95">
                  <c:v>0.166871318742073</c:v>
                </c:pt>
                <c:pt idx="96">
                  <c:v>0.168082384722497</c:v>
                </c:pt>
                <c:pt idx="97">
                  <c:v>0.169276103765238</c:v>
                </c:pt>
                <c:pt idx="98">
                  <c:v>0.170452853725404</c:v>
                </c:pt>
                <c:pt idx="99">
                  <c:v>0.171613001254837</c:v>
                </c:pt>
                <c:pt idx="100">
                  <c:v>0.172756902228308</c:v>
                </c:pt>
                <c:pt idx="101">
                  <c:v>0.173884902149706</c:v>
                </c:pt>
                <c:pt idx="102">
                  <c:v>0.174997336539329</c:v>
                </c:pt>
                <c:pt idx="103">
                  <c:v>0.176094531303333</c:v>
                </c:pt>
                <c:pt idx="104">
                  <c:v>0.177176803086331</c:v>
                </c:pt>
                <c:pt idx="105">
                  <c:v>0.178244459608056</c:v>
                </c:pt>
                <c:pt idx="106">
                  <c:v>0.179297799984952</c:v>
                </c:pt>
                <c:pt idx="107">
                  <c:v>0.180337115037502</c:v>
                </c:pt>
                <c:pt idx="108">
                  <c:v>0.181362687584044</c:v>
                </c:pt>
                <c:pt idx="109">
                  <c:v>0.182374792721799</c:v>
                </c:pt>
                <c:pt idx="110">
                  <c:v>0.183373698095764</c:v>
                </c:pt>
                <c:pt idx="111">
                  <c:v>0.184359664156096</c:v>
                </c:pt>
                <c:pt idx="112">
                  <c:v>0.185332944404588</c:v>
                </c:pt>
                <c:pt idx="113">
                  <c:v>0.186293785630777</c:v>
                </c:pt>
                <c:pt idx="114">
                  <c:v>0.187242428138211</c:v>
                </c:pt>
                <c:pt idx="115">
                  <c:v>0.188179105961362</c:v>
                </c:pt>
                <c:pt idx="116">
                  <c:v>0.189104047073646</c:v>
                </c:pt>
                <c:pt idx="117">
                  <c:v>0.190017473586992</c:v>
                </c:pt>
                <c:pt idx="118">
                  <c:v>0.190919601943358</c:v>
                </c:pt>
                <c:pt idx="119">
                  <c:v>0.19181064309859</c:v>
                </c:pt>
                <c:pt idx="120">
                  <c:v>0.192690802698988</c:v>
                </c:pt>
                <c:pt idx="121">
                  <c:v>0.193560281250914</c:v>
                </c:pt>
                <c:pt idx="122">
                  <c:v>0.194419274283789</c:v>
                </c:pt>
                <c:pt idx="123">
                  <c:v>0.195267972506764</c:v>
                </c:pt>
                <c:pt idx="124">
                  <c:v>0.196106561959364</c:v>
                </c:pt>
                <c:pt idx="125">
                  <c:v>0.196935224156396</c:v>
                </c:pt>
                <c:pt idx="126">
                  <c:v>0.197754136227352</c:v>
                </c:pt>
                <c:pt idx="127">
                  <c:v>0.198563471050585</c:v>
                </c:pt>
                <c:pt idx="128">
                  <c:v>0.19936339738247</c:v>
                </c:pt>
                <c:pt idx="129">
                  <c:v>0.200154079981782</c:v>
                </c:pt>
                <c:pt idx="130">
                  <c:v>0.200935679729499</c:v>
                </c:pt>
                <c:pt idx="131">
                  <c:v>0.201708353744235</c:v>
                </c:pt>
                <c:pt idx="132">
                  <c:v>0.202472255493478</c:v>
                </c:pt>
                <c:pt idx="133">
                  <c:v>0.203227534900837</c:v>
                </c:pt>
                <c:pt idx="134">
                  <c:v>0.203974338449442</c:v>
                </c:pt>
                <c:pt idx="135">
                  <c:v>0.204712809281678</c:v>
                </c:pt>
                <c:pt idx="136">
                  <c:v>0.205443087295407</c:v>
                </c:pt>
                <c:pt idx="137">
                  <c:v>0.20616530923681</c:v>
                </c:pt>
                <c:pt idx="138">
                  <c:v>0.206879608790007</c:v>
                </c:pt>
                <c:pt idx="139">
                  <c:v>0.207586116663577</c:v>
                </c:pt>
                <c:pt idx="140">
                  <c:v>0.208284960674108</c:v>
                </c:pt>
                <c:pt idx="141">
                  <c:v>0.2089762658269</c:v>
                </c:pt>
                <c:pt idx="142">
                  <c:v>0.209660154393927</c:v>
                </c:pt>
                <c:pt idx="143">
                  <c:v>0.210336745989182</c:v>
                </c:pt>
                <c:pt idx="144">
                  <c:v>0.211006157641498</c:v>
                </c:pt>
                <c:pt idx="145">
                  <c:v>0.211668503864944</c:v>
                </c:pt>
                <c:pt idx="146">
                  <c:v>0.212323896726909</c:v>
                </c:pt>
                <c:pt idx="147">
                  <c:v>0.212972445913931</c:v>
                </c:pt>
                <c:pt idx="148">
                  <c:v>0.2136142587954</c:v>
                </c:pt>
                <c:pt idx="149">
                  <c:v>0.214249440485177</c:v>
                </c:pt>
                <c:pt idx="150">
                  <c:v>0.214878093901238</c:v>
                </c:pt>
                <c:pt idx="151">
                  <c:v>0.215500319823407</c:v>
                </c:pt>
                <c:pt idx="152">
                  <c:v>0.216116216949242</c:v>
                </c:pt>
                <c:pt idx="153">
                  <c:v>0.216725881948163</c:v>
                </c:pt>
                <c:pt idx="154">
                  <c:v>0.217329409513866</c:v>
                </c:pt>
                <c:pt idx="155">
                  <c:v>0.21792689241511</c:v>
                </c:pt>
                <c:pt idx="156">
                  <c:v>0.21851842154491</c:v>
                </c:pt>
                <c:pt idx="157">
                  <c:v>0.219104085968218</c:v>
                </c:pt>
                <c:pt idx="158">
                  <c:v>0.219683972968138</c:v>
                </c:pt>
                <c:pt idx="159">
                  <c:v>0.220258168090721</c:v>
                </c:pt>
                <c:pt idx="160">
                  <c:v>0.220826755188406</c:v>
                </c:pt>
                <c:pt idx="161">
                  <c:v>0.221389816462143</c:v>
                </c:pt>
                <c:pt idx="162">
                  <c:v>0.221947432502251</c:v>
                </c:pt>
                <c:pt idx="163">
                  <c:v>0.222499682328052</c:v>
                </c:pt>
                <c:pt idx="164">
                  <c:v>0.223046643426335</c:v>
                </c:pt>
                <c:pt idx="165">
                  <c:v>0.223588391788666</c:v>
                </c:pt>
                <c:pt idx="166">
                  <c:v>0.22412500194762</c:v>
                </c:pt>
                <c:pt idx="167">
                  <c:v>0.224656547011936</c:v>
                </c:pt>
                <c:pt idx="168">
                  <c:v>0.225183098700663</c:v>
                </c:pt>
                <c:pt idx="169">
                  <c:v>0.225704727376304</c:v>
                </c:pt>
                <c:pt idx="170">
                  <c:v>0.226221502077018</c:v>
                </c:pt>
                <c:pt idx="171">
                  <c:v>0.226733490547891</c:v>
                </c:pt>
                <c:pt idx="172">
                  <c:v>0.227240759271317</c:v>
                </c:pt>
                <c:pt idx="173">
                  <c:v>0.227743373496525</c:v>
                </c:pt>
                <c:pt idx="174">
                  <c:v>0.228241397268262</c:v>
                </c:pt>
                <c:pt idx="175">
                  <c:v>0.228734893454677</c:v>
                </c:pt>
                <c:pt idx="176">
                  <c:v>0.22922392377443</c:v>
                </c:pt>
                <c:pt idx="177">
                  <c:v>0.22970854882304</c:v>
                </c:pt>
                <c:pt idx="178">
                  <c:v>0.23018882809851</c:v>
                </c:pt>
                <c:pt idx="179">
                  <c:v>0.230664820026245</c:v>
                </c:pt>
                <c:pt idx="180">
                  <c:v>0.231136581983288</c:v>
                </c:pt>
                <c:pt idx="181">
                  <c:v>0.231604170321898</c:v>
                </c:pt>
                <c:pt idx="182">
                  <c:v>0.232067640392488</c:v>
                </c:pt>
                <c:pt idx="183">
                  <c:v>0.232527046565941</c:v>
                </c:pt>
                <c:pt idx="184">
                  <c:v>0.232982442255332</c:v>
                </c:pt>
                <c:pt idx="185">
                  <c:v>0.233433879937064</c:v>
                </c:pt>
                <c:pt idx="186">
                  <c:v>0.233881411171453</c:v>
                </c:pt>
                <c:pt idx="187">
                  <c:v>0.23432508662275</c:v>
                </c:pt>
                <c:pt idx="188">
                  <c:v>0.234764956078656</c:v>
                </c:pt>
                <c:pt idx="189">
                  <c:v>0.23520106846931</c:v>
                </c:pt>
                <c:pt idx="190">
                  <c:v>0.235633471885791</c:v>
                </c:pt>
                <c:pt idx="191">
                  <c:v>0.236062213598131</c:v>
                </c:pt>
                <c:pt idx="192">
                  <c:v>0.236487340072873</c:v>
                </c:pt>
                <c:pt idx="193">
                  <c:v>0.236908896990165</c:v>
                </c:pt>
                <c:pt idx="194">
                  <c:v>0.23732692926043</c:v>
                </c:pt>
                <c:pt idx="195">
                  <c:v>0.237741481040595</c:v>
                </c:pt>
                <c:pt idx="196">
                  <c:v>0.238152595749922</c:v>
                </c:pt>
                <c:pt idx="197">
                  <c:v>0.23856031608543</c:v>
                </c:pt>
                <c:pt idx="198">
                  <c:v>0.238964684036934</c:v>
                </c:pt>
                <c:pt idx="199">
                  <c:v>0.239365740901705</c:v>
                </c:pt>
                <c:pt idx="200">
                  <c:v>0.239763527298762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6599783"/>
        <c:axId val="69611382"/>
      </c:lineChart>
      <c:catAx>
        <c:axId val="7788776"/>
        <c:scaling>
          <c:orientation val="minMax"/>
        </c:scaling>
        <c:delete val="0"/>
        <c:axPos val="b"/>
        <c:majorGridlines>
          <c:spPr>
            <a:ln w="15840">
              <a:solidFill>
                <a:srgbClr val="969696"/>
              </a:solidFill>
              <a:prstDash val="sysDash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300" strike="noStrike" u="none">
                    <a:solidFill>
                      <a:srgbClr val="0000ff"/>
                    </a:solidFill>
                    <a:uFillTx/>
                    <a:latin typeface="Arial"/>
                    <a:ea typeface="Calibri"/>
                  </a:rPr>
                  <a:t>Input Voltage (V)</a:t>
                </a:r>
              </a:p>
            </c:rich>
          </c:tx>
          <c:layout>
            <c:manualLayout>
              <c:xMode val="edge"/>
              <c:yMode val="edge"/>
              <c:x val="0.416234658159422"/>
              <c:y val="0.945717479390806"/>
            </c:manualLayout>
          </c:layout>
          <c:overlay val="0"/>
          <c:spPr>
            <a:noFill/>
            <a:ln w="25560">
              <a:noFill/>
            </a:ln>
          </c:spPr>
        </c:title>
        <c:numFmt formatCode="#,##0" sourceLinked="0"/>
        <c:majorTickMark val="in"/>
        <c:minorTickMark val="in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0000ff"/>
                </a:solidFill>
                <a:uFillTx/>
                <a:latin typeface="Arial"/>
                <a:ea typeface="Calibri"/>
              </a:defRPr>
            </a:pPr>
          </a:p>
        </c:txPr>
        <c:crossAx val="10413753"/>
        <c:crosses val="autoZero"/>
        <c:auto val="1"/>
        <c:lblAlgn val="ctr"/>
        <c:lblOffset val="100"/>
        <c:noMultiLvlLbl val="0"/>
      </c:catAx>
      <c:valAx>
        <c:axId val="10413753"/>
        <c:scaling>
          <c:orientation val="minMax"/>
          <c:max val="100"/>
          <c:min val="80"/>
        </c:scaling>
        <c:delete val="0"/>
        <c:axPos val="l"/>
        <c:majorGridlines>
          <c:spPr>
            <a:ln w="15840">
              <a:solidFill>
                <a:srgbClr val="808080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300" strike="noStrike" u="none">
                    <a:solidFill>
                      <a:srgbClr val="ff0000"/>
                    </a:solidFill>
                    <a:uFillTx/>
                    <a:latin typeface="Arial"/>
                    <a:ea typeface="Calibri"/>
                  </a:rPr>
                  <a:t>Efficiency (%)</a:t>
                </a:r>
              </a:p>
            </c:rich>
          </c:tx>
          <c:layout>
            <c:manualLayout>
              <c:xMode val="edge"/>
              <c:yMode val="edge"/>
              <c:x val="0.0128937923700651"/>
              <c:y val="0.376274975548414"/>
            </c:manualLayout>
          </c:layout>
          <c:overlay val="0"/>
          <c:spPr>
            <a:noFill/>
            <a:ln w="25560">
              <a:noFill/>
            </a:ln>
          </c:spPr>
        </c:title>
        <c:numFmt formatCode="#,##0" sourceLinked="0"/>
        <c:majorTickMark val="out"/>
        <c:minorTickMark val="out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ff0000"/>
                </a:solidFill>
                <a:uFillTx/>
                <a:latin typeface="Arial"/>
                <a:ea typeface="Calibri"/>
              </a:defRPr>
            </a:pPr>
          </a:p>
        </c:txPr>
        <c:crossAx val="7788776"/>
        <c:crosses val="autoZero"/>
        <c:crossBetween val="between"/>
        <c:majorUnit val="5"/>
        <c:minorUnit val="2.5"/>
      </c:valAx>
      <c:catAx>
        <c:axId val="659978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85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9611382"/>
        <c:auto val="1"/>
        <c:lblAlgn val="ctr"/>
        <c:lblOffset val="100"/>
        <c:noMultiLvlLbl val="0"/>
      </c:catAx>
      <c:valAx>
        <c:axId val="69611382"/>
        <c:scaling>
          <c:orientation val="minMax"/>
          <c:min val="0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4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Power Loss (W)</a:t>
                </a:r>
              </a:p>
            </c:rich>
          </c:tx>
          <c:layout>
            <c:manualLayout>
              <c:xMode val="edge"/>
              <c:yMode val="edge"/>
              <c:x val="0.955912977978643"/>
              <c:y val="0.370406594942015"/>
            </c:manualLayout>
          </c:layout>
          <c:overlay val="0"/>
          <c:spPr>
            <a:noFill/>
            <a:ln w="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599783"/>
        <c:crosses val="max"/>
        <c:crossBetween val="between"/>
      </c:valAx>
      <c:spPr>
        <a:noFill/>
        <a:ln w="25560">
          <a:noFill/>
        </a:ln>
      </c:spPr>
    </c:plotArea>
    <c:legend>
      <c:legendPos val="t"/>
      <c:layout>
        <c:manualLayout>
          <c:xMode val="edge"/>
          <c:yMode val="edge"/>
          <c:x val="0.372145861603173"/>
          <c:y val="0.0118925461942344"/>
          <c:w val="0.611053776542879"/>
          <c:h val="0.0905765609084237"/>
        </c:manualLayout>
      </c:layout>
      <c:overlay val="0"/>
      <c:spPr>
        <a:solidFill>
          <a:srgbClr val="ffffff"/>
        </a:solidFill>
        <a:ln w="25560">
          <a:noFill/>
        </a:ln>
      </c:spPr>
      <c:txPr>
        <a:bodyPr/>
        <a:lstStyle/>
        <a:p>
          <a:pPr>
            <a:defRPr b="0" sz="1200" strike="noStrike" u="none">
              <a:solidFill>
                <a:srgbClr val="000000"/>
              </a:solidFill>
              <a:uFillTx/>
              <a:latin typeface="Arial"/>
              <a:ea typeface="Calibri"/>
            </a:defRPr>
          </a:pPr>
        </a:p>
      </c:txPr>
    </c:legend>
    <c:plotVisOnly val="1"/>
    <c:dispBlanksAs val="gap"/>
  </c:chart>
  <c:spPr>
    <a:noFill/>
    <a:ln w="9360">
      <a:solidFill>
        <a:srgbClr val="80808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 MOSFET Temp Rise</a:t>
            </a:r>
          </a:p>
        </c:rich>
      </c:tx>
      <c:layout>
        <c:manualLayout>
          <c:xMode val="edge"/>
          <c:yMode val="edge"/>
          <c:x val="0.426269412394723"/>
          <c:y val="0.0539694371971674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28012268147"/>
          <c:y val="0.157584793142005"/>
          <c:w val="0.856092692663454"/>
          <c:h val="0.71710771524413"/>
        </c:manualLayout>
      </c:layout>
      <c:scatterChart>
        <c:scatterStyle val="line"/>
        <c:varyColors val="0"/>
        <c:ser>
          <c:idx val="0"/>
          <c:order val="0"/>
          <c:tx>
            <c:strRef>
              <c:f>"High-side MOSFET"</c:f>
              <c:strCache>
                <c:ptCount val="1"/>
                <c:pt idx="0">
                  <c:v>High-side MOSFET</c:v>
                </c:pt>
              </c:strCache>
            </c:strRef>
          </c:tx>
          <c:spPr>
            <a:solidFill>
              <a:srgbClr val="000080"/>
            </a:solidFill>
            <a:ln w="31680">
              <a:solidFill>
                <a:srgbClr val="00008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16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</c:v>
                </c:pt>
              </c:numCache>
            </c:numRef>
          </c:xVal>
          <c:yVal>
            <c:numRef>
              <c:f>'Efficiency vs VIN Calculations'!$BE$9:$BE$209</c:f>
              <c:numCache>
                <c:formatCode>0.0</c:formatCode>
                <c:ptCount val="201"/>
                <c:pt idx="0">
                  <c:v>22.9213928625121</c:v>
                </c:pt>
                <c:pt idx="1">
                  <c:v>21.6507859876068</c:v>
                </c:pt>
                <c:pt idx="2">
                  <c:v>20.5182598428087</c:v>
                </c:pt>
                <c:pt idx="3">
                  <c:v>19.504233856059</c:v>
                </c:pt>
                <c:pt idx="4">
                  <c:v>18.5925244904429</c:v>
                </c:pt>
                <c:pt idx="5">
                  <c:v>17.7696544450026</c:v>
                </c:pt>
                <c:pt idx="6">
                  <c:v>17.0243218819249</c:v>
                </c:pt>
                <c:pt idx="7">
                  <c:v>16.3469883195211</c:v>
                </c:pt>
                <c:pt idx="8">
                  <c:v>15.7295555631352</c:v>
                </c:pt>
                <c:pt idx="9">
                  <c:v>15.1651101722346</c:v>
                </c:pt>
                <c:pt idx="10">
                  <c:v>14.6477196706431</c:v>
                </c:pt>
                <c:pt idx="11">
                  <c:v>14.1722687702693</c:v>
                </c:pt>
                <c:pt idx="12">
                  <c:v>13.7343268062975</c:v>
                </c:pt>
                <c:pt idx="13">
                  <c:v>13.330039715022</c:v>
                </c:pt>
                <c:pt idx="14">
                  <c:v>12.9560414563032</c:v>
                </c:pt>
                <c:pt idx="15">
                  <c:v>12.6093809506547</c:v>
                </c:pt>
                <c:pt idx="16">
                  <c:v>12.2874614775387</c:v>
                </c:pt>
                <c:pt idx="17">
                  <c:v>11.9879901449427</c:v>
                </c:pt>
                <c:pt idx="18">
                  <c:v>11.7089355466152</c:v>
                </c:pt>
                <c:pt idx="19">
                  <c:v>11.4484921126457</c:v>
                </c:pt>
                <c:pt idx="20">
                  <c:v>11.2050499605696</c:v>
                </c:pt>
                <c:pt idx="21">
                  <c:v>10.9771692892656</c:v>
                </c:pt>
                <c:pt idx="22">
                  <c:v>10.7635585423991</c:v>
                </c:pt>
                <c:pt idx="23">
                  <c:v>10.462082562142</c:v>
                </c:pt>
                <c:pt idx="24">
                  <c:v>10.4690964927201</c:v>
                </c:pt>
                <c:pt idx="25">
                  <c:v>10.4833356627084</c:v>
                </c:pt>
                <c:pt idx="26">
                  <c:v>10.5041953772282</c:v>
                </c:pt>
                <c:pt idx="27">
                  <c:v>10.5311188162327</c:v>
                </c:pt>
                <c:pt idx="28">
                  <c:v>21.8027164282513</c:v>
                </c:pt>
                <c:pt idx="29">
                  <c:v>21.7404086580506</c:v>
                </c:pt>
                <c:pt idx="30">
                  <c:v>21.6889781160733</c:v>
                </c:pt>
                <c:pt idx="31">
                  <c:v>21.6474739045144</c:v>
                </c:pt>
                <c:pt idx="32">
                  <c:v>21.6150492453483</c:v>
                </c:pt>
                <c:pt idx="33">
                  <c:v>21.5909483258171</c:v>
                </c:pt>
                <c:pt idx="34">
                  <c:v>21.5744950044519</c:v>
                </c:pt>
                <c:pt idx="35">
                  <c:v>21.565083087473</c:v>
                </c:pt>
                <c:pt idx="36">
                  <c:v>21.5621679348144</c:v>
                </c:pt>
                <c:pt idx="37">
                  <c:v>26.9110533545855</c:v>
                </c:pt>
                <c:pt idx="38">
                  <c:v>27.0485115292449</c:v>
                </c:pt>
                <c:pt idx="39">
                  <c:v>27.1905750799654</c:v>
                </c:pt>
                <c:pt idx="40">
                  <c:v>27.3369961166852</c:v>
                </c:pt>
                <c:pt idx="41">
                  <c:v>27.4875450906041</c:v>
                </c:pt>
                <c:pt idx="42">
                  <c:v>27.6420090975845</c:v>
                </c:pt>
                <c:pt idx="43">
                  <c:v>27.8001903667103</c:v>
                </c:pt>
                <c:pt idx="44">
                  <c:v>27.9619049110046</c:v>
                </c:pt>
                <c:pt idx="45">
                  <c:v>28.1269813204831</c:v>
                </c:pt>
                <c:pt idx="46">
                  <c:v>28.2952596804186</c:v>
                </c:pt>
                <c:pt idx="47">
                  <c:v>28.4665905999845</c:v>
                </c:pt>
                <c:pt idx="48">
                  <c:v>28.6408343384062</c:v>
                </c:pt>
                <c:pt idx="49">
                  <c:v>28.8178600174204</c:v>
                </c:pt>
                <c:pt idx="50">
                  <c:v>28.9975449102812</c:v>
                </c:pt>
                <c:pt idx="51">
                  <c:v>29.1797737987825</c:v>
                </c:pt>
                <c:pt idx="52">
                  <c:v>29.36443839083</c:v>
                </c:pt>
                <c:pt idx="53">
                  <c:v>29.5514367920151</c:v>
                </c:pt>
                <c:pt idx="54">
                  <c:v>29.7406730254302</c:v>
                </c:pt>
                <c:pt idx="55">
                  <c:v>29.9320565946608</c:v>
                </c:pt>
                <c:pt idx="56">
                  <c:v>30.1255020854791</c:v>
                </c:pt>
                <c:pt idx="57">
                  <c:v>30.3209288022884</c:v>
                </c:pt>
                <c:pt idx="58">
                  <c:v>30.5182604358195</c:v>
                </c:pt>
                <c:pt idx="59">
                  <c:v>30.7174247589749</c:v>
                </c:pt>
                <c:pt idx="60">
                  <c:v>30.918353348065</c:v>
                </c:pt>
                <c:pt idx="61">
                  <c:v>31.1209813269835</c:v>
                </c:pt>
                <c:pt idx="62">
                  <c:v>31.3252471321346</c:v>
                </c:pt>
                <c:pt idx="63">
                  <c:v>31.5310922961627</c:v>
                </c:pt>
                <c:pt idx="64">
                  <c:v>31.7384612487387</c:v>
                </c:pt>
                <c:pt idx="65">
                  <c:v>31.947301132841</c:v>
                </c:pt>
                <c:pt idx="66">
                  <c:v>32.1575616351324</c:v>
                </c:pt>
                <c:pt idx="67">
                  <c:v>32.3691948291741</c:v>
                </c:pt>
                <c:pt idx="68">
                  <c:v>32.5821550303463</c:v>
                </c:pt>
                <c:pt idx="69">
                  <c:v>32.7963986614587</c:v>
                </c:pt>
                <c:pt idx="70">
                  <c:v>33.0118841281325</c:v>
                </c:pt>
                <c:pt idx="71">
                  <c:v>33.2285717031247</c:v>
                </c:pt>
                <c:pt idx="72">
                  <c:v>33.4464234188472</c:v>
                </c:pt>
                <c:pt idx="73">
                  <c:v>33.6654029674024</c:v>
                </c:pt>
                <c:pt idx="74">
                  <c:v>33.8854756075211</c:v>
                </c:pt>
                <c:pt idx="75">
                  <c:v>34.1066080778459</c:v>
                </c:pt>
                <c:pt idx="76">
                  <c:v>34.3287685160532</c:v>
                </c:pt>
                <c:pt idx="77">
                  <c:v>34.5519263833554</c:v>
                </c:pt>
                <c:pt idx="78">
                  <c:v>34.7760523939623</c:v>
                </c:pt>
                <c:pt idx="79">
                  <c:v>35.0011184491216</c:v>
                </c:pt>
                <c:pt idx="80">
                  <c:v>35.2270975753892</c:v>
                </c:pt>
                <c:pt idx="81">
                  <c:v>35.4539638668119</c:v>
                </c:pt>
                <c:pt idx="82">
                  <c:v>35.6816924307302</c:v>
                </c:pt>
                <c:pt idx="83">
                  <c:v>35.9102593369378</c:v>
                </c:pt>
                <c:pt idx="84">
                  <c:v>36.1396415699503</c:v>
                </c:pt>
                <c:pt idx="85">
                  <c:v>36.3698169841627</c:v>
                </c:pt>
                <c:pt idx="86">
                  <c:v>36.6007642616887</c:v>
                </c:pt>
                <c:pt idx="87">
                  <c:v>36.8324628726933</c:v>
                </c:pt>
                <c:pt idx="88">
                  <c:v>37.0648930380456</c:v>
                </c:pt>
                <c:pt idx="89">
                  <c:v>37.2980356941328</c:v>
                </c:pt>
                <c:pt idx="90">
                  <c:v>37.5318724596867</c:v>
                </c:pt>
                <c:pt idx="91">
                  <c:v>37.7663856044884</c:v>
                </c:pt>
                <c:pt idx="92">
                  <c:v>38.0015580198258</c:v>
                </c:pt>
                <c:pt idx="93">
                  <c:v>38.2373731905879</c:v>
                </c:pt>
                <c:pt idx="94">
                  <c:v>38.4738151688894</c:v>
                </c:pt>
                <c:pt idx="95">
                  <c:v>38.7108685491263</c:v>
                </c:pt>
                <c:pt idx="96">
                  <c:v>38.9485184443719</c:v>
                </c:pt>
                <c:pt idx="97">
                  <c:v>39.1867504640269</c:v>
                </c:pt>
                <c:pt idx="98">
                  <c:v>39.4255506926464</c:v>
                </c:pt>
                <c:pt idx="99">
                  <c:v>39.6649056698697</c:v>
                </c:pt>
                <c:pt idx="100">
                  <c:v>39.9048023713857</c:v>
                </c:pt>
                <c:pt idx="101">
                  <c:v>40.145228190871</c:v>
                </c:pt>
                <c:pt idx="102">
                  <c:v>40.3861709228408</c:v>
                </c:pt>
                <c:pt idx="103">
                  <c:v>40.6276187463606</c:v>
                </c:pt>
                <c:pt idx="104">
                  <c:v>40.8695602095645</c:v>
                </c:pt>
                <c:pt idx="105">
                  <c:v>41.1119842149363</c:v>
                </c:pt>
                <c:pt idx="106">
                  <c:v>41.3548800053059</c:v>
                </c:pt>
                <c:pt idx="107">
                  <c:v>41.5982371505227</c:v>
                </c:pt>
                <c:pt idx="108">
                  <c:v>41.842045534765</c:v>
                </c:pt>
                <c:pt idx="109">
                  <c:v>42.0862953444518</c:v>
                </c:pt>
                <c:pt idx="110">
                  <c:v>42.3309770567208</c:v>
                </c:pt>
                <c:pt idx="111">
                  <c:v>42.5760814284439</c:v>
                </c:pt>
                <c:pt idx="112">
                  <c:v>42.821599485748</c:v>
                </c:pt>
                <c:pt idx="113">
                  <c:v>43.0675225140158</c:v>
                </c:pt>
                <c:pt idx="114">
                  <c:v>43.313842048339</c:v>
                </c:pt>
                <c:pt idx="115">
                  <c:v>43.5605498644015</c:v>
                </c:pt>
                <c:pt idx="116">
                  <c:v>43.807637969767</c:v>
                </c:pt>
                <c:pt idx="117">
                  <c:v>44.0550985955535</c:v>
                </c:pt>
                <c:pt idx="118">
                  <c:v>44.3029241884702</c:v>
                </c:pt>
                <c:pt idx="119">
                  <c:v>44.5511074032025</c:v>
                </c:pt>
                <c:pt idx="120">
                  <c:v>44.7996410951231</c:v>
                </c:pt>
                <c:pt idx="121">
                  <c:v>45.0485183133157</c:v>
                </c:pt>
                <c:pt idx="122">
                  <c:v>45.2977322938941</c:v>
                </c:pt>
                <c:pt idx="123">
                  <c:v>45.5472764536017</c:v>
                </c:pt>
                <c:pt idx="124">
                  <c:v>45.7971443836787</c:v>
                </c:pt>
                <c:pt idx="125">
                  <c:v>46.0473298439823</c:v>
                </c:pt>
                <c:pt idx="126">
                  <c:v>46.2978267573488</c:v>
                </c:pt>
                <c:pt idx="127">
                  <c:v>46.5486292041849</c:v>
                </c:pt>
                <c:pt idx="128">
                  <c:v>46.7997314172782</c:v>
                </c:pt>
                <c:pt idx="129">
                  <c:v>47.0511277768155</c:v>
                </c:pt>
                <c:pt idx="130">
                  <c:v>47.3028128055991</c:v>
                </c:pt>
                <c:pt idx="131">
                  <c:v>47.5547811644528</c:v>
                </c:pt>
                <c:pt idx="132">
                  <c:v>47.8070276478078</c:v>
                </c:pt>
                <c:pt idx="133">
                  <c:v>48.0595471794598</c:v>
                </c:pt>
                <c:pt idx="134">
                  <c:v>48.3123348084912</c:v>
                </c:pt>
                <c:pt idx="135">
                  <c:v>48.5653857053487</c:v>
                </c:pt>
                <c:pt idx="136">
                  <c:v>48.818695158071</c:v>
                </c:pt>
                <c:pt idx="137">
                  <c:v>49.0722585686585</c:v>
                </c:pt>
                <c:pt idx="138">
                  <c:v>49.3260714495801</c:v>
                </c:pt>
                <c:pt idx="139">
                  <c:v>49.5801294204092</c:v>
                </c:pt>
                <c:pt idx="140">
                  <c:v>49.8344282045853</c:v>
                </c:pt>
                <c:pt idx="141">
                  <c:v>50.0889636262938</c:v>
                </c:pt>
                <c:pt idx="142">
                  <c:v>50.3437316074604</c:v>
                </c:pt>
                <c:pt idx="143">
                  <c:v>50.5987281648536</c:v>
                </c:pt>
                <c:pt idx="144">
                  <c:v>50.8539494072929</c:v>
                </c:pt>
                <c:pt idx="145">
                  <c:v>51.1093915329555</c:v>
                </c:pt>
                <c:pt idx="146">
                  <c:v>51.3650508267794</c:v>
                </c:pt>
                <c:pt idx="147">
                  <c:v>51.6209236579584</c:v>
                </c:pt>
                <c:pt idx="148">
                  <c:v>51.8770064775241</c:v>
                </c:pt>
                <c:pt idx="149">
                  <c:v>52.1332958160132</c:v>
                </c:pt>
                <c:pt idx="150">
                  <c:v>52.3897882812146</c:v>
                </c:pt>
                <c:pt idx="151">
                  <c:v>52.6464805559946</c:v>
                </c:pt>
                <c:pt idx="152">
                  <c:v>52.9033693961961</c:v>
                </c:pt>
                <c:pt idx="153">
                  <c:v>53.1604516286096</c:v>
                </c:pt>
                <c:pt idx="154">
                  <c:v>53.4177241490117</c:v>
                </c:pt>
                <c:pt idx="155">
                  <c:v>53.6751839202706</c:v>
                </c:pt>
                <c:pt idx="156">
                  <c:v>53.9328279705136</c:v>
                </c:pt>
                <c:pt idx="157">
                  <c:v>54.1906533913563</c:v>
                </c:pt>
                <c:pt idx="158">
                  <c:v>54.4486573361893</c:v>
                </c:pt>
                <c:pt idx="159">
                  <c:v>54.7068370185213</c:v>
                </c:pt>
                <c:pt idx="160">
                  <c:v>54.9651897103762</c:v>
                </c:pt>
                <c:pt idx="161">
                  <c:v>55.2237127407418</c:v>
                </c:pt>
                <c:pt idx="162">
                  <c:v>55.4824034940681</c:v>
                </c:pt>
                <c:pt idx="163">
                  <c:v>55.7412594088144</c:v>
                </c:pt>
                <c:pt idx="164">
                  <c:v>56.0002779760417</c:v>
                </c:pt>
                <c:pt idx="165">
                  <c:v>56.2594567380499</c:v>
                </c:pt>
                <c:pt idx="166">
                  <c:v>56.5187932870578</c:v>
                </c:pt>
                <c:pt idx="167">
                  <c:v>56.7782852639242</c:v>
                </c:pt>
                <c:pt idx="168">
                  <c:v>57.0379303569086</c:v>
                </c:pt>
                <c:pt idx="169">
                  <c:v>57.2977263004706</c:v>
                </c:pt>
                <c:pt idx="170">
                  <c:v>57.5576708741053</c:v>
                </c:pt>
                <c:pt idx="171">
                  <c:v>57.8177619012152</c:v>
                </c:pt>
                <c:pt idx="172">
                  <c:v>58.0779972480155</c:v>
                </c:pt>
                <c:pt idx="173">
                  <c:v>58.3383748224728</c:v>
                </c:pt>
                <c:pt idx="174">
                  <c:v>58.598892573276</c:v>
                </c:pt>
                <c:pt idx="175">
                  <c:v>58.8595484888368</c:v>
                </c:pt>
                <c:pt idx="176">
                  <c:v>59.1203405963215</c:v>
                </c:pt>
                <c:pt idx="177">
                  <c:v>59.3812669607096</c:v>
                </c:pt>
                <c:pt idx="178">
                  <c:v>59.6423256838815</c:v>
                </c:pt>
                <c:pt idx="179">
                  <c:v>59.903514903732</c:v>
                </c:pt>
                <c:pt idx="180">
                  <c:v>60.16483279331</c:v>
                </c:pt>
                <c:pt idx="181">
                  <c:v>60.4262775599825</c:v>
                </c:pt>
                <c:pt idx="182">
                  <c:v>60.6878474446233</c:v>
                </c:pt>
                <c:pt idx="183">
                  <c:v>60.9495407208246</c:v>
                </c:pt>
                <c:pt idx="184">
                  <c:v>61.211355694131</c:v>
                </c:pt>
                <c:pt idx="185">
                  <c:v>61.473290701295</c:v>
                </c:pt>
                <c:pt idx="186">
                  <c:v>61.7353441095539</c:v>
                </c:pt>
                <c:pt idx="187">
                  <c:v>61.9975143159268</c:v>
                </c:pt>
                <c:pt idx="188">
                  <c:v>62.2597997465306</c:v>
                </c:pt>
                <c:pt idx="189">
                  <c:v>62.5221988559163</c:v>
                </c:pt>
                <c:pt idx="190">
                  <c:v>62.7847101264223</c:v>
                </c:pt>
                <c:pt idx="191">
                  <c:v>63.0473320675457</c:v>
                </c:pt>
                <c:pt idx="192">
                  <c:v>63.3100632153319</c:v>
                </c:pt>
                <c:pt idx="193">
                  <c:v>63.572902131779</c:v>
                </c:pt>
                <c:pt idx="194">
                  <c:v>63.83584740426</c:v>
                </c:pt>
                <c:pt idx="195">
                  <c:v>64.0988976449592</c:v>
                </c:pt>
                <c:pt idx="196">
                  <c:v>64.3620514903249</c:v>
                </c:pt>
                <c:pt idx="197">
                  <c:v>64.6253076005355</c:v>
                </c:pt>
                <c:pt idx="198">
                  <c:v>64.888664658981</c:v>
                </c:pt>
                <c:pt idx="199">
                  <c:v>65.152121371757</c:v>
                </c:pt>
                <c:pt idx="200">
                  <c:v>65.4156764671729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"Low-side MOSFET"</c:f>
              <c:strCache>
                <c:ptCount val="1"/>
                <c:pt idx="0">
                  <c:v>Low-side MOSFET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</c:v>
                </c:pt>
              </c:numCache>
            </c:numRef>
          </c:xVal>
          <c:yVal>
            <c:numRef>
              <c:f>'Efficiency vs VIN Calculations'!$BF$9:$BF$209</c:f>
              <c:numCache>
                <c:formatCode>0.0</c:formatCode>
                <c:ptCount val="201"/>
                <c:pt idx="0">
                  <c:v>25.1191311950675</c:v>
                </c:pt>
                <c:pt idx="1">
                  <c:v>24.2189702544002</c:v>
                </c:pt>
                <c:pt idx="2">
                  <c:v>23.3804335826122</c:v>
                </c:pt>
                <c:pt idx="3">
                  <c:v>22.5974427912223</c:v>
                </c:pt>
                <c:pt idx="4">
                  <c:v>21.864681623388</c:v>
                </c:pt>
                <c:pt idx="5">
                  <c:v>21.1774819433212</c:v>
                </c:pt>
                <c:pt idx="6">
                  <c:v>20.5317293916214</c:v>
                </c:pt>
                <c:pt idx="7">
                  <c:v>19.923784926869</c:v>
                </c:pt>
                <c:pt idx="8">
                  <c:v>19.3504192663299</c:v>
                </c:pt>
                <c:pt idx="9">
                  <c:v>18.8087578532247</c:v>
                </c:pt>
                <c:pt idx="10">
                  <c:v>18.2962344567143</c:v>
                </c:pt>
                <c:pt idx="11">
                  <c:v>17.8105518853247</c:v>
                </c:pt>
                <c:pt idx="12">
                  <c:v>17.3496485890365</c:v>
                </c:pt>
                <c:pt idx="13">
                  <c:v>16.9116701579196</c:v>
                </c:pt>
                <c:pt idx="14">
                  <c:v>16.4949449098842</c:v>
                </c:pt>
                <c:pt idx="15">
                  <c:v>16.0979629074339</c:v>
                </c:pt>
                <c:pt idx="16">
                  <c:v>15.7193578613549</c:v>
                </c:pt>
                <c:pt idx="17">
                  <c:v>15.3578914743105</c:v>
                </c:pt>
                <c:pt idx="18">
                  <c:v>15.0124398541599</c:v>
                </c:pt>
                <c:pt idx="19">
                  <c:v>14.681981689234</c:v>
                </c:pt>
                <c:pt idx="20">
                  <c:v>14.3655879287074</c:v>
                </c:pt>
                <c:pt idx="21">
                  <c:v>14.062412752894</c:v>
                </c:pt>
                <c:pt idx="22">
                  <c:v>13.7716856525738</c:v>
                </c:pt>
                <c:pt idx="23">
                  <c:v>8.38073786242854</c:v>
                </c:pt>
                <c:pt idx="24">
                  <c:v>8.20949807252061</c:v>
                </c:pt>
                <c:pt idx="25">
                  <c:v>8.04509892484118</c:v>
                </c:pt>
                <c:pt idx="26">
                  <c:v>7.88733683085116</c:v>
                </c:pt>
                <c:pt idx="27">
                  <c:v>7.73605050692757</c:v>
                </c:pt>
                <c:pt idx="28">
                  <c:v>4.2586567203485</c:v>
                </c:pt>
                <c:pt idx="29">
                  <c:v>4.45121638535253</c:v>
                </c:pt>
                <c:pt idx="30">
                  <c:v>4.6377959515093</c:v>
                </c:pt>
                <c:pt idx="31">
                  <c:v>4.8188392090476</c:v>
                </c:pt>
                <c:pt idx="32">
                  <c:v>4.99474056936094</c:v>
                </c:pt>
                <c:pt idx="33">
                  <c:v>5.16585152142447</c:v>
                </c:pt>
                <c:pt idx="34">
                  <c:v>5.33248616132348</c:v>
                </c:pt>
                <c:pt idx="35">
                  <c:v>5.49492593814881</c:v>
                </c:pt>
                <c:pt idx="36">
                  <c:v>5.65342373588836</c:v>
                </c:pt>
                <c:pt idx="37">
                  <c:v>8.76691099141886</c:v>
                </c:pt>
                <c:pt idx="38">
                  <c:v>8.90782825356547</c:v>
                </c:pt>
                <c:pt idx="39">
                  <c:v>9.0449374354359</c:v>
                </c:pt>
                <c:pt idx="40">
                  <c:v>9.17841116736557</c:v>
                </c:pt>
                <c:pt idx="41">
                  <c:v>9.30841063013506</c:v>
                </c:pt>
                <c:pt idx="42">
                  <c:v>9.43508655264876</c:v>
                </c:pt>
                <c:pt idx="43">
                  <c:v>9.55858010414156</c:v>
                </c:pt>
                <c:pt idx="44">
                  <c:v>9.67902369375615</c:v>
                </c:pt>
                <c:pt idx="45">
                  <c:v>9.79654168858897</c:v>
                </c:pt>
                <c:pt idx="46">
                  <c:v>9.91125105981858</c:v>
                </c:pt>
                <c:pt idx="47">
                  <c:v>10.0232619652616</c:v>
                </c:pt>
                <c:pt idx="48">
                  <c:v>10.1326782756176</c:v>
                </c:pt>
                <c:pt idx="49">
                  <c:v>10.2395980507333</c:v>
                </c:pt>
                <c:pt idx="50">
                  <c:v>10.344113971418</c:v>
                </c:pt>
                <c:pt idx="51">
                  <c:v>10.4463137316525</c:v>
                </c:pt>
                <c:pt idx="52">
                  <c:v>10.5462803954409</c:v>
                </c:pt>
                <c:pt idx="53">
                  <c:v>10.6440927220385</c:v>
                </c:pt>
                <c:pt idx="54">
                  <c:v>10.7398254628463</c:v>
                </c:pt>
                <c:pt idx="55">
                  <c:v>10.8335496328723</c:v>
                </c:pt>
                <c:pt idx="56">
                  <c:v>10.9253327593271</c:v>
                </c:pt>
                <c:pt idx="57">
                  <c:v>11.0152391096236</c:v>
                </c:pt>
                <c:pt idx="58">
                  <c:v>11.1033299007972</c:v>
                </c:pt>
                <c:pt idx="59">
                  <c:v>11.189663492138</c:v>
                </c:pt>
                <c:pt idx="60">
                  <c:v>11.2742955626285</c:v>
                </c:pt>
                <c:pt idx="61">
                  <c:v>11.3572792746094</c:v>
                </c:pt>
                <c:pt idx="62">
                  <c:v>11.4386654249427</c:v>
                </c:pt>
                <c:pt idx="63">
                  <c:v>11.5185025848089</c:v>
                </c:pt>
                <c:pt idx="64">
                  <c:v>11.5968372291548</c:v>
                </c:pt>
                <c:pt idx="65">
                  <c:v>11.6737138567068</c:v>
                </c:pt>
                <c:pt idx="66">
                  <c:v>11.7491751013697</c:v>
                </c:pt>
                <c:pt idx="67">
                  <c:v>11.8232618357489</c:v>
                </c:pt>
                <c:pt idx="68">
                  <c:v>11.8960132674646</c:v>
                </c:pt>
                <c:pt idx="69">
                  <c:v>11.9674670288552</c:v>
                </c:pt>
                <c:pt idx="70">
                  <c:v>12.0376592606176</c:v>
                </c:pt>
                <c:pt idx="71">
                  <c:v>12.1066246898718</c:v>
                </c:pt>
                <c:pt idx="72">
                  <c:v>12.174396703099</c:v>
                </c:pt>
                <c:pt idx="73">
                  <c:v>12.2410074143555</c:v>
                </c:pt>
                <c:pt idx="74">
                  <c:v>12.3064877291312</c:v>
                </c:pt>
                <c:pt idx="75">
                  <c:v>12.3708674041861</c:v>
                </c:pt>
                <c:pt idx="76">
                  <c:v>12.4341751036701</c:v>
                </c:pt>
                <c:pt idx="77">
                  <c:v>12.4964384518044</c:v>
                </c:pt>
                <c:pt idx="78">
                  <c:v>12.5576840823766</c:v>
                </c:pt>
                <c:pt idx="79">
                  <c:v>12.6179376852835</c:v>
                </c:pt>
                <c:pt idx="80">
                  <c:v>12.677224050332</c:v>
                </c:pt>
                <c:pt idx="81">
                  <c:v>12.7355671084946</c:v>
                </c:pt>
                <c:pt idx="82">
                  <c:v>12.7929899707962</c:v>
                </c:pt>
                <c:pt idx="83">
                  <c:v>12.8495149649969</c:v>
                </c:pt>
                <c:pt idx="84">
                  <c:v>12.9051636702217</c:v>
                </c:pt>
                <c:pt idx="85">
                  <c:v>12.9599569496753</c:v>
                </c:pt>
                <c:pt idx="86">
                  <c:v>13.0139149815695</c:v>
                </c:pt>
                <c:pt idx="87">
                  <c:v>13.067057288382</c:v>
                </c:pt>
                <c:pt idx="88">
                  <c:v>13.1194027645537</c:v>
                </c:pt>
                <c:pt idx="89">
                  <c:v>13.1709697027265</c:v>
                </c:pt>
                <c:pt idx="90">
                  <c:v>13.2217758186135</c:v>
                </c:pt>
                <c:pt idx="91">
                  <c:v>13.2718382745874</c:v>
                </c:pt>
                <c:pt idx="92">
                  <c:v>13.3211737020683</c:v>
                </c:pt>
                <c:pt idx="93">
                  <c:v>13.3697982227818</c:v>
                </c:pt>
                <c:pt idx="94">
                  <c:v>13.4177274689594</c:v>
                </c:pt>
                <c:pt idx="95">
                  <c:v>13.4649766025422</c:v>
                </c:pt>
                <c:pt idx="96">
                  <c:v>13.5115603334479</c:v>
                </c:pt>
                <c:pt idx="97">
                  <c:v>13.5574929369566</c:v>
                </c:pt>
                <c:pt idx="98">
                  <c:v>13.6027882702663</c:v>
                </c:pt>
                <c:pt idx="99">
                  <c:v>13.6474597882656</c:v>
                </c:pt>
                <c:pt idx="100">
                  <c:v>13.6915205585688</c:v>
                </c:pt>
                <c:pt idx="101">
                  <c:v>13.7349832758536</c:v>
                </c:pt>
                <c:pt idx="102">
                  <c:v>13.7778602755425</c:v>
                </c:pt>
                <c:pt idx="103">
                  <c:v>13.8201635468618</c:v>
                </c:pt>
                <c:pt idx="104">
                  <c:v>13.8619047453139</c:v>
                </c:pt>
                <c:pt idx="105">
                  <c:v>13.9030952045931</c:v>
                </c:pt>
                <c:pt idx="106">
                  <c:v>13.943745947977</c:v>
                </c:pt>
                <c:pt idx="107">
                  <c:v>13.9838676992179</c:v>
                </c:pt>
                <c:pt idx="108">
                  <c:v>14.0234708929642</c:v>
                </c:pt>
                <c:pt idx="109">
                  <c:v>14.0625656847334</c:v>
                </c:pt>
                <c:pt idx="110">
                  <c:v>14.1011619604611</c:v>
                </c:pt>
                <c:pt idx="111">
                  <c:v>14.1392693456475</c:v>
                </c:pt>
                <c:pt idx="112">
                  <c:v>14.1768972141215</c:v>
                </c:pt>
                <c:pt idx="113">
                  <c:v>14.2140546964417</c:v>
                </c:pt>
                <c:pt idx="114">
                  <c:v>14.2507506879524</c:v>
                </c:pt>
                <c:pt idx="115">
                  <c:v>14.2869938565116</c:v>
                </c:pt>
                <c:pt idx="116">
                  <c:v>14.3227926499065</c:v>
                </c:pt>
                <c:pt idx="117">
                  <c:v>14.3581553029724</c:v>
                </c:pt>
                <c:pt idx="118">
                  <c:v>14.3930898444284</c:v>
                </c:pt>
                <c:pt idx="119">
                  <c:v>14.4276041034444</c:v>
                </c:pt>
                <c:pt idx="120">
                  <c:v>14.4617057159509</c:v>
                </c:pt>
                <c:pt idx="121">
                  <c:v>14.495402130704</c:v>
                </c:pt>
                <c:pt idx="122">
                  <c:v>14.5287006151176</c:v>
                </c:pt>
                <c:pt idx="123">
                  <c:v>14.5616082608727</c:v>
                </c:pt>
                <c:pt idx="124">
                  <c:v>14.5941319893141</c:v>
                </c:pt>
                <c:pt idx="125">
                  <c:v>14.6262785566447</c:v>
                </c:pt>
                <c:pt idx="126">
                  <c:v>14.6580545589249</c:v>
                </c:pt>
                <c:pt idx="127">
                  <c:v>14.6894664368886</c:v>
                </c:pt>
                <c:pt idx="128">
                  <c:v>14.7205204805807</c:v>
                </c:pt>
                <c:pt idx="129">
                  <c:v>14.7512228338258</c:v>
                </c:pt>
                <c:pt idx="130">
                  <c:v>14.7815794985354</c:v>
                </c:pt>
                <c:pt idx="131">
                  <c:v>14.8115963388599</c:v>
                </c:pt>
                <c:pt idx="132">
                  <c:v>14.8412790851923</c:v>
                </c:pt>
                <c:pt idx="133">
                  <c:v>14.8706333380299</c:v>
                </c:pt>
                <c:pt idx="134">
                  <c:v>14.8996645717</c:v>
                </c:pt>
                <c:pt idx="135">
                  <c:v>14.928378137956</c:v>
                </c:pt>
                <c:pt idx="136">
                  <c:v>14.9567792694472</c:v>
                </c:pt>
                <c:pt idx="137">
                  <c:v>14.9848730830704</c:v>
                </c:pt>
                <c:pt idx="138">
                  <c:v>15.0126645832053</c:v>
                </c:pt>
                <c:pt idx="139">
                  <c:v>15.0401586648414</c:v>
                </c:pt>
                <c:pt idx="140">
                  <c:v>15.0673601165972</c:v>
                </c:pt>
                <c:pt idx="141">
                  <c:v>15.0942736236397</c:v>
                </c:pt>
                <c:pt idx="142">
                  <c:v>15.1209037705054</c:v>
                </c:pt>
                <c:pt idx="143">
                  <c:v>15.1472550438283</c:v>
                </c:pt>
                <c:pt idx="144">
                  <c:v>15.1733318349777</c:v>
                </c:pt>
                <c:pt idx="145">
                  <c:v>15.1991384426098</c:v>
                </c:pt>
                <c:pt idx="146">
                  <c:v>15.2246790751362</c:v>
                </c:pt>
                <c:pt idx="147">
                  <c:v>15.2499578531126</c:v>
                </c:pt>
                <c:pt idx="148">
                  <c:v>15.2749788115508</c:v>
                </c:pt>
                <c:pt idx="149">
                  <c:v>15.2997459021565</c:v>
                </c:pt>
                <c:pt idx="150">
                  <c:v>15.3242629954968</c:v>
                </c:pt>
                <c:pt idx="151">
                  <c:v>15.3485338830984</c:v>
                </c:pt>
                <c:pt idx="152">
                  <c:v>15.3725622794805</c:v>
                </c:pt>
                <c:pt idx="153">
                  <c:v>15.3963518241244</c:v>
                </c:pt>
                <c:pt idx="154">
                  <c:v>15.4199060833816</c:v>
                </c:pt>
                <c:pt idx="155">
                  <c:v>15.4432285523234</c:v>
                </c:pt>
                <c:pt idx="156">
                  <c:v>15.4663226565338</c:v>
                </c:pt>
                <c:pt idx="157">
                  <c:v>15.4891917538477</c:v>
                </c:pt>
                <c:pt idx="158">
                  <c:v>15.5118391360361</c:v>
                </c:pt>
                <c:pt idx="159">
                  <c:v>15.5342680304416</c:v>
                </c:pt>
                <c:pt idx="160">
                  <c:v>15.5564816015635</c:v>
                </c:pt>
                <c:pt idx="161">
                  <c:v>15.5784829525967</c:v>
                </c:pt>
                <c:pt idx="162">
                  <c:v>15.6002751269245</c:v>
                </c:pt>
                <c:pt idx="163">
                  <c:v>15.6218611095678</c:v>
                </c:pt>
                <c:pt idx="164">
                  <c:v>15.6432438285912</c:v>
                </c:pt>
                <c:pt idx="165">
                  <c:v>15.6644261564692</c:v>
                </c:pt>
                <c:pt idx="166">
                  <c:v>15.6854109114113</c:v>
                </c:pt>
                <c:pt idx="167">
                  <c:v>15.7062008586504</c:v>
                </c:pt>
                <c:pt idx="168">
                  <c:v>15.7267987116932</c:v>
                </c:pt>
                <c:pt idx="169">
                  <c:v>15.7472071335352</c:v>
                </c:pt>
                <c:pt idx="170">
                  <c:v>15.7674287378416</c:v>
                </c:pt>
                <c:pt idx="171">
                  <c:v>15.7874660900943</c:v>
                </c:pt>
                <c:pt idx="172">
                  <c:v>15.8073217087071</c:v>
                </c:pt>
                <c:pt idx="173">
                  <c:v>15.8269980661093</c:v>
                </c:pt>
                <c:pt idx="174">
                  <c:v>15.8464975897996</c:v>
                </c:pt>
                <c:pt idx="175">
                  <c:v>15.8658226633708</c:v>
                </c:pt>
                <c:pt idx="176">
                  <c:v>15.8849756275058</c:v>
                </c:pt>
                <c:pt idx="177">
                  <c:v>15.9039587809469</c:v>
                </c:pt>
                <c:pt idx="178">
                  <c:v>15.9227743814384</c:v>
                </c:pt>
                <c:pt idx="179">
                  <c:v>15.9414246466439</c:v>
                </c:pt>
                <c:pt idx="180">
                  <c:v>15.9599117550382</c:v>
                </c:pt>
                <c:pt idx="181">
                  <c:v>15.9782378467761</c:v>
                </c:pt>
                <c:pt idx="182">
                  <c:v>15.9964050245374</c:v>
                </c:pt>
                <c:pt idx="183">
                  <c:v>16.0144153543495</c:v>
                </c:pt>
                <c:pt idx="184">
                  <c:v>16.0322708663886</c:v>
                </c:pt>
                <c:pt idx="185">
                  <c:v>16.0499735557591</c:v>
                </c:pt>
                <c:pt idx="186">
                  <c:v>16.0675253832533</c:v>
                </c:pt>
                <c:pt idx="187">
                  <c:v>16.0849282760907</c:v>
                </c:pt>
                <c:pt idx="188">
                  <c:v>16.1021841286387</c:v>
                </c:pt>
                <c:pt idx="189">
                  <c:v>16.1192948031138</c:v>
                </c:pt>
                <c:pt idx="190">
                  <c:v>16.1362621302658</c:v>
                </c:pt>
                <c:pt idx="191">
                  <c:v>16.1530879100432</c:v>
                </c:pt>
                <c:pt idx="192">
                  <c:v>16.1697739122434</c:v>
                </c:pt>
                <c:pt idx="193">
                  <c:v>16.1863218771441</c:v>
                </c:pt>
                <c:pt idx="194">
                  <c:v>16.2027335161212</c:v>
                </c:pt>
                <c:pt idx="195">
                  <c:v>16.219010512249</c:v>
                </c:pt>
                <c:pt idx="196">
                  <c:v>16.2351545208869</c:v>
                </c:pt>
                <c:pt idx="197">
                  <c:v>16.2511671702506</c:v>
                </c:pt>
                <c:pt idx="198">
                  <c:v>16.2670500619695</c:v>
                </c:pt>
                <c:pt idx="199">
                  <c:v>16.2828047716302</c:v>
                </c:pt>
                <c:pt idx="200">
                  <c:v>16.2984328493067</c:v>
                </c:pt>
              </c:numCache>
            </c:numRef>
          </c:yVal>
          <c:smooth val="0"/>
        </c:ser>
        <c:axId val="65970016"/>
        <c:axId val="6117353"/>
      </c:scatterChart>
      <c:valAx>
        <c:axId val="65970016"/>
        <c:scaling>
          <c:orientation val="minMax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Input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 Voltage (V)</a:t>
                </a:r>
              </a:p>
            </c:rich>
          </c:tx>
          <c:layout>
            <c:manualLayout>
              <c:xMode val="edge"/>
              <c:yMode val="edge"/>
              <c:x val="0.470522369894358"/>
              <c:y val="0.93790532985464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9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117353"/>
        <c:crosses val="autoZero"/>
        <c:crossBetween val="midCat"/>
      </c:valAx>
      <c:valAx>
        <c:axId val="6117353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Temperature (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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0137773234019765"/>
              <c:y val="0.403727171077152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9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5970016"/>
        <c:crosses val="autoZero"/>
        <c:crossBetween val="midCat"/>
      </c:valAx>
      <c:spPr>
        <a:gradFill>
          <a:gsLst>
            <a:gs pos="0">
              <a:srgbClr val="9ab4e4"/>
            </a:gs>
            <a:gs pos="50000">
              <a:srgbClr val="c1d1ec"/>
            </a:gs>
            <a:gs pos="100000">
              <a:srgbClr val="e0e8f5"/>
            </a:gs>
          </a:gsLst>
          <a:lin ang="5400000"/>
        </a:gradFill>
        <a:ln w="12600">
          <a:solidFill>
            <a:srgbClr val="808080"/>
          </a:solidFill>
          <a:round/>
        </a:ln>
      </c:spPr>
    </c:plotArea>
    <c:legend>
      <c:legendPos val="t"/>
      <c:layout>
        <c:manualLayout>
          <c:xMode val="edge"/>
          <c:yMode val="edge"/>
          <c:x val="0.762353823419131"/>
          <c:y val="0.0363995920628265"/>
          <c:w val="0.198620613599771"/>
          <c:h val="0.0828284949229832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8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MOSFET &amp;</a:t>
            </a: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 Inductor</a:t>
            </a: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 Power Dissipation</a:t>
            </a:r>
          </a:p>
        </c:rich>
      </c:tx>
      <c:layout>
        <c:manualLayout>
          <c:xMode val="edge"/>
          <c:yMode val="edge"/>
          <c:x val="0.316402220366459"/>
          <c:y val="0.0355836635172204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990224492803"/>
          <c:y val="0.159250228588845"/>
          <c:w val="0.847079628628973"/>
          <c:h val="0.703596464492533"/>
        </c:manualLayout>
      </c:layout>
      <c:scatterChart>
        <c:scatterStyle val="line"/>
        <c:varyColors val="0"/>
        <c:ser>
          <c:idx val="0"/>
          <c:order val="0"/>
          <c:tx>
            <c:strRef>
              <c:f>"High-side MOSFET"</c:f>
              <c:strCache>
                <c:ptCount val="1"/>
                <c:pt idx="0">
                  <c:v>High-side MOSFET</c:v>
                </c:pt>
              </c:strCache>
            </c:strRef>
          </c:tx>
          <c:spPr>
            <a:solidFill>
              <a:srgbClr val="000080"/>
            </a:solidFill>
            <a:ln w="25560">
              <a:solidFill>
                <a:srgbClr val="00008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</c:v>
                </c:pt>
              </c:numCache>
            </c:numRef>
          </c:xVal>
          <c:yVal>
            <c:numRef>
              <c:f>'Efficiency vs VIN Calculations'!$AE$9:$AE$209</c:f>
              <c:numCache>
                <c:formatCode>0.000</c:formatCode>
                <c:ptCount val="201"/>
                <c:pt idx="0">
                  <c:v>1.27422439340447</c:v>
                </c:pt>
                <c:pt idx="1">
                  <c:v>1.16527471196895</c:v>
                </c:pt>
                <c:pt idx="2">
                  <c:v>1.07046289454157</c:v>
                </c:pt>
                <c:pt idx="3">
                  <c:v>0.987341639947782</c:v>
                </c:pt>
                <c:pt idx="4">
                  <c:v>0.913986877914852</c:v>
                </c:pt>
                <c:pt idx="5">
                  <c:v>0.848866122029648</c:v>
                </c:pt>
                <c:pt idx="6">
                  <c:v>0.790744550224392</c:v>
                </c:pt>
                <c:pt idx="7">
                  <c:v>0.738616790450052</c:v>
                </c:pt>
                <c:pt idx="8">
                  <c:v>0.69165657436735</c:v>
                </c:pt>
                <c:pt idx="9">
                  <c:v>0.649179036797074</c:v>
                </c:pt>
                <c:pt idx="10">
                  <c:v>0.610612111662053</c:v>
                </c:pt>
                <c:pt idx="11">
                  <c:v>0.575474568646342</c:v>
                </c:pt>
                <c:pt idx="12">
                  <c:v>0.543358963516539</c:v>
                </c:pt>
                <c:pt idx="13">
                  <c:v>0.513918269335915</c:v>
                </c:pt>
                <c:pt idx="14">
                  <c:v>0.486855296537594</c:v>
                </c:pt>
                <c:pt idx="15">
                  <c:v>0.461914248223263</c:v>
                </c:pt>
                <c:pt idx="16">
                  <c:v>0.43887392615302</c:v>
                </c:pt>
                <c:pt idx="17">
                  <c:v>0.41754222436346</c:v>
                </c:pt>
                <c:pt idx="18">
                  <c:v>0.397751635640319</c:v>
                </c:pt>
                <c:pt idx="19">
                  <c:v>0.379355560947942</c:v>
                </c:pt>
                <c:pt idx="20">
                  <c:v>0.362225260077618</c:v>
                </c:pt>
                <c:pt idx="21">
                  <c:v>0.346247317869405</c:v>
                </c:pt>
                <c:pt idx="22">
                  <c:v>0.331321527653502</c:v>
                </c:pt>
                <c:pt idx="23">
                  <c:v>0.308618453960575</c:v>
                </c:pt>
                <c:pt idx="24">
                  <c:v>0.297288035317577</c:v>
                </c:pt>
                <c:pt idx="25">
                  <c:v>0.286664660302664</c:v>
                </c:pt>
                <c:pt idx="26">
                  <c:v>0.276702803303363</c:v>
                </c:pt>
                <c:pt idx="27">
                  <c:v>0.26736255803781</c:v>
                </c:pt>
                <c:pt idx="28">
                  <c:v>0.262065518565025</c:v>
                </c:pt>
                <c:pt idx="29">
                  <c:v>0.258740363161012</c:v>
                </c:pt>
                <c:pt idx="30">
                  <c:v>0.255632752321466</c:v>
                </c:pt>
                <c:pt idx="31">
                  <c:v>0.252723668090288</c:v>
                </c:pt>
                <c:pt idx="32">
                  <c:v>0.249996174906966</c:v>
                </c:pt>
                <c:pt idx="33">
                  <c:v>0.247435156516342</c:v>
                </c:pt>
                <c:pt idx="34">
                  <c:v>0.245027090089038</c:v>
                </c:pt>
                <c:pt idx="35">
                  <c:v>0.24275985174946</c:v>
                </c:pt>
                <c:pt idx="36">
                  <c:v>0.240622548696288</c:v>
                </c:pt>
                <c:pt idx="37">
                  <c:v>0.27162144709171</c:v>
                </c:pt>
                <c:pt idx="38">
                  <c:v>0.270212610584898</c:v>
                </c:pt>
                <c:pt idx="39">
                  <c:v>0.268895881599307</c:v>
                </c:pt>
                <c:pt idx="40">
                  <c:v>0.267666302333703</c:v>
                </c:pt>
                <c:pt idx="41">
                  <c:v>0.266519281812081</c:v>
                </c:pt>
                <c:pt idx="42">
                  <c:v>0.265450561951689</c:v>
                </c:pt>
                <c:pt idx="43">
                  <c:v>0.264456187334206</c:v>
                </c:pt>
                <c:pt idx="44">
                  <c:v>0.263532478220092</c:v>
                </c:pt>
                <c:pt idx="45">
                  <c:v>0.262676006409663</c:v>
                </c:pt>
                <c:pt idx="46">
                  <c:v>0.261883573608372</c:v>
                </c:pt>
                <c:pt idx="47">
                  <c:v>0.26115219199969</c:v>
                </c:pt>
                <c:pt idx="48">
                  <c:v>0.260479066768123</c:v>
                </c:pt>
                <c:pt idx="49">
                  <c:v>0.259861580348407</c:v>
                </c:pt>
                <c:pt idx="50">
                  <c:v>0.259297278205625</c:v>
                </c:pt>
                <c:pt idx="51">
                  <c:v>0.258783855975649</c:v>
                </c:pt>
                <c:pt idx="52">
                  <c:v>0.258319147816601</c:v>
                </c:pt>
                <c:pt idx="53">
                  <c:v>0.257901115840301</c:v>
                </c:pt>
                <c:pt idx="54">
                  <c:v>0.257527840508603</c:v>
                </c:pt>
                <c:pt idx="55">
                  <c:v>0.257197511893216</c:v>
                </c:pt>
                <c:pt idx="56">
                  <c:v>0.256908421709581</c:v>
                </c:pt>
                <c:pt idx="57">
                  <c:v>0.256658956045768</c:v>
                </c:pt>
                <c:pt idx="58">
                  <c:v>0.25644758871639</c:v>
                </c:pt>
                <c:pt idx="59">
                  <c:v>0.256272875179497</c:v>
                </c:pt>
                <c:pt idx="60">
                  <c:v>0.2561334469613</c:v>
                </c:pt>
                <c:pt idx="61">
                  <c:v>0.256028006539669</c:v>
                </c:pt>
                <c:pt idx="62">
                  <c:v>0.255955322642691</c:v>
                </c:pt>
                <c:pt idx="63">
                  <c:v>0.255914225923254</c:v>
                </c:pt>
                <c:pt idx="64">
                  <c:v>0.255903604974774</c:v>
                </c:pt>
                <c:pt idx="65">
                  <c:v>0.25592240265682</c:v>
                </c:pt>
                <c:pt idx="66">
                  <c:v>0.255969612702649</c:v>
                </c:pt>
                <c:pt idx="67">
                  <c:v>0.256044276583482</c:v>
                </c:pt>
                <c:pt idx="68">
                  <c:v>0.256145480606925</c:v>
                </c:pt>
                <c:pt idx="69">
                  <c:v>0.256272353229174</c:v>
                </c:pt>
                <c:pt idx="70">
                  <c:v>0.25642406256265</c:v>
                </c:pt>
                <c:pt idx="71">
                  <c:v>0.256599814062494</c:v>
                </c:pt>
                <c:pt idx="72">
                  <c:v>0.256798848376943</c:v>
                </c:pt>
                <c:pt idx="73">
                  <c:v>0.257020439348047</c:v>
                </c:pt>
                <c:pt idx="74">
                  <c:v>0.257263892150422</c:v>
                </c:pt>
                <c:pt idx="75">
                  <c:v>0.257528541556918</c:v>
                </c:pt>
                <c:pt idx="76">
                  <c:v>0.257813750321064</c:v>
                </c:pt>
                <c:pt idx="77">
                  <c:v>0.258118907667108</c:v>
                </c:pt>
                <c:pt idx="78">
                  <c:v>0.258443427879245</c:v>
                </c:pt>
                <c:pt idx="79">
                  <c:v>0.258786748982431</c:v>
                </c:pt>
                <c:pt idx="80">
                  <c:v>0.259148331507785</c:v>
                </c:pt>
                <c:pt idx="81">
                  <c:v>0.259527657336237</c:v>
                </c:pt>
                <c:pt idx="82">
                  <c:v>0.259924228614604</c:v>
                </c:pt>
                <c:pt idx="83">
                  <c:v>0.260337566738756</c:v>
                </c:pt>
                <c:pt idx="84">
                  <c:v>0.260767211399005</c:v>
                </c:pt>
                <c:pt idx="85">
                  <c:v>0.261212719683254</c:v>
                </c:pt>
                <c:pt idx="86">
                  <c:v>0.261673665233774</c:v>
                </c:pt>
                <c:pt idx="87">
                  <c:v>0.262149637453865</c:v>
                </c:pt>
                <c:pt idx="88">
                  <c:v>0.262640240760912</c:v>
                </c:pt>
                <c:pt idx="89">
                  <c:v>0.263145093882656</c:v>
                </c:pt>
                <c:pt idx="90">
                  <c:v>0.263663829193733</c:v>
                </c:pt>
                <c:pt idx="91">
                  <c:v>0.264196092089767</c:v>
                </c:pt>
                <c:pt idx="92">
                  <c:v>0.264741540396516</c:v>
                </c:pt>
                <c:pt idx="93">
                  <c:v>0.265299843811758</c:v>
                </c:pt>
                <c:pt idx="94">
                  <c:v>0.265870683377787</c:v>
                </c:pt>
                <c:pt idx="95">
                  <c:v>0.266453750982526</c:v>
                </c:pt>
                <c:pt idx="96">
                  <c:v>0.267048748887438</c:v>
                </c:pt>
                <c:pt idx="97">
                  <c:v>0.267655389280539</c:v>
                </c:pt>
                <c:pt idx="98">
                  <c:v>0.268273393852929</c:v>
                </c:pt>
                <c:pt idx="99">
                  <c:v>0.268902493397394</c:v>
                </c:pt>
                <c:pt idx="100">
                  <c:v>0.269542427427715</c:v>
                </c:pt>
                <c:pt idx="101">
                  <c:v>0.270192943817419</c:v>
                </c:pt>
                <c:pt idx="102">
                  <c:v>0.270853798456816</c:v>
                </c:pt>
                <c:pt idx="103">
                  <c:v>0.271524754927211</c:v>
                </c:pt>
                <c:pt idx="104">
                  <c:v>0.272205584191291</c:v>
                </c:pt>
                <c:pt idx="105">
                  <c:v>0.272896064298726</c:v>
                </c:pt>
                <c:pt idx="106">
                  <c:v>0.273595980106118</c:v>
                </c:pt>
                <c:pt idx="107">
                  <c:v>0.274305123010453</c:v>
                </c:pt>
                <c:pt idx="108">
                  <c:v>0.2750232906953</c:v>
                </c:pt>
                <c:pt idx="109">
                  <c:v>0.275750286889035</c:v>
                </c:pt>
                <c:pt idx="110">
                  <c:v>0.276485921134417</c:v>
                </c:pt>
                <c:pt idx="111">
                  <c:v>0.277230008568879</c:v>
                </c:pt>
                <c:pt idx="112">
                  <c:v>0.277982369714961</c:v>
                </c:pt>
                <c:pt idx="113">
                  <c:v>0.278742830280315</c:v>
                </c:pt>
                <c:pt idx="114">
                  <c:v>0.279511220966781</c:v>
                </c:pt>
                <c:pt idx="115">
                  <c:v>0.280287377288029</c:v>
                </c:pt>
                <c:pt idx="116">
                  <c:v>0.281071139395341</c:v>
                </c:pt>
                <c:pt idx="117">
                  <c:v>0.281862351911069</c:v>
                </c:pt>
                <c:pt idx="118">
                  <c:v>0.282660863769405</c:v>
                </c:pt>
                <c:pt idx="119">
                  <c:v>0.28346652806405</c:v>
                </c:pt>
                <c:pt idx="120">
                  <c:v>0.284279201902462</c:v>
                </c:pt>
                <c:pt idx="121">
                  <c:v>0.285098746266314</c:v>
                </c:pt>
                <c:pt idx="122">
                  <c:v>0.285925025877882</c:v>
                </c:pt>
                <c:pt idx="123">
                  <c:v>0.286757909072034</c:v>
                </c:pt>
                <c:pt idx="124">
                  <c:v>0.287597267673574</c:v>
                </c:pt>
                <c:pt idx="125">
                  <c:v>0.288442976879646</c:v>
                </c:pt>
                <c:pt idx="126">
                  <c:v>0.289294915146975</c:v>
                </c:pt>
                <c:pt idx="127">
                  <c:v>0.290152964083697</c:v>
                </c:pt>
                <c:pt idx="128">
                  <c:v>0.291017008345564</c:v>
                </c:pt>
                <c:pt idx="129">
                  <c:v>0.291886935536309</c:v>
                </c:pt>
                <c:pt idx="130">
                  <c:v>0.292762636111981</c:v>
                </c:pt>
                <c:pt idx="131">
                  <c:v>0.293644003289057</c:v>
                </c:pt>
                <c:pt idx="132">
                  <c:v>0.294530932956155</c:v>
                </c:pt>
                <c:pt idx="133">
                  <c:v>0.295423323589195</c:v>
                </c:pt>
                <c:pt idx="134">
                  <c:v>0.296321076169823</c:v>
                </c:pt>
                <c:pt idx="135">
                  <c:v>0.297224094106973</c:v>
                </c:pt>
                <c:pt idx="136">
                  <c:v>0.298132283161419</c:v>
                </c:pt>
                <c:pt idx="137">
                  <c:v>0.29904555137317</c:v>
                </c:pt>
                <c:pt idx="138">
                  <c:v>0.299963808991602</c:v>
                </c:pt>
                <c:pt idx="139">
                  <c:v>0.300886968408184</c:v>
                </c:pt>
                <c:pt idx="140">
                  <c:v>0.301814944091706</c:v>
                </c:pt>
                <c:pt idx="141">
                  <c:v>0.302747652525877</c:v>
                </c:pt>
                <c:pt idx="142">
                  <c:v>0.303685012149207</c:v>
                </c:pt>
                <c:pt idx="143">
                  <c:v>0.304626943297072</c:v>
                </c:pt>
                <c:pt idx="144">
                  <c:v>0.305573368145858</c:v>
                </c:pt>
                <c:pt idx="145">
                  <c:v>0.30652421065911</c:v>
                </c:pt>
                <c:pt idx="146">
                  <c:v>0.307479396535589</c:v>
                </c:pt>
                <c:pt idx="147">
                  <c:v>0.308438853159168</c:v>
                </c:pt>
                <c:pt idx="148">
                  <c:v>0.309402509550482</c:v>
                </c:pt>
                <c:pt idx="149">
                  <c:v>0.310370296320264</c:v>
                </c:pt>
                <c:pt idx="150">
                  <c:v>0.311342145624291</c:v>
                </c:pt>
                <c:pt idx="151">
                  <c:v>0.312317991119891</c:v>
                </c:pt>
                <c:pt idx="152">
                  <c:v>0.313297767923923</c:v>
                </c:pt>
                <c:pt idx="153">
                  <c:v>0.314281412572192</c:v>
                </c:pt>
                <c:pt idx="154">
                  <c:v>0.315268862980234</c:v>
                </c:pt>
                <c:pt idx="155">
                  <c:v>0.316260058405411</c:v>
                </c:pt>
                <c:pt idx="156">
                  <c:v>0.317254939410271</c:v>
                </c:pt>
                <c:pt idx="157">
                  <c:v>0.318253447827125</c:v>
                </c:pt>
                <c:pt idx="158">
                  <c:v>0.319255526723785</c:v>
                </c:pt>
                <c:pt idx="159">
                  <c:v>0.320261120370426</c:v>
                </c:pt>
                <c:pt idx="160">
                  <c:v>0.321270174207524</c:v>
                </c:pt>
                <c:pt idx="161">
                  <c:v>0.322282634814835</c:v>
                </c:pt>
                <c:pt idx="162">
                  <c:v>0.323298449881361</c:v>
                </c:pt>
                <c:pt idx="163">
                  <c:v>0.324317568176287</c:v>
                </c:pt>
                <c:pt idx="164">
                  <c:v>0.325339939520833</c:v>
                </c:pt>
                <c:pt idx="165">
                  <c:v>0.326365514760998</c:v>
                </c:pt>
                <c:pt idx="166">
                  <c:v>0.327394245741156</c:v>
                </c:pt>
                <c:pt idx="167">
                  <c:v>0.328426085278483</c:v>
                </c:pt>
                <c:pt idx="168">
                  <c:v>0.329460987138172</c:v>
                </c:pt>
                <c:pt idx="169">
                  <c:v>0.330498906009412</c:v>
                </c:pt>
                <c:pt idx="170">
                  <c:v>0.331539797482107</c:v>
                </c:pt>
                <c:pt idx="171">
                  <c:v>0.332583618024305</c:v>
                </c:pt>
                <c:pt idx="172">
                  <c:v>0.33363032496031</c:v>
                </c:pt>
                <c:pt idx="173">
                  <c:v>0.334679876449457</c:v>
                </c:pt>
                <c:pt idx="174">
                  <c:v>0.335732231465519</c:v>
                </c:pt>
                <c:pt idx="175">
                  <c:v>0.336787349776736</c:v>
                </c:pt>
                <c:pt idx="176">
                  <c:v>0.337845191926429</c:v>
                </c:pt>
                <c:pt idx="177">
                  <c:v>0.338905719214191</c:v>
                </c:pt>
                <c:pt idx="178">
                  <c:v>0.33996889367763</c:v>
                </c:pt>
                <c:pt idx="179">
                  <c:v>0.341034678074641</c:v>
                </c:pt>
                <c:pt idx="180">
                  <c:v>0.3421030358662</c:v>
                </c:pt>
                <c:pt idx="181">
                  <c:v>0.343173931199649</c:v>
                </c:pt>
                <c:pt idx="182">
                  <c:v>0.344247328892466</c:v>
                </c:pt>
                <c:pt idx="183">
                  <c:v>0.345323194416493</c:v>
                </c:pt>
                <c:pt idx="184">
                  <c:v>0.34640149388262</c:v>
                </c:pt>
                <c:pt idx="185">
                  <c:v>0.3474821940259</c:v>
                </c:pt>
                <c:pt idx="186">
                  <c:v>0.348565262191079</c:v>
                </c:pt>
                <c:pt idx="187">
                  <c:v>0.349650666318535</c:v>
                </c:pt>
                <c:pt idx="188">
                  <c:v>0.350738374930612</c:v>
                </c:pt>
                <c:pt idx="189">
                  <c:v>0.351828357118327</c:v>
                </c:pt>
                <c:pt idx="190">
                  <c:v>0.352920582528445</c:v>
                </c:pt>
                <c:pt idx="191">
                  <c:v>0.354015021350914</c:v>
                </c:pt>
                <c:pt idx="192">
                  <c:v>0.355111644306637</c:v>
                </c:pt>
                <c:pt idx="193">
                  <c:v>0.35621042263558</c:v>
                </c:pt>
                <c:pt idx="194">
                  <c:v>0.357311328085199</c:v>
                </c:pt>
                <c:pt idx="195">
                  <c:v>0.358414332899184</c:v>
                </c:pt>
                <c:pt idx="196">
                  <c:v>0.359519409806497</c:v>
                </c:pt>
                <c:pt idx="197">
                  <c:v>0.36062653201071</c:v>
                </c:pt>
                <c:pt idx="198">
                  <c:v>0.36173567317962</c:v>
                </c:pt>
                <c:pt idx="199">
                  <c:v>0.36284680743514</c:v>
                </c:pt>
                <c:pt idx="200">
                  <c:v>0.363959909343459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"Low-side MOSFET"</c:f>
              <c:strCache>
                <c:ptCount val="1"/>
                <c:pt idx="0">
                  <c:v>Low-side MOSFET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</c:v>
                </c:pt>
              </c:numCache>
            </c:numRef>
          </c:xVal>
          <c:yVal>
            <c:numRef>
              <c:f>'Efficiency vs VIN Calculations'!$AI$9:$AI$209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0.0841950377345391</c:v>
                </c:pt>
                <c:pt idx="24">
                  <c:v>0.0837075820055096</c:v>
                </c:pt>
                <c:pt idx="25">
                  <c:v>0.0832487321042594</c:v>
                </c:pt>
                <c:pt idx="26">
                  <c:v>0.0828168519119497</c:v>
                </c:pt>
                <c:pt idx="27">
                  <c:v>0.0824105038494068</c:v>
                </c:pt>
                <c:pt idx="28">
                  <c:v>0.08517313440697</c:v>
                </c:pt>
                <c:pt idx="29">
                  <c:v>0.0890243277070506</c:v>
                </c:pt>
                <c:pt idx="30">
                  <c:v>0.0927559190301861</c:v>
                </c:pt>
                <c:pt idx="31">
                  <c:v>0.096376784180952</c:v>
                </c:pt>
                <c:pt idx="32">
                  <c:v>0.0998948113872188</c:v>
                </c:pt>
                <c:pt idx="33">
                  <c:v>0.103317030428489</c:v>
                </c:pt>
                <c:pt idx="34">
                  <c:v>0.10664972322647</c:v>
                </c:pt>
                <c:pt idx="35">
                  <c:v>0.109898518762976</c:v>
                </c:pt>
                <c:pt idx="36">
                  <c:v>0.113068474717767</c:v>
                </c:pt>
                <c:pt idx="37">
                  <c:v>0.175338219828377</c:v>
                </c:pt>
                <c:pt idx="38">
                  <c:v>0.178156565071309</c:v>
                </c:pt>
                <c:pt idx="39">
                  <c:v>0.180898748708718</c:v>
                </c:pt>
                <c:pt idx="40">
                  <c:v>0.183568223347311</c:v>
                </c:pt>
                <c:pt idx="41">
                  <c:v>0.186168212602701</c:v>
                </c:pt>
                <c:pt idx="42">
                  <c:v>0.188701731052975</c:v>
                </c:pt>
                <c:pt idx="43">
                  <c:v>0.191171602082831</c:v>
                </c:pt>
                <c:pt idx="44">
                  <c:v>0.193580473875123</c:v>
                </c:pt>
                <c:pt idx="45">
                  <c:v>0.195930833771779</c:v>
                </c:pt>
                <c:pt idx="46">
                  <c:v>0.198225021196372</c:v>
                </c:pt>
                <c:pt idx="47">
                  <c:v>0.200465239305232</c:v>
                </c:pt>
                <c:pt idx="48">
                  <c:v>0.202653565512352</c:v>
                </c:pt>
                <c:pt idx="49">
                  <c:v>0.204791961014666</c:v>
                </c:pt>
                <c:pt idx="50">
                  <c:v>0.20688227942836</c:v>
                </c:pt>
                <c:pt idx="51">
                  <c:v>0.20892627463305</c:v>
                </c:pt>
                <c:pt idx="52">
                  <c:v>0.210925607908818</c:v>
                </c:pt>
                <c:pt idx="53">
                  <c:v>0.212881854440771</c:v>
                </c:pt>
                <c:pt idx="54">
                  <c:v>0.214796509256925</c:v>
                </c:pt>
                <c:pt idx="55">
                  <c:v>0.216670992657446</c:v>
                </c:pt>
                <c:pt idx="56">
                  <c:v>0.218506655186542</c:v>
                </c:pt>
                <c:pt idx="57">
                  <c:v>0.220304782192472</c:v>
                </c:pt>
                <c:pt idx="58">
                  <c:v>0.222066598015944</c:v>
                </c:pt>
                <c:pt idx="59">
                  <c:v>0.22379326984276</c:v>
                </c:pt>
                <c:pt idx="60">
                  <c:v>0.22548591125257</c:v>
                </c:pt>
                <c:pt idx="61">
                  <c:v>0.227145585492188</c:v>
                </c:pt>
                <c:pt idx="62">
                  <c:v>0.228773308498855</c:v>
                </c:pt>
                <c:pt idx="63">
                  <c:v>0.230370051696178</c:v>
                </c:pt>
                <c:pt idx="64">
                  <c:v>0.231936744583095</c:v>
                </c:pt>
                <c:pt idx="65">
                  <c:v>0.233474277134136</c:v>
                </c:pt>
                <c:pt idx="66">
                  <c:v>0.234983502027393</c:v>
                </c:pt>
                <c:pt idx="67">
                  <c:v>0.236465236714979</c:v>
                </c:pt>
                <c:pt idx="68">
                  <c:v>0.237920265349291</c:v>
                </c:pt>
                <c:pt idx="69">
                  <c:v>0.239349340577105</c:v>
                </c:pt>
                <c:pt idx="70">
                  <c:v>0.240753185212353</c:v>
                </c:pt>
                <c:pt idx="71">
                  <c:v>0.242132493797436</c:v>
                </c:pt>
                <c:pt idx="72">
                  <c:v>0.24348793406198</c:v>
                </c:pt>
                <c:pt idx="73">
                  <c:v>0.244820148287111</c:v>
                </c:pt>
                <c:pt idx="74">
                  <c:v>0.246129754582624</c:v>
                </c:pt>
                <c:pt idx="75">
                  <c:v>0.247417348083721</c:v>
                </c:pt>
                <c:pt idx="76">
                  <c:v>0.248683502073402</c:v>
                </c:pt>
                <c:pt idx="77">
                  <c:v>0.249928769036088</c:v>
                </c:pt>
                <c:pt idx="78">
                  <c:v>0.251153681647532</c:v>
                </c:pt>
                <c:pt idx="79">
                  <c:v>0.252358753705669</c:v>
                </c:pt>
                <c:pt idx="80">
                  <c:v>0.253544481006639</c:v>
                </c:pt>
                <c:pt idx="81">
                  <c:v>0.254711342169892</c:v>
                </c:pt>
                <c:pt idx="82">
                  <c:v>0.255859799415924</c:v>
                </c:pt>
                <c:pt idx="83">
                  <c:v>0.256990299299937</c:v>
                </c:pt>
                <c:pt idx="84">
                  <c:v>0.258103273404434</c:v>
                </c:pt>
                <c:pt idx="85">
                  <c:v>0.259199138993505</c:v>
                </c:pt>
                <c:pt idx="86">
                  <c:v>0.26027829963139</c:v>
                </c:pt>
                <c:pt idx="87">
                  <c:v>0.261341145767641</c:v>
                </c:pt>
                <c:pt idx="88">
                  <c:v>0.262388055291075</c:v>
                </c:pt>
                <c:pt idx="89">
                  <c:v>0.263419394054531</c:v>
                </c:pt>
                <c:pt idx="90">
                  <c:v>0.26443551637227</c:v>
                </c:pt>
                <c:pt idx="91">
                  <c:v>0.265436765491749</c:v>
                </c:pt>
                <c:pt idx="92">
                  <c:v>0.266423474041365</c:v>
                </c:pt>
                <c:pt idx="93">
                  <c:v>0.267395964455635</c:v>
                </c:pt>
                <c:pt idx="94">
                  <c:v>0.268354549379189</c:v>
                </c:pt>
                <c:pt idx="95">
                  <c:v>0.269299532050845</c:v>
                </c:pt>
                <c:pt idx="96">
                  <c:v>0.270231206668958</c:v>
                </c:pt>
                <c:pt idx="97">
                  <c:v>0.271149858739131</c:v>
                </c:pt>
                <c:pt idx="98">
                  <c:v>0.272055765405325</c:v>
                </c:pt>
                <c:pt idx="99">
                  <c:v>0.272949195765313</c:v>
                </c:pt>
                <c:pt idx="100">
                  <c:v>0.273830411171376</c:v>
                </c:pt>
                <c:pt idx="101">
                  <c:v>0.274699665517072</c:v>
                </c:pt>
                <c:pt idx="102">
                  <c:v>0.27555720551085</c:v>
                </c:pt>
                <c:pt idx="103">
                  <c:v>0.276403270937237</c:v>
                </c:pt>
                <c:pt idx="104">
                  <c:v>0.277238094906277</c:v>
                </c:pt>
                <c:pt idx="105">
                  <c:v>0.278061904091863</c:v>
                </c:pt>
                <c:pt idx="106">
                  <c:v>0.27887491895954</c:v>
                </c:pt>
                <c:pt idx="107">
                  <c:v>0.279677353984358</c:v>
                </c:pt>
                <c:pt idx="108">
                  <c:v>0.280469417859284</c:v>
                </c:pt>
                <c:pt idx="109">
                  <c:v>0.281251313694668</c:v>
                </c:pt>
                <c:pt idx="110">
                  <c:v>0.282023239209222</c:v>
                </c:pt>
                <c:pt idx="111">
                  <c:v>0.28278538691295</c:v>
                </c:pt>
                <c:pt idx="112">
                  <c:v>0.28353794428243</c:v>
                </c:pt>
                <c:pt idx="113">
                  <c:v>0.284281093928833</c:v>
                </c:pt>
                <c:pt idx="114">
                  <c:v>0.285015013759048</c:v>
                </c:pt>
                <c:pt idx="115">
                  <c:v>0.285739877130233</c:v>
                </c:pt>
                <c:pt idx="116">
                  <c:v>0.286455852998131</c:v>
                </c:pt>
                <c:pt idx="117">
                  <c:v>0.287163106059447</c:v>
                </c:pt>
                <c:pt idx="118">
                  <c:v>0.287861796888567</c:v>
                </c:pt>
                <c:pt idx="119">
                  <c:v>0.288552082068888</c:v>
                </c:pt>
                <c:pt idx="120">
                  <c:v>0.289234114319018</c:v>
                </c:pt>
                <c:pt idx="121">
                  <c:v>0.289908042614079</c:v>
                </c:pt>
                <c:pt idx="122">
                  <c:v>0.290574012302351</c:v>
                </c:pt>
                <c:pt idx="123">
                  <c:v>0.291232165217453</c:v>
                </c:pt>
                <c:pt idx="124">
                  <c:v>0.291882639786283</c:v>
                </c:pt>
                <c:pt idx="125">
                  <c:v>0.292525571132893</c:v>
                </c:pt>
                <c:pt idx="126">
                  <c:v>0.293161091178498</c:v>
                </c:pt>
                <c:pt idx="127">
                  <c:v>0.293789328737773</c:v>
                </c:pt>
                <c:pt idx="128">
                  <c:v>0.294410409611614</c:v>
                </c:pt>
                <c:pt idx="129">
                  <c:v>0.295024456676515</c:v>
                </c:pt>
                <c:pt idx="130">
                  <c:v>0.295631589970708</c:v>
                </c:pt>
                <c:pt idx="131">
                  <c:v>0.296231926777198</c:v>
                </c:pt>
                <c:pt idx="132">
                  <c:v>0.296825581703846</c:v>
                </c:pt>
                <c:pt idx="133">
                  <c:v>0.297412666760597</c:v>
                </c:pt>
                <c:pt idx="134">
                  <c:v>0.297993291434001</c:v>
                </c:pt>
                <c:pt idx="135">
                  <c:v>0.29856756275912</c:v>
                </c:pt>
                <c:pt idx="136">
                  <c:v>0.299135585388944</c:v>
                </c:pt>
                <c:pt idx="137">
                  <c:v>0.299697461661407</c:v>
                </c:pt>
                <c:pt idx="138">
                  <c:v>0.300253291664107</c:v>
                </c:pt>
                <c:pt idx="139">
                  <c:v>0.300803173296828</c:v>
                </c:pt>
                <c:pt idx="140">
                  <c:v>0.301347202331944</c:v>
                </c:pt>
                <c:pt idx="141">
                  <c:v>0.301885472472794</c:v>
                </c:pt>
                <c:pt idx="142">
                  <c:v>0.302418075410108</c:v>
                </c:pt>
                <c:pt idx="143">
                  <c:v>0.302945100876566</c:v>
                </c:pt>
                <c:pt idx="144">
                  <c:v>0.303466636699554</c:v>
                </c:pt>
                <c:pt idx="145">
                  <c:v>0.303982768852196</c:v>
                </c:pt>
                <c:pt idx="146">
                  <c:v>0.304493581502724</c:v>
                </c:pt>
                <c:pt idx="147">
                  <c:v>0.304999157062252</c:v>
                </c:pt>
                <c:pt idx="148">
                  <c:v>0.305499576231015</c:v>
                </c:pt>
                <c:pt idx="149">
                  <c:v>0.30599491804313</c:v>
                </c:pt>
                <c:pt idx="150">
                  <c:v>0.306485259909936</c:v>
                </c:pt>
                <c:pt idx="151">
                  <c:v>0.306970677661968</c:v>
                </c:pt>
                <c:pt idx="152">
                  <c:v>0.30745124558961</c:v>
                </c:pt>
                <c:pt idx="153">
                  <c:v>0.307927036482489</c:v>
                </c:pt>
                <c:pt idx="154">
                  <c:v>0.308398121667633</c:v>
                </c:pt>
                <c:pt idx="155">
                  <c:v>0.308864571046469</c:v>
                </c:pt>
                <c:pt idx="156">
                  <c:v>0.309326453130677</c:v>
                </c:pt>
                <c:pt idx="157">
                  <c:v>0.309783835076953</c:v>
                </c:pt>
                <c:pt idx="158">
                  <c:v>0.310236782720722</c:v>
                </c:pt>
                <c:pt idx="159">
                  <c:v>0.310685360608832</c:v>
                </c:pt>
                <c:pt idx="160">
                  <c:v>0.31112963203127</c:v>
                </c:pt>
                <c:pt idx="161">
                  <c:v>0.311569659051934</c:v>
                </c:pt>
                <c:pt idx="162">
                  <c:v>0.31200550253849</c:v>
                </c:pt>
                <c:pt idx="163">
                  <c:v>0.312437222191355</c:v>
                </c:pt>
                <c:pt idx="164">
                  <c:v>0.312864876571825</c:v>
                </c:pt>
                <c:pt idx="165">
                  <c:v>0.313288523129384</c:v>
                </c:pt>
                <c:pt idx="166">
                  <c:v>0.313708218228227</c:v>
                </c:pt>
                <c:pt idx="167">
                  <c:v>0.314124017173009</c:v>
                </c:pt>
                <c:pt idx="168">
                  <c:v>0.314535974233863</c:v>
                </c:pt>
                <c:pt idx="169">
                  <c:v>0.314944142670703</c:v>
                </c:pt>
                <c:pt idx="170">
                  <c:v>0.315348574756831</c:v>
                </c:pt>
                <c:pt idx="171">
                  <c:v>0.315749321801886</c:v>
                </c:pt>
                <c:pt idx="172">
                  <c:v>0.316146434174142</c:v>
                </c:pt>
                <c:pt idx="173">
                  <c:v>0.316539961322186</c:v>
                </c:pt>
                <c:pt idx="174">
                  <c:v>0.316929951795993</c:v>
                </c:pt>
                <c:pt idx="175">
                  <c:v>0.317316453267416</c:v>
                </c:pt>
                <c:pt idx="176">
                  <c:v>0.317699512550116</c:v>
                </c:pt>
                <c:pt idx="177">
                  <c:v>0.318079175618937</c:v>
                </c:pt>
                <c:pt idx="178">
                  <c:v>0.318455487628768</c:v>
                </c:pt>
                <c:pt idx="179">
                  <c:v>0.318828492932877</c:v>
                </c:pt>
                <c:pt idx="180">
                  <c:v>0.319198235100764</c:v>
                </c:pt>
                <c:pt idx="181">
                  <c:v>0.319564756935522</c:v>
                </c:pt>
                <c:pt idx="182">
                  <c:v>0.319928100490748</c:v>
                </c:pt>
                <c:pt idx="183">
                  <c:v>0.320288307086991</c:v>
                </c:pt>
                <c:pt idx="184">
                  <c:v>0.320645417327772</c:v>
                </c:pt>
                <c:pt idx="185">
                  <c:v>0.320999471115182</c:v>
                </c:pt>
                <c:pt idx="186">
                  <c:v>0.321350507665065</c:v>
                </c:pt>
                <c:pt idx="187">
                  <c:v>0.321698565521814</c:v>
                </c:pt>
                <c:pt idx="188">
                  <c:v>0.322043682572774</c:v>
                </c:pt>
                <c:pt idx="189">
                  <c:v>0.322385896062277</c:v>
                </c:pt>
                <c:pt idx="190">
                  <c:v>0.322725242605315</c:v>
                </c:pt>
                <c:pt idx="191">
                  <c:v>0.323061758200865</c:v>
                </c:pt>
                <c:pt idx="192">
                  <c:v>0.323395478244867</c:v>
                </c:pt>
                <c:pt idx="193">
                  <c:v>0.323726437542883</c:v>
                </c:pt>
                <c:pt idx="194">
                  <c:v>0.324054670322424</c:v>
                </c:pt>
                <c:pt idx="195">
                  <c:v>0.32438021024498</c:v>
                </c:pt>
                <c:pt idx="196">
                  <c:v>0.324703090417738</c:v>
                </c:pt>
                <c:pt idx="197">
                  <c:v>0.325023343405012</c:v>
                </c:pt>
                <c:pt idx="198">
                  <c:v>0.32534100123939</c:v>
                </c:pt>
                <c:pt idx="199">
                  <c:v>0.325656095432604</c:v>
                </c:pt>
                <c:pt idx="200">
                  <c:v>0.325968656986135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"Inductor Loss"</c:f>
              <c:strCache>
                <c:ptCount val="1"/>
                <c:pt idx="0">
                  <c:v>Inductor Loss</c:v>
                </c:pt>
              </c:strCache>
            </c:strRef>
          </c:tx>
          <c:spPr>
            <a:solidFill>
              <a:srgbClr val="ff6600"/>
            </a:solidFill>
            <a:ln w="31680">
              <a:solidFill>
                <a:srgbClr val="ff6600"/>
              </a:solidFill>
              <a:prstDash val="lg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16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</c:v>
                </c:pt>
              </c:numCache>
            </c:numRef>
          </c:xVal>
          <c:yVal>
            <c:numRef>
              <c:f>'Efficiency vs VIN Calculations'!$T$9:$T$209</c:f>
              <c:numCache>
                <c:formatCode>0.000</c:formatCode>
                <c:ptCount val="201"/>
                <c:pt idx="0">
                  <c:v>0.719724500647861</c:v>
                </c:pt>
                <c:pt idx="1">
                  <c:v>0.674344150087027</c:v>
                </c:pt>
                <c:pt idx="2">
                  <c:v>0.633192276707585</c:v>
                </c:pt>
                <c:pt idx="3">
                  <c:v>0.595604523986508</c:v>
                </c:pt>
                <c:pt idx="4">
                  <c:v>0.561037041799381</c:v>
                </c:pt>
                <c:pt idx="5">
                  <c:v>0.529043742325003</c:v>
                </c:pt>
                <c:pt idx="6">
                  <c:v>0.499258653474178</c:v>
                </c:pt>
                <c:pt idx="7">
                  <c:v>0.471382077922125</c:v>
                </c:pt>
                <c:pt idx="8">
                  <c:v>0.445169622051657</c:v>
                </c:pt>
                <c:pt idx="9">
                  <c:v>0.420423408457455</c:v>
                </c:pt>
                <c:pt idx="10">
                  <c:v>0.396984962398179</c:v>
                </c:pt>
                <c:pt idx="11">
                  <c:v>0.374729389251755</c:v>
                </c:pt>
                <c:pt idx="12">
                  <c:v>0.353560551660879</c:v>
                </c:pt>
                <c:pt idx="13">
                  <c:v>0.333407021791945</c:v>
                </c:pt>
                <c:pt idx="14">
                  <c:v>0.314218632867119</c:v>
                </c:pt>
                <c:pt idx="15">
                  <c:v>0.295963489554342</c:v>
                </c:pt>
                <c:pt idx="16">
                  <c:v>0.278625322043271</c:v>
                </c:pt>
                <c:pt idx="17">
                  <c:v>0.262201085647142</c:v>
                </c:pt>
                <c:pt idx="18">
                  <c:v>0.246698717485207</c:v>
                </c:pt>
                <c:pt idx="19">
                  <c:v>0.232134964063514</c:v>
                </c:pt>
                <c:pt idx="20">
                  <c:v>0.218533186709961</c:v>
                </c:pt>
                <c:pt idx="21">
                  <c:v>0.205921031478924</c:v>
                </c:pt>
                <c:pt idx="22">
                  <c:v>0.194327806357237</c:v>
                </c:pt>
                <c:pt idx="23">
                  <c:v>0.228623209047447</c:v>
                </c:pt>
                <c:pt idx="24">
                  <c:v>0.203160724875387</c:v>
                </c:pt>
                <c:pt idx="25">
                  <c:v>0.18078226191896</c:v>
                </c:pt>
                <c:pt idx="26">
                  <c:v>0.161752132678796</c:v>
                </c:pt>
                <c:pt idx="27">
                  <c:v>0.146274811867803</c:v>
                </c:pt>
                <c:pt idx="28">
                  <c:v>0.133836501044877</c:v>
                </c:pt>
                <c:pt idx="29">
                  <c:v>0.136056560706652</c:v>
                </c:pt>
                <c:pt idx="30">
                  <c:v>0.141222227136545</c:v>
                </c:pt>
                <c:pt idx="31">
                  <c:v>0.149505022057362</c:v>
                </c:pt>
                <c:pt idx="32">
                  <c:v>0.160901050915646</c:v>
                </c:pt>
                <c:pt idx="33">
                  <c:v>0.175324610109335</c:v>
                </c:pt>
                <c:pt idx="34">
                  <c:v>0.192646938334648</c:v>
                </c:pt>
                <c:pt idx="35">
                  <c:v>0.212716394775044</c:v>
                </c:pt>
                <c:pt idx="36">
                  <c:v>0.235370157112274</c:v>
                </c:pt>
                <c:pt idx="37">
                  <c:v>0.150741484184209</c:v>
                </c:pt>
                <c:pt idx="38">
                  <c:v>0.156985150816403</c:v>
                </c:pt>
                <c:pt idx="39">
                  <c:v>0.163706810917881</c:v>
                </c:pt>
                <c:pt idx="40">
                  <c:v>0.170870589279575</c:v>
                </c:pt>
                <c:pt idx="41">
                  <c:v>0.178442070144539</c:v>
                </c:pt>
                <c:pt idx="42">
                  <c:v>0.186388449954345</c:v>
                </c:pt>
                <c:pt idx="43">
                  <c:v>0.194678614674435</c:v>
                </c:pt>
                <c:pt idx="44">
                  <c:v>0.203283164926628</c:v>
                </c:pt>
                <c:pt idx="45">
                  <c:v>0.212174405053683</c:v>
                </c:pt>
                <c:pt idx="46">
                  <c:v>0.221326307481074</c:v>
                </c:pt>
                <c:pt idx="47">
                  <c:v>0.23071446047645</c:v>
                </c:pt>
                <c:pt idx="48">
                  <c:v>0.240316005124993</c:v>
                </c:pt>
                <c:pt idx="49">
                  <c:v>0.250109565718172</c:v>
                </c:pt>
                <c:pt idx="50">
                  <c:v>0.260075176587842</c:v>
                </c:pt>
                <c:pt idx="51">
                  <c:v>0.270194207570664</c:v>
                </c:pt>
                <c:pt idx="52">
                  <c:v>0.280449289667486</c:v>
                </c:pt>
                <c:pt idx="53">
                  <c:v>0.290824242005105</c:v>
                </c:pt>
                <c:pt idx="54">
                  <c:v>0.301304000869467</c:v>
                </c:pt>
                <c:pt idx="55">
                  <c:v>0.311874551328398</c:v>
                </c:pt>
                <c:pt idx="56">
                  <c:v>0.322522861775616</c:v>
                </c:pt>
                <c:pt idx="57">
                  <c:v>0.333236821589818</c:v>
                </c:pt>
                <c:pt idx="58">
                  <c:v>0.344005182000754</c:v>
                </c:pt>
                <c:pt idx="59">
                  <c:v>0.35481750017962</c:v>
                </c:pt>
                <c:pt idx="60">
                  <c:v>0.365664086517041</c:v>
                </c:pt>
                <c:pt idx="61">
                  <c:v>0.376535955013382</c:v>
                </c:pt>
                <c:pt idx="62">
                  <c:v>0.387424776679393</c:v>
                </c:pt>
                <c:pt idx="63">
                  <c:v>0.398322835827293</c:v>
                </c:pt>
                <c:pt idx="64">
                  <c:v>0.409222989121197</c:v>
                </c:pt>
                <c:pt idx="65">
                  <c:v>0.420118627249652</c:v>
                </c:pt>
                <c:pt idx="66">
                  <c:v>0.431003639080594</c:v>
                </c:pt>
                <c:pt idx="67">
                  <c:v>0.44187237815939</c:v>
                </c:pt>
                <c:pt idx="68">
                  <c:v>0.452719631412978</c:v>
                </c:pt>
                <c:pt idx="69">
                  <c:v>0.463540589926889</c:v>
                </c:pt>
                <c:pt idx="70">
                  <c:v>0.474330821666711</c:v>
                </c:pt>
                <c:pt idx="71">
                  <c:v>0.485086246021009</c:v>
                </c:pt>
                <c:pt idx="72">
                  <c:v>0.4958031100485</c:v>
                </c:pt>
                <c:pt idx="73">
                  <c:v>0.506477966318354</c:v>
                </c:pt>
                <c:pt idx="74">
                  <c:v>0.517107652238582</c:v>
                </c:pt>
                <c:pt idx="75">
                  <c:v>0.527689270773493</c:v>
                </c:pt>
                <c:pt idx="76">
                  <c:v>0.538220172457179</c:v>
                </c:pt>
                <c:pt idx="77">
                  <c:v>0.548697938615671</c:v>
                </c:pt>
                <c:pt idx="78">
                  <c:v>0.559120365715979</c:v>
                </c:pt>
                <c:pt idx="79">
                  <c:v>0.569485450765494</c:v>
                </c:pt>
                <c:pt idx="80">
                  <c:v>0.579791377690236</c:v>
                </c:pt>
                <c:pt idx="81">
                  <c:v>0.590036504625223</c:v>
                </c:pt>
                <c:pt idx="82">
                  <c:v>0.600219352054679</c:v>
                </c:pt>
                <c:pt idx="83">
                  <c:v>0.610338591744067</c:v>
                </c:pt>
                <c:pt idx="84">
                  <c:v>0.620393036409869</c:v>
                </c:pt>
                <c:pt idx="85">
                  <c:v>0.630381630076753</c:v>
                </c:pt>
                <c:pt idx="86">
                  <c:v>0.640303439075262</c:v>
                </c:pt>
                <c:pt idx="87">
                  <c:v>0.650157643636394</c:v>
                </c:pt>
                <c:pt idx="88">
                  <c:v>0.659943530042461</c:v>
                </c:pt>
                <c:pt idx="89">
                  <c:v>0.669660483296474</c:v>
                </c:pt>
                <c:pt idx="90">
                  <c:v>0.679307980274893</c:v>
                </c:pt>
                <c:pt idx="91">
                  <c:v>0.688885583331062</c:v>
                </c:pt>
                <c:pt idx="92">
                  <c:v>0.698392934318908</c:v>
                </c:pt>
                <c:pt idx="93">
                  <c:v>0.707829749008612</c:v>
                </c:pt>
                <c:pt idx="94">
                  <c:v>0.717195811867929</c:v>
                </c:pt>
                <c:pt idx="95">
                  <c:v>0.726490971184665</c:v>
                </c:pt>
                <c:pt idx="96">
                  <c:v>0.735715134507507</c:v>
                </c:pt>
                <c:pt idx="97">
                  <c:v>0.744868264384017</c:v>
                </c:pt>
                <c:pt idx="98">
                  <c:v>0.753950374376012</c:v>
                </c:pt>
                <c:pt idx="99">
                  <c:v>0.762961525333992</c:v>
                </c:pt>
                <c:pt idx="100">
                  <c:v>0.771901821913456</c:v>
                </c:pt>
                <c:pt idx="101">
                  <c:v>0.780771409317206</c:v>
                </c:pt>
                <c:pt idx="102">
                  <c:v>0.789570470248769</c:v>
                </c:pt>
                <c:pt idx="103">
                  <c:v>0.798299222063112</c:v>
                </c:pt>
                <c:pt idx="104">
                  <c:v>0.806957914101776</c:v>
                </c:pt>
                <c:pt idx="105">
                  <c:v>0.81554682520039</c:v>
                </c:pt>
                <c:pt idx="106">
                  <c:v>0.824066261357389</c:v>
                </c:pt>
                <c:pt idx="107">
                  <c:v>0.832516553553491</c:v>
                </c:pt>
                <c:pt idx="108">
                  <c:v>0.840898055712182</c:v>
                </c:pt>
                <c:pt idx="109">
                  <c:v>0.84921114279214</c:v>
                </c:pt>
                <c:pt idx="110">
                  <c:v>0.857456209003114</c:v>
                </c:pt>
                <c:pt idx="111">
                  <c:v>0.865633666137338</c:v>
                </c:pt>
                <c:pt idx="112">
                  <c:v>0.873743942009122</c:v>
                </c:pt>
                <c:pt idx="113">
                  <c:v>0.881787478995685</c:v>
                </c:pt>
                <c:pt idx="114">
                  <c:v>0.889764732672829</c:v>
                </c:pt>
                <c:pt idx="115">
                  <c:v>0.897676170539407</c:v>
                </c:pt>
                <c:pt idx="116">
                  <c:v>0.905522270824983</c:v>
                </c:pt>
                <c:pt idx="117">
                  <c:v>0.913303521375417</c:v>
                </c:pt>
                <c:pt idx="118">
                  <c:v>0.921020418611472</c:v>
                </c:pt>
                <c:pt idx="119">
                  <c:v>0.928673466555848</c:v>
                </c:pt>
                <c:pt idx="120">
                  <c:v>0.936263175924346</c:v>
                </c:pt>
                <c:pt idx="121">
                  <c:v>0.943790063277146</c:v>
                </c:pt>
                <c:pt idx="122">
                  <c:v>0.951254650226442</c:v>
                </c:pt>
                <c:pt idx="123">
                  <c:v>0.958657462696907</c:v>
                </c:pt>
                <c:pt idx="124">
                  <c:v>0.965999030235707</c:v>
                </c:pt>
                <c:pt idx="125">
                  <c:v>0.973279885368973</c:v>
                </c:pt>
                <c:pt idx="126">
                  <c:v>0.980500563001844</c:v>
                </c:pt>
                <c:pt idx="127">
                  <c:v>0.987661599859375</c:v>
                </c:pt>
                <c:pt idx="128">
                  <c:v>0.994763533965787</c:v>
                </c:pt>
                <c:pt idx="129">
                  <c:v>1.00180690415967</c:v>
                </c:pt>
                <c:pt idx="130">
                  <c:v>1.00879224964291</c:v>
                </c:pt>
                <c:pt idx="131">
                  <c:v>1.01572010956131</c:v>
                </c:pt>
                <c:pt idx="132">
                  <c:v>1.02259102261481</c:v>
                </c:pt>
                <c:pt idx="133">
                  <c:v>1.02940552669569</c:v>
                </c:pt>
                <c:pt idx="134">
                  <c:v>1.03616415855281</c:v>
                </c:pt>
                <c:pt idx="135">
                  <c:v>1.04286745348042</c:v>
                </c:pt>
                <c:pt idx="136">
                  <c:v>1.04951594502996</c:v>
                </c:pt>
                <c:pt idx="137">
                  <c:v>1.0561101647435</c:v>
                </c:pt>
                <c:pt idx="138">
                  <c:v>1.06265064190735</c:v>
                </c:pt>
                <c:pt idx="139">
                  <c:v>1.06913790332478</c:v>
                </c:pt>
                <c:pt idx="140">
                  <c:v>1.07557247310646</c:v>
                </c:pt>
                <c:pt idx="141">
                  <c:v>1.08195487247774</c:v>
                </c:pt>
                <c:pt idx="142">
                  <c:v>1.0882856196015</c:v>
                </c:pt>
                <c:pt idx="143">
                  <c:v>1.09456522941583</c:v>
                </c:pt>
                <c:pt idx="144">
                  <c:v>1.10079421348543</c:v>
                </c:pt>
                <c:pt idx="145">
                  <c:v>1.106973079866</c:v>
                </c:pt>
                <c:pt idx="146">
                  <c:v>1.11310233298075</c:v>
                </c:pt>
                <c:pt idx="147">
                  <c:v>1.11918247350828</c:v>
                </c:pt>
                <c:pt idx="148">
                  <c:v>1.12521399828114</c:v>
                </c:pt>
                <c:pt idx="149">
                  <c:v>1.13119740019437</c:v>
                </c:pt>
                <c:pt idx="150">
                  <c:v>1.13713316812344</c:v>
                </c:pt>
                <c:pt idx="151">
                  <c:v>1.14302178685088</c:v>
                </c:pt>
                <c:pt idx="152">
                  <c:v>1.14886373700123</c:v>
                </c:pt>
                <c:pt idx="153">
                  <c:v>1.15465949498362</c:v>
                </c:pt>
                <c:pt idx="154">
                  <c:v>1.16040953294154</c:v>
                </c:pt>
                <c:pt idx="155">
                  <c:v>1.16611431870941</c:v>
                </c:pt>
                <c:pt idx="156">
                  <c:v>1.17177431577537</c:v>
                </c:pt>
                <c:pt idx="157">
                  <c:v>1.17738998325004</c:v>
                </c:pt>
                <c:pt idx="158">
                  <c:v>1.18296177584069</c:v>
                </c:pt>
                <c:pt idx="159">
                  <c:v>1.18849014383069</c:v>
                </c:pt>
                <c:pt idx="160">
                  <c:v>1.19397553306363</c:v>
                </c:pt>
                <c:pt idx="161">
                  <c:v>1.199418384932</c:v>
                </c:pt>
                <c:pt idx="162">
                  <c:v>1.20481913637004</c:v>
                </c:pt>
                <c:pt idx="163">
                  <c:v>1.21017821985045</c:v>
                </c:pt>
                <c:pt idx="164">
                  <c:v>1.21549606338479</c:v>
                </c:pt>
                <c:pt idx="165">
                  <c:v>1.22077309052719</c:v>
                </c:pt>
                <c:pt idx="166">
                  <c:v>1.2260097203813</c:v>
                </c:pt>
                <c:pt idx="167">
                  <c:v>1.23120636761005</c:v>
                </c:pt>
                <c:pt idx="168">
                  <c:v>1.23636344244819</c:v>
                </c:pt>
                <c:pt idx="169">
                  <c:v>1.24148135071735</c:v>
                </c:pt>
                <c:pt idx="170">
                  <c:v>1.24656049384337</c:v>
                </c:pt>
                <c:pt idx="171">
                  <c:v>1.2516012688759</c:v>
                </c:pt>
                <c:pt idx="172">
                  <c:v>1.25660406850983</c:v>
                </c:pt>
                <c:pt idx="173">
                  <c:v>1.26156928110874</c:v>
                </c:pt>
                <c:pt idx="174">
                  <c:v>1.2664972907299</c:v>
                </c:pt>
                <c:pt idx="175">
                  <c:v>1.27138847715092</c:v>
                </c:pt>
                <c:pt idx="176">
                  <c:v>1.27624321589775</c:v>
                </c:pt>
                <c:pt idx="177">
                  <c:v>1.28106187827411</c:v>
                </c:pt>
                <c:pt idx="178">
                  <c:v>1.28584483139201</c:v>
                </c:pt>
                <c:pt idx="179">
                  <c:v>1.29059243820338</c:v>
                </c:pt>
                <c:pt idx="180">
                  <c:v>1.29530505753277</c:v>
                </c:pt>
                <c:pt idx="181">
                  <c:v>1.29998304411085</c:v>
                </c:pt>
                <c:pt idx="182">
                  <c:v>1.30462674860877</c:v>
                </c:pt>
                <c:pt idx="183">
                  <c:v>1.30923651767329</c:v>
                </c:pt>
                <c:pt idx="184">
                  <c:v>1.31381269396246</c:v>
                </c:pt>
                <c:pt idx="185">
                  <c:v>1.31835561618198</c:v>
                </c:pt>
                <c:pt idx="186">
                  <c:v>1.32286561912201</c:v>
                </c:pt>
                <c:pt idx="187">
                  <c:v>1.32734303369446</c:v>
                </c:pt>
                <c:pt idx="188">
                  <c:v>1.33178818697063</c:v>
                </c:pt>
                <c:pt idx="189">
                  <c:v>1.33620140221925</c:v>
                </c:pt>
                <c:pt idx="190">
                  <c:v>1.34058299894474</c:v>
                </c:pt>
                <c:pt idx="191">
                  <c:v>1.34493329292568</c:v>
                </c:pt>
                <c:pt idx="192">
                  <c:v>1.34925259625356</c:v>
                </c:pt>
                <c:pt idx="193">
                  <c:v>1.3535412173716</c:v>
                </c:pt>
                <c:pt idx="194">
                  <c:v>1.35779946111364</c:v>
                </c:pt>
                <c:pt idx="195">
                  <c:v>1.3620276287432</c:v>
                </c:pt>
                <c:pt idx="196">
                  <c:v>1.36622601799248</c:v>
                </c:pt>
                <c:pt idx="197">
                  <c:v>1.37039492310138</c:v>
                </c:pt>
                <c:pt idx="198">
                  <c:v>1.37453463485649</c:v>
                </c:pt>
                <c:pt idx="199">
                  <c:v>1.37864544063003</c:v>
                </c:pt>
                <c:pt idx="200">
                  <c:v>1.38272762441868</c:v>
                </c:pt>
              </c:numCache>
            </c:numRef>
          </c:yVal>
          <c:smooth val="0"/>
        </c:ser>
        <c:axId val="82161768"/>
        <c:axId val="24601016"/>
      </c:scatterChart>
      <c:valAx>
        <c:axId val="82161768"/>
        <c:scaling>
          <c:orientation val="minMax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Input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 Voltage (V)</a:t>
                </a:r>
              </a:p>
            </c:rich>
          </c:tx>
          <c:layout>
            <c:manualLayout>
              <c:xMode val="edge"/>
              <c:yMode val="edge"/>
              <c:x val="0.478950729478803"/>
              <c:y val="0.925327644010972"/>
            </c:manualLayout>
          </c:layout>
          <c:overlay val="0"/>
          <c:spPr>
            <a:noFill/>
            <a:ln w="2556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9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24601016"/>
        <c:crosses val="autoZero"/>
        <c:crossBetween val="midCat"/>
      </c:valAx>
      <c:valAx>
        <c:axId val="24601016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Power Disipation (W)</a:t>
                </a:r>
              </a:p>
            </c:rich>
          </c:tx>
          <c:layout>
            <c:manualLayout>
              <c:xMode val="edge"/>
              <c:yMode val="edge"/>
              <c:x val="0.0190597828756693"/>
              <c:y val="0.346007314843036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9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82161768"/>
        <c:crosses val="autoZero"/>
        <c:crossBetween val="midCat"/>
      </c:valAx>
      <c:spPr>
        <a:gradFill>
          <a:gsLst>
            <a:gs pos="0">
              <a:srgbClr val="9ab4e4"/>
            </a:gs>
            <a:gs pos="50000">
              <a:srgbClr val="c1d1ec"/>
            </a:gs>
            <a:gs pos="100000">
              <a:srgbClr val="e0e8f5"/>
            </a:gs>
          </a:gsLst>
          <a:lin ang="5400000"/>
        </a:gra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77115673503775"/>
          <c:y val="0.0100806451612903"/>
          <c:w val="0.203365542270179"/>
          <c:h val="0.129032469731606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2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 Overall Efficiency</a:t>
            </a:r>
          </a:p>
        </c:rich>
      </c:tx>
      <c:layout>
        <c:manualLayout>
          <c:xMode val="edge"/>
          <c:yMode val="edge"/>
          <c:x val="0.411836300015214"/>
          <c:y val="0.0303261200853398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721334753284"/>
          <c:y val="0.159250228588845"/>
          <c:w val="0.853795831431614"/>
          <c:h val="0.729807985370314"/>
        </c:manualLayout>
      </c:layout>
      <c:scatterChart>
        <c:scatterStyle val="line"/>
        <c:varyColors val="0"/>
        <c:ser>
          <c:idx val="0"/>
          <c:order val="0"/>
          <c:tx>
            <c:strRef>
              <c:f>"Efficiency"</c:f>
              <c:strCache>
                <c:ptCount val="1"/>
                <c:pt idx="0">
                  <c:v>Efficiency</c:v>
                </c:pt>
              </c:strCache>
            </c:strRef>
          </c:tx>
          <c:spPr>
            <a:solidFill>
              <a:srgbClr val="000080"/>
            </a:solidFill>
            <a:ln w="2556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</c:v>
                </c:pt>
              </c:numCache>
            </c:numRef>
          </c:xVal>
          <c:yVal>
            <c:numRef>
              <c:f>'Efficiency vs VIN Calculations'!$BD$9:$BD$209</c:f>
              <c:numCache>
                <c:formatCode>0.0%</c:formatCode>
                <c:ptCount val="201"/>
                <c:pt idx="0">
                  <c:v>0.944694125758836</c:v>
                </c:pt>
                <c:pt idx="1">
                  <c:v>0.948264652504134</c:v>
                </c:pt>
                <c:pt idx="2">
                  <c:v>0.951461947445739</c:v>
                </c:pt>
                <c:pt idx="3">
                  <c:v>0.954340078272344</c:v>
                </c:pt>
                <c:pt idx="4">
                  <c:v>0.956943443438051</c:v>
                </c:pt>
                <c:pt idx="5">
                  <c:v>0.959308803311732</c:v>
                </c:pt>
                <c:pt idx="6">
                  <c:v>0.961466810198205</c:v>
                </c:pt>
                <c:pt idx="7">
                  <c:v>0.963443178430287</c:v>
                </c:pt>
                <c:pt idx="8">
                  <c:v>0.965259591297748</c:v>
                </c:pt>
                <c:pt idx="9">
                  <c:v>0.966934412531103</c:v>
                </c:pt>
                <c:pt idx="10">
                  <c:v>0.96848325062076</c:v>
                </c:pt>
                <c:pt idx="11">
                  <c:v>0.969919410974076</c:v>
                </c:pt>
                <c:pt idx="12">
                  <c:v>0.971254261674466</c:v>
                </c:pt>
                <c:pt idx="13">
                  <c:v>0.972497532074049</c:v>
                </c:pt>
                <c:pt idx="14">
                  <c:v>0.973657558766409</c:v>
                </c:pt>
                <c:pt idx="15">
                  <c:v>0.97474149008685</c:v>
                </c:pt>
                <c:pt idx="16">
                  <c:v>0.975755457800214</c:v>
                </c:pt>
                <c:pt idx="17">
                  <c:v>0.976704722810304</c:v>
                </c:pt>
                <c:pt idx="18">
                  <c:v>0.977593800393497</c:v>
                </c:pt>
                <c:pt idx="19">
                  <c:v>0.978426569516889</c:v>
                </c:pt>
                <c:pt idx="20">
                  <c:v>0.979206370194876</c:v>
                </c:pt>
                <c:pt idx="21">
                  <c:v>0.97993609257176</c:v>
                </c:pt>
                <c:pt idx="22">
                  <c:v>0.980618261586836</c:v>
                </c:pt>
                <c:pt idx="23">
                  <c:v>0.981082325610557</c:v>
                </c:pt>
                <c:pt idx="24">
                  <c:v>0.981798202617741</c:v>
                </c:pt>
                <c:pt idx="25">
                  <c:v>0.982449128204231</c:v>
                </c:pt>
                <c:pt idx="26">
                  <c:v>0.983032947183486</c:v>
                </c:pt>
                <c:pt idx="27">
                  <c:v>0.98354816323252</c:v>
                </c:pt>
                <c:pt idx="28">
                  <c:v>0.983800654622689</c:v>
                </c:pt>
                <c:pt idx="29">
                  <c:v>0.983668302933426</c:v>
                </c:pt>
                <c:pt idx="30">
                  <c:v>0.983496479208931</c:v>
                </c:pt>
                <c:pt idx="31">
                  <c:v>0.983282961061867</c:v>
                </c:pt>
                <c:pt idx="32">
                  <c:v>0.983027893883038</c:v>
                </c:pt>
                <c:pt idx="33">
                  <c:v>0.982732529523181</c:v>
                </c:pt>
                <c:pt idx="34">
                  <c:v>0.982398702636708</c:v>
                </c:pt>
                <c:pt idx="35">
                  <c:v>0.98202855698723</c:v>
                </c:pt>
                <c:pt idx="36">
                  <c:v>0.981624386086408</c:v>
                </c:pt>
                <c:pt idx="37">
                  <c:v>0.982939891445295</c:v>
                </c:pt>
                <c:pt idx="38">
                  <c:v>0.982719371143932</c:v>
                </c:pt>
                <c:pt idx="39">
                  <c:v>0.982494200627523</c:v>
                </c:pt>
                <c:pt idx="40">
                  <c:v>0.982264795469021</c:v>
                </c:pt>
                <c:pt idx="41">
                  <c:v>0.982031555604096</c:v>
                </c:pt>
                <c:pt idx="42">
                  <c:v>0.981794862896173</c:v>
                </c:pt>
                <c:pt idx="43">
                  <c:v>0.981555079764918</c:v>
                </c:pt>
                <c:pt idx="44">
                  <c:v>0.981312548558385</c:v>
                </c:pt>
                <c:pt idx="45">
                  <c:v>0.981067591445859</c:v>
                </c:pt>
                <c:pt idx="46">
                  <c:v>0.980820510673363</c:v>
                </c:pt>
                <c:pt idx="47">
                  <c:v>0.980571589068576</c:v>
                </c:pt>
                <c:pt idx="48">
                  <c:v>0.98032109071324</c:v>
                </c:pt>
                <c:pt idx="49">
                  <c:v>0.980069261723515</c:v>
                </c:pt>
                <c:pt idx="50">
                  <c:v>0.97981633109487</c:v>
                </c:pt>
                <c:pt idx="51">
                  <c:v>0.979562511579892</c:v>
                </c:pt>
                <c:pt idx="52">
                  <c:v>0.979308000576068</c:v>
                </c:pt>
                <c:pt idx="53">
                  <c:v>0.979052981007013</c:v>
                </c:pt>
                <c:pt idx="54">
                  <c:v>0.978797622185427</c:v>
                </c:pt>
                <c:pt idx="55">
                  <c:v>0.978542080649601</c:v>
                </c:pt>
                <c:pt idx="56">
                  <c:v>0.978286500968009</c:v>
                </c:pt>
                <c:pt idx="57">
                  <c:v>0.978031016508488</c:v>
                </c:pt>
                <c:pt idx="58">
                  <c:v>0.977775750170021</c:v>
                </c:pt>
                <c:pt idx="59">
                  <c:v>0.977520815076232</c:v>
                </c:pt>
                <c:pt idx="60">
                  <c:v>0.977266315230528</c:v>
                </c:pt>
                <c:pt idx="61">
                  <c:v>0.977012346133397</c:v>
                </c:pt>
                <c:pt idx="62">
                  <c:v>0.976758995362835</c:v>
                </c:pt>
                <c:pt idx="63">
                  <c:v>0.976506343119114</c:v>
                </c:pt>
                <c:pt idx="64">
                  <c:v>0.976254462735351</c:v>
                </c:pt>
                <c:pt idx="65">
                  <c:v>0.976003421155441</c:v>
                </c:pt>
                <c:pt idx="66">
                  <c:v>0.975753279380972</c:v>
                </c:pt>
                <c:pt idx="67">
                  <c:v>0.975504092888792</c:v>
                </c:pt>
                <c:pt idx="68">
                  <c:v>0.975255912020877</c:v>
                </c:pt>
                <c:pt idx="69">
                  <c:v>0.975008782348111</c:v>
                </c:pt>
                <c:pt idx="70">
                  <c:v>0.97476274500957</c:v>
                </c:pt>
                <c:pt idx="71">
                  <c:v>0.974517837028825</c:v>
                </c:pt>
                <c:pt idx="72">
                  <c:v>0.974274091608719</c:v>
                </c:pt>
                <c:pt idx="73">
                  <c:v>0.974031538406007</c:v>
                </c:pt>
                <c:pt idx="74">
                  <c:v>0.973790203787184</c:v>
                </c:pt>
                <c:pt idx="75">
                  <c:v>0.97355011106674</c:v>
                </c:pt>
                <c:pt idx="76">
                  <c:v>0.973311280729015</c:v>
                </c:pt>
                <c:pt idx="77">
                  <c:v>0.973073730634768</c:v>
                </c:pt>
                <c:pt idx="78">
                  <c:v>0.972837476213493</c:v>
                </c:pt>
                <c:pt idx="79">
                  <c:v>0.972602530642444</c:v>
                </c:pt>
                <c:pt idx="80">
                  <c:v>0.972368905013299</c:v>
                </c:pt>
                <c:pt idx="81">
                  <c:v>0.972136608487294</c:v>
                </c:pt>
                <c:pt idx="82">
                  <c:v>0.97190564843963</c:v>
                </c:pt>
                <c:pt idx="83">
                  <c:v>0.971676030593895</c:v>
                </c:pt>
                <c:pt idx="84">
                  <c:v>0.971447759147179</c:v>
                </c:pt>
                <c:pt idx="85">
                  <c:v>0.971220836886549</c:v>
                </c:pt>
                <c:pt idx="86">
                  <c:v>0.970995265297451</c:v>
                </c:pt>
                <c:pt idx="87">
                  <c:v>0.970771044664624</c:v>
                </c:pt>
                <c:pt idx="88">
                  <c:v>0.970548174166033</c:v>
                </c:pt>
                <c:pt idx="89">
                  <c:v>0.970326651960299</c:v>
                </c:pt>
                <c:pt idx="90">
                  <c:v>0.970106475268089</c:v>
                </c:pt>
                <c:pt idx="91">
                  <c:v>0.969887640447871</c:v>
                </c:pt>
                <c:pt idx="92">
                  <c:v>0.969670143066422</c:v>
                </c:pt>
                <c:pt idx="93">
                  <c:v>0.969453977964469</c:v>
                </c:pt>
                <c:pt idx="94">
                  <c:v>0.969239139317766</c:v>
                </c:pt>
                <c:pt idx="95">
                  <c:v>0.969025620693952</c:v>
                </c:pt>
                <c:pt idx="96">
                  <c:v>0.968813415105464</c:v>
                </c:pt>
                <c:pt idx="97">
                  <c:v>0.968602515058767</c:v>
                </c:pt>
                <c:pt idx="98">
                  <c:v>0.968392912600179</c:v>
                </c:pt>
                <c:pt idx="99">
                  <c:v>0.968184599358492</c:v>
                </c:pt>
                <c:pt idx="100">
                  <c:v>0.967977566584632</c:v>
                </c:pt>
                <c:pt idx="101">
                  <c:v>0.967771805188548</c:v>
                </c:pt>
                <c:pt idx="102">
                  <c:v>0.967567305773517</c:v>
                </c:pt>
                <c:pt idx="103">
                  <c:v>0.967364058668049</c:v>
                </c:pt>
                <c:pt idx="104">
                  <c:v>0.967162053955544</c:v>
                </c:pt>
                <c:pt idx="105">
                  <c:v>0.966961281501863</c:v>
                </c:pt>
                <c:pt idx="106">
                  <c:v>0.966761730980942</c:v>
                </c:pt>
                <c:pt idx="107">
                  <c:v>0.966563391898595</c:v>
                </c:pt>
                <c:pt idx="108">
                  <c:v>0.966366253614616</c:v>
                </c:pt>
                <c:pt idx="109">
                  <c:v>0.966170305363302</c:v>
                </c:pt>
                <c:pt idx="110">
                  <c:v>0.965975536272493</c:v>
                </c:pt>
                <c:pt idx="111">
                  <c:v>0.965781935381249</c:v>
                </c:pt>
                <c:pt idx="112">
                  <c:v>0.965589491656225</c:v>
                </c:pt>
                <c:pt idx="113">
                  <c:v>0.965398194006861</c:v>
                </c:pt>
                <c:pt idx="114">
                  <c:v>0.965208031299445</c:v>
                </c:pt>
                <c:pt idx="115">
                  <c:v>0.965018992370141</c:v>
                </c:pt>
                <c:pt idx="116">
                  <c:v>0.964831066037028</c:v>
                </c:pt>
                <c:pt idx="117">
                  <c:v>0.964644241111247</c:v>
                </c:pt>
                <c:pt idx="118">
                  <c:v>0.964458506407289</c:v>
                </c:pt>
                <c:pt idx="119">
                  <c:v>0.964273850752492</c:v>
                </c:pt>
                <c:pt idx="120">
                  <c:v>0.964090262995801</c:v>
                </c:pt>
                <c:pt idx="121">
                  <c:v>0.96390773201584</c:v>
                </c:pt>
                <c:pt idx="122">
                  <c:v>0.963726246728336</c:v>
                </c:pt>
                <c:pt idx="123">
                  <c:v>0.963545796092943</c:v>
                </c:pt>
                <c:pt idx="124">
                  <c:v>0.963366369119509</c:v>
                </c:pt>
                <c:pt idx="125">
                  <c:v>0.963187954873818</c:v>
                </c:pt>
                <c:pt idx="126">
                  <c:v>0.963010542482837</c:v>
                </c:pt>
                <c:pt idx="127">
                  <c:v>0.962834121139523</c:v>
                </c:pt>
                <c:pt idx="128">
                  <c:v>0.962658680107188</c:v>
                </c:pt>
                <c:pt idx="129">
                  <c:v>0.962484208723482</c:v>
                </c:pt>
                <c:pt idx="130">
                  <c:v>0.962310696403992</c:v>
                </c:pt>
                <c:pt idx="131">
                  <c:v>0.962138132645513</c:v>
                </c:pt>
                <c:pt idx="132">
                  <c:v>0.961966507028985</c:v>
                </c:pt>
                <c:pt idx="133">
                  <c:v>0.961795809222131</c:v>
                </c:pt>
                <c:pt idx="134">
                  <c:v>0.961626028981826</c:v>
                </c:pt>
                <c:pt idx="135">
                  <c:v>0.961457156156195</c:v>
                </c:pt>
                <c:pt idx="136">
                  <c:v>0.961289180686475</c:v>
                </c:pt>
                <c:pt idx="137">
                  <c:v>0.961122092608649</c:v>
                </c:pt>
                <c:pt idx="138">
                  <c:v>0.960955882054869</c:v>
                </c:pt>
                <c:pt idx="139">
                  <c:v>0.960790539254689</c:v>
                </c:pt>
                <c:pt idx="140">
                  <c:v>0.960626054536109</c:v>
                </c:pt>
                <c:pt idx="141">
                  <c:v>0.960462418326456</c:v>
                </c:pt>
                <c:pt idx="142">
                  <c:v>0.960299621153107</c:v>
                </c:pt>
                <c:pt idx="143">
                  <c:v>0.96013765364406</c:v>
                </c:pt>
                <c:pt idx="144">
                  <c:v>0.959976506528382</c:v>
                </c:pt>
                <c:pt idx="145">
                  <c:v>0.959816170636517</c:v>
                </c:pt>
                <c:pt idx="146">
                  <c:v>0.959656636900493</c:v>
                </c:pt>
                <c:pt idx="147">
                  <c:v>0.959497896354005</c:v>
                </c:pt>
                <c:pt idx="148">
                  <c:v>0.959339940132413</c:v>
                </c:pt>
                <c:pt idx="149">
                  <c:v>0.959182759472637</c:v>
                </c:pt>
                <c:pt idx="150">
                  <c:v>0.959026345712975</c:v>
                </c:pt>
                <c:pt idx="151">
                  <c:v>0.958870690292834</c:v>
                </c:pt>
                <c:pt idx="152">
                  <c:v>0.958715784752397</c:v>
                </c:pt>
                <c:pt idx="153">
                  <c:v>0.958561620732217</c:v>
                </c:pt>
                <c:pt idx="154">
                  <c:v>0.958408189972751</c:v>
                </c:pt>
                <c:pt idx="155">
                  <c:v>0.95825548431384</c:v>
                </c:pt>
                <c:pt idx="156">
                  <c:v>0.958103495694137</c:v>
                </c:pt>
                <c:pt idx="157">
                  <c:v>0.957952216150483</c:v>
                </c:pt>
                <c:pt idx="158">
                  <c:v>0.957801637817247</c:v>
                </c:pt>
                <c:pt idx="159">
                  <c:v>0.957651752925621</c:v>
                </c:pt>
                <c:pt idx="160">
                  <c:v>0.95750255380288</c:v>
                </c:pt>
                <c:pt idx="161">
                  <c:v>0.957354032871617</c:v>
                </c:pt>
                <c:pt idx="162">
                  <c:v>0.957206182648935</c:v>
                </c:pt>
                <c:pt idx="163">
                  <c:v>0.957058995745626</c:v>
                </c:pt>
                <c:pt idx="164">
                  <c:v>0.956912464865319</c:v>
                </c:pt>
                <c:pt idx="165">
                  <c:v>0.956766582803612</c:v>
                </c:pt>
                <c:pt idx="166">
                  <c:v>0.956621342447175</c:v>
                </c:pt>
                <c:pt idx="167">
                  <c:v>0.956476736772853</c:v>
                </c:pt>
                <c:pt idx="168">
                  <c:v>0.956332758846739</c:v>
                </c:pt>
                <c:pt idx="169">
                  <c:v>0.956189401823245</c:v>
                </c:pt>
                <c:pt idx="170">
                  <c:v>0.956046658944157</c:v>
                </c:pt>
                <c:pt idx="171">
                  <c:v>0.955904523537682</c:v>
                </c:pt>
                <c:pt idx="172">
                  <c:v>0.955762989017492</c:v>
                </c:pt>
                <c:pt idx="173">
                  <c:v>0.955622048881754</c:v>
                </c:pt>
                <c:pt idx="174">
                  <c:v>0.955481696712161</c:v>
                </c:pt>
                <c:pt idx="175">
                  <c:v>0.955341926172962</c:v>
                </c:pt>
                <c:pt idx="176">
                  <c:v>0.955202731009982</c:v>
                </c:pt>
                <c:pt idx="177">
                  <c:v>0.955064105049647</c:v>
                </c:pt>
                <c:pt idx="178">
                  <c:v>0.954926042198008</c:v>
                </c:pt>
                <c:pt idx="179">
                  <c:v>0.954788536439764</c:v>
                </c:pt>
                <c:pt idx="180">
                  <c:v>0.954651581837289</c:v>
                </c:pt>
                <c:pt idx="181">
                  <c:v>0.95451517252966</c:v>
                </c:pt>
                <c:pt idx="182">
                  <c:v>0.954379302731685</c:v>
                </c:pt>
                <c:pt idx="183">
                  <c:v>0.954243966732946</c:v>
                </c:pt>
                <c:pt idx="184">
                  <c:v>0.954109158896831</c:v>
                </c:pt>
                <c:pt idx="185">
                  <c:v>0.953974873659585</c:v>
                </c:pt>
                <c:pt idx="186">
                  <c:v>0.953841105529358</c:v>
                </c:pt>
                <c:pt idx="187">
                  <c:v>0.953707849085262</c:v>
                </c:pt>
                <c:pt idx="188">
                  <c:v>0.953575098976433</c:v>
                </c:pt>
                <c:pt idx="189">
                  <c:v>0.953442849921105</c:v>
                </c:pt>
                <c:pt idx="190">
                  <c:v>0.953311096705684</c:v>
                </c:pt>
                <c:pt idx="191">
                  <c:v>0.953179834183836</c:v>
                </c:pt>
                <c:pt idx="192">
                  <c:v>0.953049057275577</c:v>
                </c:pt>
                <c:pt idx="193">
                  <c:v>0.952918760966377</c:v>
                </c:pt>
                <c:pt idx="194">
                  <c:v>0.952788940306269</c:v>
                </c:pt>
                <c:pt idx="195">
                  <c:v>0.952659590408966</c:v>
                </c:pt>
                <c:pt idx="196">
                  <c:v>0.952530706450992</c:v>
                </c:pt>
                <c:pt idx="197">
                  <c:v>0.952402283670814</c:v>
                </c:pt>
                <c:pt idx="198">
                  <c:v>0.952274317367988</c:v>
                </c:pt>
                <c:pt idx="199">
                  <c:v>0.95214680290232</c:v>
                </c:pt>
                <c:pt idx="200">
                  <c:v>0.95201973569302</c:v>
                </c:pt>
              </c:numCache>
            </c:numRef>
          </c:yVal>
          <c:smooth val="0"/>
        </c:ser>
        <c:axId val="79159966"/>
        <c:axId val="9660020"/>
      </c:scatterChart>
      <c:valAx>
        <c:axId val="79159966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Input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 Voltage (V)</a:t>
                </a:r>
              </a:p>
            </c:rich>
          </c:tx>
          <c:layout>
            <c:manualLayout>
              <c:xMode val="edge"/>
              <c:yMode val="edge"/>
              <c:x val="0.457629697246311"/>
              <c:y val="0.943462359036879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0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660020"/>
        <c:crosses val="autoZero"/>
        <c:crossBetween val="midCat"/>
      </c:valAx>
      <c:valAx>
        <c:axId val="9660020"/>
        <c:scaling>
          <c:orientation val="minMax"/>
          <c:max val="1"/>
          <c:min val="0.7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Efficiency (%)</a:t>
                </a:r>
              </a:p>
            </c:rich>
          </c:tx>
          <c:layout>
            <c:manualLayout>
              <c:xMode val="edge"/>
              <c:yMode val="edge"/>
              <c:x val="0.00679547644403874"/>
              <c:y val="0.42730874733313"/>
            </c:manualLayout>
          </c:layout>
          <c:overlay val="0"/>
          <c:spPr>
            <a:noFill/>
            <a:ln w="2556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0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9159966"/>
        <c:crosses val="autoZero"/>
        <c:crossBetween val="midCat"/>
      </c:valAx>
      <c:spPr>
        <a:gradFill>
          <a:gsLst>
            <a:gs pos="0">
              <a:srgbClr val="9ab4e4"/>
            </a:gs>
            <a:gs pos="50000">
              <a:srgbClr val="c1d1ec"/>
            </a:gs>
            <a:gs pos="100000">
              <a:srgbClr val="e0e8f5"/>
            </a:gs>
          </a:gsLst>
          <a:lin ang="5400000"/>
        </a:gra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5636970175476"/>
          <c:y val="0.0362903225806457"/>
          <c:w val="0.117886321120429"/>
          <c:h val="0.0423387096774194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8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02968416053194"/>
          <c:y val="0.0598186390307094"/>
          <c:w val="0.805984326763239"/>
          <c:h val="0.810409205212223"/>
        </c:manualLayout>
      </c:layout>
      <c:scatterChart>
        <c:scatterStyle val="line"/>
        <c:varyColors val="0"/>
        <c:ser>
          <c:idx val="0"/>
          <c:order val="0"/>
          <c:tx>
            <c:strRef>
              <c:f>"Boost D"</c:f>
              <c:strCache>
                <c:ptCount val="1"/>
                <c:pt idx="0">
                  <c:v>Boost D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</c:v>
                </c:pt>
              </c:numCache>
            </c:numRef>
          </c:xVal>
          <c:yVal>
            <c:numRef>
              <c:f>'Efficiency vs VIN Calculations'!$O$9:$O$209</c:f>
              <c:numCache>
                <c:formatCode>0.000</c:formatCode>
                <c:ptCount val="201"/>
                <c:pt idx="0">
                  <c:v>0.510369955156951</c:v>
                </c:pt>
                <c:pt idx="1">
                  <c:v>0.491508108108108</c:v>
                </c:pt>
                <c:pt idx="2">
                  <c:v>0.47268267223382</c:v>
                </c:pt>
                <c:pt idx="3">
                  <c:v>0.453890010090817</c:v>
                </c:pt>
                <c:pt idx="4">
                  <c:v>0.435126953125</c:v>
                </c:pt>
                <c:pt idx="5">
                  <c:v>0.416390728476821</c:v>
                </c:pt>
                <c:pt idx="6">
                  <c:v>0.397678899082569</c:v>
                </c:pt>
                <c:pt idx="7">
                  <c:v>0.378989314336598</c:v>
                </c:pt>
                <c:pt idx="8">
                  <c:v>0.360320069204152</c:v>
                </c:pt>
                <c:pt idx="9">
                  <c:v>0.341669470142977</c:v>
                </c:pt>
                <c:pt idx="10">
                  <c:v>0.323036006546645</c:v>
                </c:pt>
                <c:pt idx="11">
                  <c:v>0.304418326693227</c:v>
                </c:pt>
                <c:pt idx="12">
                  <c:v>0.285815217391304</c:v>
                </c:pt>
                <c:pt idx="13">
                  <c:v>0.26722558667676</c:v>
                </c:pt>
                <c:pt idx="14">
                  <c:v>0.248648449039882</c:v>
                </c:pt>
                <c:pt idx="15">
                  <c:v>0.230082912761355</c:v>
                </c:pt>
                <c:pt idx="16">
                  <c:v>0.211528169014085</c:v>
                </c:pt>
                <c:pt idx="17">
                  <c:v>0.192983482450103</c:v>
                </c:pt>
                <c:pt idx="18">
                  <c:v>0.174448183041723</c:v>
                </c:pt>
                <c:pt idx="19">
                  <c:v>0.155921658986175</c:v>
                </c:pt>
                <c:pt idx="20">
                  <c:v>0.137403350515464</c:v>
                </c:pt>
                <c:pt idx="21">
                  <c:v>0.118892744479495</c:v>
                </c:pt>
                <c:pt idx="22">
                  <c:v>0.100389369592089</c:v>
                </c:pt>
                <c:pt idx="23">
                  <c:v>0.119808333333333</c:v>
                </c:pt>
                <c:pt idx="24">
                  <c:v>0.1023</c:v>
                </c:pt>
                <c:pt idx="25">
                  <c:v>0.0847916666666667</c:v>
                </c:pt>
                <c:pt idx="26">
                  <c:v>0.0672833333333333</c:v>
                </c:pt>
                <c:pt idx="27">
                  <c:v>0.0497749999999999</c:v>
                </c:pt>
                <c:pt idx="28">
                  <c:v>0.045</c:v>
                </c:pt>
                <c:pt idx="29">
                  <c:v>0.045</c:v>
                </c:pt>
                <c:pt idx="30">
                  <c:v>0.045</c:v>
                </c:pt>
                <c:pt idx="31">
                  <c:v>0.045</c:v>
                </c:pt>
                <c:pt idx="32">
                  <c:v>0.045</c:v>
                </c:pt>
                <c:pt idx="33">
                  <c:v>0.045</c:v>
                </c:pt>
                <c:pt idx="34">
                  <c:v>0.045</c:v>
                </c:pt>
                <c:pt idx="35">
                  <c:v>0.045</c:v>
                </c:pt>
                <c:pt idx="36">
                  <c:v>0.045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</c:ser>
        <c:axId val="43119078"/>
        <c:axId val="62284658"/>
      </c:scatterChart>
      <c:scatterChart>
        <c:scatterStyle val="line"/>
        <c:varyColors val="0"/>
        <c:ser>
          <c:idx val="1"/>
          <c:order val="1"/>
          <c:tx>
            <c:strRef>
              <c:f>"Buck D"</c:f>
              <c:strCache>
                <c:ptCount val="1"/>
                <c:pt idx="0">
                  <c:v>Buck D</c:v>
                </c:pt>
              </c:strCache>
            </c:strRef>
          </c:tx>
          <c:spPr>
            <a:solidFill>
              <a:srgbClr val="0000ff"/>
            </a:solidFill>
            <a:ln w="31680">
              <a:solidFill>
                <a:srgbClr val="0000ff"/>
              </a:solidFill>
              <a:prstDash val="sys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16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6</c:v>
                </c:pt>
                <c:pt idx="1">
                  <c:v>6.22</c:v>
                </c:pt>
                <c:pt idx="2">
                  <c:v>6.44</c:v>
                </c:pt>
                <c:pt idx="3">
                  <c:v>6.66</c:v>
                </c:pt>
                <c:pt idx="4">
                  <c:v>6.88</c:v>
                </c:pt>
                <c:pt idx="5">
                  <c:v>7.1</c:v>
                </c:pt>
                <c:pt idx="6">
                  <c:v>7.32</c:v>
                </c:pt>
                <c:pt idx="7">
                  <c:v>7.54</c:v>
                </c:pt>
                <c:pt idx="8">
                  <c:v>7.76</c:v>
                </c:pt>
                <c:pt idx="9">
                  <c:v>7.98</c:v>
                </c:pt>
                <c:pt idx="10">
                  <c:v>8.2</c:v>
                </c:pt>
                <c:pt idx="11">
                  <c:v>8.42</c:v>
                </c:pt>
                <c:pt idx="12">
                  <c:v>8.64</c:v>
                </c:pt>
                <c:pt idx="13">
                  <c:v>8.86</c:v>
                </c:pt>
                <c:pt idx="14">
                  <c:v>9.08</c:v>
                </c:pt>
                <c:pt idx="15">
                  <c:v>9.3</c:v>
                </c:pt>
                <c:pt idx="16">
                  <c:v>9.52</c:v>
                </c:pt>
                <c:pt idx="17">
                  <c:v>9.74</c:v>
                </c:pt>
                <c:pt idx="18">
                  <c:v>9.96</c:v>
                </c:pt>
                <c:pt idx="19">
                  <c:v>10.18</c:v>
                </c:pt>
                <c:pt idx="20">
                  <c:v>10.4</c:v>
                </c:pt>
                <c:pt idx="21">
                  <c:v>10.62</c:v>
                </c:pt>
                <c:pt idx="22">
                  <c:v>10.84</c:v>
                </c:pt>
                <c:pt idx="23">
                  <c:v>11.06</c:v>
                </c:pt>
                <c:pt idx="24">
                  <c:v>11.28</c:v>
                </c:pt>
                <c:pt idx="25">
                  <c:v>11.5</c:v>
                </c:pt>
                <c:pt idx="26">
                  <c:v>11.72</c:v>
                </c:pt>
                <c:pt idx="27">
                  <c:v>11.94</c:v>
                </c:pt>
                <c:pt idx="28">
                  <c:v>12.16</c:v>
                </c:pt>
                <c:pt idx="29">
                  <c:v>12.38</c:v>
                </c:pt>
                <c:pt idx="30">
                  <c:v>12.6</c:v>
                </c:pt>
                <c:pt idx="31">
                  <c:v>12.82</c:v>
                </c:pt>
                <c:pt idx="32">
                  <c:v>13.04</c:v>
                </c:pt>
                <c:pt idx="33">
                  <c:v>13.26</c:v>
                </c:pt>
                <c:pt idx="34">
                  <c:v>13.48</c:v>
                </c:pt>
                <c:pt idx="35">
                  <c:v>13.7</c:v>
                </c:pt>
                <c:pt idx="36">
                  <c:v>13.92</c:v>
                </c:pt>
                <c:pt idx="37">
                  <c:v>14.14</c:v>
                </c:pt>
                <c:pt idx="38">
                  <c:v>14.36</c:v>
                </c:pt>
                <c:pt idx="39">
                  <c:v>14.58</c:v>
                </c:pt>
                <c:pt idx="40">
                  <c:v>14.8</c:v>
                </c:pt>
                <c:pt idx="41">
                  <c:v>15.02</c:v>
                </c:pt>
                <c:pt idx="42">
                  <c:v>15.24</c:v>
                </c:pt>
                <c:pt idx="43">
                  <c:v>15.46</c:v>
                </c:pt>
                <c:pt idx="44">
                  <c:v>15.68</c:v>
                </c:pt>
                <c:pt idx="45">
                  <c:v>15.9</c:v>
                </c:pt>
                <c:pt idx="46">
                  <c:v>16.12</c:v>
                </c:pt>
                <c:pt idx="47">
                  <c:v>16.34</c:v>
                </c:pt>
                <c:pt idx="48">
                  <c:v>16.56</c:v>
                </c:pt>
                <c:pt idx="49">
                  <c:v>16.78</c:v>
                </c:pt>
                <c:pt idx="50">
                  <c:v>17</c:v>
                </c:pt>
                <c:pt idx="51">
                  <c:v>17.22</c:v>
                </c:pt>
                <c:pt idx="52">
                  <c:v>17.44</c:v>
                </c:pt>
                <c:pt idx="53">
                  <c:v>17.66</c:v>
                </c:pt>
                <c:pt idx="54">
                  <c:v>17.88</c:v>
                </c:pt>
                <c:pt idx="55">
                  <c:v>18.1</c:v>
                </c:pt>
                <c:pt idx="56">
                  <c:v>18.32</c:v>
                </c:pt>
                <c:pt idx="57">
                  <c:v>18.54</c:v>
                </c:pt>
                <c:pt idx="58">
                  <c:v>18.76</c:v>
                </c:pt>
                <c:pt idx="59">
                  <c:v>18.98</c:v>
                </c:pt>
                <c:pt idx="60">
                  <c:v>19.2</c:v>
                </c:pt>
                <c:pt idx="61">
                  <c:v>19.42</c:v>
                </c:pt>
                <c:pt idx="62">
                  <c:v>19.64</c:v>
                </c:pt>
                <c:pt idx="63">
                  <c:v>19.86</c:v>
                </c:pt>
                <c:pt idx="64">
                  <c:v>20.08</c:v>
                </c:pt>
                <c:pt idx="65">
                  <c:v>20.3</c:v>
                </c:pt>
                <c:pt idx="66">
                  <c:v>20.52</c:v>
                </c:pt>
                <c:pt idx="67">
                  <c:v>20.74</c:v>
                </c:pt>
                <c:pt idx="68">
                  <c:v>20.96</c:v>
                </c:pt>
                <c:pt idx="69">
                  <c:v>21.18</c:v>
                </c:pt>
                <c:pt idx="70">
                  <c:v>21.4</c:v>
                </c:pt>
                <c:pt idx="71">
                  <c:v>21.62</c:v>
                </c:pt>
                <c:pt idx="72">
                  <c:v>21.84</c:v>
                </c:pt>
                <c:pt idx="73">
                  <c:v>22.06</c:v>
                </c:pt>
                <c:pt idx="74">
                  <c:v>22.28</c:v>
                </c:pt>
                <c:pt idx="75">
                  <c:v>22.5</c:v>
                </c:pt>
                <c:pt idx="76">
                  <c:v>22.72</c:v>
                </c:pt>
                <c:pt idx="77">
                  <c:v>22.94</c:v>
                </c:pt>
                <c:pt idx="78">
                  <c:v>23.16</c:v>
                </c:pt>
                <c:pt idx="79">
                  <c:v>23.38</c:v>
                </c:pt>
                <c:pt idx="80">
                  <c:v>23.6</c:v>
                </c:pt>
                <c:pt idx="81">
                  <c:v>23.82</c:v>
                </c:pt>
                <c:pt idx="82">
                  <c:v>24.04</c:v>
                </c:pt>
                <c:pt idx="83">
                  <c:v>24.26</c:v>
                </c:pt>
                <c:pt idx="84">
                  <c:v>24.48</c:v>
                </c:pt>
                <c:pt idx="85">
                  <c:v>24.7</c:v>
                </c:pt>
                <c:pt idx="86">
                  <c:v>24.92</c:v>
                </c:pt>
                <c:pt idx="87">
                  <c:v>25.14</c:v>
                </c:pt>
                <c:pt idx="88">
                  <c:v>25.36</c:v>
                </c:pt>
                <c:pt idx="89">
                  <c:v>25.58</c:v>
                </c:pt>
                <c:pt idx="90">
                  <c:v>25.8</c:v>
                </c:pt>
                <c:pt idx="91">
                  <c:v>26.02</c:v>
                </c:pt>
                <c:pt idx="92">
                  <c:v>26.24</c:v>
                </c:pt>
                <c:pt idx="93">
                  <c:v>26.46</c:v>
                </c:pt>
                <c:pt idx="94">
                  <c:v>26.68</c:v>
                </c:pt>
                <c:pt idx="95">
                  <c:v>26.9</c:v>
                </c:pt>
                <c:pt idx="96">
                  <c:v>27.12</c:v>
                </c:pt>
                <c:pt idx="97">
                  <c:v>27.34</c:v>
                </c:pt>
                <c:pt idx="98">
                  <c:v>27.56</c:v>
                </c:pt>
                <c:pt idx="99">
                  <c:v>27.78</c:v>
                </c:pt>
                <c:pt idx="100">
                  <c:v>28</c:v>
                </c:pt>
                <c:pt idx="101">
                  <c:v>28.22</c:v>
                </c:pt>
                <c:pt idx="102">
                  <c:v>28.44</c:v>
                </c:pt>
                <c:pt idx="103">
                  <c:v>28.66</c:v>
                </c:pt>
                <c:pt idx="104">
                  <c:v>28.88</c:v>
                </c:pt>
                <c:pt idx="105">
                  <c:v>29.1</c:v>
                </c:pt>
                <c:pt idx="106">
                  <c:v>29.32</c:v>
                </c:pt>
                <c:pt idx="107">
                  <c:v>29.54</c:v>
                </c:pt>
                <c:pt idx="108">
                  <c:v>29.76</c:v>
                </c:pt>
                <c:pt idx="109">
                  <c:v>29.98</c:v>
                </c:pt>
                <c:pt idx="110">
                  <c:v>30.2</c:v>
                </c:pt>
                <c:pt idx="111">
                  <c:v>30.42</c:v>
                </c:pt>
                <c:pt idx="112">
                  <c:v>30.64</c:v>
                </c:pt>
                <c:pt idx="113">
                  <c:v>30.86</c:v>
                </c:pt>
                <c:pt idx="114">
                  <c:v>31.08</c:v>
                </c:pt>
                <c:pt idx="115">
                  <c:v>31.3</c:v>
                </c:pt>
                <c:pt idx="116">
                  <c:v>31.52</c:v>
                </c:pt>
                <c:pt idx="117">
                  <c:v>31.74</c:v>
                </c:pt>
                <c:pt idx="118">
                  <c:v>31.96</c:v>
                </c:pt>
                <c:pt idx="119">
                  <c:v>32.18</c:v>
                </c:pt>
                <c:pt idx="120">
                  <c:v>32.4</c:v>
                </c:pt>
                <c:pt idx="121">
                  <c:v>32.62</c:v>
                </c:pt>
                <c:pt idx="122">
                  <c:v>32.84</c:v>
                </c:pt>
                <c:pt idx="123">
                  <c:v>33.06</c:v>
                </c:pt>
                <c:pt idx="124">
                  <c:v>33.28</c:v>
                </c:pt>
                <c:pt idx="125">
                  <c:v>33.5</c:v>
                </c:pt>
                <c:pt idx="126">
                  <c:v>33.72</c:v>
                </c:pt>
                <c:pt idx="127">
                  <c:v>33.94</c:v>
                </c:pt>
                <c:pt idx="128">
                  <c:v>34.16</c:v>
                </c:pt>
                <c:pt idx="129">
                  <c:v>34.38</c:v>
                </c:pt>
                <c:pt idx="130">
                  <c:v>34.6</c:v>
                </c:pt>
                <c:pt idx="131">
                  <c:v>34.82</c:v>
                </c:pt>
                <c:pt idx="132">
                  <c:v>35.04</c:v>
                </c:pt>
                <c:pt idx="133">
                  <c:v>35.26</c:v>
                </c:pt>
                <c:pt idx="134">
                  <c:v>35.48</c:v>
                </c:pt>
                <c:pt idx="135">
                  <c:v>35.7</c:v>
                </c:pt>
                <c:pt idx="136">
                  <c:v>35.92</c:v>
                </c:pt>
                <c:pt idx="137">
                  <c:v>36.14</c:v>
                </c:pt>
                <c:pt idx="138">
                  <c:v>36.36</c:v>
                </c:pt>
                <c:pt idx="139">
                  <c:v>36.58</c:v>
                </c:pt>
                <c:pt idx="140">
                  <c:v>36.8</c:v>
                </c:pt>
                <c:pt idx="141">
                  <c:v>37.02</c:v>
                </c:pt>
                <c:pt idx="142">
                  <c:v>37.24</c:v>
                </c:pt>
                <c:pt idx="143">
                  <c:v>37.46</c:v>
                </c:pt>
                <c:pt idx="144">
                  <c:v>37.68</c:v>
                </c:pt>
                <c:pt idx="145">
                  <c:v>37.9</c:v>
                </c:pt>
                <c:pt idx="146">
                  <c:v>38.12</c:v>
                </c:pt>
                <c:pt idx="147">
                  <c:v>38.34</c:v>
                </c:pt>
                <c:pt idx="148">
                  <c:v>38.56</c:v>
                </c:pt>
                <c:pt idx="149">
                  <c:v>38.78</c:v>
                </c:pt>
                <c:pt idx="150">
                  <c:v>39</c:v>
                </c:pt>
                <c:pt idx="151">
                  <c:v>39.22</c:v>
                </c:pt>
                <c:pt idx="152">
                  <c:v>39.44</c:v>
                </c:pt>
                <c:pt idx="153">
                  <c:v>39.66</c:v>
                </c:pt>
                <c:pt idx="154">
                  <c:v>39.88</c:v>
                </c:pt>
                <c:pt idx="155">
                  <c:v>40.1</c:v>
                </c:pt>
                <c:pt idx="156">
                  <c:v>40.32</c:v>
                </c:pt>
                <c:pt idx="157">
                  <c:v>40.54</c:v>
                </c:pt>
                <c:pt idx="158">
                  <c:v>40.76</c:v>
                </c:pt>
                <c:pt idx="159">
                  <c:v>40.98</c:v>
                </c:pt>
                <c:pt idx="160">
                  <c:v>41.2</c:v>
                </c:pt>
                <c:pt idx="161">
                  <c:v>41.42</c:v>
                </c:pt>
                <c:pt idx="162">
                  <c:v>41.64</c:v>
                </c:pt>
                <c:pt idx="163">
                  <c:v>41.86</c:v>
                </c:pt>
                <c:pt idx="164">
                  <c:v>42.08</c:v>
                </c:pt>
                <c:pt idx="165">
                  <c:v>42.3</c:v>
                </c:pt>
                <c:pt idx="166">
                  <c:v>42.52</c:v>
                </c:pt>
                <c:pt idx="167">
                  <c:v>42.74</c:v>
                </c:pt>
                <c:pt idx="168">
                  <c:v>42.96</c:v>
                </c:pt>
                <c:pt idx="169">
                  <c:v>43.18</c:v>
                </c:pt>
                <c:pt idx="170">
                  <c:v>43.4</c:v>
                </c:pt>
                <c:pt idx="171">
                  <c:v>43.62</c:v>
                </c:pt>
                <c:pt idx="172">
                  <c:v>43.84</c:v>
                </c:pt>
                <c:pt idx="173">
                  <c:v>44.06</c:v>
                </c:pt>
                <c:pt idx="174">
                  <c:v>44.28</c:v>
                </c:pt>
                <c:pt idx="175">
                  <c:v>44.5</c:v>
                </c:pt>
                <c:pt idx="176">
                  <c:v>44.72</c:v>
                </c:pt>
                <c:pt idx="177">
                  <c:v>44.94</c:v>
                </c:pt>
                <c:pt idx="178">
                  <c:v>45.16</c:v>
                </c:pt>
                <c:pt idx="179">
                  <c:v>45.38</c:v>
                </c:pt>
                <c:pt idx="180">
                  <c:v>45.6</c:v>
                </c:pt>
                <c:pt idx="181">
                  <c:v>45.82</c:v>
                </c:pt>
                <c:pt idx="182">
                  <c:v>46.04</c:v>
                </c:pt>
                <c:pt idx="183">
                  <c:v>46.26</c:v>
                </c:pt>
                <c:pt idx="184">
                  <c:v>46.48</c:v>
                </c:pt>
                <c:pt idx="185">
                  <c:v>46.7</c:v>
                </c:pt>
                <c:pt idx="186">
                  <c:v>46.92</c:v>
                </c:pt>
                <c:pt idx="187">
                  <c:v>47.14</c:v>
                </c:pt>
                <c:pt idx="188">
                  <c:v>47.36</c:v>
                </c:pt>
                <c:pt idx="189">
                  <c:v>47.58</c:v>
                </c:pt>
                <c:pt idx="190">
                  <c:v>47.8</c:v>
                </c:pt>
                <c:pt idx="191">
                  <c:v>48.02</c:v>
                </c:pt>
                <c:pt idx="192">
                  <c:v>48.24</c:v>
                </c:pt>
                <c:pt idx="193">
                  <c:v>48.46</c:v>
                </c:pt>
                <c:pt idx="194">
                  <c:v>48.68</c:v>
                </c:pt>
                <c:pt idx="195">
                  <c:v>48.9</c:v>
                </c:pt>
                <c:pt idx="196">
                  <c:v>49.12</c:v>
                </c:pt>
                <c:pt idx="197">
                  <c:v>49.34</c:v>
                </c:pt>
                <c:pt idx="198">
                  <c:v>49.56</c:v>
                </c:pt>
                <c:pt idx="199">
                  <c:v>49.78</c:v>
                </c:pt>
                <c:pt idx="200">
                  <c:v>50</c:v>
                </c:pt>
              </c:numCache>
            </c:numRef>
          </c:xVal>
          <c:yVal>
            <c:numRef>
              <c:f>'Efficiency vs VIN Calculations'!$N$9:$N$209</c:f>
              <c:numCache>
                <c:formatCode>0.000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0.955</c:v>
                </c:pt>
                <c:pt idx="24">
                  <c:v>0.955</c:v>
                </c:pt>
                <c:pt idx="25">
                  <c:v>0.955</c:v>
                </c:pt>
                <c:pt idx="26">
                  <c:v>0.955</c:v>
                </c:pt>
                <c:pt idx="27">
                  <c:v>0.955</c:v>
                </c:pt>
                <c:pt idx="28">
                  <c:v>0.942434210526316</c:v>
                </c:pt>
                <c:pt idx="29">
                  <c:v>0.925686591276252</c:v>
                </c:pt>
                <c:pt idx="30">
                  <c:v>0.90952380952381</c:v>
                </c:pt>
                <c:pt idx="31">
                  <c:v>0.893915756630265</c:v>
                </c:pt>
                <c:pt idx="32">
                  <c:v>0.878834355828221</c:v>
                </c:pt>
                <c:pt idx="33">
                  <c:v>0.864253393665158</c:v>
                </c:pt>
                <c:pt idx="34">
                  <c:v>0.850148367952522</c:v>
                </c:pt>
                <c:pt idx="35">
                  <c:v>0.836496350364964</c:v>
                </c:pt>
                <c:pt idx="36">
                  <c:v>0.823275862068966</c:v>
                </c:pt>
                <c:pt idx="37">
                  <c:v>0.852995489145757</c:v>
                </c:pt>
                <c:pt idx="38">
                  <c:v>0.83997084952804</c:v>
                </c:pt>
                <c:pt idx="39">
                  <c:v>0.82733798195242</c:v>
                </c:pt>
                <c:pt idx="40">
                  <c:v>0.815079471982759</c:v>
                </c:pt>
                <c:pt idx="41">
                  <c:v>0.803178922219273</c:v>
                </c:pt>
                <c:pt idx="42">
                  <c:v>0.791620879120879</c:v>
                </c:pt>
                <c:pt idx="43">
                  <c:v>0.780390766056229</c:v>
                </c:pt>
                <c:pt idx="44">
                  <c:v>0.76947482197355</c:v>
                </c:pt>
                <c:pt idx="45">
                  <c:v>0.758860045146727</c:v>
                </c:pt>
                <c:pt idx="46">
                  <c:v>0.748534141514102</c:v>
                </c:pt>
                <c:pt idx="47">
                  <c:v>0.738485477178423</c:v>
                </c:pt>
                <c:pt idx="48">
                  <c:v>0.728703034682081</c:v>
                </c:pt>
                <c:pt idx="49">
                  <c:v>0.719176372712146</c:v>
                </c:pt>
                <c:pt idx="50">
                  <c:v>0.709895588925387</c:v>
                </c:pt>
                <c:pt idx="51">
                  <c:v>0.700851285615011</c:v>
                </c:pt>
                <c:pt idx="52">
                  <c:v>0.692034537968893</c:v>
                </c:pt>
                <c:pt idx="53">
                  <c:v>0.683436864693924</c:v>
                </c:pt>
                <c:pt idx="54">
                  <c:v>0.675050200803213</c:v>
                </c:pt>
                <c:pt idx="55">
                  <c:v>0.666866872382632</c:v>
                </c:pt>
                <c:pt idx="56">
                  <c:v>0.658879573170732</c:v>
                </c:pt>
                <c:pt idx="57">
                  <c:v>0.651081342801808</c:v>
                </c:pt>
                <c:pt idx="58">
                  <c:v>0.643465546575925</c:v>
                </c:pt>
                <c:pt idx="59">
                  <c:v>0.636025856632332</c:v>
                </c:pt>
                <c:pt idx="60">
                  <c:v>0.628756234413965</c:v>
                </c:pt>
                <c:pt idx="61">
                  <c:v>0.621650914320937</c:v>
                </c:pt>
                <c:pt idx="62">
                  <c:v>0.614704388459976</c:v>
                </c:pt>
                <c:pt idx="63">
                  <c:v>0.607911392405063</c:v>
                </c:pt>
                <c:pt idx="64">
                  <c:v>0.601266891891892</c:v>
                </c:pt>
                <c:pt idx="65">
                  <c:v>0.594766070375467</c:v>
                </c:pt>
                <c:pt idx="66">
                  <c:v>0.588404317386231</c:v>
                </c:pt>
                <c:pt idx="67">
                  <c:v>0.582177217625553</c:v>
                </c:pt>
                <c:pt idx="68">
                  <c:v>0.576080540746382</c:v>
                </c:pt>
                <c:pt idx="69">
                  <c:v>0.570110231769361</c:v>
                </c:pt>
                <c:pt idx="70">
                  <c:v>0.564262402088773</c:v>
                </c:pt>
                <c:pt idx="71">
                  <c:v>0.558533321026399</c:v>
                </c:pt>
                <c:pt idx="72">
                  <c:v>0.552919407894737</c:v>
                </c:pt>
                <c:pt idx="73">
                  <c:v>0.547417224534105</c:v>
                </c:pt>
                <c:pt idx="74">
                  <c:v>0.542023468290935</c:v>
                </c:pt>
                <c:pt idx="75">
                  <c:v>0.536734965407132</c:v>
                </c:pt>
                <c:pt idx="76">
                  <c:v>0.531548664792692</c:v>
                </c:pt>
                <c:pt idx="77">
                  <c:v>0.526461632155908</c:v>
                </c:pt>
                <c:pt idx="78">
                  <c:v>0.521471044467425</c:v>
                </c:pt>
                <c:pt idx="79">
                  <c:v>0.516574184736213</c:v>
                </c:pt>
                <c:pt idx="80">
                  <c:v>0.511768437077131</c:v>
                </c:pt>
                <c:pt idx="81">
                  <c:v>0.507051282051282</c:v>
                </c:pt>
                <c:pt idx="82">
                  <c:v>0.502420292261707</c:v>
                </c:pt>
                <c:pt idx="83">
                  <c:v>0.497873128188251</c:v>
                </c:pt>
                <c:pt idx="84">
                  <c:v>0.493407534246575</c:v>
                </c:pt>
                <c:pt idx="85">
                  <c:v>0.489021335057378</c:v>
                </c:pt>
                <c:pt idx="86">
                  <c:v>0.484712431912849</c:v>
                </c:pt>
                <c:pt idx="87">
                  <c:v>0.480478799428299</c:v>
                </c:pt>
                <c:pt idx="88">
                  <c:v>0.476318482367758</c:v>
                </c:pt>
                <c:pt idx="89">
                  <c:v>0.472229592633058</c:v>
                </c:pt>
                <c:pt idx="90">
                  <c:v>0.468210306406685</c:v>
                </c:pt>
                <c:pt idx="91">
                  <c:v>0.464258861439313</c:v>
                </c:pt>
                <c:pt idx="92">
                  <c:v>0.460373554473524</c:v>
                </c:pt>
                <c:pt idx="93">
                  <c:v>0.456552738795835</c:v>
                </c:pt>
                <c:pt idx="94">
                  <c:v>0.452794821909608</c:v>
                </c:pt>
                <c:pt idx="95">
                  <c:v>0.449098263321953</c:v>
                </c:pt>
                <c:pt idx="96">
                  <c:v>0.445461572438163</c:v>
                </c:pt>
                <c:pt idx="97">
                  <c:v>0.441883306557617</c:v>
                </c:pt>
                <c:pt idx="98">
                  <c:v>0.438362068965517</c:v>
                </c:pt>
                <c:pt idx="99">
                  <c:v>0.434896507115136</c:v>
                </c:pt>
                <c:pt idx="100">
                  <c:v>0.431485310895608</c:v>
                </c:pt>
                <c:pt idx="101">
                  <c:v>0.428127210980614</c:v>
                </c:pt>
                <c:pt idx="102">
                  <c:v>0.42482097725358</c:v>
                </c:pt>
                <c:pt idx="103">
                  <c:v>0.421565417305281</c:v>
                </c:pt>
                <c:pt idx="104">
                  <c:v>0.418359375</c:v>
                </c:pt>
                <c:pt idx="105">
                  <c:v>0.415201729106628</c:v>
                </c:pt>
                <c:pt idx="106">
                  <c:v>0.412091391991283</c:v>
                </c:pt>
                <c:pt idx="107">
                  <c:v>0.409027308368257</c:v>
                </c:pt>
                <c:pt idx="108">
                  <c:v>0.40600845410628</c:v>
                </c:pt>
                <c:pt idx="109">
                  <c:v>0.403033835087252</c:v>
                </c:pt>
                <c:pt idx="110">
                  <c:v>0.400102486114784</c:v>
                </c:pt>
                <c:pt idx="111">
                  <c:v>0.397213469870028</c:v>
                </c:pt>
                <c:pt idx="112">
                  <c:v>0.394365875912409</c:v>
                </c:pt>
                <c:pt idx="113">
                  <c:v>0.391558819723049</c:v>
                </c:pt>
                <c:pt idx="114">
                  <c:v>0.388791441788743</c:v>
                </c:pt>
                <c:pt idx="115">
                  <c:v>0.386062906724512</c:v>
                </c:pt>
                <c:pt idx="116">
                  <c:v>0.383372402432843</c:v>
                </c:pt>
                <c:pt idx="117">
                  <c:v>0.380719139297848</c:v>
                </c:pt>
                <c:pt idx="118">
                  <c:v>0.378102349412647</c:v>
                </c:pt>
                <c:pt idx="119">
                  <c:v>0.375521285838401</c:v>
                </c:pt>
                <c:pt idx="120">
                  <c:v>0.372975221893491</c:v>
                </c:pt>
                <c:pt idx="121">
                  <c:v>0.370463450471409</c:v>
                </c:pt>
                <c:pt idx="122">
                  <c:v>0.367985283386037</c:v>
                </c:pt>
                <c:pt idx="123">
                  <c:v>0.365540050743023</c:v>
                </c:pt>
                <c:pt idx="124">
                  <c:v>0.363127100336054</c:v>
                </c:pt>
                <c:pt idx="125">
                  <c:v>0.360745797066889</c:v>
                </c:pt>
                <c:pt idx="126">
                  <c:v>0.35839552238806</c:v>
                </c:pt>
                <c:pt idx="127">
                  <c:v>0.356075673767212</c:v>
                </c:pt>
                <c:pt idx="128">
                  <c:v>0.353785664172124</c:v>
                </c:pt>
                <c:pt idx="129">
                  <c:v>0.351524921575462</c:v>
                </c:pt>
                <c:pt idx="130">
                  <c:v>0.349292888478411</c:v>
                </c:pt>
                <c:pt idx="131">
                  <c:v>0.347089021452335</c:v>
                </c:pt>
                <c:pt idx="132">
                  <c:v>0.344912790697674</c:v>
                </c:pt>
                <c:pt idx="133">
                  <c:v>0.34276367961935</c:v>
                </c:pt>
                <c:pt idx="134">
                  <c:v>0.340641184417924</c:v>
                </c:pt>
                <c:pt idx="135">
                  <c:v>0.338544813695871</c:v>
                </c:pt>
                <c:pt idx="136">
                  <c:v>0.336474088078292</c:v>
                </c:pt>
                <c:pt idx="137">
                  <c:v>0.334428539847463</c:v>
                </c:pt>
                <c:pt idx="138">
                  <c:v>0.332407712590639</c:v>
                </c:pt>
                <c:pt idx="139">
                  <c:v>0.330411160860544</c:v>
                </c:pt>
                <c:pt idx="140">
                  <c:v>0.328438449848024</c:v>
                </c:pt>
                <c:pt idx="141">
                  <c:v>0.326489155066365</c:v>
                </c:pt>
                <c:pt idx="142">
                  <c:v>0.324562862046771</c:v>
                </c:pt>
                <c:pt idx="143">
                  <c:v>0.322659166044577</c:v>
                </c:pt>
                <c:pt idx="144">
                  <c:v>0.320777671755725</c:v>
                </c:pt>
                <c:pt idx="145">
                  <c:v>0.318917993043112</c:v>
                </c:pt>
                <c:pt idx="146">
                  <c:v>0.317079752672396</c:v>
                </c:pt>
                <c:pt idx="147">
                  <c:v>0.315262582056893</c:v>
                </c:pt>
                <c:pt idx="148">
                  <c:v>0.313466121011189</c:v>
                </c:pt>
                <c:pt idx="149">
                  <c:v>0.311690017513135</c:v>
                </c:pt>
                <c:pt idx="150">
                  <c:v>0.309933927473878</c:v>
                </c:pt>
                <c:pt idx="151">
                  <c:v>0.308197514515636</c:v>
                </c:pt>
                <c:pt idx="152">
                  <c:v>0.306480449756888</c:v>
                </c:pt>
                <c:pt idx="153">
                  <c:v>0.304782411604714</c:v>
                </c:pt>
                <c:pt idx="154">
                  <c:v>0.303103085553997</c:v>
                </c:pt>
                <c:pt idx="155">
                  <c:v>0.301442163993225</c:v>
                </c:pt>
                <c:pt idx="156">
                  <c:v>0.299799346016647</c:v>
                </c:pt>
                <c:pt idx="157">
                  <c:v>0.298174337242535</c:v>
                </c:pt>
                <c:pt idx="158">
                  <c:v>0.296566849637326</c:v>
                </c:pt>
                <c:pt idx="159">
                  <c:v>0.294976601345423</c:v>
                </c:pt>
                <c:pt idx="160">
                  <c:v>0.293403316524438</c:v>
                </c:pt>
                <c:pt idx="161">
                  <c:v>0.291846725185685</c:v>
                </c:pt>
                <c:pt idx="162">
                  <c:v>0.290306563039724</c:v>
                </c:pt>
                <c:pt idx="163">
                  <c:v>0.28878257134676</c:v>
                </c:pt>
                <c:pt idx="164">
                  <c:v>0.287274496771743</c:v>
                </c:pt>
                <c:pt idx="165">
                  <c:v>0.285782091243978</c:v>
                </c:pt>
                <c:pt idx="166">
                  <c:v>0.284305111821086</c:v>
                </c:pt>
                <c:pt idx="167">
                  <c:v>0.282843320557166</c:v>
                </c:pt>
                <c:pt idx="168">
                  <c:v>0.281396484375</c:v>
                </c:pt>
                <c:pt idx="169">
                  <c:v>0.279964374942167</c:v>
                </c:pt>
                <c:pt idx="170">
                  <c:v>0.278546768550911</c:v>
                </c:pt>
                <c:pt idx="171">
                  <c:v>0.277143446001649</c:v>
                </c:pt>
                <c:pt idx="172">
                  <c:v>0.275754192489974</c:v>
                </c:pt>
                <c:pt idx="173">
                  <c:v>0.274378797497053</c:v>
                </c:pt>
                <c:pt idx="174">
                  <c:v>0.27301705468327</c:v>
                </c:pt>
                <c:pt idx="175">
                  <c:v>0.271668761785041</c:v>
                </c:pt>
                <c:pt idx="176">
                  <c:v>0.270333720514653</c:v>
                </c:pt>
                <c:pt idx="177">
                  <c:v>0.269011736463057</c:v>
                </c:pt>
                <c:pt idx="178">
                  <c:v>0.267702619005486</c:v>
                </c:pt>
                <c:pt idx="179">
                  <c:v>0.266406181209827</c:v>
                </c:pt>
                <c:pt idx="180">
                  <c:v>0.265122239747634</c:v>
                </c:pt>
                <c:pt idx="181">
                  <c:v>0.263850614807709</c:v>
                </c:pt>
                <c:pt idx="182">
                  <c:v>0.262591130012151</c:v>
                </c:pt>
                <c:pt idx="183">
                  <c:v>0.261343612334802</c:v>
                </c:pt>
                <c:pt idx="184">
                  <c:v>0.260107892022008</c:v>
                </c:pt>
                <c:pt idx="185">
                  <c:v>0.258883802515616</c:v>
                </c:pt>
                <c:pt idx="186">
                  <c:v>0.25767118037813</c:v>
                </c:pt>
                <c:pt idx="187">
                  <c:v>0.256469865219971</c:v>
                </c:pt>
                <c:pt idx="188">
                  <c:v>0.255279699628755</c:v>
                </c:pt>
                <c:pt idx="189">
                  <c:v>0.254100529100529</c:v>
                </c:pt>
                <c:pt idx="190">
                  <c:v>0.252932201972914</c:v>
                </c:pt>
                <c:pt idx="191">
                  <c:v>0.251774569360073</c:v>
                </c:pt>
                <c:pt idx="192">
                  <c:v>0.250627485089463</c:v>
                </c:pt>
                <c:pt idx="193">
                  <c:v>0.249490805640307</c:v>
                </c:pt>
                <c:pt idx="194">
                  <c:v>0.24836439008373</c:v>
                </c:pt>
                <c:pt idx="195">
                  <c:v>0.247248100024516</c:v>
                </c:pt>
                <c:pt idx="196">
                  <c:v>0.246141799544419</c:v>
                </c:pt>
                <c:pt idx="197">
                  <c:v>0.245045355146999</c:v>
                </c:pt>
                <c:pt idx="198">
                  <c:v>0.243958635703919</c:v>
                </c:pt>
                <c:pt idx="199">
                  <c:v>0.242881512402665</c:v>
                </c:pt>
                <c:pt idx="200">
                  <c:v>0.241813858695652</c:v>
                </c:pt>
              </c:numCache>
            </c:numRef>
          </c:yVal>
          <c:smooth val="0"/>
        </c:ser>
        <c:axId val="9918584"/>
        <c:axId val="66499285"/>
      </c:scatterChart>
      <c:valAx>
        <c:axId val="43119078"/>
        <c:scaling>
          <c:orientation val="minMax"/>
          <c:max val="18"/>
          <c:min val="6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Input</a:t>
                </a:r>
                <a:r>
                  <a:rPr b="1" lang="en-US" sz="12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 Voltage (V)</a:t>
                </a:r>
              </a:p>
            </c:rich>
          </c:tx>
          <c:layout>
            <c:manualLayout>
              <c:xMode val="edge"/>
              <c:yMode val="edge"/>
              <c:x val="0.420422702445975"/>
              <c:y val="0.943458050750591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2284658"/>
        <c:crosses val="autoZero"/>
        <c:crossBetween val="midCat"/>
      </c:valAx>
      <c:valAx>
        <c:axId val="62284658"/>
        <c:scaling>
          <c:orientation val="minMax"/>
          <c:max val="0.55"/>
          <c:min val="0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ff0000"/>
                    </a:solidFill>
                    <a:uFillTx/>
                    <a:latin typeface="Arial"/>
                    <a:ea typeface="Arial"/>
                  </a:rPr>
                  <a:t>Boost Duty Cycle</a:t>
                </a:r>
              </a:p>
            </c:rich>
          </c:tx>
          <c:layout>
            <c:manualLayout>
              <c:xMode val="edge"/>
              <c:yMode val="edge"/>
              <c:x val="0.0173830444075042"/>
              <c:y val="0.362798140669054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100" strike="noStrike" u="none">
                <a:solidFill>
                  <a:srgbClr val="ff0000"/>
                </a:solidFill>
                <a:uFillTx/>
                <a:latin typeface="Arial"/>
                <a:ea typeface="Arial"/>
              </a:defRPr>
            </a:pPr>
          </a:p>
        </c:txPr>
        <c:crossAx val="43119078"/>
        <c:crosses val="autoZero"/>
        <c:crossBetween val="midCat"/>
        <c:majorUnit val="0.1"/>
        <c:minorUnit val="0.05"/>
      </c:valAx>
      <c:valAx>
        <c:axId val="9918584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9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6499285"/>
        <c:crossBetween val="midCat"/>
      </c:valAx>
      <c:valAx>
        <c:axId val="66499285"/>
        <c:scaling>
          <c:orientation val="minMax"/>
          <c:max val="1.05"/>
          <c:min val="0.5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0000ff"/>
                    </a:solidFill>
                    <a:uFillTx/>
                    <a:latin typeface="Arial"/>
                    <a:ea typeface="Arial"/>
                  </a:rPr>
                  <a:t>Buck Duty Cycle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1" sz="1050" strike="noStrike" u="none">
                <a:solidFill>
                  <a:srgbClr val="0000ff"/>
                </a:solidFill>
                <a:uFillTx/>
                <a:latin typeface="Arial"/>
                <a:ea typeface="Arial"/>
              </a:defRPr>
            </a:pPr>
          </a:p>
        </c:txPr>
        <c:crossAx val="9918584"/>
        <c:crosses val="max"/>
        <c:crossBetween val="midCat"/>
        <c:majorUnit val="0.1"/>
      </c:valAx>
      <c:spPr>
        <a:gradFill>
          <a:gsLst>
            <a:gs pos="0">
              <a:srgbClr val="9ab4e4"/>
            </a:gs>
            <a:gs pos="50000">
              <a:srgbClr val="c1d1ec"/>
            </a:gs>
            <a:gs pos="100000">
              <a:srgbClr val="e0e8f5"/>
            </a:gs>
          </a:gsLst>
          <a:lin ang="5400000"/>
        </a:gra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737733161840826"/>
          <c:y val="0.141129032258065"/>
          <c:w val="0.153608069907596"/>
          <c:h val="0.107866819066971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105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noFill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 MOSFET Temp Rise</a:t>
            </a:r>
          </a:p>
        </c:rich>
      </c:tx>
      <c:layout>
        <c:manualLayout>
          <c:xMode val="edge"/>
          <c:yMode val="edge"/>
          <c:x val="0.102272727272727"/>
          <c:y val="0.0539694371971674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27990430622"/>
          <c:y val="0.157584793142005"/>
          <c:w val="0.856110446570973"/>
          <c:h val="0.71710771524413"/>
        </c:manualLayout>
      </c:layout>
      <c:scatterChart>
        <c:scatterStyle val="line"/>
        <c:varyColors val="0"/>
        <c:ser>
          <c:idx val="0"/>
          <c:order val="0"/>
          <c:tx>
            <c:strRef>
              <c:f>'Efficiency vs Load Calculations'!$BE$8</c:f>
              <c:strCache>
                <c:ptCount val="1"/>
                <c:pt idx="0">
                  <c:v>Boost ''CONTROL'' MOSFET Temp Rise</c:v>
                </c:pt>
              </c:strCache>
            </c:strRef>
          </c:tx>
          <c:spPr>
            <a:solidFill>
              <a:srgbClr val="000080"/>
            </a:solidFill>
            <a:ln w="31680">
              <a:solidFill>
                <a:srgbClr val="00008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16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Load Calculations'!$K$9:$K$109</c:f>
              <c:numCache>
                <c:formatCode>General</c:formatCode>
                <c:ptCount val="1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1.14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</c:v>
                </c:pt>
                <c:pt idx="38">
                  <c:v>2.28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4.02</c:v>
                </c:pt>
                <c:pt idx="68">
                  <c:v>4.08</c:v>
                </c:pt>
                <c:pt idx="69">
                  <c:v>4.14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</c:v>
                </c:pt>
                <c:pt idx="75">
                  <c:v>4.5</c:v>
                </c:pt>
                <c:pt idx="76">
                  <c:v>4.56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</c:v>
                </c:pt>
                <c:pt idx="82">
                  <c:v>4.92</c:v>
                </c:pt>
                <c:pt idx="83">
                  <c:v>4.98</c:v>
                </c:pt>
                <c:pt idx="84">
                  <c:v>5.04</c:v>
                </c:pt>
                <c:pt idx="85">
                  <c:v>5.1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'Efficiency vs Load Calculations'!$BE$9:$BE$109</c:f>
              <c:numCache>
                <c:formatCode>0.0</c:formatCode>
                <c:ptCount val="101"/>
                <c:pt idx="0">
                  <c:v>3.70555885061543</c:v>
                </c:pt>
                <c:pt idx="1">
                  <c:v>3.7429967764355</c:v>
                </c:pt>
                <c:pt idx="2">
                  <c:v>3.78046655390947</c:v>
                </c:pt>
                <c:pt idx="3">
                  <c:v>3.81796818307864</c:v>
                </c:pt>
                <c:pt idx="4">
                  <c:v>3.85550166401182</c:v>
                </c:pt>
                <c:pt idx="5">
                  <c:v>3.89306699680536</c:v>
                </c:pt>
                <c:pt idx="6">
                  <c:v>3.93066418158312</c:v>
                </c:pt>
                <c:pt idx="7">
                  <c:v>3.96829321849652</c:v>
                </c:pt>
                <c:pt idx="8">
                  <c:v>4.00595410772446</c:v>
                </c:pt>
                <c:pt idx="9">
                  <c:v>4.04364684947342</c:v>
                </c:pt>
                <c:pt idx="10">
                  <c:v>4.08137144397737</c:v>
                </c:pt>
                <c:pt idx="11">
                  <c:v>4.11912789149783</c:v>
                </c:pt>
                <c:pt idx="12">
                  <c:v>4.15691619232383</c:v>
                </c:pt>
                <c:pt idx="13">
                  <c:v>4.19473634677196</c:v>
                </c:pt>
                <c:pt idx="14">
                  <c:v>4.23258835518631</c:v>
                </c:pt>
                <c:pt idx="15">
                  <c:v>4.27047221793853</c:v>
                </c:pt>
                <c:pt idx="16">
                  <c:v>4.30838793542777</c:v>
                </c:pt>
                <c:pt idx="17">
                  <c:v>4.34633550808075</c:v>
                </c:pt>
                <c:pt idx="18">
                  <c:v>4.38431493635168</c:v>
                </c:pt>
                <c:pt idx="19">
                  <c:v>4.42232622072236</c:v>
                </c:pt>
                <c:pt idx="20">
                  <c:v>4.46036936170207</c:v>
                </c:pt>
                <c:pt idx="21">
                  <c:v>4.49844435982767</c:v>
                </c:pt>
                <c:pt idx="22">
                  <c:v>4.53655121566353</c:v>
                </c:pt>
                <c:pt idx="23">
                  <c:v>4.57468992980157</c:v>
                </c:pt>
                <c:pt idx="24">
                  <c:v>4.61286050286125</c:v>
                </c:pt>
                <c:pt idx="25">
                  <c:v>4.65106293548958</c:v>
                </c:pt>
                <c:pt idx="26">
                  <c:v>4.6892972283611</c:v>
                </c:pt>
                <c:pt idx="27">
                  <c:v>4.72756338217789</c:v>
                </c:pt>
                <c:pt idx="28">
                  <c:v>4.7658613976696</c:v>
                </c:pt>
                <c:pt idx="29">
                  <c:v>4.8041912755934</c:v>
                </c:pt>
                <c:pt idx="30">
                  <c:v>4.84255301673403</c:v>
                </c:pt>
                <c:pt idx="31">
                  <c:v>4.88094662190376</c:v>
                </c:pt>
                <c:pt idx="32">
                  <c:v>4.91937209194243</c:v>
                </c:pt>
                <c:pt idx="33">
                  <c:v>4.95782942771742</c:v>
                </c:pt>
                <c:pt idx="34">
                  <c:v>4.99631863012368</c:v>
                </c:pt>
                <c:pt idx="35">
                  <c:v>5.0348397000837</c:v>
                </c:pt>
                <c:pt idx="36">
                  <c:v>5.07339263854754</c:v>
                </c:pt>
                <c:pt idx="37">
                  <c:v>5.11197744649283</c:v>
                </c:pt>
                <c:pt idx="38">
                  <c:v>5.15059412492474</c:v>
                </c:pt>
                <c:pt idx="39">
                  <c:v>5.18924267487602</c:v>
                </c:pt>
                <c:pt idx="40">
                  <c:v>5.22792309740699</c:v>
                </c:pt>
                <c:pt idx="41">
                  <c:v>5.26663539360552</c:v>
                </c:pt>
                <c:pt idx="42">
                  <c:v>5.30537956458707</c:v>
                </c:pt>
                <c:pt idx="43">
                  <c:v>5.34415561149468</c:v>
                </c:pt>
                <c:pt idx="44">
                  <c:v>5.38296353549895</c:v>
                </c:pt>
                <c:pt idx="45">
                  <c:v>5.42180333779805</c:v>
                </c:pt>
                <c:pt idx="46">
                  <c:v>5.46067501961775</c:v>
                </c:pt>
                <c:pt idx="47">
                  <c:v>5.49957858221141</c:v>
                </c:pt>
                <c:pt idx="48">
                  <c:v>5.53851402685995</c:v>
                </c:pt>
                <c:pt idx="49">
                  <c:v>5.57748135487189</c:v>
                </c:pt>
                <c:pt idx="50">
                  <c:v>5.61648056758336</c:v>
                </c:pt>
                <c:pt idx="51">
                  <c:v>5.65551166635804</c:v>
                </c:pt>
                <c:pt idx="52">
                  <c:v>5.69457465258726</c:v>
                </c:pt>
                <c:pt idx="53">
                  <c:v>5.7336695276899</c:v>
                </c:pt>
                <c:pt idx="54">
                  <c:v>5.77279629311248</c:v>
                </c:pt>
                <c:pt idx="55">
                  <c:v>5.8119549503291</c:v>
                </c:pt>
                <c:pt idx="56">
                  <c:v>5.85114550084149</c:v>
                </c:pt>
                <c:pt idx="57">
                  <c:v>5.89036794617896</c:v>
                </c:pt>
                <c:pt idx="58">
                  <c:v>5.92962228789848</c:v>
                </c:pt>
                <c:pt idx="59">
                  <c:v>5.96890852758459</c:v>
                </c:pt>
                <c:pt idx="60">
                  <c:v>6.00822666684948</c:v>
                </c:pt>
                <c:pt idx="61">
                  <c:v>6.04757670733295</c:v>
                </c:pt>
                <c:pt idx="62">
                  <c:v>6.08695865070245</c:v>
                </c:pt>
                <c:pt idx="63">
                  <c:v>6.12637249865302</c:v>
                </c:pt>
                <c:pt idx="64">
                  <c:v>6.16581825290738</c:v>
                </c:pt>
                <c:pt idx="65">
                  <c:v>6.20529591521585</c:v>
                </c:pt>
                <c:pt idx="66">
                  <c:v>6.24480548735642</c:v>
                </c:pt>
                <c:pt idx="67">
                  <c:v>6.2843469711347</c:v>
                </c:pt>
                <c:pt idx="68">
                  <c:v>6.32392036838396</c:v>
                </c:pt>
                <c:pt idx="69">
                  <c:v>6.36352568096513</c:v>
                </c:pt>
                <c:pt idx="70">
                  <c:v>6.40316291076678</c:v>
                </c:pt>
                <c:pt idx="71">
                  <c:v>6.44283205970516</c:v>
                </c:pt>
                <c:pt idx="72">
                  <c:v>6.48253312972416</c:v>
                </c:pt>
                <c:pt idx="73">
                  <c:v>6.52226612279536</c:v>
                </c:pt>
                <c:pt idx="74">
                  <c:v>6.56203104091799</c:v>
                </c:pt>
                <c:pt idx="75">
                  <c:v>6.60182788611896</c:v>
                </c:pt>
                <c:pt idx="76">
                  <c:v>6.64165666045289</c:v>
                </c:pt>
                <c:pt idx="77">
                  <c:v>6.68151736600204</c:v>
                </c:pt>
                <c:pt idx="78">
                  <c:v>6.72141000487638</c:v>
                </c:pt>
                <c:pt idx="79">
                  <c:v>6.76133457921358</c:v>
                </c:pt>
                <c:pt idx="80">
                  <c:v>6.80129109117898</c:v>
                </c:pt>
                <c:pt idx="81">
                  <c:v>6.84127954296566</c:v>
                </c:pt>
                <c:pt idx="82">
                  <c:v>6.88129993679437</c:v>
                </c:pt>
                <c:pt idx="83">
                  <c:v>6.92135227491359</c:v>
                </c:pt>
                <c:pt idx="84">
                  <c:v>6.9614365595995</c:v>
                </c:pt>
                <c:pt idx="85">
                  <c:v>7.00155279315601</c:v>
                </c:pt>
                <c:pt idx="86">
                  <c:v>7.04170097791477</c:v>
                </c:pt>
                <c:pt idx="87">
                  <c:v>7.08188111623511</c:v>
                </c:pt>
                <c:pt idx="88">
                  <c:v>7.12209321050415</c:v>
                </c:pt>
                <c:pt idx="89">
                  <c:v>7.16233726313671</c:v>
                </c:pt>
                <c:pt idx="90">
                  <c:v>7.20261327657537</c:v>
                </c:pt>
                <c:pt idx="91">
                  <c:v>7.24292125329044</c:v>
                </c:pt>
                <c:pt idx="92">
                  <c:v>7.28326119578002</c:v>
                </c:pt>
                <c:pt idx="93">
                  <c:v>7.32363310656993</c:v>
                </c:pt>
                <c:pt idx="94">
                  <c:v>7.36403698821377</c:v>
                </c:pt>
                <c:pt idx="95">
                  <c:v>7.4044728432929</c:v>
                </c:pt>
                <c:pt idx="96">
                  <c:v>7.44494067441648</c:v>
                </c:pt>
                <c:pt idx="97">
                  <c:v>7.48544048422142</c:v>
                </c:pt>
                <c:pt idx="98">
                  <c:v>7.52597227537242</c:v>
                </c:pt>
                <c:pt idx="99">
                  <c:v>7.56653605056197</c:v>
                </c:pt>
                <c:pt idx="100">
                  <c:v>7.60713181251038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'Efficiency vs Load Calculations'!$BF$8</c:f>
              <c:strCache>
                <c:ptCount val="1"/>
                <c:pt idx="0">
                  <c:v>Boost ''SYNC'' MOSFET Temp Rise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Load Calculations'!$K$9:$K$109</c:f>
              <c:numCache>
                <c:formatCode>General</c:formatCode>
                <c:ptCount val="1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1.14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</c:v>
                </c:pt>
                <c:pt idx="38">
                  <c:v>2.28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4.02</c:v>
                </c:pt>
                <c:pt idx="68">
                  <c:v>4.08</c:v>
                </c:pt>
                <c:pt idx="69">
                  <c:v>4.14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</c:v>
                </c:pt>
                <c:pt idx="75">
                  <c:v>4.5</c:v>
                </c:pt>
                <c:pt idx="76">
                  <c:v>4.56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</c:v>
                </c:pt>
                <c:pt idx="82">
                  <c:v>4.92</c:v>
                </c:pt>
                <c:pt idx="83">
                  <c:v>4.98</c:v>
                </c:pt>
                <c:pt idx="84">
                  <c:v>5.04</c:v>
                </c:pt>
                <c:pt idx="85">
                  <c:v>5.1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'Efficiency vs Load Calculations'!$BF$9:$BF$109</c:f>
              <c:numCache>
                <c:formatCode>0.0</c:formatCode>
                <c:ptCount val="101"/>
                <c:pt idx="0">
                  <c:v>0.9801</c:v>
                </c:pt>
                <c:pt idx="1">
                  <c:v>1.03916863973124</c:v>
                </c:pt>
                <c:pt idx="2">
                  <c:v>1.09895279427687</c:v>
                </c:pt>
                <c:pt idx="3">
                  <c:v>1.15945282590765</c:v>
                </c:pt>
                <c:pt idx="4">
                  <c:v>1.22066910922687</c:v>
                </c:pt>
                <c:pt idx="5">
                  <c:v>1.28260203118151</c:v>
                </c:pt>
                <c:pt idx="6">
                  <c:v>1.34525199107392</c:v>
                </c:pt>
                <c:pt idx="7">
                  <c:v>1.40861940057409</c:v>
                </c:pt>
                <c:pt idx="8">
                  <c:v>1.47270468373238</c:v>
                </c:pt>
                <c:pt idx="9">
                  <c:v>1.53750827699288</c:v>
                </c:pt>
                <c:pt idx="10">
                  <c:v>1.60303062920719</c:v>
                </c:pt>
                <c:pt idx="11">
                  <c:v>1.66927220164884</c:v>
                </c:pt>
                <c:pt idx="12">
                  <c:v>1.73623346802814</c:v>
                </c:pt>
                <c:pt idx="13">
                  <c:v>1.8039149145077</c:v>
                </c:pt>
                <c:pt idx="14">
                  <c:v>1.87231703971835</c:v>
                </c:pt>
                <c:pt idx="15">
                  <c:v>1.94144035477571</c:v>
                </c:pt>
                <c:pt idx="16">
                  <c:v>2.0112853832972</c:v>
                </c:pt>
                <c:pt idx="17">
                  <c:v>2.08185266141972</c:v>
                </c:pt>
                <c:pt idx="18">
                  <c:v>2.15314273781772</c:v>
                </c:pt>
                <c:pt idx="19">
                  <c:v>2.22515617372195</c:v>
                </c:pt>
                <c:pt idx="20">
                  <c:v>2.29789354293865</c:v>
                </c:pt>
                <c:pt idx="21">
                  <c:v>2.37135543186939</c:v>
                </c:pt>
                <c:pt idx="22">
                  <c:v>2.44554243953136</c:v>
                </c:pt>
                <c:pt idx="23">
                  <c:v>2.52045517757825</c:v>
                </c:pt>
                <c:pt idx="24">
                  <c:v>2.59609427032172</c:v>
                </c:pt>
                <c:pt idx="25">
                  <c:v>2.67246035475333</c:v>
                </c:pt>
                <c:pt idx="26">
                  <c:v>2.74955408056716</c:v>
                </c:pt>
                <c:pt idx="27">
                  <c:v>2.8273761101828</c:v>
                </c:pt>
                <c:pt idx="28">
                  <c:v>2.9059271187691</c:v>
                </c:pt>
                <c:pt idx="29">
                  <c:v>2.98520779426832</c:v>
                </c:pt>
                <c:pt idx="30">
                  <c:v>3.06521883742094</c:v>
                </c:pt>
                <c:pt idx="31">
                  <c:v>3.14596096179098</c:v>
                </c:pt>
                <c:pt idx="32">
                  <c:v>3.22743489379187</c:v>
                </c:pt>
                <c:pt idx="33">
                  <c:v>3.30964137271298</c:v>
                </c:pt>
                <c:pt idx="34">
                  <c:v>3.3925811507466</c:v>
                </c:pt>
                <c:pt idx="35">
                  <c:v>3.47625499301558</c:v>
                </c:pt>
                <c:pt idx="36">
                  <c:v>3.56066367760148</c:v>
                </c:pt>
                <c:pt idx="37">
                  <c:v>3.64580799557334</c:v>
                </c:pt>
                <c:pt idx="38">
                  <c:v>3.73168875101702</c:v>
                </c:pt>
                <c:pt idx="39">
                  <c:v>3.81830676106506</c:v>
                </c:pt>
                <c:pt idx="40">
                  <c:v>3.90566285592722</c:v>
                </c:pt>
                <c:pt idx="41">
                  <c:v>3.99375787892152</c:v>
                </c:pt>
                <c:pt idx="42">
                  <c:v>4.08259268650594</c:v>
                </c:pt>
                <c:pt idx="43">
                  <c:v>4.17216814831058</c:v>
                </c:pt>
                <c:pt idx="44">
                  <c:v>4.2624851471706</c:v>
                </c:pt>
                <c:pt idx="45">
                  <c:v>4.35354457915957</c:v>
                </c:pt>
                <c:pt idx="46">
                  <c:v>4.44534735362352</c:v>
                </c:pt>
                <c:pt idx="47">
                  <c:v>4.5378943932156</c:v>
                </c:pt>
                <c:pt idx="48">
                  <c:v>4.63118663393122</c:v>
                </c:pt>
                <c:pt idx="49">
                  <c:v>4.72522502514396</c:v>
                </c:pt>
                <c:pt idx="50">
                  <c:v>4.82001052964194</c:v>
                </c:pt>
                <c:pt idx="51">
                  <c:v>4.9155441236649</c:v>
                </c:pt>
                <c:pt idx="52">
                  <c:v>5.01182679694184</c:v>
                </c:pt>
                <c:pt idx="53">
                  <c:v>5.10885955272927</c:v>
                </c:pt>
                <c:pt idx="54">
                  <c:v>5.20664340785013</c:v>
                </c:pt>
                <c:pt idx="55">
                  <c:v>5.30517939273327</c:v>
                </c:pt>
                <c:pt idx="56">
                  <c:v>5.40446855145356</c:v>
                </c:pt>
                <c:pt idx="57">
                  <c:v>5.5045119417727</c:v>
                </c:pt>
                <c:pt idx="58">
                  <c:v>5.60531063518056</c:v>
                </c:pt>
                <c:pt idx="59">
                  <c:v>5.70686571693721</c:v>
                </c:pt>
                <c:pt idx="60">
                  <c:v>5.80917828611557</c:v>
                </c:pt>
                <c:pt idx="61">
                  <c:v>5.91224945564471</c:v>
                </c:pt>
                <c:pt idx="62">
                  <c:v>6.01608035235378</c:v>
                </c:pt>
                <c:pt idx="63">
                  <c:v>6.12067211701662</c:v>
                </c:pt>
                <c:pt idx="64">
                  <c:v>6.22602590439694</c:v>
                </c:pt>
                <c:pt idx="65">
                  <c:v>6.33214288329424</c:v>
                </c:pt>
                <c:pt idx="66">
                  <c:v>6.43902423659035</c:v>
                </c:pt>
                <c:pt idx="67">
                  <c:v>6.54667116129666</c:v>
                </c:pt>
                <c:pt idx="68">
                  <c:v>6.6550848686019</c:v>
                </c:pt>
                <c:pt idx="69">
                  <c:v>6.76426658392078</c:v>
                </c:pt>
                <c:pt idx="70">
                  <c:v>6.87421754694314</c:v>
                </c:pt>
                <c:pt idx="71">
                  <c:v>6.98493901168384</c:v>
                </c:pt>
                <c:pt idx="72">
                  <c:v>7.09643224653333</c:v>
                </c:pt>
                <c:pt idx="73">
                  <c:v>7.2086985343089</c:v>
                </c:pt>
                <c:pt idx="74">
                  <c:v>7.32173917230662</c:v>
                </c:pt>
                <c:pt idx="75">
                  <c:v>7.43555547235394</c:v>
                </c:pt>
                <c:pt idx="76">
                  <c:v>7.55014876086304</c:v>
                </c:pt>
                <c:pt idx="77">
                  <c:v>7.66552037888485</c:v>
                </c:pt>
                <c:pt idx="78">
                  <c:v>7.78167168216378</c:v>
                </c:pt>
                <c:pt idx="79">
                  <c:v>7.89860404119314</c:v>
                </c:pt>
                <c:pt idx="80">
                  <c:v>8.01631884127132</c:v>
                </c:pt>
                <c:pt idx="81">
                  <c:v>8.13481748255863</c:v>
                </c:pt>
                <c:pt idx="82">
                  <c:v>8.25410138013491</c:v>
                </c:pt>
                <c:pt idx="83">
                  <c:v>8.37417196405788</c:v>
                </c:pt>
                <c:pt idx="84">
                  <c:v>8.49503067942212</c:v>
                </c:pt>
                <c:pt idx="85">
                  <c:v>8.61667898641893</c:v>
                </c:pt>
                <c:pt idx="86">
                  <c:v>8.73911836039682</c:v>
                </c:pt>
                <c:pt idx="87">
                  <c:v>8.8623502919228</c:v>
                </c:pt>
                <c:pt idx="88">
                  <c:v>8.98637628684444</c:v>
                </c:pt>
                <c:pt idx="89">
                  <c:v>9.1111978663526</c:v>
                </c:pt>
                <c:pt idx="90">
                  <c:v>9.23681656704504</c:v>
                </c:pt>
                <c:pt idx="91">
                  <c:v>9.36323394099066</c:v>
                </c:pt>
                <c:pt idx="92">
                  <c:v>9.49045155579469</c:v>
                </c:pt>
                <c:pt idx="93">
                  <c:v>9.61847099466448</c:v>
                </c:pt>
                <c:pt idx="94">
                  <c:v>9.74729385647618</c:v>
                </c:pt>
                <c:pt idx="95">
                  <c:v>9.87692175584217</c:v>
                </c:pt>
                <c:pt idx="96">
                  <c:v>10.0073563231793</c:v>
                </c:pt>
                <c:pt idx="97">
                  <c:v>10.138599204778</c:v>
                </c:pt>
                <c:pt idx="98">
                  <c:v>10.2706520628718</c:v>
                </c:pt>
                <c:pt idx="99">
                  <c:v>10.4035165757086</c:v>
                </c:pt>
                <c:pt idx="100">
                  <c:v>10.5371944376214</c:v>
                </c:pt>
              </c:numCache>
            </c:numRef>
          </c:yVal>
          <c:smooth val="0"/>
        </c:ser>
        <c:axId val="45183206"/>
        <c:axId val="22967766"/>
      </c:scatterChart>
      <c:valAx>
        <c:axId val="45183206"/>
        <c:scaling>
          <c:orientation val="minMax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Input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 Voltage (V)</a:t>
                </a:r>
              </a:p>
            </c:rich>
          </c:tx>
          <c:layout>
            <c:manualLayout>
              <c:xMode val="edge"/>
              <c:yMode val="edge"/>
              <c:x val="0.470494417862839"/>
              <c:y val="0.93790532985464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9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22967766"/>
        <c:crosses val="autoZero"/>
        <c:crossBetween val="midCat"/>
      </c:valAx>
      <c:valAx>
        <c:axId val="22967766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Temperature (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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0138058213716108"/>
              <c:y val="0.403727171077152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9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45183206"/>
        <c:crosses val="autoZero"/>
        <c:crossBetween val="midCat"/>
      </c:valAx>
      <c:spPr>
        <a:gradFill>
          <a:gsLst>
            <a:gs pos="0">
              <a:srgbClr val="9ab4e4"/>
            </a:gs>
            <a:gs pos="50000">
              <a:srgbClr val="c1d1ec"/>
            </a:gs>
            <a:gs pos="100000">
              <a:srgbClr val="e0e8f5"/>
            </a:gs>
          </a:gsLst>
          <a:lin ang="5400000"/>
        </a:gradFill>
        <a:ln w="12600">
          <a:solidFill>
            <a:srgbClr val="808080"/>
          </a:solidFill>
          <a:round/>
        </a:ln>
      </c:spPr>
    </c:plotArea>
    <c:legend>
      <c:legendPos val="t"/>
      <c:layout>
        <c:manualLayout>
          <c:xMode val="edge"/>
          <c:yMode val="edge"/>
          <c:x val="0.60965366061086"/>
          <c:y val="0.0206204993606568"/>
          <c:w val="0.351320840481532"/>
          <c:h val="0.0986075261302396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0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MOSFET &amp;</a:t>
            </a: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 Inductor</a:t>
            </a: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 Power Dissipation</a:t>
            </a:r>
          </a:p>
        </c:rich>
      </c:tx>
      <c:layout>
        <c:manualLayout>
          <c:xMode val="edge"/>
          <c:yMode val="edge"/>
          <c:x val="0.137375056507107"/>
          <c:y val="0.0490704053642182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986789894018"/>
          <c:y val="0.159250228588845"/>
          <c:w val="0.847104324677282"/>
          <c:h val="0.703596464492533"/>
        </c:manualLayout>
      </c:layout>
      <c:scatterChart>
        <c:scatterStyle val="line"/>
        <c:varyColors val="0"/>
        <c:ser>
          <c:idx val="0"/>
          <c:order val="0"/>
          <c:tx>
            <c:strRef>
              <c:f>'Efficiency vs Load Calculations'!$BK$8</c:f>
              <c:strCache>
                <c:ptCount val="1"/>
                <c:pt idx="0">
                  <c:v>Boost ''Control'' MOSFET Loss</c:v>
                </c:pt>
              </c:strCache>
            </c:strRef>
          </c:tx>
          <c:spPr>
            <a:solidFill>
              <a:srgbClr val="000080"/>
            </a:solidFill>
            <a:ln w="25560">
              <a:solidFill>
                <a:srgbClr val="000080"/>
              </a:solidFill>
              <a:prstDash val="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Load Calculations'!$K$9:$K$109</c:f>
              <c:numCache>
                <c:formatCode>General</c:formatCode>
                <c:ptCount val="1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1.14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</c:v>
                </c:pt>
                <c:pt idx="38">
                  <c:v>2.28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4.02</c:v>
                </c:pt>
                <c:pt idx="68">
                  <c:v>4.08</c:v>
                </c:pt>
                <c:pt idx="69">
                  <c:v>4.14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</c:v>
                </c:pt>
                <c:pt idx="75">
                  <c:v>4.5</c:v>
                </c:pt>
                <c:pt idx="76">
                  <c:v>4.56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</c:v>
                </c:pt>
                <c:pt idx="82">
                  <c:v>4.92</c:v>
                </c:pt>
                <c:pt idx="83">
                  <c:v>4.98</c:v>
                </c:pt>
                <c:pt idx="84">
                  <c:v>5.04</c:v>
                </c:pt>
                <c:pt idx="85">
                  <c:v>5.1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'Efficiency vs Load Calculations'!$BK$9:$BK$109</c:f>
              <c:numCache>
                <c:formatCode>0.000</c:formatCode>
                <c:ptCount val="101"/>
                <c:pt idx="0">
                  <c:v>0.0741111770123085</c:v>
                </c:pt>
                <c:pt idx="1">
                  <c:v>0.0748599355287099</c:v>
                </c:pt>
                <c:pt idx="2">
                  <c:v>0.0756093310781894</c:v>
                </c:pt>
                <c:pt idx="3">
                  <c:v>0.0763593636615728</c:v>
                </c:pt>
                <c:pt idx="4">
                  <c:v>0.0771100332802364</c:v>
                </c:pt>
                <c:pt idx="5">
                  <c:v>0.0778613399361072</c:v>
                </c:pt>
                <c:pt idx="6">
                  <c:v>0.0786132836316625</c:v>
                </c:pt>
                <c:pt idx="7">
                  <c:v>0.0793658643699303</c:v>
                </c:pt>
                <c:pt idx="8">
                  <c:v>0.0801190821544893</c:v>
                </c:pt>
                <c:pt idx="9">
                  <c:v>0.0808729369894684</c:v>
                </c:pt>
                <c:pt idx="10">
                  <c:v>0.0816274288795474</c:v>
                </c:pt>
                <c:pt idx="11">
                  <c:v>0.0823825578299565</c:v>
                </c:pt>
                <c:pt idx="12">
                  <c:v>0.0831383238464766</c:v>
                </c:pt>
                <c:pt idx="13">
                  <c:v>0.0838947269354392</c:v>
                </c:pt>
                <c:pt idx="14">
                  <c:v>0.0846517671037262</c:v>
                </c:pt>
                <c:pt idx="15">
                  <c:v>0.0854094443587705</c:v>
                </c:pt>
                <c:pt idx="16">
                  <c:v>0.0861677587085554</c:v>
                </c:pt>
                <c:pt idx="17">
                  <c:v>0.0869267101616149</c:v>
                </c:pt>
                <c:pt idx="18">
                  <c:v>0.0876862987270337</c:v>
                </c:pt>
                <c:pt idx="19">
                  <c:v>0.0884465244144471</c:v>
                </c:pt>
                <c:pt idx="20">
                  <c:v>0.0892073872340414</c:v>
                </c:pt>
                <c:pt idx="21">
                  <c:v>0.0899688871965533</c:v>
                </c:pt>
                <c:pt idx="22">
                  <c:v>0.0907310243132705</c:v>
                </c:pt>
                <c:pt idx="23">
                  <c:v>0.0914937985960313</c:v>
                </c:pt>
                <c:pt idx="24">
                  <c:v>0.092257210057225</c:v>
                </c:pt>
                <c:pt idx="25">
                  <c:v>0.0930212587097916</c:v>
                </c:pt>
                <c:pt idx="26">
                  <c:v>0.093785944567222</c:v>
                </c:pt>
                <c:pt idx="27">
                  <c:v>0.0945512676435579</c:v>
                </c:pt>
                <c:pt idx="28">
                  <c:v>0.095317227953392</c:v>
                </c:pt>
                <c:pt idx="29">
                  <c:v>0.096083825511868</c:v>
                </c:pt>
                <c:pt idx="30">
                  <c:v>0.0968510603346806</c:v>
                </c:pt>
                <c:pt idx="31">
                  <c:v>0.0976189324380752</c:v>
                </c:pt>
                <c:pt idx="32">
                  <c:v>0.0983874418388485</c:v>
                </c:pt>
                <c:pt idx="33">
                  <c:v>0.0991565885543484</c:v>
                </c:pt>
                <c:pt idx="34">
                  <c:v>0.0999263726024735</c:v>
                </c:pt>
                <c:pt idx="35">
                  <c:v>0.100696794001674</c:v>
                </c:pt>
                <c:pt idx="36">
                  <c:v>0.101467852770951</c:v>
                </c:pt>
                <c:pt idx="37">
                  <c:v>0.102239548929857</c:v>
                </c:pt>
                <c:pt idx="38">
                  <c:v>0.103011882498495</c:v>
                </c:pt>
                <c:pt idx="39">
                  <c:v>0.10378485349752</c:v>
                </c:pt>
                <c:pt idx="40">
                  <c:v>0.10455846194814</c:v>
                </c:pt>
                <c:pt idx="41">
                  <c:v>0.10533270787211</c:v>
                </c:pt>
                <c:pt idx="42">
                  <c:v>0.106107591291742</c:v>
                </c:pt>
                <c:pt idx="43">
                  <c:v>0.106883112229894</c:v>
                </c:pt>
                <c:pt idx="44">
                  <c:v>0.107659270709979</c:v>
                </c:pt>
                <c:pt idx="45">
                  <c:v>0.108436066755961</c:v>
                </c:pt>
                <c:pt idx="46">
                  <c:v>0.109213500392355</c:v>
                </c:pt>
                <c:pt idx="47">
                  <c:v>0.109991571644228</c:v>
                </c:pt>
                <c:pt idx="48">
                  <c:v>0.110770280537199</c:v>
                </c:pt>
                <c:pt idx="49">
                  <c:v>0.111549627097438</c:v>
                </c:pt>
                <c:pt idx="50">
                  <c:v>0.112329611351667</c:v>
                </c:pt>
                <c:pt idx="51">
                  <c:v>0.113110233327161</c:v>
                </c:pt>
                <c:pt idx="52">
                  <c:v>0.113891493051745</c:v>
                </c:pt>
                <c:pt idx="53">
                  <c:v>0.114673390553798</c:v>
                </c:pt>
                <c:pt idx="54">
                  <c:v>0.11545592586225</c:v>
                </c:pt>
                <c:pt idx="55">
                  <c:v>0.116239099006582</c:v>
                </c:pt>
                <c:pt idx="56">
                  <c:v>0.11702291001683</c:v>
                </c:pt>
                <c:pt idx="57">
                  <c:v>0.117807358923579</c:v>
                </c:pt>
                <c:pt idx="58">
                  <c:v>0.11859244575797</c:v>
                </c:pt>
                <c:pt idx="59">
                  <c:v>0.119378170551692</c:v>
                </c:pt>
                <c:pt idx="60">
                  <c:v>0.12016453333699</c:v>
                </c:pt>
                <c:pt idx="61">
                  <c:v>0.120951534146659</c:v>
                </c:pt>
                <c:pt idx="62">
                  <c:v>0.121739173014049</c:v>
                </c:pt>
                <c:pt idx="63">
                  <c:v>0.12252744997306</c:v>
                </c:pt>
                <c:pt idx="64">
                  <c:v>0.123316365058148</c:v>
                </c:pt>
                <c:pt idx="65">
                  <c:v>0.124105918304317</c:v>
                </c:pt>
                <c:pt idx="66">
                  <c:v>0.124896109747128</c:v>
                </c:pt>
                <c:pt idx="67">
                  <c:v>0.125686939422694</c:v>
                </c:pt>
                <c:pt idx="68">
                  <c:v>0.126478407367679</c:v>
                </c:pt>
                <c:pt idx="69">
                  <c:v>0.127270513619303</c:v>
                </c:pt>
                <c:pt idx="70">
                  <c:v>0.128063258215336</c:v>
                </c:pt>
                <c:pt idx="71">
                  <c:v>0.128856641194103</c:v>
                </c:pt>
                <c:pt idx="72">
                  <c:v>0.129650662594483</c:v>
                </c:pt>
                <c:pt idx="73">
                  <c:v>0.130445322455907</c:v>
                </c:pt>
                <c:pt idx="74">
                  <c:v>0.13124062081836</c:v>
                </c:pt>
                <c:pt idx="75">
                  <c:v>0.132036557722379</c:v>
                </c:pt>
                <c:pt idx="76">
                  <c:v>0.132833133209058</c:v>
                </c:pt>
                <c:pt idx="77">
                  <c:v>0.133630347320041</c:v>
                </c:pt>
                <c:pt idx="78">
                  <c:v>0.134428200097528</c:v>
                </c:pt>
                <c:pt idx="79">
                  <c:v>0.135226691584272</c:v>
                </c:pt>
                <c:pt idx="80">
                  <c:v>0.13602582182358</c:v>
                </c:pt>
                <c:pt idx="81">
                  <c:v>0.136825590859313</c:v>
                </c:pt>
                <c:pt idx="82">
                  <c:v>0.137625998735887</c:v>
                </c:pt>
                <c:pt idx="83">
                  <c:v>0.138427045498272</c:v>
                </c:pt>
                <c:pt idx="84">
                  <c:v>0.13922873119199</c:v>
                </c:pt>
                <c:pt idx="85">
                  <c:v>0.14003105586312</c:v>
                </c:pt>
                <c:pt idx="86">
                  <c:v>0.140834019558295</c:v>
                </c:pt>
                <c:pt idx="87">
                  <c:v>0.141637622324702</c:v>
                </c:pt>
                <c:pt idx="88">
                  <c:v>0.142441864210083</c:v>
                </c:pt>
                <c:pt idx="89">
                  <c:v>0.143246745262734</c:v>
                </c:pt>
                <c:pt idx="90">
                  <c:v>0.144052265531507</c:v>
                </c:pt>
                <c:pt idx="91">
                  <c:v>0.144858425065809</c:v>
                </c:pt>
                <c:pt idx="92">
                  <c:v>0.1456652239156</c:v>
                </c:pt>
                <c:pt idx="93">
                  <c:v>0.146472662131399</c:v>
                </c:pt>
                <c:pt idx="94">
                  <c:v>0.147280739764275</c:v>
                </c:pt>
                <c:pt idx="95">
                  <c:v>0.148089456865858</c:v>
                </c:pt>
                <c:pt idx="96">
                  <c:v>0.14889881348833</c:v>
                </c:pt>
                <c:pt idx="97">
                  <c:v>0.149708809684428</c:v>
                </c:pt>
                <c:pt idx="98">
                  <c:v>0.150519445507448</c:v>
                </c:pt>
                <c:pt idx="99">
                  <c:v>0.151330721011239</c:v>
                </c:pt>
                <c:pt idx="100">
                  <c:v>0.152142636250208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'Efficiency vs Load Calculations'!$BL$8</c:f>
              <c:strCache>
                <c:ptCount val="1"/>
                <c:pt idx="0">
                  <c:v>Boost ''SYNC'' MOSFET Loss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Load Calculations'!$K$9:$K$109</c:f>
              <c:numCache>
                <c:formatCode>General</c:formatCode>
                <c:ptCount val="1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1.14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</c:v>
                </c:pt>
                <c:pt idx="38">
                  <c:v>2.28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4.02</c:v>
                </c:pt>
                <c:pt idx="68">
                  <c:v>4.08</c:v>
                </c:pt>
                <c:pt idx="69">
                  <c:v>4.14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</c:v>
                </c:pt>
                <c:pt idx="75">
                  <c:v>4.5</c:v>
                </c:pt>
                <c:pt idx="76">
                  <c:v>4.56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</c:v>
                </c:pt>
                <c:pt idx="82">
                  <c:v>4.92</c:v>
                </c:pt>
                <c:pt idx="83">
                  <c:v>4.98</c:v>
                </c:pt>
                <c:pt idx="84">
                  <c:v>5.04</c:v>
                </c:pt>
                <c:pt idx="85">
                  <c:v>5.1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'Efficiency vs Load Calculations'!$BL$9:$BL$109</c:f>
              <c:numCache>
                <c:formatCode>0.000</c:formatCode>
                <c:ptCount val="101"/>
                <c:pt idx="0">
                  <c:v>0.019602</c:v>
                </c:pt>
                <c:pt idx="1">
                  <c:v>0.0207833727946249</c:v>
                </c:pt>
                <c:pt idx="2">
                  <c:v>0.0219790558855373</c:v>
                </c:pt>
                <c:pt idx="3">
                  <c:v>0.023189056518153</c:v>
                </c:pt>
                <c:pt idx="4">
                  <c:v>0.0244133821845375</c:v>
                </c:pt>
                <c:pt idx="5">
                  <c:v>0.0256520406236302</c:v>
                </c:pt>
                <c:pt idx="6">
                  <c:v>0.0269050398214785</c:v>
                </c:pt>
                <c:pt idx="7">
                  <c:v>0.0281723880114817</c:v>
                </c:pt>
                <c:pt idx="8">
                  <c:v>0.0294540936746476</c:v>
                </c:pt>
                <c:pt idx="9">
                  <c:v>0.0307501655398576</c:v>
                </c:pt>
                <c:pt idx="10">
                  <c:v>0.0320606125841439</c:v>
                </c:pt>
                <c:pt idx="11">
                  <c:v>0.0333854440329767</c:v>
                </c:pt>
                <c:pt idx="12">
                  <c:v>0.0347246693605628</c:v>
                </c:pt>
                <c:pt idx="13">
                  <c:v>0.036078298290154</c:v>
                </c:pt>
                <c:pt idx="14">
                  <c:v>0.0374463407943671</c:v>
                </c:pt>
                <c:pt idx="15">
                  <c:v>0.0388288070955142</c:v>
                </c:pt>
                <c:pt idx="16">
                  <c:v>0.0402257076659441</c:v>
                </c:pt>
                <c:pt idx="17">
                  <c:v>0.0416370532283944</c:v>
                </c:pt>
                <c:pt idx="18">
                  <c:v>0.0430628547563544</c:v>
                </c:pt>
                <c:pt idx="19">
                  <c:v>0.0445031234744389</c:v>
                </c:pt>
                <c:pt idx="20">
                  <c:v>0.045957870858773</c:v>
                </c:pt>
                <c:pt idx="21">
                  <c:v>0.0474271086373878</c:v>
                </c:pt>
                <c:pt idx="22">
                  <c:v>0.0489108487906272</c:v>
                </c:pt>
                <c:pt idx="23">
                  <c:v>0.050409103551565</c:v>
                </c:pt>
                <c:pt idx="24">
                  <c:v>0.0519218854064343</c:v>
                </c:pt>
                <c:pt idx="25">
                  <c:v>0.0534492070950667</c:v>
                </c:pt>
                <c:pt idx="26">
                  <c:v>0.0549910816113431</c:v>
                </c:pt>
                <c:pt idx="27">
                  <c:v>0.056547522203656</c:v>
                </c:pt>
                <c:pt idx="28">
                  <c:v>0.0581185423753819</c:v>
                </c:pt>
                <c:pt idx="29">
                  <c:v>0.0597041558853664</c:v>
                </c:pt>
                <c:pt idx="30">
                  <c:v>0.0613043767484189</c:v>
                </c:pt>
                <c:pt idx="31">
                  <c:v>0.0629192192358195</c:v>
                </c:pt>
                <c:pt idx="32">
                  <c:v>0.0645486978758374</c:v>
                </c:pt>
                <c:pt idx="33">
                  <c:v>0.0661928274542595</c:v>
                </c:pt>
                <c:pt idx="34">
                  <c:v>0.0678516230149319</c:v>
                </c:pt>
                <c:pt idx="35">
                  <c:v>0.0695250998603115</c:v>
                </c:pt>
                <c:pt idx="36">
                  <c:v>0.0712132735520296</c:v>
                </c:pt>
                <c:pt idx="37">
                  <c:v>0.0729161599114669</c:v>
                </c:pt>
                <c:pt idx="38">
                  <c:v>0.0746337750203403</c:v>
                </c:pt>
                <c:pt idx="39">
                  <c:v>0.0763661352213011</c:v>
                </c:pt>
                <c:pt idx="40">
                  <c:v>0.0781132571185443</c:v>
                </c:pt>
                <c:pt idx="41">
                  <c:v>0.0798751575784305</c:v>
                </c:pt>
                <c:pt idx="42">
                  <c:v>0.0816518537301187</c:v>
                </c:pt>
                <c:pt idx="43">
                  <c:v>0.0834433629662116</c:v>
                </c:pt>
                <c:pt idx="44">
                  <c:v>0.0852497029434119</c:v>
                </c:pt>
                <c:pt idx="45">
                  <c:v>0.0870708915831913</c:v>
                </c:pt>
                <c:pt idx="46">
                  <c:v>0.0889069470724705</c:v>
                </c:pt>
                <c:pt idx="47">
                  <c:v>0.090757887864312</c:v>
                </c:pt>
                <c:pt idx="48">
                  <c:v>0.0926237326786244</c:v>
                </c:pt>
                <c:pt idx="49">
                  <c:v>0.0945045005028792</c:v>
                </c:pt>
                <c:pt idx="50">
                  <c:v>0.0964002105928388</c:v>
                </c:pt>
                <c:pt idx="51">
                  <c:v>0.098310882473298</c:v>
                </c:pt>
                <c:pt idx="52">
                  <c:v>0.100236535938837</c:v>
                </c:pt>
                <c:pt idx="53">
                  <c:v>0.102177191054585</c:v>
                </c:pt>
                <c:pt idx="54">
                  <c:v>0.104132868157003</c:v>
                </c:pt>
                <c:pt idx="55">
                  <c:v>0.106103587854665</c:v>
                </c:pt>
                <c:pt idx="56">
                  <c:v>0.108089371029071</c:v>
                </c:pt>
                <c:pt idx="57">
                  <c:v>0.110090238835454</c:v>
                </c:pt>
                <c:pt idx="58">
                  <c:v>0.112106212703611</c:v>
                </c:pt>
                <c:pt idx="59">
                  <c:v>0.114137314338744</c:v>
                </c:pt>
                <c:pt idx="60">
                  <c:v>0.116183565722311</c:v>
                </c:pt>
                <c:pt idx="61">
                  <c:v>0.118244989112894</c:v>
                </c:pt>
                <c:pt idx="62">
                  <c:v>0.120321607047076</c:v>
                </c:pt>
                <c:pt idx="63">
                  <c:v>0.122413442340332</c:v>
                </c:pt>
                <c:pt idx="64">
                  <c:v>0.124520518087939</c:v>
                </c:pt>
                <c:pt idx="65">
                  <c:v>0.126642857665885</c:v>
                </c:pt>
                <c:pt idx="66">
                  <c:v>0.128780484731807</c:v>
                </c:pt>
                <c:pt idx="67">
                  <c:v>0.130933423225933</c:v>
                </c:pt>
                <c:pt idx="68">
                  <c:v>0.133101697372038</c:v>
                </c:pt>
                <c:pt idx="69">
                  <c:v>0.135285331678416</c:v>
                </c:pt>
                <c:pt idx="70">
                  <c:v>0.137484350938863</c:v>
                </c:pt>
                <c:pt idx="71">
                  <c:v>0.139698780233677</c:v>
                </c:pt>
                <c:pt idx="72">
                  <c:v>0.141928644930667</c:v>
                </c:pt>
                <c:pt idx="73">
                  <c:v>0.144173970686178</c:v>
                </c:pt>
                <c:pt idx="74">
                  <c:v>0.146434783446132</c:v>
                </c:pt>
                <c:pt idx="75">
                  <c:v>0.148711109447079</c:v>
                </c:pt>
                <c:pt idx="76">
                  <c:v>0.151002975217261</c:v>
                </c:pt>
                <c:pt idx="77">
                  <c:v>0.153310407577697</c:v>
                </c:pt>
                <c:pt idx="78">
                  <c:v>0.155633433643276</c:v>
                </c:pt>
                <c:pt idx="79">
                  <c:v>0.157972080823863</c:v>
                </c:pt>
                <c:pt idx="80">
                  <c:v>0.160326376825426</c:v>
                </c:pt>
                <c:pt idx="81">
                  <c:v>0.162696349651173</c:v>
                </c:pt>
                <c:pt idx="82">
                  <c:v>0.165082027602698</c:v>
                </c:pt>
                <c:pt idx="83">
                  <c:v>0.167483439281158</c:v>
                </c:pt>
                <c:pt idx="84">
                  <c:v>0.169900613588442</c:v>
                </c:pt>
                <c:pt idx="85">
                  <c:v>0.172333579728379</c:v>
                </c:pt>
                <c:pt idx="86">
                  <c:v>0.174782367207936</c:v>
                </c:pt>
                <c:pt idx="87">
                  <c:v>0.177247005838456</c:v>
                </c:pt>
                <c:pt idx="88">
                  <c:v>0.179727525736889</c:v>
                </c:pt>
                <c:pt idx="89">
                  <c:v>0.182223957327052</c:v>
                </c:pt>
                <c:pt idx="90">
                  <c:v>0.184736331340901</c:v>
                </c:pt>
                <c:pt idx="91">
                  <c:v>0.187264678819813</c:v>
                </c:pt>
                <c:pt idx="92">
                  <c:v>0.189809031115894</c:v>
                </c:pt>
                <c:pt idx="93">
                  <c:v>0.19236941989329</c:v>
                </c:pt>
                <c:pt idx="94">
                  <c:v>0.194945877129524</c:v>
                </c:pt>
                <c:pt idx="95">
                  <c:v>0.197538435116844</c:v>
                </c:pt>
                <c:pt idx="96">
                  <c:v>0.200147126463586</c:v>
                </c:pt>
                <c:pt idx="97">
                  <c:v>0.202771984095559</c:v>
                </c:pt>
                <c:pt idx="98">
                  <c:v>0.205413041257436</c:v>
                </c:pt>
                <c:pt idx="99">
                  <c:v>0.208070331514171</c:v>
                </c:pt>
                <c:pt idx="100">
                  <c:v>0.210743888752429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"Inductor Loss"</c:f>
              <c:strCache>
                <c:ptCount val="1"/>
                <c:pt idx="0">
                  <c:v>Inductor Loss</c:v>
                </c:pt>
              </c:strCache>
            </c:strRef>
          </c:tx>
          <c:spPr>
            <a:solidFill>
              <a:srgbClr val="ff6600"/>
            </a:solidFill>
            <a:ln w="31680">
              <a:solidFill>
                <a:srgbClr val="ff6600"/>
              </a:solidFill>
              <a:prstDash val="lgDash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316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Load Calculations'!$K$9:$K$109</c:f>
              <c:numCache>
                <c:formatCode>General</c:formatCode>
                <c:ptCount val="1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1.14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</c:v>
                </c:pt>
                <c:pt idx="38">
                  <c:v>2.28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4.02</c:v>
                </c:pt>
                <c:pt idx="68">
                  <c:v>4.08</c:v>
                </c:pt>
                <c:pt idx="69">
                  <c:v>4.14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</c:v>
                </c:pt>
                <c:pt idx="75">
                  <c:v>4.5</c:v>
                </c:pt>
                <c:pt idx="76">
                  <c:v>4.56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</c:v>
                </c:pt>
                <c:pt idx="82">
                  <c:v>4.92</c:v>
                </c:pt>
                <c:pt idx="83">
                  <c:v>4.98</c:v>
                </c:pt>
                <c:pt idx="84">
                  <c:v>5.04</c:v>
                </c:pt>
                <c:pt idx="85">
                  <c:v>5.1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'Efficiency vs Load Calculations'!$T$9:$T$109</c:f>
              <c:numCache>
                <c:formatCode>0.000</c:formatCode>
                <c:ptCount val="101"/>
                <c:pt idx="0">
                  <c:v>0</c:v>
                </c:pt>
                <c:pt idx="1">
                  <c:v>1.32233357176331E-005</c:v>
                </c:pt>
                <c:pt idx="2">
                  <c:v>5.28935107334082E-005</c:v>
                </c:pt>
                <c:pt idx="3">
                  <c:v>0.000119011028641281</c:v>
                </c:pt>
                <c:pt idx="4">
                  <c:v>0.000211576728782267</c:v>
                </c:pt>
                <c:pt idx="5">
                  <c:v>0.000330591786271083</c:v>
                </c:pt>
                <c:pt idx="6">
                  <c:v>0.000476057712033443</c:v>
                </c:pt>
                <c:pt idx="7">
                  <c:v>0.000647976352854008</c:v>
                </c:pt>
                <c:pt idx="8">
                  <c:v>0.000846349891435012</c:v>
                </c:pt>
                <c:pt idx="9">
                  <c:v>0.00107118084646554</c:v>
                </c:pt>
                <c:pt idx="10">
                  <c:v>0.00132247207270149</c:v>
                </c:pt>
                <c:pt idx="11">
                  <c:v>0.00160022676105619</c:v>
                </c:pt>
                <c:pt idx="12">
                  <c:v>0.00190444843870171</c:v>
                </c:pt>
                <c:pt idx="13">
                  <c:v>0.00223514096918088</c:v>
                </c:pt>
                <c:pt idx="14">
                  <c:v>0.00259230855252995</c:v>
                </c:pt>
                <c:pt idx="15">
                  <c:v>0.00297595572541199</c:v>
                </c:pt>
                <c:pt idx="16">
                  <c:v>0.00338608736126099</c:v>
                </c:pt>
                <c:pt idx="17">
                  <c:v>0.00382270867043666</c:v>
                </c:pt>
                <c:pt idx="18">
                  <c:v>0.00428582520038999</c:v>
                </c:pt>
                <c:pt idx="19">
                  <c:v>0.00477544283583952</c:v>
                </c:pt>
                <c:pt idx="20">
                  <c:v>0.00529156779895833</c:v>
                </c:pt>
                <c:pt idx="21">
                  <c:v>0.00583420664957189</c:v>
                </c:pt>
                <c:pt idx="22">
                  <c:v>0.00640336628536651</c:v>
                </c:pt>
                <c:pt idx="23">
                  <c:v>0.00699905394210875</c:v>
                </c:pt>
                <c:pt idx="24">
                  <c:v>0.00762127719387551</c:v>
                </c:pt>
                <c:pt idx="25">
                  <c:v>0.00827004395329496</c:v>
                </c:pt>
                <c:pt idx="26">
                  <c:v>0.0089453624717983</c:v>
                </c:pt>
                <c:pt idx="27">
                  <c:v>0.00964724133988235</c:v>
                </c:pt>
                <c:pt idx="28">
                  <c:v>0.010375689487383</c:v>
                </c:pt>
                <c:pt idx="29">
                  <c:v>0.0111307161837595</c:v>
                </c:pt>
                <c:pt idx="30">
                  <c:v>0.0119123310383896</c:v>
                </c:pt>
                <c:pt idx="31">
                  <c:v>0.0127205440008759</c:v>
                </c:pt>
                <c:pt idx="32">
                  <c:v>0.0135553653613625</c:v>
                </c:pt>
                <c:pt idx="33">
                  <c:v>0.0144168057508634</c:v>
                </c:pt>
                <c:pt idx="34">
                  <c:v>0.015304876141601</c:v>
                </c:pt>
                <c:pt idx="35">
                  <c:v>0.0162195878473562</c:v>
                </c:pt>
                <c:pt idx="36">
                  <c:v>0.0171609525238294</c:v>
                </c:pt>
                <c:pt idx="37">
                  <c:v>0.0181289821690123</c:v>
                </c:pt>
                <c:pt idx="38">
                  <c:v>0.0191236891235709</c:v>
                </c:pt>
                <c:pt idx="39">
                  <c:v>0.0201450860712395</c:v>
                </c:pt>
                <c:pt idx="40">
                  <c:v>0.0211931860392259</c:v>
                </c:pt>
                <c:pt idx="41">
                  <c:v>0.0222680023986279</c:v>
                </c:pt>
                <c:pt idx="42">
                  <c:v>0.0233695488648599</c:v>
                </c:pt>
                <c:pt idx="43">
                  <c:v>0.0244978394980925</c:v>
                </c:pt>
                <c:pt idx="44">
                  <c:v>0.0256528887037014</c:v>
                </c:pt>
                <c:pt idx="45">
                  <c:v>0.0268347112327289</c:v>
                </c:pt>
                <c:pt idx="46">
                  <c:v>0.0280433221823559</c:v>
                </c:pt>
                <c:pt idx="47">
                  <c:v>0.0292787369963851</c:v>
                </c:pt>
                <c:pt idx="48">
                  <c:v>0.0305409714657366</c:v>
                </c:pt>
                <c:pt idx="49">
                  <c:v>0.0318300417289531</c:v>
                </c:pt>
                <c:pt idx="50">
                  <c:v>0.0331459642727182</c:v>
                </c:pt>
                <c:pt idx="51">
                  <c:v>0.0344887559323845</c:v>
                </c:pt>
                <c:pt idx="52">
                  <c:v>0.0358584338925147</c:v>
                </c:pt>
                <c:pt idx="53">
                  <c:v>0.0372550156874328</c:v>
                </c:pt>
                <c:pt idx="54">
                  <c:v>0.0386785192017875</c:v>
                </c:pt>
                <c:pt idx="55">
                  <c:v>0.0401289626711274</c:v>
                </c:pt>
                <c:pt idx="56">
                  <c:v>0.0416063646824866</c:v>
                </c:pt>
                <c:pt idx="57">
                  <c:v>0.0431107441749833</c:v>
                </c:pt>
                <c:pt idx="58">
                  <c:v>0.0446421204404291</c:v>
                </c:pt>
                <c:pt idx="59">
                  <c:v>0.0462005131239503</c:v>
                </c:pt>
                <c:pt idx="60">
                  <c:v>0.047785942224621</c:v>
                </c:pt>
                <c:pt idx="61">
                  <c:v>0.0493984280961074</c:v>
                </c:pt>
                <c:pt idx="62">
                  <c:v>0.0510379914473248</c:v>
                </c:pt>
                <c:pt idx="63">
                  <c:v>0.0527046533431055</c:v>
                </c:pt>
                <c:pt idx="64">
                  <c:v>0.0543984352048794</c:v>
                </c:pt>
                <c:pt idx="65">
                  <c:v>0.0561193588113655</c:v>
                </c:pt>
                <c:pt idx="66">
                  <c:v>0.0578674462992765</c:v>
                </c:pt>
                <c:pt idx="67">
                  <c:v>0.0596427201640346</c:v>
                </c:pt>
                <c:pt idx="68">
                  <c:v>0.0614452032604993</c:v>
                </c:pt>
                <c:pt idx="69">
                  <c:v>0.0632749188037081</c:v>
                </c:pt>
                <c:pt idx="70">
                  <c:v>0.0651318903696283</c:v>
                </c:pt>
                <c:pt idx="71">
                  <c:v>0.0670161418959214</c:v>
                </c:pt>
                <c:pt idx="72">
                  <c:v>0.06892769768272</c:v>
                </c:pt>
                <c:pt idx="73">
                  <c:v>0.0708665823934167</c:v>
                </c:pt>
                <c:pt idx="74">
                  <c:v>0.0728328210554652</c:v>
                </c:pt>
                <c:pt idx="75">
                  <c:v>0.0748264390611936</c:v>
                </c:pt>
                <c:pt idx="76">
                  <c:v>0.076847462168631</c:v>
                </c:pt>
                <c:pt idx="77">
                  <c:v>0.0788959165023455</c:v>
                </c:pt>
                <c:pt idx="78">
                  <c:v>0.0809718285542951</c:v>
                </c:pt>
                <c:pt idx="79">
                  <c:v>0.0830752251846917</c:v>
                </c:pt>
                <c:pt idx="80">
                  <c:v>0.0852061336228764</c:v>
                </c:pt>
                <c:pt idx="81">
                  <c:v>0.0873645814682094</c:v>
                </c:pt>
                <c:pt idx="82">
                  <c:v>0.0895505966909706</c:v>
                </c:pt>
                <c:pt idx="83">
                  <c:v>0.0917642076332742</c:v>
                </c:pt>
                <c:pt idx="84">
                  <c:v>0.094005443009996</c:v>
                </c:pt>
                <c:pt idx="85">
                  <c:v>0.0962743319097134</c:v>
                </c:pt>
                <c:pt idx="86">
                  <c:v>0.0985709037956583</c:v>
                </c:pt>
                <c:pt idx="87">
                  <c:v>0.100895188506683</c:v>
                </c:pt>
                <c:pt idx="88">
                  <c:v>0.103247216258239</c:v>
                </c:pt>
                <c:pt idx="89">
                  <c:v>0.105627017643371</c:v>
                </c:pt>
                <c:pt idx="90">
                  <c:v>0.108034623633719</c:v>
                </c:pt>
                <c:pt idx="91">
                  <c:v>0.11047006558054</c:v>
                </c:pt>
                <c:pt idx="92">
                  <c:v>0.112933375215739</c:v>
                </c:pt>
                <c:pt idx="93">
                  <c:v>0.115424584652913</c:v>
                </c:pt>
                <c:pt idx="94">
                  <c:v>0.117943726388412</c:v>
                </c:pt>
                <c:pt idx="95">
                  <c:v>0.12049083330241</c:v>
                </c:pt>
                <c:pt idx="96">
                  <c:v>0.123065938659991</c:v>
                </c:pt>
                <c:pt idx="97">
                  <c:v>0.125669076112248</c:v>
                </c:pt>
                <c:pt idx="98">
                  <c:v>0.128300279697398</c:v>
                </c:pt>
                <c:pt idx="99">
                  <c:v>0.130959583841907</c:v>
                </c:pt>
                <c:pt idx="100">
                  <c:v>0.133647023361633</c:v>
                </c:pt>
              </c:numCache>
            </c:numRef>
          </c:yVal>
          <c:smooth val="0"/>
        </c:ser>
        <c:axId val="76774127"/>
        <c:axId val="29908084"/>
      </c:scatterChart>
      <c:valAx>
        <c:axId val="76774127"/>
        <c:scaling>
          <c:orientation val="minMax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Input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 Voltage (V)</a:t>
                </a:r>
              </a:p>
            </c:rich>
          </c:tx>
          <c:layout>
            <c:manualLayout>
              <c:xMode val="edge"/>
              <c:yMode val="edge"/>
              <c:x val="0.478979356070119"/>
              <c:y val="0.925327644010972"/>
            </c:manualLayout>
          </c:layout>
          <c:overlay val="0"/>
          <c:spPr>
            <a:noFill/>
            <a:ln w="2556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9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29908084"/>
        <c:crosses val="autoZero"/>
        <c:crossBetween val="midCat"/>
      </c:valAx>
      <c:valAx>
        <c:axId val="29908084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Power Disipation (W)</a:t>
                </a:r>
              </a:p>
            </c:rich>
          </c:tx>
          <c:layout>
            <c:manualLayout>
              <c:xMode val="edge"/>
              <c:yMode val="edge"/>
              <c:x val="0.0190868451454116"/>
              <c:y val="0.346007314843036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9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6774127"/>
        <c:crosses val="autoZero"/>
        <c:crossBetween val="midCat"/>
      </c:valAx>
      <c:spPr>
        <a:gradFill>
          <a:gsLst>
            <a:gs pos="0">
              <a:srgbClr val="9ab4e4"/>
            </a:gs>
            <a:gs pos="50000">
              <a:srgbClr val="c1d1ec"/>
            </a:gs>
            <a:gs pos="100000">
              <a:srgbClr val="e0e8f5"/>
            </a:gs>
          </a:gsLst>
          <a:lin ang="5400000"/>
        </a:gra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623837453884698"/>
          <c:y val="0.0100806451612903"/>
          <c:w val="0.350684947598333"/>
          <c:h val="0.129032469731606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2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 Overall Efficiency</a:t>
            </a:r>
          </a:p>
        </c:rich>
      </c:tx>
      <c:layout>
        <c:manualLayout>
          <c:xMode val="edge"/>
          <c:yMode val="edge"/>
          <c:x val="0.411883757135444"/>
          <c:y val="0.0303261200853398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7223663726"/>
          <c:y val="0.159250228588845"/>
          <c:w val="0.853814218993254"/>
          <c:h val="0.729807985370314"/>
        </c:manualLayout>
      </c:layout>
      <c:scatterChart>
        <c:scatterStyle val="line"/>
        <c:varyColors val="0"/>
        <c:ser>
          <c:idx val="0"/>
          <c:order val="0"/>
          <c:tx>
            <c:strRef>
              <c:f>"Efficiency"</c:f>
              <c:strCache>
                <c:ptCount val="1"/>
                <c:pt idx="0">
                  <c:v>Efficiency</c:v>
                </c:pt>
              </c:strCache>
            </c:strRef>
          </c:tx>
          <c:spPr>
            <a:solidFill>
              <a:srgbClr val="000080"/>
            </a:solidFill>
            <a:ln w="2556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9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'Efficiency vs Load Calculations'!$K$9:$K$109</c:f>
              <c:numCache>
                <c:formatCode>General</c:formatCode>
                <c:ptCount val="10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</c:v>
                </c:pt>
                <c:pt idx="11">
                  <c:v>0.66</c:v>
                </c:pt>
                <c:pt idx="12">
                  <c:v>0.72</c:v>
                </c:pt>
                <c:pt idx="13">
                  <c:v>0.78</c:v>
                </c:pt>
                <c:pt idx="14">
                  <c:v>0.84</c:v>
                </c:pt>
                <c:pt idx="15">
                  <c:v>0.9</c:v>
                </c:pt>
                <c:pt idx="16">
                  <c:v>0.96</c:v>
                </c:pt>
                <c:pt idx="17">
                  <c:v>1.02</c:v>
                </c:pt>
                <c:pt idx="18">
                  <c:v>1.08</c:v>
                </c:pt>
                <c:pt idx="19">
                  <c:v>1.14</c:v>
                </c:pt>
                <c:pt idx="20">
                  <c:v>1.2</c:v>
                </c:pt>
                <c:pt idx="21">
                  <c:v>1.26</c:v>
                </c:pt>
                <c:pt idx="22">
                  <c:v>1.32</c:v>
                </c:pt>
                <c:pt idx="23">
                  <c:v>1.38</c:v>
                </c:pt>
                <c:pt idx="24">
                  <c:v>1.44</c:v>
                </c:pt>
                <c:pt idx="25">
                  <c:v>1.5</c:v>
                </c:pt>
                <c:pt idx="26">
                  <c:v>1.56</c:v>
                </c:pt>
                <c:pt idx="27">
                  <c:v>1.62</c:v>
                </c:pt>
                <c:pt idx="28">
                  <c:v>1.68</c:v>
                </c:pt>
                <c:pt idx="29">
                  <c:v>1.74</c:v>
                </c:pt>
                <c:pt idx="30">
                  <c:v>1.8</c:v>
                </c:pt>
                <c:pt idx="31">
                  <c:v>1.86</c:v>
                </c:pt>
                <c:pt idx="32">
                  <c:v>1.92</c:v>
                </c:pt>
                <c:pt idx="33">
                  <c:v>1.98</c:v>
                </c:pt>
                <c:pt idx="34">
                  <c:v>2.04</c:v>
                </c:pt>
                <c:pt idx="35">
                  <c:v>2.1</c:v>
                </c:pt>
                <c:pt idx="36">
                  <c:v>2.16</c:v>
                </c:pt>
                <c:pt idx="37">
                  <c:v>2.22</c:v>
                </c:pt>
                <c:pt idx="38">
                  <c:v>2.28</c:v>
                </c:pt>
                <c:pt idx="39">
                  <c:v>2.34</c:v>
                </c:pt>
                <c:pt idx="40">
                  <c:v>2.4</c:v>
                </c:pt>
                <c:pt idx="41">
                  <c:v>2.46</c:v>
                </c:pt>
                <c:pt idx="42">
                  <c:v>2.52</c:v>
                </c:pt>
                <c:pt idx="43">
                  <c:v>2.58</c:v>
                </c:pt>
                <c:pt idx="44">
                  <c:v>2.64</c:v>
                </c:pt>
                <c:pt idx="45">
                  <c:v>2.7</c:v>
                </c:pt>
                <c:pt idx="46">
                  <c:v>2.76</c:v>
                </c:pt>
                <c:pt idx="47">
                  <c:v>2.82</c:v>
                </c:pt>
                <c:pt idx="48">
                  <c:v>2.88</c:v>
                </c:pt>
                <c:pt idx="49">
                  <c:v>2.94</c:v>
                </c:pt>
                <c:pt idx="50">
                  <c:v>3</c:v>
                </c:pt>
                <c:pt idx="51">
                  <c:v>3.06</c:v>
                </c:pt>
                <c:pt idx="52">
                  <c:v>3.12</c:v>
                </c:pt>
                <c:pt idx="53">
                  <c:v>3.18</c:v>
                </c:pt>
                <c:pt idx="54">
                  <c:v>3.24</c:v>
                </c:pt>
                <c:pt idx="55">
                  <c:v>3.3</c:v>
                </c:pt>
                <c:pt idx="56">
                  <c:v>3.36</c:v>
                </c:pt>
                <c:pt idx="57">
                  <c:v>3.42</c:v>
                </c:pt>
                <c:pt idx="58">
                  <c:v>3.48</c:v>
                </c:pt>
                <c:pt idx="59">
                  <c:v>3.54</c:v>
                </c:pt>
                <c:pt idx="60">
                  <c:v>3.6</c:v>
                </c:pt>
                <c:pt idx="61">
                  <c:v>3.66</c:v>
                </c:pt>
                <c:pt idx="62">
                  <c:v>3.72</c:v>
                </c:pt>
                <c:pt idx="63">
                  <c:v>3.78</c:v>
                </c:pt>
                <c:pt idx="64">
                  <c:v>3.84</c:v>
                </c:pt>
                <c:pt idx="65">
                  <c:v>3.9</c:v>
                </c:pt>
                <c:pt idx="66">
                  <c:v>3.96</c:v>
                </c:pt>
                <c:pt idx="67">
                  <c:v>4.02</c:v>
                </c:pt>
                <c:pt idx="68">
                  <c:v>4.08</c:v>
                </c:pt>
                <c:pt idx="69">
                  <c:v>4.14</c:v>
                </c:pt>
                <c:pt idx="70">
                  <c:v>4.2</c:v>
                </c:pt>
                <c:pt idx="71">
                  <c:v>4.26</c:v>
                </c:pt>
                <c:pt idx="72">
                  <c:v>4.32</c:v>
                </c:pt>
                <c:pt idx="73">
                  <c:v>4.38</c:v>
                </c:pt>
                <c:pt idx="74">
                  <c:v>4.44</c:v>
                </c:pt>
                <c:pt idx="75">
                  <c:v>4.5</c:v>
                </c:pt>
                <c:pt idx="76">
                  <c:v>4.56</c:v>
                </c:pt>
                <c:pt idx="77">
                  <c:v>4.62</c:v>
                </c:pt>
                <c:pt idx="78">
                  <c:v>4.68</c:v>
                </c:pt>
                <c:pt idx="79">
                  <c:v>4.74</c:v>
                </c:pt>
                <c:pt idx="80">
                  <c:v>4.8</c:v>
                </c:pt>
                <c:pt idx="81">
                  <c:v>4.86</c:v>
                </c:pt>
                <c:pt idx="82">
                  <c:v>4.92</c:v>
                </c:pt>
                <c:pt idx="83">
                  <c:v>4.98</c:v>
                </c:pt>
                <c:pt idx="84">
                  <c:v>5.04</c:v>
                </c:pt>
                <c:pt idx="85">
                  <c:v>5.1</c:v>
                </c:pt>
                <c:pt idx="86">
                  <c:v>5.16</c:v>
                </c:pt>
                <c:pt idx="87">
                  <c:v>5.22</c:v>
                </c:pt>
                <c:pt idx="88">
                  <c:v>5.28</c:v>
                </c:pt>
                <c:pt idx="89">
                  <c:v>5.34</c:v>
                </c:pt>
                <c:pt idx="90">
                  <c:v>5.4</c:v>
                </c:pt>
                <c:pt idx="91">
                  <c:v>5.46</c:v>
                </c:pt>
                <c:pt idx="92">
                  <c:v>5.52</c:v>
                </c:pt>
                <c:pt idx="93">
                  <c:v>5.58</c:v>
                </c:pt>
                <c:pt idx="94">
                  <c:v>5.64</c:v>
                </c:pt>
                <c:pt idx="95">
                  <c:v>5.7</c:v>
                </c:pt>
                <c:pt idx="96">
                  <c:v>5.76</c:v>
                </c:pt>
                <c:pt idx="97">
                  <c:v>5.82</c:v>
                </c:pt>
                <c:pt idx="98">
                  <c:v>5.88</c:v>
                </c:pt>
                <c:pt idx="99">
                  <c:v>5.94</c:v>
                </c:pt>
                <c:pt idx="100">
                  <c:v>6</c:v>
                </c:pt>
              </c:numCache>
            </c:numRef>
          </c:xVal>
          <c:yVal>
            <c:numRef>
              <c:f>'Efficiency vs Load Calculations'!$BD$9:$BD$109</c:f>
              <c:numCache>
                <c:formatCode>0.0%</c:formatCode>
                <c:ptCount val="101"/>
                <c:pt idx="0">
                  <c:v>0</c:v>
                </c:pt>
                <c:pt idx="1">
                  <c:v>0.642573335473334</c:v>
                </c:pt>
                <c:pt idx="2">
                  <c:v>0.781056788819836</c:v>
                </c:pt>
                <c:pt idx="3">
                  <c:v>0.841478323408196</c:v>
                </c:pt>
                <c:pt idx="4">
                  <c:v>0.875310776649401</c:v>
                </c:pt>
                <c:pt idx="5">
                  <c:v>0.896927410859798</c:v>
                </c:pt>
                <c:pt idx="6">
                  <c:v>0.911923515227259</c:v>
                </c:pt>
                <c:pt idx="7">
                  <c:v>0.922929867334606</c:v>
                </c:pt>
                <c:pt idx="8">
                  <c:v>0.931346427374198</c:v>
                </c:pt>
                <c:pt idx="9">
                  <c:v>0.937986765690386</c:v>
                </c:pt>
                <c:pt idx="10">
                  <c:v>0.943355980675257</c:v>
                </c:pt>
                <c:pt idx="11">
                  <c:v>0.947784239928054</c:v>
                </c:pt>
                <c:pt idx="12">
                  <c:v>0.951496475487655</c:v>
                </c:pt>
                <c:pt idx="13">
                  <c:v>0.954651217014433</c:v>
                </c:pt>
                <c:pt idx="14">
                  <c:v>0.95736341095397</c:v>
                </c:pt>
                <c:pt idx="15">
                  <c:v>0.959718434706441</c:v>
                </c:pt>
                <c:pt idx="16">
                  <c:v>0.961781030036919</c:v>
                </c:pt>
                <c:pt idx="17">
                  <c:v>0.963601182275344</c:v>
                </c:pt>
                <c:pt idx="18">
                  <c:v>0.96521809785725</c:v>
                </c:pt>
                <c:pt idx="19">
                  <c:v>0.966662961116855</c:v>
                </c:pt>
                <c:pt idx="20">
                  <c:v>0.967960886165129</c:v>
                </c:pt>
                <c:pt idx="21">
                  <c:v>0.969132325313828</c:v>
                </c:pt>
                <c:pt idx="22">
                  <c:v>0.970194102747494</c:v>
                </c:pt>
                <c:pt idx="23">
                  <c:v>0.971160184836095</c:v>
                </c:pt>
                <c:pt idx="24">
                  <c:v>0.972042262181548</c:v>
                </c:pt>
                <c:pt idx="25">
                  <c:v>0.972850194978468</c:v>
                </c:pt>
                <c:pt idx="26">
                  <c:v>0.97359235772726</c:v>
                </c:pt>
                <c:pt idx="27">
                  <c:v>0.974275908872728</c:v>
                </c:pt>
                <c:pt idx="28">
                  <c:v>0.974907003775461</c:v>
                </c:pt>
                <c:pt idx="29">
                  <c:v>0.975490964439834</c:v>
                </c:pt>
                <c:pt idx="30">
                  <c:v>0.976032415907198</c:v>
                </c:pt>
                <c:pt idx="31">
                  <c:v>0.976535396710315</c:v>
                </c:pt>
                <c:pt idx="32">
                  <c:v>0.977003448967334</c:v>
                </c:pt>
                <c:pt idx="33">
                  <c:v>0.977439692363416</c:v>
                </c:pt>
                <c:pt idx="34">
                  <c:v>0.977846885284478</c:v>
                </c:pt>
                <c:pt idx="35">
                  <c:v>0.978227475632915</c:v>
                </c:pt>
                <c:pt idx="36">
                  <c:v>0.978583643301388</c:v>
                </c:pt>
                <c:pt idx="37">
                  <c:v>0.978917335859791</c:v>
                </c:pt>
                <c:pt idx="38">
                  <c:v>0.979230298687772</c:v>
                </c:pt>
                <c:pt idx="39">
                  <c:v>0.9795241005359</c:v>
                </c:pt>
                <c:pt idx="40">
                  <c:v>0.979800155304619</c:v>
                </c:pt>
                <c:pt idx="41">
                  <c:v>0.980059740678196</c:v>
                </c:pt>
                <c:pt idx="42">
                  <c:v>0.980304014131054</c:v>
                </c:pt>
                <c:pt idx="43">
                  <c:v>0.980534026728839</c:v>
                </c:pt>
                <c:pt idx="44">
                  <c:v>0.980750735070742</c:v>
                </c:pt>
                <c:pt idx="45">
                  <c:v>0.980955011658708</c:v>
                </c:pt>
                <c:pt idx="46">
                  <c:v>0.981147653930104</c:v>
                </c:pt>
                <c:pt idx="47">
                  <c:v>0.981329392150604</c:v>
                </c:pt>
                <c:pt idx="48">
                  <c:v>0.981500896331612</c:v>
                </c:pt>
                <c:pt idx="49">
                  <c:v>0.981662782310054</c:v>
                </c:pt>
                <c:pt idx="50">
                  <c:v>0.98181561710651</c:v>
                </c:pt>
                <c:pt idx="51">
                  <c:v>0.981959923659691</c:v>
                </c:pt>
                <c:pt idx="52">
                  <c:v>0.982096185020331</c:v>
                </c:pt>
                <c:pt idx="53">
                  <c:v>0.982224848075174</c:v>
                </c:pt>
                <c:pt idx="54">
                  <c:v>0.982346326861329</c:v>
                </c:pt>
                <c:pt idx="55">
                  <c:v>0.982461005522638</c:v>
                </c:pt>
                <c:pt idx="56">
                  <c:v>0.982569240952356</c:v>
                </c:pt>
                <c:pt idx="57">
                  <c:v>0.982671365160299</c:v>
                </c:pt>
                <c:pt idx="58">
                  <c:v>0.982767687397411</c:v>
                </c:pt>
                <c:pt idx="59">
                  <c:v>0.98285849606625</c:v>
                </c:pt>
                <c:pt idx="60">
                  <c:v>0.982944060442156</c:v>
                </c:pt>
                <c:pt idx="61">
                  <c:v>0.983024632226623</c:v>
                </c:pt>
                <c:pt idx="62">
                  <c:v>0.98310044695166</c:v>
                </c:pt>
                <c:pt idx="63">
                  <c:v>0.983171725251547</c:v>
                </c:pt>
                <c:pt idx="64">
                  <c:v>0.983238674016371</c:v>
                </c:pt>
                <c:pt idx="65">
                  <c:v>0.983301487439968</c:v>
                </c:pt>
                <c:pt idx="66">
                  <c:v>0.983360347973372</c:v>
                </c:pt>
                <c:pt idx="67">
                  <c:v>0.983415427193565</c:v>
                </c:pt>
                <c:pt idx="68">
                  <c:v>0.983466886596185</c:v>
                </c:pt>
                <c:pt idx="69">
                  <c:v>0.983514878319832</c:v>
                </c:pt>
                <c:pt idx="70">
                  <c:v>0.983559545808763</c:v>
                </c:pt>
                <c:pt idx="71">
                  <c:v>0.983601024420016</c:v>
                </c:pt>
                <c:pt idx="72">
                  <c:v>0.983639441980305</c:v>
                </c:pt>
                <c:pt idx="73">
                  <c:v>0.983674919297479</c:v>
                </c:pt>
                <c:pt idx="74">
                  <c:v>0.983707570630807</c:v>
                </c:pt>
                <c:pt idx="75">
                  <c:v>0.983737504123911</c:v>
                </c:pt>
                <c:pt idx="76">
                  <c:v>0.983764822203745</c:v>
                </c:pt>
                <c:pt idx="77">
                  <c:v>0.983789621948706</c:v>
                </c:pt>
                <c:pt idx="78">
                  <c:v>0.983811995428614</c:v>
                </c:pt>
                <c:pt idx="79">
                  <c:v>0.983832030019036</c:v>
                </c:pt>
                <c:pt idx="80">
                  <c:v>0.9838498086922</c:v>
                </c:pt>
                <c:pt idx="81">
                  <c:v>0.983865410286479</c:v>
                </c:pt>
                <c:pt idx="82">
                  <c:v>0.983878909756292</c:v>
                </c:pt>
                <c:pt idx="83">
                  <c:v>0.983890378404043</c:v>
                </c:pt>
                <c:pt idx="84">
                  <c:v>0.983899884095595</c:v>
                </c:pt>
                <c:pt idx="85">
                  <c:v>0.98390749146062</c:v>
                </c:pt>
                <c:pt idx="86">
                  <c:v>0.98391326207905</c:v>
                </c:pt>
                <c:pt idx="87">
                  <c:v>0.983917254654745</c:v>
                </c:pt>
                <c:pt idx="88">
                  <c:v>0.983919525177381</c:v>
                </c:pt>
                <c:pt idx="89">
                  <c:v>0.983920127073481</c:v>
                </c:pt>
                <c:pt idx="90">
                  <c:v>0.983919111347431</c:v>
                </c:pt>
                <c:pt idx="91">
                  <c:v>0.983916526713245</c:v>
                </c:pt>
                <c:pt idx="92">
                  <c:v>0.983912419717775</c:v>
                </c:pt>
                <c:pt idx="93">
                  <c:v>0.983906834856016</c:v>
                </c:pt>
                <c:pt idx="94">
                  <c:v>0.983899814679074</c:v>
                </c:pt>
                <c:pt idx="95">
                  <c:v>0.983891399895357</c:v>
                </c:pt>
                <c:pt idx="96">
                  <c:v>0.983881629465455</c:v>
                </c:pt>
                <c:pt idx="97">
                  <c:v>0.983870540691186</c:v>
                </c:pt>
                <c:pt idx="98">
                  <c:v>0.983858169299204</c:v>
                </c:pt>
                <c:pt idx="99">
                  <c:v>0.98384454951956</c:v>
                </c:pt>
                <c:pt idx="100">
                  <c:v>0.983829714159565</c:v>
                </c:pt>
              </c:numCache>
            </c:numRef>
          </c:yVal>
          <c:smooth val="0"/>
        </c:ser>
        <c:axId val="76538439"/>
        <c:axId val="68785245"/>
      </c:scatterChart>
      <c:valAx>
        <c:axId val="76538439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Input</a:t>
                </a: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 Voltage (V)</a:t>
                </a:r>
              </a:p>
            </c:rich>
          </c:tx>
          <c:layout>
            <c:manualLayout>
              <c:xMode val="edge"/>
              <c:yMode val="edge"/>
              <c:x val="0.457602490918526"/>
              <c:y val="0.943462359036879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0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8785245"/>
        <c:crosses val="autoZero"/>
        <c:crossBetween val="midCat"/>
      </c:valAx>
      <c:valAx>
        <c:axId val="68785245"/>
        <c:scaling>
          <c:orientation val="minMax"/>
          <c:max val="1"/>
          <c:min val="0.7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2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Efficiency (%)</a:t>
                </a:r>
              </a:p>
            </c:rich>
          </c:tx>
          <c:layout>
            <c:manualLayout>
              <c:xMode val="edge"/>
              <c:yMode val="edge"/>
              <c:x val="0.00679813181110535"/>
              <c:y val="0.42730874733313"/>
            </c:manualLayout>
          </c:layout>
          <c:overlay val="0"/>
          <c:spPr>
            <a:noFill/>
            <a:ln w="2556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102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6538439"/>
        <c:crosses val="autoZero"/>
        <c:crossBetween val="midCat"/>
      </c:valAx>
      <c:spPr>
        <a:gradFill>
          <a:gsLst>
            <a:gs pos="0">
              <a:srgbClr val="9ab4e4"/>
            </a:gs>
            <a:gs pos="50000">
              <a:srgbClr val="c1d1ec"/>
            </a:gs>
            <a:gs pos="100000">
              <a:srgbClr val="e0e8f5"/>
            </a:gs>
          </a:gsLst>
          <a:lin ang="5400000"/>
        </a:gra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5636970175476"/>
          <c:y val="0.0362903225806457"/>
          <c:w val="0.117886321120429"/>
          <c:h val="0.0423387096774194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0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LM5175 Bode Plot</a:t>
            </a:r>
          </a:p>
        </c:rich>
      </c:tx>
      <c:layout>
        <c:manualLayout>
          <c:xMode val="edge"/>
          <c:yMode val="edge"/>
          <c:x val="0.40869970966404"/>
          <c:y val="0.0212488025777236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48403152219"/>
          <c:y val="0.0957937821126883"/>
          <c:w val="0.802675238490253"/>
          <c:h val="0.717321257511103"/>
        </c:manualLayout>
      </c:layout>
      <c:scatterChart>
        <c:scatterStyle val="line"/>
        <c:varyColors val="0"/>
        <c:ser>
          <c:idx val="0"/>
          <c:order val="0"/>
          <c:tx>
            <c:strRef>
              <c:f>'Stability Calculations'!$Q$12</c:f>
              <c:strCache>
                <c:ptCount val="1"/>
                <c:pt idx="0">
                  <c:v>Gain (dB)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1.2023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</c:v>
                </c:pt>
                <c:pt idx="9">
                  <c:v>2.2909</c:v>
                </c:pt>
                <c:pt idx="10">
                  <c:v>2.5119</c:v>
                </c:pt>
                <c:pt idx="11">
                  <c:v>2.7542</c:v>
                </c:pt>
                <c:pt idx="12">
                  <c:v>3.02</c:v>
                </c:pt>
                <c:pt idx="13">
                  <c:v>3.3113</c:v>
                </c:pt>
                <c:pt idx="14">
                  <c:v>3.6308</c:v>
                </c:pt>
                <c:pt idx="15">
                  <c:v>3.9811</c:v>
                </c:pt>
                <c:pt idx="16">
                  <c:v>4.3652</c:v>
                </c:pt>
                <c:pt idx="17">
                  <c:v>4.7863</c:v>
                </c:pt>
                <c:pt idx="18">
                  <c:v>5.2481</c:v>
                </c:pt>
                <c:pt idx="19">
                  <c:v>5.7544</c:v>
                </c:pt>
                <c:pt idx="20">
                  <c:v>6.3096</c:v>
                </c:pt>
                <c:pt idx="21">
                  <c:v>6.9183</c:v>
                </c:pt>
                <c:pt idx="22">
                  <c:v>7.5858</c:v>
                </c:pt>
                <c:pt idx="23">
                  <c:v>8.3176</c:v>
                </c:pt>
                <c:pt idx="24">
                  <c:v>9.1201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</c:v>
                </c:pt>
                <c:pt idx="34">
                  <c:v>22.909</c:v>
                </c:pt>
                <c:pt idx="35">
                  <c:v>25.119</c:v>
                </c:pt>
                <c:pt idx="36">
                  <c:v>27.542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</c:v>
                </c:pt>
                <c:pt idx="42">
                  <c:v>47.863</c:v>
                </c:pt>
                <c:pt idx="43">
                  <c:v>52.481</c:v>
                </c:pt>
                <c:pt idx="44">
                  <c:v>57.544</c:v>
                </c:pt>
                <c:pt idx="45">
                  <c:v>63.096</c:v>
                </c:pt>
                <c:pt idx="46">
                  <c:v>69.183</c:v>
                </c:pt>
                <c:pt idx="47">
                  <c:v>75.858</c:v>
                </c:pt>
                <c:pt idx="48">
                  <c:v>83.176</c:v>
                </c:pt>
                <c:pt idx="49">
                  <c:v>91.201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524.81</c:v>
                </c:pt>
                <c:pt idx="69">
                  <c:v>575.44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</c:v>
                </c:pt>
                <c:pt idx="132">
                  <c:v>8270.275</c:v>
                </c:pt>
                <c:pt idx="133">
                  <c:v>8317.6</c:v>
                </c:pt>
                <c:pt idx="134">
                  <c:v>8366.05</c:v>
                </c:pt>
                <c:pt idx="135">
                  <c:v>8414.5</c:v>
                </c:pt>
                <c:pt idx="136">
                  <c:v>8462.95</c:v>
                </c:pt>
                <c:pt idx="137">
                  <c:v>8511.4</c:v>
                </c:pt>
                <c:pt idx="138">
                  <c:v>8560.95</c:v>
                </c:pt>
                <c:pt idx="139">
                  <c:v>8610.5</c:v>
                </c:pt>
                <c:pt idx="140">
                  <c:v>8660.05</c:v>
                </c:pt>
                <c:pt idx="141">
                  <c:v>8709.6</c:v>
                </c:pt>
                <c:pt idx="142">
                  <c:v>8760.325</c:v>
                </c:pt>
                <c:pt idx="143">
                  <c:v>8811.05</c:v>
                </c:pt>
                <c:pt idx="144">
                  <c:v>8861.775</c:v>
                </c:pt>
                <c:pt idx="145">
                  <c:v>8912.5</c:v>
                </c:pt>
                <c:pt idx="146">
                  <c:v>8964.4</c:v>
                </c:pt>
                <c:pt idx="147">
                  <c:v>9016.3</c:v>
                </c:pt>
                <c:pt idx="148">
                  <c:v>9068.2</c:v>
                </c:pt>
                <c:pt idx="149">
                  <c:v>9120.1</c:v>
                </c:pt>
                <c:pt idx="150">
                  <c:v>9173.2</c:v>
                </c:pt>
                <c:pt idx="151">
                  <c:v>9226.3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</c:v>
                </c:pt>
                <c:pt idx="156">
                  <c:v>9495.55</c:v>
                </c:pt>
                <c:pt idx="157">
                  <c:v>9549.9</c:v>
                </c:pt>
                <c:pt idx="158">
                  <c:v>9605.525</c:v>
                </c:pt>
                <c:pt idx="159">
                  <c:v>9661.15</c:v>
                </c:pt>
                <c:pt idx="160">
                  <c:v>9716.775</c:v>
                </c:pt>
                <c:pt idx="161">
                  <c:v>9772.4</c:v>
                </c:pt>
                <c:pt idx="162">
                  <c:v>9829.3</c:v>
                </c:pt>
                <c:pt idx="163">
                  <c:v>9886.2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Calculations'!$Q$13:$Q$613</c:f>
              <c:numCache>
                <c:formatCode>0.00</c:formatCode>
                <c:ptCount val="601"/>
                <c:pt idx="0">
                  <c:v>76.5584559401544</c:v>
                </c:pt>
                <c:pt idx="1">
                  <c:v>75.7986052868869</c:v>
                </c:pt>
                <c:pt idx="2">
                  <c:v>75.0323418972871</c:v>
                </c:pt>
                <c:pt idx="3">
                  <c:v>74.2606439332132</c:v>
                </c:pt>
                <c:pt idx="4">
                  <c:v>73.4848578756764</c:v>
                </c:pt>
                <c:pt idx="5">
                  <c:v>72.7044046948292</c:v>
                </c:pt>
                <c:pt idx="6">
                  <c:v>71.9209956059011</c:v>
                </c:pt>
                <c:pt idx="7">
                  <c:v>71.1346284967273</c:v>
                </c:pt>
                <c:pt idx="8">
                  <c:v>70.3463105133635</c:v>
                </c:pt>
                <c:pt idx="9">
                  <c:v>69.5558102308604</c:v>
                </c:pt>
                <c:pt idx="10">
                  <c:v>68.7638886812502</c:v>
                </c:pt>
                <c:pt idx="11">
                  <c:v>67.9706912441672</c:v>
                </c:pt>
                <c:pt idx="12">
                  <c:v>67.1760133784362</c:v>
                </c:pt>
                <c:pt idx="13">
                  <c:v>66.3807991592942</c:v>
                </c:pt>
                <c:pt idx="14">
                  <c:v>65.5845650869447</c:v>
                </c:pt>
                <c:pt idx="15">
                  <c:v>64.7877432242319</c:v>
                </c:pt>
                <c:pt idx="16">
                  <c:v>63.9903744912988</c:v>
                </c:pt>
                <c:pt idx="17">
                  <c:v>63.1926597453818</c:v>
                </c:pt>
                <c:pt idx="18">
                  <c:v>62.3944397475215</c:v>
                </c:pt>
                <c:pt idx="19">
                  <c:v>61.5959887025828</c:v>
                </c:pt>
                <c:pt idx="20">
                  <c:v>60.7971964325638</c:v>
                </c:pt>
                <c:pt idx="21">
                  <c:v>59.9982658383238</c:v>
                </c:pt>
                <c:pt idx="22">
                  <c:v>59.1990586691931</c:v>
                </c:pt>
                <c:pt idx="23">
                  <c:v>58.3997987666028</c:v>
                </c:pt>
                <c:pt idx="24">
                  <c:v>57.6003035020372</c:v>
                </c:pt>
                <c:pt idx="25">
                  <c:v>56.8007128982819</c:v>
                </c:pt>
                <c:pt idx="26">
                  <c:v>56.0008530818238</c:v>
                </c:pt>
                <c:pt idx="27">
                  <c:v>55.2009877950758</c:v>
                </c:pt>
                <c:pt idx="28">
                  <c:v>54.4010921396914</c:v>
                </c:pt>
                <c:pt idx="29">
                  <c:v>53.60166664599</c:v>
                </c:pt>
                <c:pt idx="30">
                  <c:v>52.8013606217626</c:v>
                </c:pt>
                <c:pt idx="31">
                  <c:v>52.0012911296169</c:v>
                </c:pt>
                <c:pt idx="32">
                  <c:v>51.2009119583653</c:v>
                </c:pt>
                <c:pt idx="33">
                  <c:v>50.4007874878738</c:v>
                </c:pt>
                <c:pt idx="34">
                  <c:v>49.6002920820541</c:v>
                </c:pt>
                <c:pt idx="35">
                  <c:v>48.7998646454968</c:v>
                </c:pt>
                <c:pt idx="36">
                  <c:v>47.9993676233288</c:v>
                </c:pt>
                <c:pt idx="37">
                  <c:v>47.198350694341</c:v>
                </c:pt>
                <c:pt idx="38">
                  <c:v>46.3975526401521</c:v>
                </c:pt>
                <c:pt idx="39">
                  <c:v>45.5962984341213</c:v>
                </c:pt>
                <c:pt idx="40">
                  <c:v>44.7948540334762</c:v>
                </c:pt>
                <c:pt idx="41">
                  <c:v>43.9931049421651</c:v>
                </c:pt>
                <c:pt idx="42">
                  <c:v>43.1911059057171</c:v>
                </c:pt>
                <c:pt idx="43">
                  <c:v>42.3885533260996</c:v>
                </c:pt>
                <c:pt idx="44">
                  <c:v>41.5855785534318</c:v>
                </c:pt>
                <c:pt idx="45">
                  <c:v>40.781921116938</c:v>
                </c:pt>
                <c:pt idx="46">
                  <c:v>39.9776257082688</c:v>
                </c:pt>
                <c:pt idx="47">
                  <c:v>39.1723792755934</c:v>
                </c:pt>
                <c:pt idx="48">
                  <c:v>38.3662143977372</c:v>
                </c:pt>
                <c:pt idx="49">
                  <c:v>37.5587298045443</c:v>
                </c:pt>
                <c:pt idx="50">
                  <c:v>36.7498205348335</c:v>
                </c:pt>
                <c:pt idx="51">
                  <c:v>35.9390296977639</c:v>
                </c:pt>
                <c:pt idx="52">
                  <c:v>35.1263044391964</c:v>
                </c:pt>
                <c:pt idx="53">
                  <c:v>34.3112561042626</c:v>
                </c:pt>
                <c:pt idx="54">
                  <c:v>33.4939862971308</c:v>
                </c:pt>
                <c:pt idx="55">
                  <c:v>32.6726514545495</c:v>
                </c:pt>
                <c:pt idx="56">
                  <c:v>31.8478839527643</c:v>
                </c:pt>
                <c:pt idx="57">
                  <c:v>31.0185638073325</c:v>
                </c:pt>
                <c:pt idx="58">
                  <c:v>30.1846820916483</c:v>
                </c:pt>
                <c:pt idx="59">
                  <c:v>29.344970073345</c:v>
                </c:pt>
                <c:pt idx="60">
                  <c:v>28.4992705306208</c:v>
                </c:pt>
                <c:pt idx="61">
                  <c:v>27.6468569934055</c:v>
                </c:pt>
                <c:pt idx="62">
                  <c:v>26.7867366040643</c:v>
                </c:pt>
                <c:pt idx="63">
                  <c:v>25.9193197480419</c:v>
                </c:pt>
                <c:pt idx="64">
                  <c:v>25.0436778572953</c:v>
                </c:pt>
                <c:pt idx="65">
                  <c:v>24.1601431776252</c:v>
                </c:pt>
                <c:pt idx="66">
                  <c:v>23.2689332228202</c:v>
                </c:pt>
                <c:pt idx="67">
                  <c:v>22.3707927493061</c:v>
                </c:pt>
                <c:pt idx="68">
                  <c:v>21.4664218210396</c:v>
                </c:pt>
                <c:pt idx="69">
                  <c:v>20.5573529658039</c:v>
                </c:pt>
                <c:pt idx="70">
                  <c:v>19.6449736767884</c:v>
                </c:pt>
                <c:pt idx="71">
                  <c:v>18.7312333047648</c:v>
                </c:pt>
                <c:pt idx="72">
                  <c:v>17.8177861169124</c:v>
                </c:pt>
                <c:pt idx="73">
                  <c:v>16.9066726202898</c:v>
                </c:pt>
                <c:pt idx="74">
                  <c:v>15.999324526971</c:v>
                </c:pt>
                <c:pt idx="75">
                  <c:v>15.0972978457002</c:v>
                </c:pt>
                <c:pt idx="76">
                  <c:v>14.2014831117895</c:v>
                </c:pt>
                <c:pt idx="77">
                  <c:v>13.3129166284037</c:v>
                </c:pt>
                <c:pt idx="78">
                  <c:v>12.4319636618703</c:v>
                </c:pt>
                <c:pt idx="79">
                  <c:v>11.5592440755101</c:v>
                </c:pt>
                <c:pt idx="80">
                  <c:v>10.6930928100768</c:v>
                </c:pt>
                <c:pt idx="81">
                  <c:v>9.83431498529833</c:v>
                </c:pt>
                <c:pt idx="82">
                  <c:v>8.98175149022868</c:v>
                </c:pt>
                <c:pt idx="83">
                  <c:v>8.13532122743209</c:v>
                </c:pt>
                <c:pt idx="84">
                  <c:v>7.29361336049226</c:v>
                </c:pt>
                <c:pt idx="85">
                  <c:v>6.45630759296323</c:v>
                </c:pt>
                <c:pt idx="86">
                  <c:v>5.62246319338728</c:v>
                </c:pt>
                <c:pt idx="87">
                  <c:v>4.79081836666564</c:v>
                </c:pt>
                <c:pt idx="88">
                  <c:v>3.96135159975439</c:v>
                </c:pt>
                <c:pt idx="89">
                  <c:v>3.13257932951012</c:v>
                </c:pt>
                <c:pt idx="90">
                  <c:v>2.30399209224178</c:v>
                </c:pt>
                <c:pt idx="91">
                  <c:v>1.47467568731508</c:v>
                </c:pt>
                <c:pt idx="92">
                  <c:v>0.643868372146423</c:v>
                </c:pt>
                <c:pt idx="93">
                  <c:v>-0.189599431645156</c:v>
                </c:pt>
                <c:pt idx="94">
                  <c:v>-0.398390085489096</c:v>
                </c:pt>
                <c:pt idx="95">
                  <c:v>-0.503519759486726</c:v>
                </c:pt>
                <c:pt idx="96">
                  <c:v>-0.607506586712535</c:v>
                </c:pt>
                <c:pt idx="97">
                  <c:v>-0.71274944845968</c:v>
                </c:pt>
                <c:pt idx="98">
                  <c:v>-0.816852441423823</c:v>
                </c:pt>
                <c:pt idx="99">
                  <c:v>-0.922243389371081</c:v>
                </c:pt>
                <c:pt idx="100">
                  <c:v>-1.02649686841699</c:v>
                </c:pt>
                <c:pt idx="101">
                  <c:v>-1.13198920425478</c:v>
                </c:pt>
                <c:pt idx="102">
                  <c:v>-1.23634764887076</c:v>
                </c:pt>
                <c:pt idx="103">
                  <c:v>-1.34205156727246</c:v>
                </c:pt>
                <c:pt idx="104">
                  <c:v>-1.44662300031501</c:v>
                </c:pt>
                <c:pt idx="105">
                  <c:v>-1.55248912021152</c:v>
                </c:pt>
                <c:pt idx="106">
                  <c:v>-1.65722540687052</c:v>
                </c:pt>
                <c:pt idx="107">
                  <c:v>-1.76320811784089</c:v>
                </c:pt>
                <c:pt idx="108">
                  <c:v>-1.86806480161864</c:v>
                </c:pt>
                <c:pt idx="109">
                  <c:v>-1.97419393383621</c:v>
                </c:pt>
                <c:pt idx="110">
                  <c:v>-2.07920039961138</c:v>
                </c:pt>
                <c:pt idx="111">
                  <c:v>-2.18557349455649</c:v>
                </c:pt>
                <c:pt idx="112">
                  <c:v>-2.29082543235082</c:v>
                </c:pt>
                <c:pt idx="113">
                  <c:v>-2.39739395161963</c:v>
                </c:pt>
                <c:pt idx="114">
                  <c:v>-2.50284404934418</c:v>
                </c:pt>
                <c:pt idx="115">
                  <c:v>-2.60963061551937</c:v>
                </c:pt>
                <c:pt idx="116">
                  <c:v>-2.71530122998836</c:v>
                </c:pt>
                <c:pt idx="117">
                  <c:v>-2.82232639825049</c:v>
                </c:pt>
                <c:pt idx="118">
                  <c:v>-2.92823786944845</c:v>
                </c:pt>
                <c:pt idx="119">
                  <c:v>-3.03545561582407</c:v>
                </c:pt>
                <c:pt idx="120">
                  <c:v>-3.14156308124086</c:v>
                </c:pt>
                <c:pt idx="121">
                  <c:v>-3.24899430994147</c:v>
                </c:pt>
                <c:pt idx="122">
                  <c:v>-3.35531844733584</c:v>
                </c:pt>
                <c:pt idx="123">
                  <c:v>-3.46304432354066</c:v>
                </c:pt>
                <c:pt idx="124">
                  <c:v>-3.56966484964175</c:v>
                </c:pt>
                <c:pt idx="125">
                  <c:v>-3.67763825400849</c:v>
                </c:pt>
                <c:pt idx="126">
                  <c:v>-3.78450922969313</c:v>
                </c:pt>
                <c:pt idx="127">
                  <c:v>-3.89274620652695</c:v>
                </c:pt>
                <c:pt idx="128">
                  <c:v>-3.99988356139524</c:v>
                </c:pt>
                <c:pt idx="129">
                  <c:v>-4.10839876422533</c:v>
                </c:pt>
                <c:pt idx="130">
                  <c:v>-4.21581706713894</c:v>
                </c:pt>
                <c:pt idx="131">
                  <c:v>-4.32462387485816</c:v>
                </c:pt>
                <c:pt idx="132">
                  <c:v>-4.37861529344584</c:v>
                </c:pt>
                <c:pt idx="133">
                  <c:v>-4.43233644633174</c:v>
                </c:pt>
                <c:pt idx="134">
                  <c:v>-4.48705803034746</c:v>
                </c:pt>
                <c:pt idx="135">
                  <c:v>-4.54150311561676</c:v>
                </c:pt>
                <c:pt idx="136">
                  <c:v>-4.59567503523115</c:v>
                </c:pt>
                <c:pt idx="137">
                  <c:v>-4.6495770628094</c:v>
                </c:pt>
                <c:pt idx="138">
                  <c:v>-4.70442706995323</c:v>
                </c:pt>
                <c:pt idx="139">
                  <c:v>-4.75900153188902</c:v>
                </c:pt>
                <c:pt idx="140">
                  <c:v>-4.81330376611477</c:v>
                </c:pt>
                <c:pt idx="141">
                  <c:v>-4.86733703088499</c:v>
                </c:pt>
                <c:pt idx="142">
                  <c:v>-4.9223763378087</c:v>
                </c:pt>
                <c:pt idx="143">
                  <c:v>-4.977140493505</c:v>
                </c:pt>
                <c:pt idx="144">
                  <c:v>-5.03163280944053</c:v>
                </c:pt>
                <c:pt idx="145">
                  <c:v>-5.08585653783205</c:v>
                </c:pt>
                <c:pt idx="146">
                  <c:v>-5.14106165056184</c:v>
                </c:pt>
                <c:pt idx="147">
                  <c:v>-5.19599229248234</c:v>
                </c:pt>
                <c:pt idx="148">
                  <c:v>-5.25065176329604</c:v>
                </c:pt>
                <c:pt idx="149">
                  <c:v>-5.30504330357659</c:v>
                </c:pt>
                <c:pt idx="150">
                  <c:v>-5.36041847627771</c:v>
                </c:pt>
                <c:pt idx="151">
                  <c:v>-5.41551986441898</c:v>
                </c:pt>
                <c:pt idx="152">
                  <c:v>-5.47035075519772</c:v>
                </c:pt>
                <c:pt idx="153">
                  <c:v>-5.52491437681227</c:v>
                </c:pt>
                <c:pt idx="154">
                  <c:v>-5.5804889809179</c:v>
                </c:pt>
                <c:pt idx="155">
                  <c:v>-5.63579024451427</c:v>
                </c:pt>
                <c:pt idx="156">
                  <c:v>-5.69082144593629</c:v>
                </c:pt>
                <c:pt idx="157">
                  <c:v>-5.74558580455385</c:v>
                </c:pt>
                <c:pt idx="158">
                  <c:v>-5.80136187673188</c:v>
                </c:pt>
                <c:pt idx="159">
                  <c:v>-5.85686507962266</c:v>
                </c:pt>
                <c:pt idx="160">
                  <c:v>-5.91209868143092</c:v>
                </c:pt>
                <c:pt idx="161">
                  <c:v>-5.96706589145161</c:v>
                </c:pt>
                <c:pt idx="162">
                  <c:v>-6.02302068869791</c:v>
                </c:pt>
                <c:pt idx="163">
                  <c:v>-6.07870335235862</c:v>
                </c:pt>
                <c:pt idx="164">
                  <c:v>-6.13411713492836</c:v>
                </c:pt>
                <c:pt idx="165">
                  <c:v>-6.18926523017225</c:v>
                </c:pt>
                <c:pt idx="166">
                  <c:v>-6.2454498166678</c:v>
                </c:pt>
                <c:pt idx="167">
                  <c:v>-6.3013625498534</c:v>
                </c:pt>
                <c:pt idx="168">
                  <c:v>-6.35700667373326</c:v>
                </c:pt>
                <c:pt idx="169">
                  <c:v>-6.41238537358044</c:v>
                </c:pt>
                <c:pt idx="170">
                  <c:v>-6.46868168079472</c:v>
                </c:pt>
                <c:pt idx="171">
                  <c:v>-6.52470758678419</c:v>
                </c:pt>
                <c:pt idx="172">
                  <c:v>-6.58046630520186</c:v>
                </c:pt>
                <c:pt idx="173">
                  <c:v>-6.63596099148621</c:v>
                </c:pt>
                <c:pt idx="174">
                  <c:v>-6.69258384641978</c:v>
                </c:pt>
                <c:pt idx="175">
                  <c:v>-6.74893572365123</c:v>
                </c:pt>
                <c:pt idx="176">
                  <c:v>-6.80501984149641</c:v>
                </c:pt>
                <c:pt idx="177">
                  <c:v>-6.86083935972146</c:v>
                </c:pt>
                <c:pt idx="178">
                  <c:v>-6.91776029357511</c:v>
                </c:pt>
                <c:pt idx="179">
                  <c:v>-6.97440998780889</c:v>
                </c:pt>
                <c:pt idx="180">
                  <c:v>-7.0307916585918</c:v>
                </c:pt>
                <c:pt idx="181">
                  <c:v>-7.08690846336253</c:v>
                </c:pt>
                <c:pt idx="182">
                  <c:v>-7.14387795395615</c:v>
                </c:pt>
                <c:pt idx="183">
                  <c:v>-7.20057833283624</c:v>
                </c:pt>
                <c:pt idx="184">
                  <c:v>-7.2570127705283</c:v>
                </c:pt>
                <c:pt idx="185">
                  <c:v>-7.31318437969589</c:v>
                </c:pt>
                <c:pt idx="186">
                  <c:v>-7.37062741656343</c:v>
                </c:pt>
                <c:pt idx="187">
                  <c:v>-7.42779947711413</c:v>
                </c:pt>
                <c:pt idx="188">
                  <c:v>-7.48470375536234</c:v>
                </c:pt>
                <c:pt idx="189">
                  <c:v>-7.54134338664215</c:v>
                </c:pt>
                <c:pt idx="190">
                  <c:v>-7.59879484254267</c:v>
                </c:pt>
                <c:pt idx="191">
                  <c:v>-7.65597784832228</c:v>
                </c:pt>
                <c:pt idx="192">
                  <c:v>-7.71289554284012</c:v>
                </c:pt>
                <c:pt idx="193">
                  <c:v>-7.76955100736827</c:v>
                </c:pt>
                <c:pt idx="194">
                  <c:v>-7.82742236075755</c:v>
                </c:pt>
                <c:pt idx="195">
                  <c:v>-7.88502394858445</c:v>
                </c:pt>
                <c:pt idx="196">
                  <c:v>-7.94235892043992</c:v>
                </c:pt>
                <c:pt idx="197">
                  <c:v>-7.99943036780827</c:v>
                </c:pt>
                <c:pt idx="198">
                  <c:v>-8.0574824690274</c:v>
                </c:pt>
                <c:pt idx="199">
                  <c:v>-8.11526572576992</c:v>
                </c:pt>
                <c:pt idx="200">
                  <c:v>-8.17278325772279</c:v>
                </c:pt>
                <c:pt idx="201">
                  <c:v>-8.23003812693793</c:v>
                </c:pt>
                <c:pt idx="202">
                  <c:v>-8.28825184535879</c:v>
                </c:pt>
                <c:pt idx="203">
                  <c:v>-8.34619780317125</c:v>
                </c:pt>
                <c:pt idx="204">
                  <c:v>-8.40387908590212</c:v>
                </c:pt>
                <c:pt idx="205">
                  <c:v>-8.46129872201968</c:v>
                </c:pt>
                <c:pt idx="206">
                  <c:v>-8.51985551053071</c:v>
                </c:pt>
                <c:pt idx="207">
                  <c:v>-8.57814394480674</c:v>
                </c:pt>
                <c:pt idx="208">
                  <c:v>-8.63616710350027</c:v>
                </c:pt>
                <c:pt idx="209">
                  <c:v>-8.69392800811092</c:v>
                </c:pt>
                <c:pt idx="210">
                  <c:v>-8.75299602561787</c:v>
                </c:pt>
                <c:pt idx="211">
                  <c:v>-8.81179355749495</c:v>
                </c:pt>
                <c:pt idx="212">
                  <c:v>-8.87032369990333</c:v>
                </c:pt>
                <c:pt idx="213">
                  <c:v>-8.9285894911513</c:v>
                </c:pt>
                <c:pt idx="214">
                  <c:v>-8.98774751057089</c:v>
                </c:pt>
                <c:pt idx="215">
                  <c:v>-9.04663674119016</c:v>
                </c:pt>
                <c:pt idx="216">
                  <c:v>-9.1052602293689</c:v>
                </c:pt>
                <c:pt idx="217">
                  <c:v>-9.16362096458596</c:v>
                </c:pt>
                <c:pt idx="218">
                  <c:v>-9.22304365047218</c:v>
                </c:pt>
                <c:pt idx="219">
                  <c:v>-9.28219761419097</c:v>
                </c:pt>
                <c:pt idx="220">
                  <c:v>-9.3410858783879</c:v>
                </c:pt>
                <c:pt idx="221">
                  <c:v>-9.39971140915914</c:v>
                </c:pt>
                <c:pt idx="222">
                  <c:v>-9.45937532512473</c:v>
                </c:pt>
                <c:pt idx="223">
                  <c:v>-9.51877075648627</c:v>
                </c:pt>
                <c:pt idx="224">
                  <c:v>-9.57790069749558</c:v>
                </c:pt>
                <c:pt idx="225">
                  <c:v>-9.6367680863118</c:v>
                </c:pt>
                <c:pt idx="226">
                  <c:v>-9.69683314298712</c:v>
                </c:pt>
                <c:pt idx="227">
                  <c:v>-9.75662847249235</c:v>
                </c:pt>
                <c:pt idx="228">
                  <c:v>-9.81615706338936</c:v>
                </c:pt>
                <c:pt idx="229">
                  <c:v>-9.87542184804843</c:v>
                </c:pt>
                <c:pt idx="230">
                  <c:v>-9.99602185857403</c:v>
                </c:pt>
                <c:pt idx="231">
                  <c:v>-10.0559187330371</c:v>
                </c:pt>
                <c:pt idx="232">
                  <c:v>-10.1155507666145</c:v>
                </c:pt>
                <c:pt idx="233">
                  <c:v>-10.1763270433234</c:v>
                </c:pt>
                <c:pt idx="234">
                  <c:v>-10.2368317761073</c:v>
                </c:pt>
                <c:pt idx="235">
                  <c:v>-10.2970679245391</c:v>
                </c:pt>
                <c:pt idx="236">
                  <c:v>-10.3570383922801</c:v>
                </c:pt>
                <c:pt idx="237">
                  <c:v>-10.4179547867834</c:v>
                </c:pt>
                <c:pt idx="238">
                  <c:v>-10.4786005446208</c:v>
                </c:pt>
                <c:pt idx="239">
                  <c:v>-10.5389785784407</c:v>
                </c:pt>
                <c:pt idx="240">
                  <c:v>-10.5990917459609</c:v>
                </c:pt>
                <c:pt idx="241">
                  <c:v>-10.6604697238245</c:v>
                </c:pt>
                <c:pt idx="242">
                  <c:v>-10.721575034658</c:v>
                </c:pt>
                <c:pt idx="243">
                  <c:v>-10.7824105896296</c:v>
                </c:pt>
                <c:pt idx="244">
                  <c:v>-10.8429792448395</c:v>
                </c:pt>
                <c:pt idx="245">
                  <c:v>-10.9046172217081</c:v>
                </c:pt>
                <c:pt idx="246">
                  <c:v>-10.9659822023853</c:v>
                </c:pt>
                <c:pt idx="247">
                  <c:v>-11.0270770673006</c:v>
                </c:pt>
                <c:pt idx="248">
                  <c:v>-11.0879046424378</c:v>
                </c:pt>
                <c:pt idx="249">
                  <c:v>-11.1499415669764</c:v>
                </c:pt>
                <c:pt idx="250">
                  <c:v>-11.2117038381429</c:v>
                </c:pt>
                <c:pt idx="251">
                  <c:v>-11.2731943246702</c:v>
                </c:pt>
                <c:pt idx="252">
                  <c:v>-11.3344158410173</c:v>
                </c:pt>
                <c:pt idx="253">
                  <c:v>-11.3966583513046</c:v>
                </c:pt>
                <c:pt idx="254">
                  <c:v>-11.458626150447</c:v>
                </c:pt>
                <c:pt idx="255">
                  <c:v>-11.520322068726</c:v>
                </c:pt>
                <c:pt idx="256">
                  <c:v>-11.5817488830265</c:v>
                </c:pt>
                <c:pt idx="257">
                  <c:v>-11.6444902695934</c:v>
                </c:pt>
                <c:pt idx="258">
                  <c:v>-11.706954182513</c:v>
                </c:pt>
                <c:pt idx="259">
                  <c:v>-11.7691434534993</c:v>
                </c:pt>
                <c:pt idx="260">
                  <c:v>-11.8310608607805</c:v>
                </c:pt>
                <c:pt idx="261">
                  <c:v>-11.8941071206364</c:v>
                </c:pt>
                <c:pt idx="262">
                  <c:v>-11.9568747312998</c:v>
                </c:pt>
                <c:pt idx="263">
                  <c:v>-12.0193664997179</c:v>
                </c:pt>
                <c:pt idx="264">
                  <c:v>-12.0815851799603</c:v>
                </c:pt>
                <c:pt idx="265">
                  <c:v>-12.1449070526623</c:v>
                </c:pt>
                <c:pt idx="266">
                  <c:v>-12.2079492212812</c:v>
                </c:pt>
                <c:pt idx="267">
                  <c:v>-12.2707144647578</c:v>
                </c:pt>
                <c:pt idx="268">
                  <c:v>-12.3332055098855</c:v>
                </c:pt>
                <c:pt idx="269">
                  <c:v>-12.396924583198</c:v>
                </c:pt>
                <c:pt idx="270">
                  <c:v>-12.4603616791862</c:v>
                </c:pt>
                <c:pt idx="271">
                  <c:v>-12.5235195654338</c:v>
                </c:pt>
                <c:pt idx="272">
                  <c:v>-12.5864009577388</c:v>
                </c:pt>
                <c:pt idx="273">
                  <c:v>-12.6504818310339</c:v>
                </c:pt>
                <c:pt idx="274">
                  <c:v>-12.7142786117583</c:v>
                </c:pt>
                <c:pt idx="275">
                  <c:v>-12.7777940523025</c:v>
                </c:pt>
                <c:pt idx="276">
                  <c:v>-12.8410308537772</c:v>
                </c:pt>
                <c:pt idx="277">
                  <c:v>-12.9052944039776</c:v>
                </c:pt>
                <c:pt idx="278">
                  <c:v>-12.9692731680688</c:v>
                </c:pt>
                <c:pt idx="279">
                  <c:v>-13.0329698617276</c:v>
                </c:pt>
                <c:pt idx="280">
                  <c:v>-13.0963871504396</c:v>
                </c:pt>
                <c:pt idx="281">
                  <c:v>-13.1612341768136</c:v>
                </c:pt>
                <c:pt idx="282">
                  <c:v>-13.2257919988793</c:v>
                </c:pt>
                <c:pt idx="283">
                  <c:v>-13.2900633476672</c:v>
                </c:pt>
                <c:pt idx="284">
                  <c:v>-13.3540509038804</c:v>
                </c:pt>
                <c:pt idx="285">
                  <c:v>-13.4190146076007</c:v>
                </c:pt>
                <c:pt idx="286">
                  <c:v>-13.4836886571944</c:v>
                </c:pt>
                <c:pt idx="287">
                  <c:v>-13.5480757421373</c:v>
                </c:pt>
                <c:pt idx="288">
                  <c:v>-13.6121785028904</c:v>
                </c:pt>
                <c:pt idx="289">
                  <c:v>-13.6776463616377</c:v>
                </c:pt>
                <c:pt idx="290">
                  <c:v>-13.7428204761999</c:v>
                </c:pt>
                <c:pt idx="291">
                  <c:v>-13.8077035446644</c:v>
                </c:pt>
                <c:pt idx="292">
                  <c:v>-13.8722982162572</c:v>
                </c:pt>
                <c:pt idx="293">
                  <c:v>-13.9380898640007</c:v>
                </c:pt>
                <c:pt idx="294">
                  <c:v>-14.0035850906658</c:v>
                </c:pt>
                <c:pt idx="295">
                  <c:v>-14.0687865827926</c:v>
                </c:pt>
                <c:pt idx="296">
                  <c:v>-14.1336969787638</c:v>
                </c:pt>
                <c:pt idx="297">
                  <c:v>-14.19977519015</c:v>
                </c:pt>
                <c:pt idx="298">
                  <c:v>-14.2655544381256</c:v>
                </c:pt>
                <c:pt idx="299">
                  <c:v>-14.3310373957626</c:v>
                </c:pt>
                <c:pt idx="300">
                  <c:v>-14.3962266887849</c:v>
                </c:pt>
                <c:pt idx="301">
                  <c:v>-14.4625551249289</c:v>
                </c:pt>
                <c:pt idx="302">
                  <c:v>-14.5285821806034</c:v>
                </c:pt>
                <c:pt idx="303">
                  <c:v>-14.5943105140009</c:v>
                </c:pt>
                <c:pt idx="304">
                  <c:v>-14.6597427368674</c:v>
                </c:pt>
                <c:pt idx="305">
                  <c:v>-14.726541253557</c:v>
                </c:pt>
                <c:pt idx="306">
                  <c:v>-14.7930337603021</c:v>
                </c:pt>
                <c:pt idx="307">
                  <c:v>-14.8592229298187</c:v>
                </c:pt>
                <c:pt idx="308">
                  <c:v>-14.9251113886596</c:v>
                </c:pt>
                <c:pt idx="309">
                  <c:v>-14.9920807012029</c:v>
                </c:pt>
                <c:pt idx="310">
                  <c:v>-15.0587418885107</c:v>
                </c:pt>
                <c:pt idx="311">
                  <c:v>-15.1250976054881</c:v>
                </c:pt>
                <c:pt idx="312">
                  <c:v>-15.1911504619644</c:v>
                </c:pt>
                <c:pt idx="313">
                  <c:v>-15.2585030148127</c:v>
                </c:pt>
                <c:pt idx="314">
                  <c:v>-15.3255431575901</c:v>
                </c:pt>
                <c:pt idx="315">
                  <c:v>-15.3922735563226</c:v>
                </c:pt>
                <c:pt idx="316">
                  <c:v>-15.4586968324521</c:v>
                </c:pt>
                <c:pt idx="317">
                  <c:v>-15.5263861286086</c:v>
                </c:pt>
                <c:pt idx="318">
                  <c:v>-15.5937589259735</c:v>
                </c:pt>
                <c:pt idx="319">
                  <c:v>-15.6608179000726</c:v>
                </c:pt>
                <c:pt idx="320">
                  <c:v>-15.7275656824398</c:v>
                </c:pt>
                <c:pt idx="321">
                  <c:v>-15.7955463076347</c:v>
                </c:pt>
                <c:pt idx="322">
                  <c:v>-15.8632065374595</c:v>
                </c:pt>
                <c:pt idx="323">
                  <c:v>-15.9305490557762</c:v>
                </c:pt>
                <c:pt idx="324">
                  <c:v>-15.997576503131</c:v>
                </c:pt>
                <c:pt idx="325">
                  <c:v>-16.0658041159165</c:v>
                </c:pt>
                <c:pt idx="326">
                  <c:v>-16.1337076264287</c:v>
                </c:pt>
                <c:pt idx="327">
                  <c:v>-16.2012897261167</c:v>
                </c:pt>
                <c:pt idx="328">
                  <c:v>-16.2685530638585</c:v>
                </c:pt>
                <c:pt idx="329">
                  <c:v>-16.3370985496125</c:v>
                </c:pt>
                <c:pt idx="330">
                  <c:v>-16.4053153227288</c:v>
                </c:pt>
                <c:pt idx="331">
                  <c:v>-16.4732060953182</c:v>
                </c:pt>
                <c:pt idx="332">
                  <c:v>-16.5407735374399</c:v>
                </c:pt>
                <c:pt idx="333">
                  <c:v>-16.6094761871544</c:v>
                </c:pt>
                <c:pt idx="334">
                  <c:v>-16.6778468250905</c:v>
                </c:pt>
                <c:pt idx="335">
                  <c:v>-16.7458881699824</c:v>
                </c:pt>
                <c:pt idx="336">
                  <c:v>-16.8136028993635</c:v>
                </c:pt>
                <c:pt idx="337">
                  <c:v>-16.8826413392016</c:v>
                </c:pt>
                <c:pt idx="338">
                  <c:v>-16.9513425184479</c:v>
                </c:pt>
                <c:pt idx="339">
                  <c:v>-17.0197091887541</c:v>
                </c:pt>
                <c:pt idx="340">
                  <c:v>-17.0877440609308</c:v>
                </c:pt>
                <c:pt idx="341">
                  <c:v>-17.1570655513867</c:v>
                </c:pt>
                <c:pt idx="342">
                  <c:v>-17.2260448037512</c:v>
                </c:pt>
                <c:pt idx="343">
                  <c:v>-17.2946846017815</c:v>
                </c:pt>
                <c:pt idx="344">
                  <c:v>-17.3629876888124</c:v>
                </c:pt>
                <c:pt idx="345">
                  <c:v>-17.4324352594139</c:v>
                </c:pt>
                <c:pt idx="346">
                  <c:v>-17.5015369400433</c:v>
                </c:pt>
                <c:pt idx="347">
                  <c:v>-17.5702955332812</c:v>
                </c:pt>
                <c:pt idx="348">
                  <c:v>-17.638713801986</c:v>
                </c:pt>
                <c:pt idx="349">
                  <c:v>-17.7084507796344</c:v>
                </c:pt>
                <c:pt idx="350">
                  <c:v>-17.7778363749027</c:v>
                </c:pt>
                <c:pt idx="351">
                  <c:v>-17.8468734346055</c:v>
                </c:pt>
                <c:pt idx="352">
                  <c:v>-17.9155647660784</c:v>
                </c:pt>
                <c:pt idx="353">
                  <c:v>-17.9855363228301</c:v>
                </c:pt>
                <c:pt idx="354">
                  <c:v>-18.055151324835</c:v>
                </c:pt>
                <c:pt idx="355">
                  <c:v>-18.1244126625068</c:v>
                </c:pt>
                <c:pt idx="356">
                  <c:v>-18.193323187057</c:v>
                </c:pt>
                <c:pt idx="357">
                  <c:v>-18.2633766785306</c:v>
                </c:pt>
                <c:pt idx="358">
                  <c:v>-18.3330697906615</c:v>
                </c:pt>
                <c:pt idx="359">
                  <c:v>-18.4024054445814</c:v>
                </c:pt>
                <c:pt idx="360">
                  <c:v>-18.4713865227353</c:v>
                </c:pt>
                <c:pt idx="361">
                  <c:v>-18.5416711378606</c:v>
                </c:pt>
                <c:pt idx="362">
                  <c:v>-18.6115898209459</c:v>
                </c:pt>
                <c:pt idx="363">
                  <c:v>-18.6811455484816</c:v>
                </c:pt>
                <c:pt idx="364">
                  <c:v>-18.7503412583522</c:v>
                </c:pt>
                <c:pt idx="365">
                  <c:v>-18.8207055630926</c:v>
                </c:pt>
                <c:pt idx="366">
                  <c:v>-18.8906997601112</c:v>
                </c:pt>
                <c:pt idx="367">
                  <c:v>-18.9603268683117</c:v>
                </c:pt>
                <c:pt idx="368">
                  <c:v>-19.0295898682903</c:v>
                </c:pt>
                <c:pt idx="369">
                  <c:v>-19.100172302665</c:v>
                </c:pt>
                <c:pt idx="370">
                  <c:v>-19.1703788148033</c:v>
                </c:pt>
                <c:pt idx="371">
                  <c:v>-19.2402124900418</c:v>
                </c:pt>
                <c:pt idx="372">
                  <c:v>-19.3096763752902</c:v>
                </c:pt>
                <c:pt idx="373">
                  <c:v>-19.3803271673353</c:v>
                </c:pt>
                <c:pt idx="374">
                  <c:v>-19.4505976308207</c:v>
                </c:pt>
                <c:pt idx="375">
                  <c:v>-19.520490904371</c:v>
                </c:pt>
                <c:pt idx="376">
                  <c:v>-19.5900100882656</c:v>
                </c:pt>
                <c:pt idx="377">
                  <c:v>-19.6608576270046</c:v>
                </c:pt>
                <c:pt idx="378">
                  <c:v>-19.7313188816292</c:v>
                </c:pt>
                <c:pt idx="379">
                  <c:v>-19.8013970675144</c:v>
                </c:pt>
                <c:pt idx="380">
                  <c:v>-19.871095361365</c:v>
                </c:pt>
                <c:pt idx="381">
                  <c:v>-19.9419045135406</c:v>
                </c:pt>
                <c:pt idx="382">
                  <c:v>-20.0123238292621</c:v>
                </c:pt>
                <c:pt idx="383">
                  <c:v>-20.0823565750802</c:v>
                </c:pt>
                <c:pt idx="384">
                  <c:v>-20.1520059789247</c:v>
                </c:pt>
                <c:pt idx="385">
                  <c:v>-20.2229871406748</c:v>
                </c:pt>
                <c:pt idx="386">
                  <c:v>-20.293572467086</c:v>
                </c:pt>
                <c:pt idx="387">
                  <c:v>-20.363765311059</c:v>
                </c:pt>
                <c:pt idx="388">
                  <c:v>-20.4335689863289</c:v>
                </c:pt>
                <c:pt idx="389">
                  <c:v>-20.5045771055325</c:v>
                </c:pt>
                <c:pt idx="390">
                  <c:v>-20.5751848617032</c:v>
                </c:pt>
                <c:pt idx="391">
                  <c:v>-20.6453956801373</c:v>
                </c:pt>
                <c:pt idx="392">
                  <c:v>-20.7152129465943</c:v>
                </c:pt>
                <c:pt idx="393">
                  <c:v>-20.7861947902226</c:v>
                </c:pt>
                <c:pt idx="394">
                  <c:v>-20.8567722415126</c:v>
                </c:pt>
                <c:pt idx="395">
                  <c:v>-20.9269487962832</c:v>
                </c:pt>
                <c:pt idx="396">
                  <c:v>-20.9967279104189</c:v>
                </c:pt>
                <c:pt idx="397">
                  <c:v>-21.0677926235037</c:v>
                </c:pt>
                <c:pt idx="398">
                  <c:v>-21.1384475783204</c:v>
                </c:pt>
                <c:pt idx="399">
                  <c:v>-21.2086963632199</c:v>
                </c:pt>
                <c:pt idx="400">
                  <c:v>-21.2785425258281</c:v>
                </c:pt>
                <c:pt idx="401">
                  <c:v>-21.3495526479489</c:v>
                </c:pt>
                <c:pt idx="402">
                  <c:v>-21.4201491413557</c:v>
                </c:pt>
                <c:pt idx="403">
                  <c:v>-21.4903356720997</c:v>
                </c:pt>
                <c:pt idx="404">
                  <c:v>-21.560115864878</c:v>
                </c:pt>
                <c:pt idx="405">
                  <c:v>-21.6310966426566</c:v>
                </c:pt>
                <c:pt idx="406">
                  <c:v>-21.7016595752032</c:v>
                </c:pt>
                <c:pt idx="407">
                  <c:v>-21.7718084154769</c:v>
                </c:pt>
                <c:pt idx="408">
                  <c:v>-21.8415468742448</c:v>
                </c:pt>
                <c:pt idx="409">
                  <c:v>-21.9125191235697</c:v>
                </c:pt>
                <c:pt idx="410">
                  <c:v>-21.9830690194538</c:v>
                </c:pt>
                <c:pt idx="411">
                  <c:v>-22.0532004104843</c:v>
                </c:pt>
                <c:pt idx="412">
                  <c:v>-22.1229171020148</c:v>
                </c:pt>
                <c:pt idx="413">
                  <c:v>-22.1938246796907</c:v>
                </c:pt>
                <c:pt idx="414">
                  <c:v>-22.2643060321618</c:v>
                </c:pt>
                <c:pt idx="415">
                  <c:v>-22.3343650997599</c:v>
                </c:pt>
                <c:pt idx="416">
                  <c:v>-22.4040057785219</c:v>
                </c:pt>
                <c:pt idx="417">
                  <c:v>-22.4748666804647</c:v>
                </c:pt>
                <c:pt idx="418">
                  <c:v>-22.5452972613378</c:v>
                </c:pt>
                <c:pt idx="419">
                  <c:v>-22.6153015610799</c:v>
                </c:pt>
                <c:pt idx="420">
                  <c:v>-22.6848835740734</c:v>
                </c:pt>
                <c:pt idx="421">
                  <c:v>-22.7555733333599</c:v>
                </c:pt>
                <c:pt idx="422">
                  <c:v>-22.8258302024185</c:v>
                </c:pt>
                <c:pt idx="423">
                  <c:v>-22.8956583038661</c:v>
                </c:pt>
                <c:pt idx="424">
                  <c:v>-22.9650617136694</c:v>
                </c:pt>
                <c:pt idx="425">
                  <c:v>-23.0357366031955</c:v>
                </c:pt>
                <c:pt idx="426">
                  <c:v>-23.1059741600622</c:v>
                </c:pt>
                <c:pt idx="427">
                  <c:v>-23.1757786208971</c:v>
                </c:pt>
                <c:pt idx="428">
                  <c:v>-23.2451541740227</c:v>
                </c:pt>
                <c:pt idx="429">
                  <c:v>-23.3156896269901</c:v>
                </c:pt>
                <c:pt idx="430">
                  <c:v>-23.3857848843032</c:v>
                </c:pt>
                <c:pt idx="431">
                  <c:v>-23.455444278481</c:v>
                </c:pt>
                <c:pt idx="432">
                  <c:v>-23.5246720922632</c:v>
                </c:pt>
                <c:pt idx="433">
                  <c:v>-23.5950181013308</c:v>
                </c:pt>
                <c:pt idx="434">
                  <c:v>-23.664921759997</c:v>
                </c:pt>
                <c:pt idx="435">
                  <c:v>-23.7343874904379</c:v>
                </c:pt>
                <c:pt idx="436">
                  <c:v>-23.8034196635769</c:v>
                </c:pt>
                <c:pt idx="437">
                  <c:v>-23.8736552917521</c:v>
                </c:pt>
                <c:pt idx="438">
                  <c:v>-23.9434455252839</c:v>
                </c:pt>
                <c:pt idx="439">
                  <c:v>-24.012794893568</c:v>
                </c:pt>
                <c:pt idx="440">
                  <c:v>-24.0817078729052</c:v>
                </c:pt>
                <c:pt idx="441">
                  <c:v>-24.1517806354555</c:v>
                </c:pt>
                <c:pt idx="442">
                  <c:v>-24.2214057373203</c:v>
                </c:pt>
                <c:pt idx="443">
                  <c:v>-24.2905878076002</c:v>
                </c:pt>
                <c:pt idx="444">
                  <c:v>-24.3593314204746</c:v>
                </c:pt>
                <c:pt idx="445">
                  <c:v>-24.4291926490066</c:v>
                </c:pt>
                <c:pt idx="446">
                  <c:v>-24.4986047167594</c:v>
                </c:pt>
                <c:pt idx="447">
                  <c:v>-24.5675723445851</c:v>
                </c:pt>
                <c:pt idx="448">
                  <c:v>-24.6361001966125</c:v>
                </c:pt>
                <c:pt idx="449">
                  <c:v>-24.7058213307638</c:v>
                </c:pt>
                <c:pt idx="450">
                  <c:v>-24.7750910525506</c:v>
                </c:pt>
                <c:pt idx="451">
                  <c:v>-24.8439141902827</c:v>
                </c:pt>
                <c:pt idx="452">
                  <c:v>-24.9122955133884</c:v>
                </c:pt>
                <c:pt idx="453">
                  <c:v>-24.9817698614218</c:v>
                </c:pt>
                <c:pt idx="454">
                  <c:v>-25.0507921070279</c:v>
                </c:pt>
                <c:pt idx="455">
                  <c:v>-25.1193671646572</c:v>
                </c:pt>
                <c:pt idx="456">
                  <c:v>-25.1874998879618</c:v>
                </c:pt>
                <c:pt idx="457">
                  <c:v>-25.2567963087523</c:v>
                </c:pt>
                <c:pt idx="458">
                  <c:v>-25.3256392542288</c:v>
                </c:pt>
                <c:pt idx="459">
                  <c:v>-25.394033739446</c:v>
                </c:pt>
                <c:pt idx="460">
                  <c:v>-25.4619847164006</c:v>
                </c:pt>
                <c:pt idx="461">
                  <c:v>-25.5310569465946</c:v>
                </c:pt>
                <c:pt idx="462">
                  <c:v>-25.5996751582211</c:v>
                </c:pt>
                <c:pt idx="463">
                  <c:v>-25.6678444565228</c:v>
                </c:pt>
                <c:pt idx="464">
                  <c:v>-25.7355698814904</c:v>
                </c:pt>
                <c:pt idx="465">
                  <c:v>-25.8044282127588</c:v>
                </c:pt>
                <c:pt idx="466">
                  <c:v>-25.8728320967057</c:v>
                </c:pt>
                <c:pt idx="467">
                  <c:v>-25.9407867298006</c:v>
                </c:pt>
                <c:pt idx="468">
                  <c:v>-26.0082972409424</c:v>
                </c:pt>
                <c:pt idx="469">
                  <c:v>-26.0768995769245</c:v>
                </c:pt>
                <c:pt idx="470">
                  <c:v>-26.1450478601819</c:v>
                </c:pt>
                <c:pt idx="471">
                  <c:v>-26.2127473669509</c:v>
                </c:pt>
                <c:pt idx="472">
                  <c:v>-26.2800033036716</c:v>
                </c:pt>
                <c:pt idx="473">
                  <c:v>-26.3484111318138</c:v>
                </c:pt>
                <c:pt idx="474">
                  <c:v>-26.4163647781525</c:v>
                </c:pt>
                <c:pt idx="475">
                  <c:v>-26.4838696102405</c:v>
                </c:pt>
                <c:pt idx="476">
                  <c:v>-26.5509309232991</c:v>
                </c:pt>
                <c:pt idx="477">
                  <c:v>-26.6191026419986</c:v>
                </c:pt>
                <c:pt idx="478">
                  <c:v>-26.6868209035829</c:v>
                </c:pt>
                <c:pt idx="479">
                  <c:v>-26.754091154115</c:v>
                </c:pt>
                <c:pt idx="480">
                  <c:v>-26.8209187649119</c:v>
                </c:pt>
                <c:pt idx="481">
                  <c:v>-26.8888171458228</c:v>
                </c:pt>
                <c:pt idx="482">
                  <c:v>-26.9562636111086</c:v>
                </c:pt>
                <c:pt idx="483">
                  <c:v>-27.0232636723035</c:v>
                </c:pt>
                <c:pt idx="484">
                  <c:v>-27.0898227639178</c:v>
                </c:pt>
                <c:pt idx="485">
                  <c:v>-27.1574607170564</c:v>
                </c:pt>
                <c:pt idx="486">
                  <c:v>-27.2246484635126</c:v>
                </c:pt>
                <c:pt idx="487">
                  <c:v>-27.2913915784162</c:v>
                </c:pt>
                <c:pt idx="488">
                  <c:v>-27.3576955575348</c:v>
                </c:pt>
                <c:pt idx="489">
                  <c:v>-27.4251299798175</c:v>
                </c:pt>
                <c:pt idx="490">
                  <c:v>-27.4921155006705</c:v>
                </c:pt>
                <c:pt idx="491">
                  <c:v>-27.5586577674173</c:v>
                </c:pt>
                <c:pt idx="492">
                  <c:v>-27.6247623454163</c:v>
                </c:pt>
                <c:pt idx="493">
                  <c:v>-27.6919578968649</c:v>
                </c:pt>
                <c:pt idx="494">
                  <c:v>-27.7587066844043</c:v>
                </c:pt>
                <c:pt idx="495">
                  <c:v>-27.8250144127476</c:v>
                </c:pt>
                <c:pt idx="496">
                  <c:v>-27.8908867022265</c:v>
                </c:pt>
                <c:pt idx="497">
                  <c:v>-27.9578548047074</c:v>
                </c:pt>
                <c:pt idx="498">
                  <c:v>-28.024378504069</c:v>
                </c:pt>
                <c:pt idx="499">
                  <c:v>-28.0904635584734</c:v>
                </c:pt>
                <c:pt idx="500">
                  <c:v>-28.1561156392689</c:v>
                </c:pt>
                <c:pt idx="501">
                  <c:v>-28.2228675017492</c:v>
                </c:pt>
                <c:pt idx="502">
                  <c:v>-28.2891775576543</c:v>
                </c:pt>
                <c:pt idx="503">
                  <c:v>-28.3550516140154</c:v>
                </c:pt>
                <c:pt idx="504">
                  <c:v>-28.4204953886177</c:v>
                </c:pt>
                <c:pt idx="505">
                  <c:v>-28.4870019445709</c:v>
                </c:pt>
                <c:pt idx="506">
                  <c:v>-28.5530700639031</c:v>
                </c:pt>
                <c:pt idx="507">
                  <c:v>-28.6187055867777</c:v>
                </c:pt>
                <c:pt idx="508">
                  <c:v>-28.6839142619182</c:v>
                </c:pt>
                <c:pt idx="509">
                  <c:v>-28.7501898080247</c:v>
                </c:pt>
                <c:pt idx="510">
                  <c:v>-28.8160304925369</c:v>
                </c:pt>
                <c:pt idx="511">
                  <c:v>-28.8814421835818</c:v>
                </c:pt>
                <c:pt idx="512">
                  <c:v>-28.9464306556847</c:v>
                </c:pt>
                <c:pt idx="513">
                  <c:v>-29.0125275938634</c:v>
                </c:pt>
                <c:pt idx="514">
                  <c:v>-29.078192958509</c:v>
                </c:pt>
                <c:pt idx="515">
                  <c:v>-29.1434326501992</c:v>
                </c:pt>
                <c:pt idx="516">
                  <c:v>-29.2082524735765</c:v>
                </c:pt>
                <c:pt idx="517">
                  <c:v>-29.2741450118744</c:v>
                </c:pt>
                <c:pt idx="518">
                  <c:v>-29.3396100006341</c:v>
                </c:pt>
                <c:pt idx="519">
                  <c:v>-29.4046533561628</c:v>
                </c:pt>
                <c:pt idx="520">
                  <c:v>-29.4692808967895</c:v>
                </c:pt>
                <c:pt idx="521">
                  <c:v>-29.534983570015</c:v>
                </c:pt>
                <c:pt idx="522">
                  <c:v>-29.6002629255961</c:v>
                </c:pt>
                <c:pt idx="523">
                  <c:v>-29.6651248890226</c:v>
                </c:pt>
                <c:pt idx="524">
                  <c:v>-29.7295752858462</c:v>
                </c:pt>
                <c:pt idx="525">
                  <c:v>-29.795102826198</c:v>
                </c:pt>
                <c:pt idx="526">
                  <c:v>-29.8602114840732</c:v>
                </c:pt>
                <c:pt idx="527">
                  <c:v>-29.9249071872439</c:v>
                </c:pt>
                <c:pt idx="528">
                  <c:v>-29.9891957616843</c:v>
                </c:pt>
                <c:pt idx="529">
                  <c:v>-30.0545631504603</c:v>
                </c:pt>
                <c:pt idx="530">
                  <c:v>-30.1195162878715</c:v>
                </c:pt>
                <c:pt idx="531">
                  <c:v>-30.1840610967776</c:v>
                </c:pt>
                <c:pt idx="532">
                  <c:v>-30.248203396497</c:v>
                </c:pt>
                <c:pt idx="533">
                  <c:v>-30.3134594676126</c:v>
                </c:pt>
                <c:pt idx="534">
                  <c:v>-30.3783056847467</c:v>
                </c:pt>
                <c:pt idx="535">
                  <c:v>-30.4427479674956</c:v>
                </c:pt>
                <c:pt idx="536">
                  <c:v>-30.5067921300872</c:v>
                </c:pt>
                <c:pt idx="537">
                  <c:v>-30.5718845096117</c:v>
                </c:pt>
                <c:pt idx="538">
                  <c:v>-30.6365724578982</c:v>
                </c:pt>
                <c:pt idx="539">
                  <c:v>-30.7008618653111</c:v>
                </c:pt>
                <c:pt idx="540">
                  <c:v>-30.7647585156011</c:v>
                </c:pt>
                <c:pt idx="541">
                  <c:v>-30.8297694647588</c:v>
                </c:pt>
                <c:pt idx="542">
                  <c:v>-30.8943807416849</c:v>
                </c:pt>
                <c:pt idx="543">
                  <c:v>-30.9585982177042</c:v>
                </c:pt>
                <c:pt idx="544">
                  <c:v>-31.0224276560118</c:v>
                </c:pt>
                <c:pt idx="545">
                  <c:v>-31.0873399223422</c:v>
                </c:pt>
                <c:pt idx="546">
                  <c:v>-31.1518578345727</c:v>
                </c:pt>
                <c:pt idx="547">
                  <c:v>-31.2159872281941</c:v>
                </c:pt>
                <c:pt idx="548">
                  <c:v>-31.2797338294438</c:v>
                </c:pt>
                <c:pt idx="549">
                  <c:v>-31.3445640295971</c:v>
                </c:pt>
                <c:pt idx="550">
                  <c:v>-31.4090053174565</c:v>
                </c:pt>
                <c:pt idx="551">
                  <c:v>-31.473063484973</c:v>
                </c:pt>
                <c:pt idx="552">
                  <c:v>-31.536744213905</c:v>
                </c:pt>
                <c:pt idx="553">
                  <c:v>-31.6015389644278</c:v>
                </c:pt>
                <c:pt idx="554">
                  <c:v>-31.6659499981374</c:v>
                </c:pt>
                <c:pt idx="555">
                  <c:v>-31.7299830636877</c:v>
                </c:pt>
                <c:pt idx="556">
                  <c:v>-31.793643798594</c:v>
                </c:pt>
                <c:pt idx="557">
                  <c:v>-31.9228141762947</c:v>
                </c:pt>
                <c:pt idx="558">
                  <c:v>-32.0504936215293</c:v>
                </c:pt>
                <c:pt idx="559">
                  <c:v>-32.1796031884261</c:v>
                </c:pt>
                <c:pt idx="560">
                  <c:v>-32.3072444932074</c:v>
                </c:pt>
                <c:pt idx="561">
                  <c:v>-32.4364388930771</c:v>
                </c:pt>
                <c:pt idx="562">
                  <c:v>-32.5641853708823</c:v>
                </c:pt>
                <c:pt idx="563">
                  <c:v>-32.6932232691341</c:v>
                </c:pt>
                <c:pt idx="564">
                  <c:v>-32.8208397543261</c:v>
                </c:pt>
                <c:pt idx="565">
                  <c:v>-32.9502422491605</c:v>
                </c:pt>
                <c:pt idx="566">
                  <c:v>-33.0782391945987</c:v>
                </c:pt>
                <c:pt idx="567">
                  <c:v>-33.2079697430817</c:v>
                </c:pt>
                <c:pt idx="568">
                  <c:v>-33.336312248887</c:v>
                </c:pt>
                <c:pt idx="569">
                  <c:v>-33.4658347155885</c:v>
                </c:pt>
                <c:pt idx="570">
                  <c:v>-33.5939985127779</c:v>
                </c:pt>
                <c:pt idx="571">
                  <c:v>-33.7243079172518</c:v>
                </c:pt>
                <c:pt idx="572">
                  <c:v>-33.8532677553554</c:v>
                </c:pt>
                <c:pt idx="573">
                  <c:v>-33.9833418498221</c:v>
                </c:pt>
                <c:pt idx="574">
                  <c:v>-34.1120968843569</c:v>
                </c:pt>
                <c:pt idx="575">
                  <c:v>-34.2428970086377</c:v>
                </c:pt>
                <c:pt idx="576">
                  <c:v>-34.3723893595241</c:v>
                </c:pt>
                <c:pt idx="577">
                  <c:v>-34.9069740538047</c:v>
                </c:pt>
                <c:pt idx="578">
                  <c:v>-35.4213861227716</c:v>
                </c:pt>
                <c:pt idx="579">
                  <c:v>-36.4882621097499</c:v>
                </c:pt>
                <c:pt idx="580">
                  <c:v>-37.5799354566273</c:v>
                </c:pt>
                <c:pt idx="581">
                  <c:v>-38.6992501465583</c:v>
                </c:pt>
                <c:pt idx="582">
                  <c:v>-39.8503937473544</c:v>
                </c:pt>
                <c:pt idx="583">
                  <c:v>-41.0349660559108</c:v>
                </c:pt>
                <c:pt idx="584">
                  <c:v>-42.2552825302881</c:v>
                </c:pt>
                <c:pt idx="585">
                  <c:v>-43.5110925585921</c:v>
                </c:pt>
                <c:pt idx="586">
                  <c:v>-44.8021226064008</c:v>
                </c:pt>
                <c:pt idx="587">
                  <c:v>-46.1278910685371</c:v>
                </c:pt>
                <c:pt idx="588">
                  <c:v>-47.4853450738501</c:v>
                </c:pt>
                <c:pt idx="589">
                  <c:v>-48.8733495732337</c:v>
                </c:pt>
                <c:pt idx="590">
                  <c:v>-50.288895686521</c:v>
                </c:pt>
                <c:pt idx="591">
                  <c:v>-51.7294720866707</c:v>
                </c:pt>
                <c:pt idx="592">
                  <c:v>-53.1922266849411</c:v>
                </c:pt>
                <c:pt idx="593">
                  <c:v>-54.675012693232</c:v>
                </c:pt>
                <c:pt idx="594">
                  <c:v>-56.1749977704963</c:v>
                </c:pt>
                <c:pt idx="595">
                  <c:v>-57.6902250896956</c:v>
                </c:pt>
                <c:pt idx="596">
                  <c:v>-59.218334552496</c:v>
                </c:pt>
                <c:pt idx="597">
                  <c:v>-60.757815209351</c:v>
                </c:pt>
                <c:pt idx="598">
                  <c:v>-62.3066602325305</c:v>
                </c:pt>
                <c:pt idx="599">
                  <c:v>-63.8638398751341</c:v>
                </c:pt>
                <c:pt idx="600">
                  <c:v>-65.4278780116512</c:v>
                </c:pt>
              </c:numCache>
            </c:numRef>
          </c:yVal>
          <c:smooth val="0"/>
        </c:ser>
        <c:axId val="86944134"/>
        <c:axId val="35965957"/>
      </c:scatterChart>
      <c:scatterChart>
        <c:scatterStyle val="line"/>
        <c:varyColors val="0"/>
        <c:ser>
          <c:idx val="1"/>
          <c:order val="1"/>
          <c:tx>
            <c:strRef>
              <c:f>'Stability Calculations'!$S$12</c:f>
              <c:strCache>
                <c:ptCount val="1"/>
                <c:pt idx="0">
                  <c:v>Phase (°)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1.2023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</c:v>
                </c:pt>
                <c:pt idx="9">
                  <c:v>2.2909</c:v>
                </c:pt>
                <c:pt idx="10">
                  <c:v>2.5119</c:v>
                </c:pt>
                <c:pt idx="11">
                  <c:v>2.7542</c:v>
                </c:pt>
                <c:pt idx="12">
                  <c:v>3.02</c:v>
                </c:pt>
                <c:pt idx="13">
                  <c:v>3.3113</c:v>
                </c:pt>
                <c:pt idx="14">
                  <c:v>3.6308</c:v>
                </c:pt>
                <c:pt idx="15">
                  <c:v>3.9811</c:v>
                </c:pt>
                <c:pt idx="16">
                  <c:v>4.3652</c:v>
                </c:pt>
                <c:pt idx="17">
                  <c:v>4.7863</c:v>
                </c:pt>
                <c:pt idx="18">
                  <c:v>5.2481</c:v>
                </c:pt>
                <c:pt idx="19">
                  <c:v>5.7544</c:v>
                </c:pt>
                <c:pt idx="20">
                  <c:v>6.3096</c:v>
                </c:pt>
                <c:pt idx="21">
                  <c:v>6.9183</c:v>
                </c:pt>
                <c:pt idx="22">
                  <c:v>7.5858</c:v>
                </c:pt>
                <c:pt idx="23">
                  <c:v>8.3176</c:v>
                </c:pt>
                <c:pt idx="24">
                  <c:v>9.1201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</c:v>
                </c:pt>
                <c:pt idx="34">
                  <c:v>22.909</c:v>
                </c:pt>
                <c:pt idx="35">
                  <c:v>25.119</c:v>
                </c:pt>
                <c:pt idx="36">
                  <c:v>27.542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</c:v>
                </c:pt>
                <c:pt idx="42">
                  <c:v>47.863</c:v>
                </c:pt>
                <c:pt idx="43">
                  <c:v>52.481</c:v>
                </c:pt>
                <c:pt idx="44">
                  <c:v>57.544</c:v>
                </c:pt>
                <c:pt idx="45">
                  <c:v>63.096</c:v>
                </c:pt>
                <c:pt idx="46">
                  <c:v>69.183</c:v>
                </c:pt>
                <c:pt idx="47">
                  <c:v>75.858</c:v>
                </c:pt>
                <c:pt idx="48">
                  <c:v>83.176</c:v>
                </c:pt>
                <c:pt idx="49">
                  <c:v>91.201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524.81</c:v>
                </c:pt>
                <c:pt idx="69">
                  <c:v>575.44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</c:v>
                </c:pt>
                <c:pt idx="132">
                  <c:v>8270.275</c:v>
                </c:pt>
                <c:pt idx="133">
                  <c:v>8317.6</c:v>
                </c:pt>
                <c:pt idx="134">
                  <c:v>8366.05</c:v>
                </c:pt>
                <c:pt idx="135">
                  <c:v>8414.5</c:v>
                </c:pt>
                <c:pt idx="136">
                  <c:v>8462.95</c:v>
                </c:pt>
                <c:pt idx="137">
                  <c:v>8511.4</c:v>
                </c:pt>
                <c:pt idx="138">
                  <c:v>8560.95</c:v>
                </c:pt>
                <c:pt idx="139">
                  <c:v>8610.5</c:v>
                </c:pt>
                <c:pt idx="140">
                  <c:v>8660.05</c:v>
                </c:pt>
                <c:pt idx="141">
                  <c:v>8709.6</c:v>
                </c:pt>
                <c:pt idx="142">
                  <c:v>8760.325</c:v>
                </c:pt>
                <c:pt idx="143">
                  <c:v>8811.05</c:v>
                </c:pt>
                <c:pt idx="144">
                  <c:v>8861.775</c:v>
                </c:pt>
                <c:pt idx="145">
                  <c:v>8912.5</c:v>
                </c:pt>
                <c:pt idx="146">
                  <c:v>8964.4</c:v>
                </c:pt>
                <c:pt idx="147">
                  <c:v>9016.3</c:v>
                </c:pt>
                <c:pt idx="148">
                  <c:v>9068.2</c:v>
                </c:pt>
                <c:pt idx="149">
                  <c:v>9120.1</c:v>
                </c:pt>
                <c:pt idx="150">
                  <c:v>9173.2</c:v>
                </c:pt>
                <c:pt idx="151">
                  <c:v>9226.3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</c:v>
                </c:pt>
                <c:pt idx="156">
                  <c:v>9495.55</c:v>
                </c:pt>
                <c:pt idx="157">
                  <c:v>9549.9</c:v>
                </c:pt>
                <c:pt idx="158">
                  <c:v>9605.525</c:v>
                </c:pt>
                <c:pt idx="159">
                  <c:v>9661.15</c:v>
                </c:pt>
                <c:pt idx="160">
                  <c:v>9716.775</c:v>
                </c:pt>
                <c:pt idx="161">
                  <c:v>9772.4</c:v>
                </c:pt>
                <c:pt idx="162">
                  <c:v>9829.3</c:v>
                </c:pt>
                <c:pt idx="163">
                  <c:v>9886.2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Calculations'!$R$13:$R$613</c:f>
              <c:numCache>
                <c:formatCode>0.00</c:formatCode>
                <c:ptCount val="601"/>
                <c:pt idx="0">
                  <c:v>-76.4738737261842</c:v>
                </c:pt>
                <c:pt idx="1">
                  <c:v>-77.6307690963482</c:v>
                </c:pt>
                <c:pt idx="2">
                  <c:v>-78.6952399751079</c:v>
                </c:pt>
                <c:pt idx="3">
                  <c:v>-79.6734550489581</c:v>
                </c:pt>
                <c:pt idx="4">
                  <c:v>-80.5709269412797</c:v>
                </c:pt>
                <c:pt idx="5">
                  <c:v>-81.3950023900425</c:v>
                </c:pt>
                <c:pt idx="6">
                  <c:v>-82.150101443519</c:v>
                </c:pt>
                <c:pt idx="7">
                  <c:v>-82.8421205803735</c:v>
                </c:pt>
                <c:pt idx="8">
                  <c:v>-83.4756550334748</c:v>
                </c:pt>
                <c:pt idx="9">
                  <c:v>-84.055970251977</c:v>
                </c:pt>
                <c:pt idx="10">
                  <c:v>-84.587188281635</c:v>
                </c:pt>
                <c:pt idx="11">
                  <c:v>-85.0735639940062</c:v>
                </c:pt>
                <c:pt idx="12">
                  <c:v>-85.5191916692898</c:v>
                </c:pt>
                <c:pt idx="13">
                  <c:v>-85.9272222065867</c:v>
                </c:pt>
                <c:pt idx="14">
                  <c:v>-86.3013011420516</c:v>
                </c:pt>
                <c:pt idx="15">
                  <c:v>-86.6443296825972</c:v>
                </c:pt>
                <c:pt idx="16">
                  <c:v>-86.9591606663683</c:v>
                </c:pt>
                <c:pt idx="17">
                  <c:v>-87.2483581534075</c:v>
                </c:pt>
                <c:pt idx="18">
                  <c:v>-87.5144082940307</c:v>
                </c:pt>
                <c:pt idx="19">
                  <c:v>-87.7594564120139</c:v>
                </c:pt>
                <c:pt idx="20">
                  <c:v>-87.9856022068167</c:v>
                </c:pt>
                <c:pt idx="21">
                  <c:v>-88.1946966419615</c:v>
                </c:pt>
                <c:pt idx="22">
                  <c:v>-88.3885422261278</c:v>
                </c:pt>
                <c:pt idx="23">
                  <c:v>-88.5687236259497</c:v>
                </c:pt>
                <c:pt idx="24">
                  <c:v>-88.7368064980944</c:v>
                </c:pt>
                <c:pt idx="25">
                  <c:v>-88.8941820158013</c:v>
                </c:pt>
                <c:pt idx="26">
                  <c:v>-89.0422141424722</c:v>
                </c:pt>
                <c:pt idx="27">
                  <c:v>-89.1821059427892</c:v>
                </c:pt>
                <c:pt idx="28">
                  <c:v>-89.3150480581968</c:v>
                </c:pt>
                <c:pt idx="29">
                  <c:v>-89.4420886190593</c:v>
                </c:pt>
                <c:pt idx="30">
                  <c:v>-89.5645144477677</c:v>
                </c:pt>
                <c:pt idx="31">
                  <c:v>-89.683184050302</c:v>
                </c:pt>
                <c:pt idx="32">
                  <c:v>-89.7991806404444</c:v>
                </c:pt>
                <c:pt idx="33">
                  <c:v>-89.9133992985539</c:v>
                </c:pt>
                <c:pt idx="34">
                  <c:v>-90.0268893112641</c:v>
                </c:pt>
                <c:pt idx="35">
                  <c:v>-90.1405383510818</c:v>
                </c:pt>
                <c:pt idx="36">
                  <c:v>-90.2553134078679</c:v>
                </c:pt>
                <c:pt idx="37">
                  <c:v>-90.3722324599989</c:v>
                </c:pt>
                <c:pt idx="38">
                  <c:v>-90.492150893609</c:v>
                </c:pt>
                <c:pt idx="39">
                  <c:v>-90.616149794074</c:v>
                </c:pt>
                <c:pt idx="40">
                  <c:v>-90.7451931162735</c:v>
                </c:pt>
                <c:pt idx="41">
                  <c:v>-90.8803305193348</c:v>
                </c:pt>
                <c:pt idx="42">
                  <c:v>-91.0226152751293</c:v>
                </c:pt>
                <c:pt idx="43">
                  <c:v>-91.173200652557</c:v>
                </c:pt>
                <c:pt idx="44">
                  <c:v>-91.3331985709793</c:v>
                </c:pt>
                <c:pt idx="45">
                  <c:v>-91.5038334082825</c:v>
                </c:pt>
                <c:pt idx="46">
                  <c:v>-91.6863015613474</c:v>
                </c:pt>
                <c:pt idx="47">
                  <c:v>-91.8819075522095</c:v>
                </c:pt>
                <c:pt idx="48">
                  <c:v>-92.091892512619</c:v>
                </c:pt>
                <c:pt idx="49">
                  <c:v>-92.3176101406882</c:v>
                </c:pt>
                <c:pt idx="50">
                  <c:v>-92.5603172486275</c:v>
                </c:pt>
                <c:pt idx="51">
                  <c:v>-92.8213241618771</c:v>
                </c:pt>
                <c:pt idx="52">
                  <c:v>-93.1017185221418</c:v>
                </c:pt>
                <c:pt idx="53">
                  <c:v>-93.402539868588</c:v>
                </c:pt>
                <c:pt idx="54">
                  <c:v>-93.7244090345673</c:v>
                </c:pt>
                <c:pt idx="55">
                  <c:v>-94.0684261474166</c:v>
                </c:pt>
                <c:pt idx="56">
                  <c:v>-94.4342880916844</c:v>
                </c:pt>
                <c:pt idx="57">
                  <c:v>-94.8218894822901</c:v>
                </c:pt>
                <c:pt idx="58">
                  <c:v>-95.2299583746747</c:v>
                </c:pt>
                <c:pt idx="59">
                  <c:v>-95.6570312449326</c:v>
                </c:pt>
                <c:pt idx="60">
                  <c:v>-96.1001720798346</c:v>
                </c:pt>
                <c:pt idx="61">
                  <c:v>-96.5556982502063</c:v>
                </c:pt>
                <c:pt idx="62">
                  <c:v>-97.0189908618118</c:v>
                </c:pt>
                <c:pt idx="63">
                  <c:v>-97.4836043568658</c:v>
                </c:pt>
                <c:pt idx="64">
                  <c:v>-97.9428604096785</c:v>
                </c:pt>
                <c:pt idx="65">
                  <c:v>-98.3887015470236</c:v>
                </c:pt>
                <c:pt idx="66">
                  <c:v>-98.8128159663188</c:v>
                </c:pt>
                <c:pt idx="67">
                  <c:v>-99.2068340459405</c:v>
                </c:pt>
                <c:pt idx="68">
                  <c:v>-99.5632054507644</c:v>
                </c:pt>
                <c:pt idx="69">
                  <c:v>-99.8754952083761</c:v>
                </c:pt>
                <c:pt idx="70">
                  <c:v>-100.139407161474</c:v>
                </c:pt>
                <c:pt idx="71">
                  <c:v>-100.353041883137</c:v>
                </c:pt>
                <c:pt idx="72">
                  <c:v>-100.517444592184</c:v>
                </c:pt>
                <c:pt idx="73">
                  <c:v>-100.636500759716</c:v>
                </c:pt>
                <c:pt idx="74">
                  <c:v>-100.716903523039</c:v>
                </c:pt>
                <c:pt idx="75">
                  <c:v>-100.767614848026</c:v>
                </c:pt>
                <c:pt idx="76">
                  <c:v>-100.799362205608</c:v>
                </c:pt>
                <c:pt idx="77">
                  <c:v>-100.823949631095</c:v>
                </c:pt>
                <c:pt idx="78">
                  <c:v>-100.853663725351</c:v>
                </c:pt>
                <c:pt idx="79">
                  <c:v>-100.900682416728</c:v>
                </c:pt>
                <c:pt idx="80">
                  <c:v>-100.976845786198</c:v>
                </c:pt>
                <c:pt idx="81">
                  <c:v>-101.093107188115</c:v>
                </c:pt>
                <c:pt idx="82">
                  <c:v>-101.259744543556</c:v>
                </c:pt>
                <c:pt idx="83">
                  <c:v>-101.485992967713</c:v>
                </c:pt>
                <c:pt idx="84">
                  <c:v>-101.780635942811</c:v>
                </c:pt>
                <c:pt idx="85">
                  <c:v>-102.151520020171</c:v>
                </c:pt>
                <c:pt idx="86">
                  <c:v>-102.606217492538</c:v>
                </c:pt>
                <c:pt idx="87">
                  <c:v>-103.152299936647</c:v>
                </c:pt>
                <c:pt idx="88">
                  <c:v>-103.79640506404</c:v>
                </c:pt>
                <c:pt idx="89">
                  <c:v>-104.546224977451</c:v>
                </c:pt>
                <c:pt idx="90">
                  <c:v>-105.40887427877</c:v>
                </c:pt>
                <c:pt idx="91">
                  <c:v>-106.392035408693</c:v>
                </c:pt>
                <c:pt idx="92">
                  <c:v>-107.503491513567</c:v>
                </c:pt>
                <c:pt idx="93">
                  <c:v>-108.751872884386</c:v>
                </c:pt>
                <c:pt idx="94">
                  <c:v>-109.086204104876</c:v>
                </c:pt>
                <c:pt idx="95">
                  <c:v>-109.25788100734</c:v>
                </c:pt>
                <c:pt idx="96">
                  <c:v>-109.429902976451</c:v>
                </c:pt>
                <c:pt idx="97">
                  <c:v>-109.606252177775</c:v>
                </c:pt>
                <c:pt idx="98">
                  <c:v>-109.782927491381</c:v>
                </c:pt>
                <c:pt idx="99">
                  <c:v>-109.964063820495</c:v>
                </c:pt>
                <c:pt idx="100">
                  <c:v>-110.145506915163</c:v>
                </c:pt>
                <c:pt idx="101">
                  <c:v>-110.331405276356</c:v>
                </c:pt>
                <c:pt idx="102">
                  <c:v>-110.517590164534</c:v>
                </c:pt>
                <c:pt idx="103">
                  <c:v>-110.708500982474</c:v>
                </c:pt>
                <c:pt idx="104">
                  <c:v>-110.899678009925</c:v>
                </c:pt>
                <c:pt idx="105">
                  <c:v>-111.095572572817</c:v>
                </c:pt>
                <c:pt idx="106">
                  <c:v>-111.291712051639</c:v>
                </c:pt>
                <c:pt idx="107">
                  <c:v>-111.49255847278</c:v>
                </c:pt>
                <c:pt idx="108">
                  <c:v>-111.693627600795</c:v>
                </c:pt>
                <c:pt idx="109">
                  <c:v>-111.899531188459</c:v>
                </c:pt>
                <c:pt idx="110">
                  <c:v>-112.105634676157</c:v>
                </c:pt>
                <c:pt idx="111">
                  <c:v>-112.316839319396</c:v>
                </c:pt>
                <c:pt idx="112">
                  <c:v>-112.528220602078</c:v>
                </c:pt>
                <c:pt idx="113">
                  <c:v>-112.744687476091</c:v>
                </c:pt>
                <c:pt idx="114">
                  <c:v>-112.961306691507</c:v>
                </c:pt>
                <c:pt idx="115">
                  <c:v>-113.183134517878</c:v>
                </c:pt>
                <c:pt idx="116">
                  <c:v>-113.405089557271</c:v>
                </c:pt>
                <c:pt idx="117">
                  <c:v>-113.632374407302</c:v>
                </c:pt>
                <c:pt idx="118">
                  <c:v>-113.85976043723</c:v>
                </c:pt>
                <c:pt idx="119">
                  <c:v>-114.092454354723</c:v>
                </c:pt>
                <c:pt idx="120">
                  <c:v>-114.325222360946</c:v>
                </c:pt>
                <c:pt idx="121">
                  <c:v>-114.563415188462</c:v>
                </c:pt>
                <c:pt idx="122">
                  <c:v>-114.801654053091</c:v>
                </c:pt>
                <c:pt idx="123">
                  <c:v>-115.045573725003</c:v>
                </c:pt>
                <c:pt idx="124">
                  <c:v>-115.289510360647</c:v>
                </c:pt>
                <c:pt idx="125">
                  <c:v>-115.539098927463</c:v>
                </c:pt>
                <c:pt idx="126">
                  <c:v>-115.788674219227</c:v>
                </c:pt>
                <c:pt idx="127">
                  <c:v>-116.044011255831</c:v>
                </c:pt>
                <c:pt idx="128">
                  <c:v>-116.299303608276</c:v>
                </c:pt>
                <c:pt idx="129">
                  <c:v>-116.560464840182</c:v>
                </c:pt>
                <c:pt idx="130">
                  <c:v>-116.821548741711</c:v>
                </c:pt>
                <c:pt idx="131">
                  <c:v>-117.088605819265</c:v>
                </c:pt>
                <c:pt idx="132">
                  <c:v>-117.222093546236</c:v>
                </c:pt>
                <c:pt idx="133">
                  <c:v>-117.355551618304</c:v>
                </c:pt>
                <c:pt idx="134">
                  <c:v>-117.492149636139</c:v>
                </c:pt>
                <c:pt idx="135">
                  <c:v>-117.62871280799</c:v>
                </c:pt>
                <c:pt idx="136">
                  <c:v>-117.765239283512</c:v>
                </c:pt>
                <c:pt idx="137">
                  <c:v>-117.901727247494</c:v>
                </c:pt>
                <c:pt idx="138">
                  <c:v>-118.041272320636</c:v>
                </c:pt>
                <c:pt idx="139">
                  <c:v>-118.180773382264</c:v>
                </c:pt>
                <c:pt idx="140">
                  <c:v>-118.32022859926</c:v>
                </c:pt>
                <c:pt idx="141">
                  <c:v>-118.459636173341</c:v>
                </c:pt>
                <c:pt idx="142">
                  <c:v>-118.602298385136</c:v>
                </c:pt>
                <c:pt idx="143">
                  <c:v>-118.744906962082</c:v>
                </c:pt>
                <c:pt idx="144">
                  <c:v>-118.887460082965</c:v>
                </c:pt>
                <c:pt idx="145">
                  <c:v>-119.029955961279</c:v>
                </c:pt>
                <c:pt idx="146">
                  <c:v>-119.175691556573</c:v>
                </c:pt>
                <c:pt idx="147">
                  <c:v>-119.321363550586</c:v>
                </c:pt>
                <c:pt idx="148">
                  <c:v>-119.466970137276</c:v>
                </c:pt>
                <c:pt idx="149">
                  <c:v>-119.612509545141</c:v>
                </c:pt>
                <c:pt idx="150">
                  <c:v>-119.761342687166</c:v>
                </c:pt>
                <c:pt idx="151">
                  <c:v>-119.910101863537</c:v>
                </c:pt>
                <c:pt idx="152">
                  <c:v>-120.058785284038</c:v>
                </c:pt>
                <c:pt idx="153">
                  <c:v>-120.207391192855</c:v>
                </c:pt>
                <c:pt idx="154">
                  <c:v>-120.359413290081</c:v>
                </c:pt>
                <c:pt idx="155">
                  <c:v>-120.511350568111</c:v>
                </c:pt>
                <c:pt idx="156">
                  <c:v>-120.663201251002</c:v>
                </c:pt>
                <c:pt idx="157">
                  <c:v>-120.814963597175</c:v>
                </c:pt>
                <c:pt idx="158">
                  <c:v>-120.970192893898</c:v>
                </c:pt>
                <c:pt idx="159">
                  <c:v>-121.125326076252</c:v>
                </c:pt>
                <c:pt idx="160">
                  <c:v>-121.280361383899</c:v>
                </c:pt>
                <c:pt idx="161">
                  <c:v>-121.435297090848</c:v>
                </c:pt>
                <c:pt idx="162">
                  <c:v>-121.593679317524</c:v>
                </c:pt>
                <c:pt idx="163">
                  <c:v>-121.751953778451</c:v>
                </c:pt>
                <c:pt idx="164">
                  <c:v>-121.910118732742</c:v>
                </c:pt>
                <c:pt idx="165">
                  <c:v>-122.068172473807</c:v>
                </c:pt>
                <c:pt idx="166">
                  <c:v>-122.22985922278</c:v>
                </c:pt>
                <c:pt idx="167">
                  <c:v>-122.391425906008</c:v>
                </c:pt>
                <c:pt idx="168">
                  <c:v>-122.552870799273</c:v>
                </c:pt>
                <c:pt idx="169">
                  <c:v>-122.714192212764</c:v>
                </c:pt>
                <c:pt idx="170">
                  <c:v>-122.878846254382</c:v>
                </c:pt>
                <c:pt idx="171">
                  <c:v>-123.043368002259</c:v>
                </c:pt>
                <c:pt idx="172">
                  <c:v>-123.207755761763</c:v>
                </c:pt>
                <c:pt idx="173">
                  <c:v>-123.372007872511</c:v>
                </c:pt>
                <c:pt idx="174">
                  <c:v>-123.540258268448</c:v>
                </c:pt>
                <c:pt idx="175">
                  <c:v>-123.708362662906</c:v>
                </c:pt>
                <c:pt idx="176">
                  <c:v>-123.876319374014</c:v>
                </c:pt>
                <c:pt idx="177">
                  <c:v>-124.044126754548</c:v>
                </c:pt>
                <c:pt idx="178">
                  <c:v>-124.215903975441</c:v>
                </c:pt>
                <c:pt idx="179">
                  <c:v>-124.387521038661</c:v>
                </c:pt>
                <c:pt idx="180">
                  <c:v>-124.558976280801</c:v>
                </c:pt>
                <c:pt idx="181">
                  <c:v>-124.730268073455</c:v>
                </c:pt>
                <c:pt idx="182">
                  <c:v>-124.904815663236</c:v>
                </c:pt>
                <c:pt idx="183">
                  <c:v>-125.079189885948</c:v>
                </c:pt>
                <c:pt idx="184">
                  <c:v>-125.253389121332</c:v>
                </c:pt>
                <c:pt idx="185">
                  <c:v>-125.427411783902</c:v>
                </c:pt>
                <c:pt idx="186">
                  <c:v>-125.606025998737</c:v>
                </c:pt>
                <c:pt idx="187">
                  <c:v>-125.784450529808</c:v>
                </c:pt>
                <c:pt idx="188">
                  <c:v>-125.962683767406</c:v>
                </c:pt>
                <c:pt idx="189">
                  <c:v>-126.140724137442</c:v>
                </c:pt>
                <c:pt idx="190">
                  <c:v>-126.321962207308</c:v>
                </c:pt>
                <c:pt idx="191">
                  <c:v>-126.502996787085</c:v>
                </c:pt>
                <c:pt idx="192">
                  <c:v>-126.683826320331</c:v>
                </c:pt>
                <c:pt idx="193">
                  <c:v>-126.864449285955</c:v>
                </c:pt>
                <c:pt idx="194">
                  <c:v>-127.049591364373</c:v>
                </c:pt>
                <c:pt idx="195">
                  <c:v>-127.234512767327</c:v>
                </c:pt>
                <c:pt idx="196">
                  <c:v>-127.419211962352</c:v>
                </c:pt>
                <c:pt idx="197">
                  <c:v>-127.603687453092</c:v>
                </c:pt>
                <c:pt idx="198">
                  <c:v>-127.791969927123</c:v>
                </c:pt>
                <c:pt idx="199">
                  <c:v>-127.980015745155</c:v>
                </c:pt>
                <c:pt idx="200">
                  <c:v>-128.167823422588</c:v>
                </c:pt>
                <c:pt idx="201">
                  <c:v>-128.355391511131</c:v>
                </c:pt>
                <c:pt idx="202">
                  <c:v>-128.546730102235</c:v>
                </c:pt>
                <c:pt idx="203">
                  <c:v>-128.737815784676</c:v>
                </c:pt>
                <c:pt idx="204">
                  <c:v>-128.928647127774</c:v>
                </c:pt>
                <c:pt idx="205">
                  <c:v>-129.119222737329</c:v>
                </c:pt>
                <c:pt idx="206">
                  <c:v>-129.314196165946</c:v>
                </c:pt>
                <c:pt idx="207">
                  <c:v>-129.508898341341</c:v>
                </c:pt>
                <c:pt idx="208">
                  <c:v>-129.703327878914</c:v>
                </c:pt>
                <c:pt idx="209">
                  <c:v>-129.897483431192</c:v>
                </c:pt>
                <c:pt idx="210">
                  <c:v>-130.096653472873</c:v>
                </c:pt>
                <c:pt idx="211">
                  <c:v>-130.295531597688</c:v>
                </c:pt>
                <c:pt idx="212">
                  <c:v>-130.494116462421</c:v>
                </c:pt>
                <c:pt idx="213">
                  <c:v>-130.692406762074</c:v>
                </c:pt>
                <c:pt idx="214">
                  <c:v>-130.894344946928</c:v>
                </c:pt>
                <c:pt idx="215">
                  <c:v>-131.095974082301</c:v>
                </c:pt>
                <c:pt idx="216">
                  <c:v>-131.297292901724</c:v>
                </c:pt>
                <c:pt idx="217">
                  <c:v>-131.498300176965</c:v>
                </c:pt>
                <c:pt idx="218">
                  <c:v>-131.703567158493</c:v>
                </c:pt>
                <c:pt idx="219">
                  <c:v>-131.908505746899</c:v>
                </c:pt>
                <c:pt idx="220">
                  <c:v>-132.113114747414</c:v>
                </c:pt>
                <c:pt idx="221">
                  <c:v>-132.317393003984</c:v>
                </c:pt>
                <c:pt idx="222">
                  <c:v>-132.525882184262</c:v>
                </c:pt>
                <c:pt idx="223">
                  <c:v>-132.734023387017</c:v>
                </c:pt>
                <c:pt idx="224">
                  <c:v>-132.941815497827</c:v>
                </c:pt>
                <c:pt idx="225">
                  <c:v>-133.149257441391</c:v>
                </c:pt>
                <c:pt idx="226">
                  <c:v>-133.361504826567</c:v>
                </c:pt>
                <c:pt idx="227">
                  <c:v>-133.573382208707</c:v>
                </c:pt>
                <c:pt idx="228">
                  <c:v>-133.784888553152</c:v>
                </c:pt>
                <c:pt idx="229">
                  <c:v>-133.996022865179</c:v>
                </c:pt>
                <c:pt idx="230">
                  <c:v>-134.427393665635</c:v>
                </c:pt>
                <c:pt idx="231">
                  <c:v>-134.642489622988</c:v>
                </c:pt>
                <c:pt idx="232">
                  <c:v>-134.85719140078</c:v>
                </c:pt>
                <c:pt idx="233">
                  <c:v>-135.076580728973</c:v>
                </c:pt>
                <c:pt idx="234">
                  <c:v>-135.2955551525</c:v>
                </c:pt>
                <c:pt idx="235">
                  <c:v>-135.51411382975</c:v>
                </c:pt>
                <c:pt idx="236">
                  <c:v>-135.732255960381</c:v>
                </c:pt>
                <c:pt idx="237">
                  <c:v>-135.954394065112</c:v>
                </c:pt>
                <c:pt idx="238">
                  <c:v>-136.176096992989</c:v>
                </c:pt>
                <c:pt idx="239">
                  <c:v>-136.397364021628</c:v>
                </c:pt>
                <c:pt idx="240">
                  <c:v>-136.618194469941</c:v>
                </c:pt>
                <c:pt idx="241">
                  <c:v>-136.844217013652</c:v>
                </c:pt>
                <c:pt idx="242">
                  <c:v>-137.069779045247</c:v>
                </c:pt>
                <c:pt idx="243">
                  <c:v>-137.294879960085</c:v>
                </c:pt>
                <c:pt idx="244">
                  <c:v>-137.519519195676</c:v>
                </c:pt>
                <c:pt idx="245">
                  <c:v>-137.748658904395</c:v>
                </c:pt>
                <c:pt idx="246">
                  <c:v>-137.977315187593</c:v>
                </c:pt>
                <c:pt idx="247">
                  <c:v>-138.205487575622</c:v>
                </c:pt>
                <c:pt idx="248">
                  <c:v>-138.433175641223</c:v>
                </c:pt>
                <c:pt idx="249">
                  <c:v>-138.665914485716</c:v>
                </c:pt>
                <c:pt idx="250">
                  <c:v>-138.898144319147</c:v>
                </c:pt>
                <c:pt idx="251">
                  <c:v>-139.129864814936</c:v>
                </c:pt>
                <c:pt idx="252">
                  <c:v>-139.361075689432</c:v>
                </c:pt>
                <c:pt idx="253">
                  <c:v>-139.596653751003</c:v>
                </c:pt>
                <c:pt idx="254">
                  <c:v>-139.831699926899</c:v>
                </c:pt>
                <c:pt idx="255">
                  <c:v>-140.066214047866</c:v>
                </c:pt>
                <c:pt idx="256">
                  <c:v>-140.300195987493</c:v>
                </c:pt>
                <c:pt idx="257">
                  <c:v>-140.539686506564</c:v>
                </c:pt>
                <c:pt idx="258">
                  <c:v>-140.778616777836</c:v>
                </c:pt>
                <c:pt idx="259">
                  <c:v>-141.016986799361</c:v>
                </c:pt>
                <c:pt idx="260">
                  <c:v>-141.254796612644</c:v>
                </c:pt>
                <c:pt idx="261">
                  <c:v>-141.497431831261</c:v>
                </c:pt>
                <c:pt idx="262">
                  <c:v>-141.739481311066</c:v>
                </c:pt>
                <c:pt idx="263">
                  <c:v>-141.980945231259</c:v>
                </c:pt>
                <c:pt idx="264">
                  <c:v>-142.221823814441</c:v>
                </c:pt>
                <c:pt idx="265">
                  <c:v>-142.467450538435</c:v>
                </c:pt>
                <c:pt idx="266">
                  <c:v>-142.71246622628</c:v>
                </c:pt>
                <c:pt idx="267">
                  <c:v>-142.956871249963</c:v>
                </c:pt>
                <c:pt idx="268">
                  <c:v>-143.200666024608</c:v>
                </c:pt>
                <c:pt idx="269">
                  <c:v>-143.449717502397</c:v>
                </c:pt>
                <c:pt idx="270">
                  <c:v>-143.698129910084</c:v>
                </c:pt>
                <c:pt idx="271">
                  <c:v>-143.945903827634</c:v>
                </c:pt>
                <c:pt idx="272">
                  <c:v>-144.193039878049</c:v>
                </c:pt>
                <c:pt idx="273">
                  <c:v>-144.445344692649</c:v>
                </c:pt>
                <c:pt idx="274">
                  <c:v>-144.69698265164</c:v>
                </c:pt>
                <c:pt idx="275">
                  <c:v>-144.947954556336</c:v>
                </c:pt>
                <c:pt idx="276">
                  <c:v>-145.198261250707</c:v>
                </c:pt>
                <c:pt idx="277">
                  <c:v>-145.453073511303</c:v>
                </c:pt>
                <c:pt idx="278">
                  <c:v>-145.707194594162</c:v>
                </c:pt>
                <c:pt idx="279">
                  <c:v>-145.960625527294</c:v>
                </c:pt>
                <c:pt idx="280">
                  <c:v>-146.213367380325</c:v>
                </c:pt>
                <c:pt idx="281">
                  <c:v>-146.472239348497</c:v>
                </c:pt>
                <c:pt idx="282">
                  <c:v>-146.730386816597</c:v>
                </c:pt>
                <c:pt idx="283">
                  <c:v>-146.987811073266</c:v>
                </c:pt>
                <c:pt idx="284">
                  <c:v>-147.244513448536</c:v>
                </c:pt>
                <c:pt idx="285">
                  <c:v>-147.505551432798</c:v>
                </c:pt>
                <c:pt idx="286">
                  <c:v>-147.765841615377</c:v>
                </c:pt>
                <c:pt idx="287">
                  <c:v>-148.025385532237</c:v>
                </c:pt>
                <c:pt idx="288">
                  <c:v>-148.284184759098</c:v>
                </c:pt>
                <c:pt idx="289">
                  <c:v>-148.548904933688</c:v>
                </c:pt>
                <c:pt idx="290">
                  <c:v>-148.812844884424</c:v>
                </c:pt>
                <c:pt idx="291">
                  <c:v>-149.076006435053</c:v>
                </c:pt>
                <c:pt idx="292">
                  <c:v>-149.338391448139</c:v>
                </c:pt>
                <c:pt idx="293">
                  <c:v>-149.606038299622</c:v>
                </c:pt>
                <c:pt idx="294">
                  <c:v>-149.872876371875</c:v>
                </c:pt>
                <c:pt idx="295">
                  <c:v>-150.138907777665</c:v>
                </c:pt>
                <c:pt idx="296">
                  <c:v>-150.404134666923</c:v>
                </c:pt>
                <c:pt idx="297">
                  <c:v>-150.674522605427</c:v>
                </c:pt>
                <c:pt idx="298">
                  <c:v>-150.944073933834</c:v>
                </c:pt>
                <c:pt idx="299">
                  <c:v>-151.212791063372</c:v>
                </c:pt>
                <c:pt idx="300">
                  <c:v>-151.480676440423</c:v>
                </c:pt>
                <c:pt idx="301">
                  <c:v>-151.753622032967</c:v>
                </c:pt>
                <c:pt idx="302">
                  <c:v>-152.025703997628</c:v>
                </c:pt>
                <c:pt idx="303">
                  <c:v>-152.296925051921</c:v>
                </c:pt>
                <c:pt idx="304">
                  <c:v>-152.567287946134</c:v>
                </c:pt>
                <c:pt idx="305">
                  <c:v>-152.843667580606</c:v>
                </c:pt>
                <c:pt idx="306">
                  <c:v>-153.119150618993</c:v>
                </c:pt>
                <c:pt idx="307">
                  <c:v>-153.393740126488</c:v>
                </c:pt>
                <c:pt idx="308">
                  <c:v>-153.667439198789</c:v>
                </c:pt>
                <c:pt idx="309">
                  <c:v>-153.945990344329</c:v>
                </c:pt>
                <c:pt idx="310">
                  <c:v>-154.223619745839</c:v>
                </c:pt>
                <c:pt idx="311">
                  <c:v>-154.500330788558</c:v>
                </c:pt>
                <c:pt idx="312">
                  <c:v>-154.776126885088</c:v>
                </c:pt>
                <c:pt idx="313">
                  <c:v>-155.057704618267</c:v>
                </c:pt>
                <c:pt idx="314">
                  <c:v>-155.33832956111</c:v>
                </c:pt>
                <c:pt idx="315">
                  <c:v>-155.618005462471</c:v>
                </c:pt>
                <c:pt idx="316">
                  <c:v>-155.896736095439</c:v>
                </c:pt>
                <c:pt idx="317">
                  <c:v>-156.181127840061</c:v>
                </c:pt>
                <c:pt idx="318">
                  <c:v>-156.464536843461</c:v>
                </c:pt>
                <c:pt idx="319">
                  <c:v>-156.746967224638</c:v>
                </c:pt>
                <c:pt idx="320">
                  <c:v>-157.028423123261</c:v>
                </c:pt>
                <c:pt idx="321">
                  <c:v>-157.315420106862</c:v>
                </c:pt>
                <c:pt idx="322">
                  <c:v>-157.601405586052</c:v>
                </c:pt>
                <c:pt idx="323">
                  <c:v>-157.886384054211</c:v>
                </c:pt>
                <c:pt idx="324">
                  <c:v>-158.170360021394</c:v>
                </c:pt>
                <c:pt idx="325">
                  <c:v>-158.459757768078</c:v>
                </c:pt>
                <c:pt idx="326">
                  <c:v>-158.748116517095</c:v>
                </c:pt>
                <c:pt idx="327">
                  <c:v>-159.035441138113</c:v>
                </c:pt>
                <c:pt idx="328">
                  <c:v>-159.321736513083</c:v>
                </c:pt>
                <c:pt idx="329">
                  <c:v>-159.613822023597</c:v>
                </c:pt>
                <c:pt idx="330">
                  <c:v>-159.904838828314</c:v>
                </c:pt>
                <c:pt idx="331">
                  <c:v>-160.194792199151</c:v>
                </c:pt>
                <c:pt idx="332">
                  <c:v>-160.483687415593</c:v>
                </c:pt>
                <c:pt idx="333">
                  <c:v>-160.777765125608</c:v>
                </c:pt>
                <c:pt idx="334">
                  <c:v>-161.070749413048</c:v>
                </c:pt>
                <c:pt idx="335">
                  <c:v>-161.362645924275</c:v>
                </c:pt>
                <c:pt idx="336">
                  <c:v>-161.653460308083</c:v>
                </c:pt>
                <c:pt idx="337">
                  <c:v>-161.950286166024</c:v>
                </c:pt>
                <c:pt idx="338">
                  <c:v>-162.245988206555</c:v>
                </c:pt>
                <c:pt idx="339">
                  <c:v>-162.540572503323</c:v>
                </c:pt>
                <c:pt idx="340">
                  <c:v>-162.834045126939</c:v>
                </c:pt>
                <c:pt idx="341">
                  <c:v>-163.133393078632</c:v>
                </c:pt>
                <c:pt idx="342">
                  <c:v>-163.431588396757</c:v>
                </c:pt>
                <c:pt idx="343">
                  <c:v>-163.72863757972</c:v>
                </c:pt>
                <c:pt idx="344">
                  <c:v>-164.024547117015</c:v>
                </c:pt>
                <c:pt idx="345">
                  <c:v>-164.325739056862</c:v>
                </c:pt>
                <c:pt idx="346">
                  <c:v>-164.625754770004</c:v>
                </c:pt>
                <c:pt idx="347">
                  <c:v>-164.924601142822</c:v>
                </c:pt>
                <c:pt idx="348">
                  <c:v>-165.222285046655</c:v>
                </c:pt>
                <c:pt idx="349">
                  <c:v>-165.526031354997</c:v>
                </c:pt>
                <c:pt idx="350">
                  <c:v>-165.828572340527</c:v>
                </c:pt>
                <c:pt idx="351">
                  <c:v>-166.12991533283</c:v>
                </c:pt>
                <c:pt idx="352">
                  <c:v>-166.430067639836</c:v>
                </c:pt>
                <c:pt idx="353">
                  <c:v>-166.736140490193</c:v>
                </c:pt>
                <c:pt idx="354">
                  <c:v>-167.040980709013</c:v>
                </c:pt>
                <c:pt idx="355">
                  <c:v>-167.344596060829</c:v>
                </c:pt>
                <c:pt idx="356">
                  <c:v>-167.646994281586</c:v>
                </c:pt>
                <c:pt idx="357">
                  <c:v>-167.954736279848</c:v>
                </c:pt>
                <c:pt idx="358">
                  <c:v>-168.261223730053</c:v>
                </c:pt>
                <c:pt idx="359">
                  <c:v>-168.566464785936</c:v>
                </c:pt>
                <c:pt idx="360">
                  <c:v>-168.870467565656</c:v>
                </c:pt>
                <c:pt idx="361">
                  <c:v>-169.180546653995</c:v>
                </c:pt>
                <c:pt idx="362">
                  <c:v>-169.489343972335</c:v>
                </c:pt>
                <c:pt idx="363">
                  <c:v>-169.79686811987</c:v>
                </c:pt>
                <c:pt idx="364">
                  <c:v>-170.103127652636</c:v>
                </c:pt>
                <c:pt idx="365">
                  <c:v>-170.414894734694</c:v>
                </c:pt>
                <c:pt idx="366">
                  <c:v>-170.725358310421</c:v>
                </c:pt>
                <c:pt idx="367">
                  <c:v>-171.034527373666</c:v>
                </c:pt>
                <c:pt idx="368">
                  <c:v>-171.342410867611</c:v>
                </c:pt>
                <c:pt idx="369">
                  <c:v>-171.656500301769</c:v>
                </c:pt>
                <c:pt idx="370">
                  <c:v>-171.969259351847</c:v>
                </c:pt>
                <c:pt idx="371">
                  <c:v>-172.280697463159</c:v>
                </c:pt>
                <c:pt idx="372">
                  <c:v>-172.590824022166</c:v>
                </c:pt>
                <c:pt idx="373">
                  <c:v>-172.906596299581</c:v>
                </c:pt>
                <c:pt idx="374">
                  <c:v>-173.221016875627</c:v>
                </c:pt>
                <c:pt idx="375">
                  <c:v>-173.534095591239</c:v>
                </c:pt>
                <c:pt idx="376">
                  <c:v>-173.845842220532</c:v>
                </c:pt>
                <c:pt idx="377">
                  <c:v>-174.163899741367</c:v>
                </c:pt>
                <c:pt idx="378">
                  <c:v>-174.480579272127</c:v>
                </c:pt>
                <c:pt idx="379">
                  <c:v>-174.795891106129</c:v>
                </c:pt>
                <c:pt idx="380">
                  <c:v>-175.109845461156</c:v>
                </c:pt>
                <c:pt idx="381">
                  <c:v>-175.429164731641</c:v>
                </c:pt>
                <c:pt idx="382">
                  <c:v>-175.747088782944</c:v>
                </c:pt>
                <c:pt idx="383">
                  <c:v>-176.063628260579</c:v>
                </c:pt>
                <c:pt idx="384">
                  <c:v>-176.378793726602</c:v>
                </c:pt>
                <c:pt idx="385">
                  <c:v>-176.700355433201</c:v>
                </c:pt>
                <c:pt idx="386">
                  <c:v>-177.020496369124</c:v>
                </c:pt>
                <c:pt idx="387">
                  <c:v>-177.339227627538</c:v>
                </c:pt>
                <c:pt idx="388">
                  <c:v>-177.656560209051</c:v>
                </c:pt>
                <c:pt idx="389">
                  <c:v>-177.979747507516</c:v>
                </c:pt>
                <c:pt idx="390">
                  <c:v>-178.301494114418</c:v>
                </c:pt>
                <c:pt idx="391">
                  <c:v>-178.621811505571</c:v>
                </c:pt>
                <c:pt idx="392">
                  <c:v>-178.940711055668</c:v>
                </c:pt>
                <c:pt idx="393">
                  <c:v>-179.265318432661</c:v>
                </c:pt>
                <c:pt idx="394">
                  <c:v>-179.58846729494</c:v>
                </c:pt>
                <c:pt idx="395">
                  <c:v>-179.910169474289</c:v>
                </c:pt>
                <c:pt idx="396">
                  <c:v>-180.230436692991</c:v>
                </c:pt>
                <c:pt idx="397">
                  <c:v>-180.557003682101</c:v>
                </c:pt>
                <c:pt idx="398">
                  <c:v>-180.882089735188</c:v>
                </c:pt>
                <c:pt idx="399">
                  <c:v>-181.20570709442</c:v>
                </c:pt>
                <c:pt idx="400">
                  <c:v>-181.527867883282</c:v>
                </c:pt>
                <c:pt idx="401">
                  <c:v>-181.855807171346</c:v>
                </c:pt>
                <c:pt idx="402">
                  <c:v>-182.182248650231</c:v>
                </c:pt>
                <c:pt idx="403">
                  <c:v>-182.507204901899</c:v>
                </c:pt>
                <c:pt idx="404">
                  <c:v>-182.830688381235</c:v>
                </c:pt>
                <c:pt idx="405">
                  <c:v>-183.16015830675</c:v>
                </c:pt>
                <c:pt idx="406">
                  <c:v>-183.488112370547</c:v>
                </c:pt>
                <c:pt idx="407">
                  <c:v>-183.81456350586</c:v>
                </c:pt>
                <c:pt idx="408">
                  <c:v>-184.139524510217</c:v>
                </c:pt>
                <c:pt idx="409">
                  <c:v>-184.470667264725</c:v>
                </c:pt>
                <c:pt idx="410">
                  <c:v>-184.800275031188</c:v>
                </c:pt>
                <c:pt idx="411">
                  <c:v>-185.128361104635</c:v>
                </c:pt>
                <c:pt idx="412">
                  <c:v>-185.454938635531</c:v>
                </c:pt>
                <c:pt idx="413">
                  <c:v>-185.787539144727</c:v>
                </c:pt>
                <c:pt idx="414">
                  <c:v>-186.118587753078</c:v>
                </c:pt>
                <c:pt idx="415">
                  <c:v>-186.448098084973</c:v>
                </c:pt>
                <c:pt idx="416">
                  <c:v>-186.776083611777</c:v>
                </c:pt>
                <c:pt idx="417">
                  <c:v>-187.110272600737</c:v>
                </c:pt>
                <c:pt idx="418">
                  <c:v>-187.442891776681</c:v>
                </c:pt>
                <c:pt idx="419">
                  <c:v>-187.773955102164</c:v>
                </c:pt>
                <c:pt idx="420">
                  <c:v>-188.103476378068</c:v>
                </c:pt>
                <c:pt idx="421">
                  <c:v>-188.438711459468</c:v>
                </c:pt>
                <c:pt idx="422">
                  <c:v>-188.772364122676</c:v>
                </c:pt>
                <c:pt idx="423">
                  <c:v>-189.104448592443</c:v>
                </c:pt>
                <c:pt idx="424">
                  <c:v>-189.434978924345</c:v>
                </c:pt>
                <c:pt idx="425">
                  <c:v>-189.772044935914</c:v>
                </c:pt>
                <c:pt idx="426">
                  <c:v>-190.107508723652</c:v>
                </c:pt>
                <c:pt idx="427">
                  <c:v>-190.441384866066</c:v>
                </c:pt>
                <c:pt idx="428">
                  <c:v>-190.773687763507</c:v>
                </c:pt>
                <c:pt idx="429">
                  <c:v>-191.112038585656</c:v>
                </c:pt>
                <c:pt idx="430">
                  <c:v>-191.448772714652</c:v>
                </c:pt>
                <c:pt idx="431">
                  <c:v>-191.783905004831</c:v>
                </c:pt>
                <c:pt idx="432">
                  <c:v>-192.117450124634</c:v>
                </c:pt>
                <c:pt idx="433">
                  <c:v>-192.456885619583</c:v>
                </c:pt>
                <c:pt idx="434">
                  <c:v>-192.79469203845</c:v>
                </c:pt>
                <c:pt idx="435">
                  <c:v>-193.130884476061</c:v>
                </c:pt>
                <c:pt idx="436">
                  <c:v>-193.465477834214</c:v>
                </c:pt>
                <c:pt idx="437">
                  <c:v>-193.806418207161</c:v>
                </c:pt>
                <c:pt idx="438">
                  <c:v>-194.145713240346</c:v>
                </c:pt>
                <c:pt idx="439">
                  <c:v>-194.483378316268</c:v>
                </c:pt>
                <c:pt idx="440">
                  <c:v>-194.819428616479</c:v>
                </c:pt>
                <c:pt idx="441">
                  <c:v>-195.161659002428</c:v>
                </c:pt>
                <c:pt idx="442">
                  <c:v>-195.502229960563</c:v>
                </c:pt>
                <c:pt idx="443">
                  <c:v>-195.841157123998</c:v>
                </c:pt>
                <c:pt idx="444">
                  <c:v>-196.17845591764</c:v>
                </c:pt>
                <c:pt idx="445">
                  <c:v>-196.521772159771</c:v>
                </c:pt>
                <c:pt idx="446">
                  <c:v>-196.863416960773</c:v>
                </c:pt>
                <c:pt idx="447">
                  <c:v>-197.203406167819</c:v>
                </c:pt>
                <c:pt idx="448">
                  <c:v>-197.541755413301</c:v>
                </c:pt>
                <c:pt idx="449">
                  <c:v>-197.886539372619</c:v>
                </c:pt>
                <c:pt idx="450">
                  <c:v>-198.229636230669</c:v>
                </c:pt>
                <c:pt idx="451">
                  <c:v>-198.571062093098</c:v>
                </c:pt>
                <c:pt idx="452">
                  <c:v>-198.910832843433</c:v>
                </c:pt>
                <c:pt idx="453">
                  <c:v>-199.256585114611</c:v>
                </c:pt>
                <c:pt idx="454">
                  <c:v>-199.600639535011</c:v>
                </c:pt>
                <c:pt idx="455">
                  <c:v>-199.943012391029</c:v>
                </c:pt>
                <c:pt idx="456">
                  <c:v>-200.283719741088</c:v>
                </c:pt>
                <c:pt idx="457">
                  <c:v>-200.630803885427</c:v>
                </c:pt>
                <c:pt idx="458">
                  <c:v>-200.976175877983</c:v>
                </c:pt>
                <c:pt idx="459">
                  <c:v>-201.319852229026</c:v>
                </c:pt>
                <c:pt idx="460">
                  <c:v>-201.661849214256</c:v>
                </c:pt>
                <c:pt idx="461">
                  <c:v>-202.010052709061</c:v>
                </c:pt>
                <c:pt idx="462">
                  <c:v>-202.356531812929</c:v>
                </c:pt>
                <c:pt idx="463">
                  <c:v>-202.701303222393</c:v>
                </c:pt>
                <c:pt idx="464">
                  <c:v>-203.044383393589</c:v>
                </c:pt>
                <c:pt idx="465">
                  <c:v>-203.393770270184</c:v>
                </c:pt>
                <c:pt idx="466">
                  <c:v>-203.741419825987</c:v>
                </c:pt>
                <c:pt idx="467">
                  <c:v>-204.087348945733</c:v>
                </c:pt>
                <c:pt idx="468">
                  <c:v>-204.431574267973</c:v>
                </c:pt>
                <c:pt idx="469">
                  <c:v>-204.781936933423</c:v>
                </c:pt>
                <c:pt idx="470">
                  <c:v>-205.130551318323</c:v>
                </c:pt>
                <c:pt idx="471">
                  <c:v>-205.477434458762</c:v>
                </c:pt>
                <c:pt idx="472">
                  <c:v>-205.822603139658</c:v>
                </c:pt>
                <c:pt idx="473">
                  <c:v>-206.174255563034</c:v>
                </c:pt>
                <c:pt idx="474">
                  <c:v>-206.524145489283</c:v>
                </c:pt>
                <c:pt idx="475">
                  <c:v>-206.872290145145</c:v>
                </c:pt>
                <c:pt idx="476">
                  <c:v>-207.218706500513</c:v>
                </c:pt>
                <c:pt idx="477">
                  <c:v>-207.571430741872</c:v>
                </c:pt>
                <c:pt idx="478">
                  <c:v>-207.922380274185</c:v>
                </c:pt>
                <c:pt idx="479">
                  <c:v>-208.271572477328</c:v>
                </c:pt>
                <c:pt idx="480">
                  <c:v>-208.619024469491</c:v>
                </c:pt>
                <c:pt idx="481">
                  <c:v>-208.972613011157</c:v>
                </c:pt>
                <c:pt idx="482">
                  <c:v>-209.324416517518</c:v>
                </c:pt>
                <c:pt idx="483">
                  <c:v>-209.674452485668</c:v>
                </c:pt>
                <c:pt idx="484">
                  <c:v>-210.022738146993</c:v>
                </c:pt>
                <c:pt idx="485">
                  <c:v>-210.377234177146</c:v>
                </c:pt>
                <c:pt idx="486">
                  <c:v>-210.729934179546</c:v>
                </c:pt>
                <c:pt idx="487">
                  <c:v>-211.080855770032</c:v>
                </c:pt>
                <c:pt idx="488">
                  <c:v>-211.430016294803</c:v>
                </c:pt>
                <c:pt idx="489">
                  <c:v>-211.785689156942</c:v>
                </c:pt>
                <c:pt idx="490">
                  <c:v>-212.139551990777</c:v>
                </c:pt>
                <c:pt idx="491">
                  <c:v>-212.491622566914</c:v>
                </c:pt>
                <c:pt idx="492">
                  <c:v>-212.841918381772</c:v>
                </c:pt>
                <c:pt idx="493">
                  <c:v>-213.198546804418</c:v>
                </c:pt>
                <c:pt idx="494">
                  <c:v>-213.553353112977</c:v>
                </c:pt>
                <c:pt idx="495">
                  <c:v>-213.906355196666</c:v>
                </c:pt>
                <c:pt idx="496">
                  <c:v>-214.257570666816</c:v>
                </c:pt>
                <c:pt idx="497">
                  <c:v>-214.615170003351</c:v>
                </c:pt>
                <c:pt idx="498">
                  <c:v>-214.970934617709</c:v>
                </c:pt>
                <c:pt idx="499">
                  <c:v>-215.324882517495</c:v>
                </c:pt>
                <c:pt idx="500">
                  <c:v>-215.677031428879</c:v>
                </c:pt>
                <c:pt idx="501">
                  <c:v>-216.035608376999</c:v>
                </c:pt>
                <c:pt idx="502">
                  <c:v>-216.392337514752</c:v>
                </c:pt>
                <c:pt idx="503">
                  <c:v>-216.747236967475</c:v>
                </c:pt>
                <c:pt idx="504">
                  <c:v>-217.100324575663</c:v>
                </c:pt>
                <c:pt idx="505">
                  <c:v>-217.459660157734</c:v>
                </c:pt>
                <c:pt idx="506">
                  <c:v>-217.817136644948</c:v>
                </c:pt>
                <c:pt idx="507">
                  <c:v>-218.172772246459</c:v>
                </c:pt>
                <c:pt idx="508">
                  <c:v>-218.526584884032</c:v>
                </c:pt>
                <c:pt idx="509">
                  <c:v>-218.886682807239</c:v>
                </c:pt>
                <c:pt idx="510">
                  <c:v>-219.244909831574</c:v>
                </c:pt>
                <c:pt idx="511">
                  <c:v>-219.601284250536</c:v>
                </c:pt>
                <c:pt idx="512">
                  <c:v>-219.955824067834</c:v>
                </c:pt>
                <c:pt idx="513">
                  <c:v>-220.316888414151</c:v>
                </c:pt>
                <c:pt idx="514">
                  <c:v>-220.676067405643</c:v>
                </c:pt>
                <c:pt idx="515">
                  <c:v>-221.033379452126</c:v>
                </c:pt>
                <c:pt idx="516">
                  <c:v>-221.388842670718</c:v>
                </c:pt>
                <c:pt idx="517">
                  <c:v>-221.750644008232</c:v>
                </c:pt>
                <c:pt idx="518">
                  <c:v>-222.110547341834</c:v>
                </c:pt>
                <c:pt idx="519">
                  <c:v>-222.468571164785</c:v>
                </c:pt>
                <c:pt idx="520">
                  <c:v>-222.824733675611</c:v>
                </c:pt>
                <c:pt idx="521">
                  <c:v>-223.187252369568</c:v>
                </c:pt>
                <c:pt idx="522">
                  <c:v>-223.547860001977</c:v>
                </c:pt>
                <c:pt idx="523">
                  <c:v>-223.906575149555</c:v>
                </c:pt>
                <c:pt idx="524">
                  <c:v>-224.263416092421</c:v>
                </c:pt>
                <c:pt idx="525">
                  <c:v>-224.626625228634</c:v>
                </c:pt>
                <c:pt idx="526">
                  <c:v>-224.987909871986</c:v>
                </c:pt>
                <c:pt idx="527">
                  <c:v>-225.347288682627</c:v>
                </c:pt>
                <c:pt idx="528">
                  <c:v>-225.704780022438</c:v>
                </c:pt>
                <c:pt idx="529">
                  <c:v>-226.068645681375</c:v>
                </c:pt>
                <c:pt idx="530">
                  <c:v>-226.430573076449</c:v>
                </c:pt>
                <c:pt idx="531">
                  <c:v>-226.790580951256</c:v>
                </c:pt>
                <c:pt idx="532">
                  <c:v>-227.148687749643</c:v>
                </c:pt>
                <c:pt idx="533">
                  <c:v>-227.513356936473</c:v>
                </c:pt>
                <c:pt idx="534">
                  <c:v>-227.87607177562</c:v>
                </c:pt>
                <c:pt idx="535">
                  <c:v>-228.236851123177</c:v>
                </c:pt>
                <c:pt idx="536">
                  <c:v>-228.595713533596</c:v>
                </c:pt>
                <c:pt idx="537">
                  <c:v>-228.960759804237</c:v>
                </c:pt>
                <c:pt idx="538">
                  <c:v>-229.323839422019</c:v>
                </c:pt>
                <c:pt idx="539">
                  <c:v>-229.684971297315</c:v>
                </c:pt>
                <c:pt idx="540">
                  <c:v>-230.044174038406</c:v>
                </c:pt>
                <c:pt idx="541">
                  <c:v>-230.409915526563</c:v>
                </c:pt>
                <c:pt idx="542">
                  <c:v>-230.773673826382</c:v>
                </c:pt>
                <c:pt idx="543">
                  <c:v>-231.135467960456</c:v>
                </c:pt>
                <c:pt idx="544">
                  <c:v>-231.495316647821</c:v>
                </c:pt>
                <c:pt idx="545">
                  <c:v>-231.861506560627</c:v>
                </c:pt>
                <c:pt idx="546">
                  <c:v>-232.225698555742</c:v>
                </c:pt>
                <c:pt idx="547">
                  <c:v>-232.587911739739</c:v>
                </c:pt>
                <c:pt idx="548">
                  <c:v>-232.948164914981</c:v>
                </c:pt>
                <c:pt idx="549">
                  <c:v>-233.31473843102</c:v>
                </c:pt>
                <c:pt idx="550">
                  <c:v>-233.679299126816</c:v>
                </c:pt>
                <c:pt idx="551">
                  <c:v>-234.041866194001</c:v>
                </c:pt>
                <c:pt idx="552">
                  <c:v>-234.402458519536</c:v>
                </c:pt>
                <c:pt idx="553">
                  <c:v>-234.769513746457</c:v>
                </c:pt>
                <c:pt idx="554">
                  <c:v>-235.134539255016</c:v>
                </c:pt>
                <c:pt idx="555">
                  <c:v>-235.497554349728</c:v>
                </c:pt>
                <c:pt idx="556">
                  <c:v>-235.858578029597</c:v>
                </c:pt>
                <c:pt idx="557">
                  <c:v>-236.591432266713</c:v>
                </c:pt>
                <c:pt idx="558">
                  <c:v>-237.31617736189</c:v>
                </c:pt>
                <c:pt idx="559">
                  <c:v>-238.049302646528</c:v>
                </c:pt>
                <c:pt idx="560">
                  <c:v>-238.77425882224</c:v>
                </c:pt>
                <c:pt idx="561">
                  <c:v>-239.50811215475</c:v>
                </c:pt>
                <c:pt idx="562">
                  <c:v>-240.233722302209</c:v>
                </c:pt>
                <c:pt idx="563">
                  <c:v>-240.966552680888</c:v>
                </c:pt>
                <c:pt idx="564">
                  <c:v>-241.691101051102</c:v>
                </c:pt>
                <c:pt idx="565">
                  <c:v>-242.425478392718</c:v>
                </c:pt>
                <c:pt idx="566">
                  <c:v>-243.151472944761</c:v>
                </c:pt>
                <c:pt idx="567">
                  <c:v>-243.886787992049</c:v>
                </c:pt>
                <c:pt idx="568">
                  <c:v>-244.613628520239</c:v>
                </c:pt>
                <c:pt idx="569">
                  <c:v>-245.346438533478</c:v>
                </c:pt>
                <c:pt idx="570">
                  <c:v>-246.070757195282</c:v>
                </c:pt>
                <c:pt idx="571">
                  <c:v>-246.80627989976</c:v>
                </c:pt>
                <c:pt idx="572">
                  <c:v>-247.533169519243</c:v>
                </c:pt>
                <c:pt idx="573">
                  <c:v>-248.265215105896</c:v>
                </c:pt>
                <c:pt idx="574">
                  <c:v>-248.988625737043</c:v>
                </c:pt>
                <c:pt idx="575">
                  <c:v>-249.722191988952</c:v>
                </c:pt>
                <c:pt idx="576">
                  <c:v>-250.446999899125</c:v>
                </c:pt>
                <c:pt idx="577">
                  <c:v>-253.422152257975</c:v>
                </c:pt>
                <c:pt idx="578">
                  <c:v>-256.254557860329</c:v>
                </c:pt>
                <c:pt idx="579">
                  <c:v>-262.01039036817</c:v>
                </c:pt>
                <c:pt idx="580">
                  <c:v>-267.700047753231</c:v>
                </c:pt>
                <c:pt idx="581">
                  <c:v>-273.290258697946</c:v>
                </c:pt>
                <c:pt idx="582">
                  <c:v>-278.759296048046</c:v>
                </c:pt>
                <c:pt idx="583">
                  <c:v>-284.078406615034</c:v>
                </c:pt>
                <c:pt idx="584">
                  <c:v>-289.228358962135</c:v>
                </c:pt>
                <c:pt idx="585">
                  <c:v>-294.18525061514</c:v>
                </c:pt>
                <c:pt idx="586">
                  <c:v>-298.932025924933</c:v>
                </c:pt>
                <c:pt idx="587">
                  <c:v>-303.456787235723</c:v>
                </c:pt>
                <c:pt idx="588">
                  <c:v>-307.744779730677</c:v>
                </c:pt>
                <c:pt idx="589">
                  <c:v>-311.792994000496</c:v>
                </c:pt>
                <c:pt idx="590">
                  <c:v>-315.59707046907</c:v>
                </c:pt>
                <c:pt idx="591">
                  <c:v>-319.158088134388</c:v>
                </c:pt>
                <c:pt idx="592">
                  <c:v>-322.479367890468</c:v>
                </c:pt>
                <c:pt idx="593">
                  <c:v>-325.56818299147</c:v>
                </c:pt>
                <c:pt idx="594">
                  <c:v>-328.432019239264</c:v>
                </c:pt>
                <c:pt idx="595">
                  <c:v>-331.081300496665</c:v>
                </c:pt>
                <c:pt idx="596">
                  <c:v>-333.526389486213</c:v>
                </c:pt>
                <c:pt idx="597">
                  <c:v>-335.77935705401</c:v>
                </c:pt>
                <c:pt idx="598">
                  <c:v>-337.851509933386</c:v>
                </c:pt>
                <c:pt idx="599">
                  <c:v>-339.755272937355</c:v>
                </c:pt>
                <c:pt idx="600">
                  <c:v>-341.502043349849</c:v>
                </c:pt>
              </c:numCache>
            </c:numRef>
          </c:yVal>
          <c:smooth val="0"/>
        </c:ser>
        <c:axId val="52615944"/>
        <c:axId val="79189861"/>
      </c:scatterChart>
      <c:valAx>
        <c:axId val="86944134"/>
        <c:scaling>
          <c:logBase val="10"/>
          <c:orientation val="minMax"/>
          <c:max val="1000000"/>
          <c:min val="1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c0c0c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Frequency (Hz)</a:t>
                </a:r>
              </a:p>
            </c:rich>
          </c:tx>
          <c:layout>
            <c:manualLayout>
              <c:xMode val="edge"/>
              <c:yMode val="edge"/>
              <c:x val="0.428608461219411"/>
              <c:y val="0.883567012104851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35965957"/>
        <c:crossesAt val="-40"/>
        <c:crossBetween val="midCat"/>
        <c:majorUnit val="1"/>
        <c:minorUnit val="9"/>
      </c:valAx>
      <c:valAx>
        <c:axId val="35965957"/>
        <c:scaling>
          <c:orientation val="minMax"/>
          <c:max val="80"/>
          <c:min val="-40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ff0000"/>
                    </a:solidFill>
                    <a:uFillTx/>
                    <a:latin typeface="Arial"/>
                    <a:ea typeface="Arial"/>
                  </a:rPr>
                  <a:t>Gain (dB)</a:t>
                </a:r>
              </a:p>
            </c:rich>
          </c:tx>
          <c:layout>
            <c:manualLayout>
              <c:xMode val="edge"/>
              <c:yMode val="edge"/>
              <c:x val="0.0155018664454583"/>
              <c:y val="0.39258033614909"/>
            </c:manualLayout>
          </c:layout>
          <c:overlay val="0"/>
          <c:spPr>
            <a:noFill/>
            <a:ln w="2556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trike="noStrike" u="none">
                <a:solidFill>
                  <a:srgbClr val="ff0000"/>
                </a:solidFill>
                <a:uFillTx/>
                <a:latin typeface="Arial"/>
                <a:ea typeface="Arial"/>
              </a:defRPr>
            </a:pPr>
          </a:p>
        </c:txPr>
        <c:crossAx val="86944134"/>
        <c:crossesAt val="0.1"/>
        <c:crossBetween val="midCat"/>
        <c:majorUnit val="20"/>
      </c:valAx>
      <c:valAx>
        <c:axId val="52615944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8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9189861"/>
        <c:crossBetween val="midCat"/>
      </c:valAx>
      <c:valAx>
        <c:axId val="79189861"/>
        <c:scaling>
          <c:orientation val="minMax"/>
          <c:max val="0"/>
          <c:min val="-270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200" strike="noStrike" u="none">
                    <a:solidFill>
                      <a:srgbClr val="0000ff"/>
                    </a:solidFill>
                    <a:uFillTx/>
                    <a:latin typeface="Arial"/>
                    <a:ea typeface="Arial"/>
                  </a:rPr>
                  <a:t>Phase (°)</a:t>
                </a:r>
              </a:p>
            </c:rich>
          </c:tx>
          <c:layout>
            <c:manualLayout>
              <c:xMode val="edge"/>
              <c:yMode val="edge"/>
              <c:x val="0.965470759021153"/>
              <c:y val="0.398153792562919"/>
            </c:manualLayout>
          </c:layout>
          <c:overlay val="0"/>
          <c:spPr>
            <a:noFill/>
            <a:ln w="2556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trike="noStrike" u="none">
                <a:solidFill>
                  <a:srgbClr val="0000ff"/>
                </a:solidFill>
                <a:uFillTx/>
                <a:latin typeface="Arial"/>
                <a:ea typeface="Arial"/>
              </a:defRPr>
            </a:pPr>
          </a:p>
        </c:txPr>
        <c:crossAx val="52615944"/>
        <c:crosses val="max"/>
        <c:crossBetween val="midCat"/>
        <c:majorUnit val="45"/>
        <c:minorUnit val="22.5"/>
      </c:valAx>
      <c:spPr>
        <a:noFill/>
        <a:ln w="25560">
          <a:noFill/>
        </a:ln>
      </c:spPr>
    </c:plotArea>
    <c:plotVisOnly val="1"/>
    <c:dispBlanksAs val="gap"/>
  </c:chart>
  <c:spPr>
    <a:solidFill>
      <a:srgbClr val="ffffff"/>
    </a:solidFill>
    <a:ln w="25560">
      <a:solidFill>
        <a:srgbClr val="000000"/>
      </a:solidFill>
      <a:round/>
    </a:ln>
  </c:spPr>
</c:chartSpace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chart" Target="../charts/chart1.xml"/><Relationship Id="rId3" Type="http://schemas.openxmlformats.org/officeDocument/2006/relationships/image" Target="../media/image2.jpeg"/><Relationship Id="rId4" Type="http://schemas.openxmlformats.org/officeDocument/2006/relationships/image" Target="../media/image3.jpeg"/><Relationship Id="rId5" Type="http://schemas.openxmlformats.org/officeDocument/2006/relationships/image" Target="../media/image4.wmf"/><Relationship Id="rId6" Type="http://schemas.openxmlformats.org/officeDocument/2006/relationships/image" Target="../media/image5.wmf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6.wmf"/><Relationship Id="rId2" Type="http://schemas.openxmlformats.org/officeDocument/2006/relationships/image" Target="../media/image7.wmf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hyperlink" Target="http://www.ti.com" TargetMode="External"/><Relationship Id="rId2" Type="http://schemas.openxmlformats.org/officeDocument/2006/relationships/image" Target="../media/image8.gif"/><Relationship Id="rId3" Type="http://schemas.openxmlformats.org/officeDocument/2006/relationships/hyperlink" Target="http://www.ti.com/corp/docs/legal/copyright.shtml" TargetMode="External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9.wmf"/><Relationship Id="rId2" Type="http://schemas.openxmlformats.org/officeDocument/2006/relationships/image" Target="../media/image10.wmf"/><Relationship Id="rId3" Type="http://schemas.openxmlformats.org/officeDocument/2006/relationships/image" Target="../media/image11.jpeg"/><Relationship Id="rId4" Type="http://schemas.openxmlformats.org/officeDocument/2006/relationships/image" Target="../media/image12.jpeg"/><Relationship Id="rId5" Type="http://schemas.openxmlformats.org/officeDocument/2006/relationships/image" Target="../media/image13.jpeg"/><Relationship Id="rId6" Type="http://schemas.openxmlformats.org/officeDocument/2006/relationships/image" Target="../media/image14.jpeg"/><Relationship Id="rId7" Type="http://schemas.openxmlformats.org/officeDocument/2006/relationships/image" Target="../media/image15.jpeg"/><Relationship Id="rId8" Type="http://schemas.openxmlformats.org/officeDocument/2006/relationships/image" Target="../media/image16.jpeg"/><Relationship Id="rId9" Type="http://schemas.openxmlformats.org/officeDocument/2006/relationships/image" Target="../media/image17.jpeg"/><Relationship Id="rId10" Type="http://schemas.openxmlformats.org/officeDocument/2006/relationships/image" Target="../media/image18.jpeg"/><Relationship Id="rId11" Type="http://schemas.openxmlformats.org/officeDocument/2006/relationships/image" Target="../media/image19.jpeg"/><Relationship Id="rId12" Type="http://schemas.openxmlformats.org/officeDocument/2006/relationships/image" Target="../media/image20.jpe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21.png"/><Relationship Id="rId2" Type="http://schemas.openxmlformats.org/officeDocument/2006/relationships/image" Target="../media/image22.png"/><Relationship Id="rId3" Type="http://schemas.openxmlformats.org/officeDocument/2006/relationships/image" Target="../media/image23.png"/><Relationship Id="rId4" Type="http://schemas.openxmlformats.org/officeDocument/2006/relationships/image" Target="../media/image24.png"/><Relationship Id="rId5" Type="http://schemas.openxmlformats.org/officeDocument/2006/relationships/image" Target="../media/image25.pn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26.wmf"/><Relationship Id="rId2" Type="http://schemas.openxmlformats.org/officeDocument/2006/relationships/image" Target="../media/image27.wmf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Relationship Id="rId4" Type="http://schemas.openxmlformats.org/officeDocument/2006/relationships/chart" Target="../charts/chart7.xml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chart" Target="../charts/chart8.xml"/><Relationship Id="rId2" Type="http://schemas.openxmlformats.org/officeDocument/2006/relationships/chart" Target="../charts/chart9.xml"/><Relationship Id="rId3" Type="http://schemas.openxmlformats.org/officeDocument/2006/relationships/chart" Target="../charts/chart10.xml"/>
</Relationships>
</file>

<file path=xl/drawings/_rels/drawing13.xml.rels><?xml version="1.0" encoding="UTF-8"?>
<Relationships xmlns="http://schemas.openxmlformats.org/package/2006/relationships"><Relationship Id="rId1" Type="http://schemas.openxmlformats.org/officeDocument/2006/relationships/chart" Target="../charts/chart1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1360800</xdr:colOff>
      <xdr:row>0</xdr:row>
      <xdr:rowOff>108720</xdr:rowOff>
    </xdr:from>
    <xdr:to>
      <xdr:col>16</xdr:col>
      <xdr:colOff>2417040</xdr:colOff>
      <xdr:row>2</xdr:row>
      <xdr:rowOff>162720</xdr:rowOff>
    </xdr:to>
    <xdr:pic>
      <xdr:nvPicPr>
        <xdr:cNvPr id="0" name="Picture 69" descr=""/>
        <xdr:cNvPicPr/>
      </xdr:nvPicPr>
      <xdr:blipFill>
        <a:blip r:embed="rId1"/>
        <a:stretch/>
      </xdr:blipFill>
      <xdr:spPr>
        <a:xfrm>
          <a:off x="12446640" y="108720"/>
          <a:ext cx="1056240" cy="825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6</xdr:col>
      <xdr:colOff>266760</xdr:colOff>
      <xdr:row>45</xdr:row>
      <xdr:rowOff>40680</xdr:rowOff>
    </xdr:from>
    <xdr:to>
      <xdr:col>16</xdr:col>
      <xdr:colOff>2352240</xdr:colOff>
      <xdr:row>74</xdr:row>
      <xdr:rowOff>51840</xdr:rowOff>
    </xdr:to>
    <xdr:graphicFrame>
      <xdr:nvGraphicFramePr>
        <xdr:cNvPr id="1" name="Chart 12"/>
        <xdr:cNvGraphicFramePr/>
      </xdr:nvGraphicFramePr>
      <xdr:xfrm>
        <a:off x="3992400" y="8757360"/>
        <a:ext cx="9445680" cy="5376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twoCell">
    <xdr:from>
      <xdr:col>7</xdr:col>
      <xdr:colOff>392760</xdr:colOff>
      <xdr:row>64</xdr:row>
      <xdr:rowOff>86760</xdr:rowOff>
    </xdr:from>
    <xdr:to>
      <xdr:col>10</xdr:col>
      <xdr:colOff>361800</xdr:colOff>
      <xdr:row>65</xdr:row>
      <xdr:rowOff>96480</xdr:rowOff>
    </xdr:to>
    <xdr:sp>
      <xdr:nvSpPr>
        <xdr:cNvPr id="4" name="Text Box 23"/>
        <xdr:cNvSpPr/>
      </xdr:nvSpPr>
      <xdr:spPr>
        <a:xfrm>
          <a:off x="4953960" y="12196800"/>
          <a:ext cx="2324880" cy="20016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23040" anchor="ctr" upright="1">
          <a:noAutofit/>
        </a:bodyPr>
        <a:p>
          <a:pPr>
            <a:lnSpc>
              <a:spcPct val="100000"/>
            </a:lnSpc>
          </a:pPr>
          <a:r>
            <a:rPr b="1" lang="en-US" sz="1100" strike="noStrike" u="none">
              <a:solidFill>
                <a:srgbClr val="ff0000"/>
              </a:solidFill>
              <a:uFillTx/>
              <a:latin typeface="Arial"/>
            </a:rPr>
            <a:t>Crossover Frequency = 6.8 kHz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422640</xdr:colOff>
      <xdr:row>66</xdr:row>
      <xdr:rowOff>72360</xdr:rowOff>
    </xdr:from>
    <xdr:to>
      <xdr:col>9</xdr:col>
      <xdr:colOff>456840</xdr:colOff>
      <xdr:row>67</xdr:row>
      <xdr:rowOff>35280</xdr:rowOff>
    </xdr:to>
    <xdr:sp>
      <xdr:nvSpPr>
        <xdr:cNvPr id="5" name="Text Box 24"/>
        <xdr:cNvSpPr/>
      </xdr:nvSpPr>
      <xdr:spPr>
        <a:xfrm>
          <a:off x="4983840" y="12544560"/>
          <a:ext cx="1514520" cy="21024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23040" anchor="ctr" upright="1">
          <a:noAutofit/>
        </a:bodyPr>
        <a:p>
          <a:pPr>
            <a:lnSpc>
              <a:spcPct val="100000"/>
            </a:lnSpc>
          </a:pPr>
          <a:r>
            <a:rPr b="1" lang="en-US" sz="1100" strike="noStrike" u="none">
              <a:solidFill>
                <a:srgbClr val="002060"/>
              </a:solidFill>
              <a:uFillTx/>
              <a:latin typeface="Arial"/>
            </a:rPr>
            <a:t>Phase Margin = 58°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oneCell">
    <xdr:from>
      <xdr:col>0</xdr:col>
      <xdr:colOff>58680</xdr:colOff>
      <xdr:row>0</xdr:row>
      <xdr:rowOff>29160</xdr:rowOff>
    </xdr:from>
    <xdr:to>
      <xdr:col>3</xdr:col>
      <xdr:colOff>331560</xdr:colOff>
      <xdr:row>0</xdr:row>
      <xdr:rowOff>567360</xdr:rowOff>
    </xdr:to>
    <xdr:pic>
      <xdr:nvPicPr>
        <xdr:cNvPr id="6" name="Picture 68" descr=""/>
        <xdr:cNvPicPr/>
      </xdr:nvPicPr>
      <xdr:blipFill>
        <a:blip r:embed="rId3"/>
        <a:srcRect l="0" t="4889" r="0" b="8317"/>
        <a:stretch/>
      </xdr:blipFill>
      <xdr:spPr>
        <a:xfrm>
          <a:off x="58680" y="29160"/>
          <a:ext cx="2397600" cy="538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16</xdr:col>
      <xdr:colOff>1372680</xdr:colOff>
      <xdr:row>0</xdr:row>
      <xdr:rowOff>89640</xdr:rowOff>
    </xdr:from>
    <xdr:to>
      <xdr:col>16</xdr:col>
      <xdr:colOff>2432880</xdr:colOff>
      <xdr:row>2</xdr:row>
      <xdr:rowOff>141480</xdr:rowOff>
    </xdr:to>
    <xdr:pic>
      <xdr:nvPicPr>
        <xdr:cNvPr id="7" name="Picture 67" descr=""/>
        <xdr:cNvPicPr/>
      </xdr:nvPicPr>
      <xdr:blipFill>
        <a:blip r:embed="rId4"/>
        <a:stretch/>
      </xdr:blipFill>
      <xdr:spPr>
        <a:xfrm>
          <a:off x="12458520" y="89640"/>
          <a:ext cx="1060200" cy="8233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16</xdr:col>
      <xdr:colOff>942480</xdr:colOff>
      <xdr:row>89</xdr:row>
      <xdr:rowOff>104400</xdr:rowOff>
    </xdr:from>
    <xdr:to>
      <xdr:col>16</xdr:col>
      <xdr:colOff>1364040</xdr:colOff>
      <xdr:row>90</xdr:row>
      <xdr:rowOff>151200</xdr:rowOff>
    </xdr:to>
    <xdr:sp>
      <xdr:nvSpPr>
        <xdr:cNvPr id="8" name="Text Box 24"/>
        <xdr:cNvSpPr/>
      </xdr:nvSpPr>
      <xdr:spPr>
        <a:xfrm>
          <a:off x="12028320" y="16931880"/>
          <a:ext cx="421560" cy="227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lIns="27360" rIns="0" tIns="23040" bIns="23040" anchor="b" upright="1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97.8%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12</xdr:col>
      <xdr:colOff>580320</xdr:colOff>
      <xdr:row>89</xdr:row>
      <xdr:rowOff>104400</xdr:rowOff>
    </xdr:from>
    <xdr:to>
      <xdr:col>13</xdr:col>
      <xdr:colOff>392400</xdr:colOff>
      <xdr:row>90</xdr:row>
      <xdr:rowOff>151200</xdr:rowOff>
    </xdr:to>
    <xdr:sp>
      <xdr:nvSpPr>
        <xdr:cNvPr id="9" name="Text Box 24"/>
        <xdr:cNvSpPr/>
      </xdr:nvSpPr>
      <xdr:spPr>
        <a:xfrm>
          <a:off x="9017640" y="16931880"/>
          <a:ext cx="456480" cy="227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lIns="27360" rIns="0" tIns="23040" bIns="23040" anchor="b" upright="1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98%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8</xdr:col>
      <xdr:colOff>151920</xdr:colOff>
      <xdr:row>89</xdr:row>
      <xdr:rowOff>104400</xdr:rowOff>
    </xdr:from>
    <xdr:to>
      <xdr:col>8</xdr:col>
      <xdr:colOff>573480</xdr:colOff>
      <xdr:row>90</xdr:row>
      <xdr:rowOff>151200</xdr:rowOff>
    </xdr:to>
    <xdr:sp>
      <xdr:nvSpPr>
        <xdr:cNvPr id="10" name="Text Box 24"/>
        <xdr:cNvSpPr/>
      </xdr:nvSpPr>
      <xdr:spPr>
        <a:xfrm>
          <a:off x="5548680" y="16931880"/>
          <a:ext cx="421560" cy="227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lIns="27360" rIns="0" tIns="23040" bIns="23040" anchor="b" upright="1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 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9</xdr:col>
      <xdr:colOff>822960</xdr:colOff>
      <xdr:row>22</xdr:row>
      <xdr:rowOff>167760</xdr:rowOff>
    </xdr:from>
    <xdr:to>
      <xdr:col>11</xdr:col>
      <xdr:colOff>205560</xdr:colOff>
      <xdr:row>25</xdr:row>
      <xdr:rowOff>68400</xdr:rowOff>
    </xdr:to>
    <xdr:sp>
      <xdr:nvSpPr>
        <xdr:cNvPr id="11" name="TextBox 2"/>
        <xdr:cNvSpPr/>
      </xdr:nvSpPr>
      <xdr:spPr>
        <a:xfrm>
          <a:off x="6864480" y="4635000"/>
          <a:ext cx="902520" cy="519840"/>
        </a:xfrm>
        <a:prstGeom prst="rect">
          <a:avLst/>
        </a:prstGeom>
        <a:solidFill>
          <a:srgbClr val="cc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1" lang="en-US" sz="1100" strike="noStrike" u="none">
              <a:solidFill>
                <a:srgbClr val="000000"/>
              </a:solidFill>
              <a:uFillTx/>
              <a:latin typeface="Calibri"/>
            </a:rPr>
            <a:t>LM5176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Drop Down 89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520" descr="FIX&#10;VALU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FIX
VALUES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492" descr="RESET VALU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 VALUES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9360</xdr:colOff>
          <xdr:row>70</xdr:row>
          <xdr:rowOff>82080</xdr:rowOff>
        </xdr:from>
        <xdr:to>
          <xdr:col>6</xdr:col>
          <xdr:colOff>-352800</xdr:colOff>
          <xdr:row>71</xdr:row>
          <xdr:rowOff>72720</xdr:rowOff>
        </xdr:to>
        <xdr:sp>
          <xdr:nvSpPr>
            <xdr:cNvPr id="0" name="Spinner 6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123840</xdr:colOff>
          <xdr:row>6</xdr:row>
          <xdr:rowOff>9360</xdr:rowOff>
        </xdr:from>
        <xdr:to>
          <xdr:col>6</xdr:col>
          <xdr:colOff>-228600</xdr:colOff>
          <xdr:row>7</xdr:row>
          <xdr:rowOff>18720</xdr:rowOff>
        </xdr:to>
        <xdr:sp>
          <xdr:nvSpPr>
            <xdr:cNvPr id="0" name="Spinner 127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490680</xdr:colOff>
          <xdr:row>96</xdr:row>
          <xdr:rowOff>114480</xdr:rowOff>
        </xdr:from>
        <xdr:to>
          <xdr:col>5</xdr:col>
          <xdr:colOff>190440</xdr:colOff>
          <xdr:row>97</xdr:row>
          <xdr:rowOff>190440</xdr:rowOff>
        </xdr:to>
        <xdr:sp>
          <xdr:nvSpPr>
            <xdr:cNvPr id="0" name="Drop Down 156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9360</xdr:colOff>
          <xdr:row>68</xdr:row>
          <xdr:rowOff>85680</xdr:rowOff>
        </xdr:from>
        <xdr:to>
          <xdr:col>1</xdr:col>
          <xdr:colOff>-1678680</xdr:colOff>
          <xdr:row>69</xdr:row>
          <xdr:rowOff>123840</xdr:rowOff>
        </xdr:to>
        <xdr:sp>
          <xdr:nvSpPr>
            <xdr:cNvPr id="0" name="Drop Down 26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428400</xdr:colOff>
          <xdr:row>46</xdr:row>
          <xdr:rowOff>27360</xdr:rowOff>
        </xdr:from>
        <xdr:to>
          <xdr:col>14</xdr:col>
          <xdr:colOff>0</xdr:colOff>
          <xdr:row>47</xdr:row>
          <xdr:rowOff>36720</xdr:rowOff>
        </xdr:to>
        <xdr:sp>
          <xdr:nvSpPr>
            <xdr:cNvPr id="0" name="Spinner 527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428400</xdr:colOff>
          <xdr:row>84</xdr:row>
          <xdr:rowOff>12960</xdr:rowOff>
        </xdr:from>
        <xdr:to>
          <xdr:col>14</xdr:col>
          <xdr:colOff>0</xdr:colOff>
          <xdr:row>85</xdr:row>
          <xdr:rowOff>41040</xdr:rowOff>
        </xdr:to>
        <xdr:sp>
          <xdr:nvSpPr>
            <xdr:cNvPr id="0" name="Spinner 90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xdr:twoCellAnchor editAs="absolute">
    <xdr:from>
      <xdr:col>7</xdr:col>
      <xdr:colOff>190440</xdr:colOff>
      <xdr:row>85</xdr:row>
      <xdr:rowOff>31680</xdr:rowOff>
    </xdr:from>
    <xdr:to>
      <xdr:col>16</xdr:col>
      <xdr:colOff>2466720</xdr:colOff>
      <xdr:row>114</xdr:row>
      <xdr:rowOff>12960</xdr:rowOff>
    </xdr:to>
    <xdr:pic>
      <xdr:nvPicPr>
        <xdr:cNvPr id="12" name="Picture 8888" descr=""/>
        <xdr:cNvPicPr/>
      </xdr:nvPicPr>
      <xdr:blipFill>
        <a:blip r:embed="rId5"/>
        <a:stretch/>
      </xdr:blipFill>
      <xdr:spPr>
        <a:xfrm>
          <a:off x="4751640" y="16135200"/>
          <a:ext cx="8800920" cy="52581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6</xdr:col>
      <xdr:colOff>323640</xdr:colOff>
      <xdr:row>10</xdr:row>
      <xdr:rowOff>76320</xdr:rowOff>
    </xdr:from>
    <xdr:to>
      <xdr:col>16</xdr:col>
      <xdr:colOff>2409480</xdr:colOff>
      <xdr:row>37</xdr:row>
      <xdr:rowOff>19080</xdr:rowOff>
    </xdr:to>
    <xdr:pic>
      <xdr:nvPicPr>
        <xdr:cNvPr id="13" name="Picture 913" descr=""/>
        <xdr:cNvPicPr/>
      </xdr:nvPicPr>
      <xdr:blipFill>
        <a:blip r:embed="rId6"/>
        <a:stretch/>
      </xdr:blipFill>
      <xdr:spPr>
        <a:xfrm>
          <a:off x="4049280" y="2324160"/>
          <a:ext cx="9446040" cy="49626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0.0846831053012691</cdr:x>
      <cdr:y>0.493337797120857</cdr:y>
    </cdr:from>
    <cdr:to>
      <cdr:x>0.91863256983879</cdr:x>
      <cdr:y>0.49501171744225</cdr:y>
    </cdr:to>
    <cdr:sp>
      <cdr:nvSpPr>
        <cdr:cNvPr id="2" name="Line 3"/>
        <cdr:cNvSpPr/>
      </cdr:nvSpPr>
      <cdr:spPr>
        <a:xfrm>
          <a:off x="799920" y="2652480"/>
          <a:ext cx="7877520" cy="9000"/>
        </a:xfrm>
        <a:prstGeom prst="line">
          <a:avLst/>
        </a:prstGeom>
        <a:ln w="19050">
          <a:solidFill>
            <a:srgbClr val="000000"/>
          </a:solidFill>
          <a:round/>
        </a:ln>
      </cdr:spPr>
      <cdr:style>
        <a:lnRef idx="0"/>
        <a:fillRef idx="0"/>
        <a:effectRef idx="0"/>
        <a:fontRef idx="minor"/>
      </cdr:style>
    </cdr:sp>
  </cdr:relSizeAnchor>
  <cdr:relSizeAnchor>
    <cdr:from>
      <cdr:x>0.923891916612676</cdr:x>
      <cdr:y>0.562705055239371</cdr:y>
    </cdr:from>
    <cdr:to>
      <cdr:x>0.970463813407523</cdr:x>
      <cdr:y>0.618547037161031</cdr:y>
    </cdr:to>
    <cdr:sp>
      <cdr:nvSpPr>
        <cdr:cNvPr id="3" name="Text Box 24"/>
        <cdr:cNvSpPr/>
      </cdr:nvSpPr>
      <cdr:spPr>
        <a:xfrm>
          <a:off x="8727120" y="3025440"/>
          <a:ext cx="439920" cy="300240"/>
        </a:xfrm>
        <a:prstGeom prst="rect">
          <a:avLst/>
        </a:prstGeom>
        <a:noFill/>
        <a:ln w="9525">
          <a:noFill/>
        </a:ln>
      </cdr:spPr>
      <cdr:style>
        <a:lnRef idx="0"/>
        <a:fillRef idx="0"/>
        <a:effectRef idx="0"/>
        <a:fontRef idx="minor"/>
      </cdr:style>
      <cdr:txBody>
        <a:bodyPr lIns="27360" rIns="0" tIns="23040" bIns="23040" anchor="ctr" upright="1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0" lang="en-US" sz="900" strike="noStrike" u="none">
              <a:solidFill>
                <a:srgbClr val="000000"/>
              </a:solidFill>
              <a:uFillTx/>
              <a:latin typeface="Arial"/>
            </a:rPr>
            <a:t>58°</a:t>
          </a:r>
          <a:endParaRPr b="0" sz="900" strike="noStrike" u="none">
            <a:uFillTx/>
            <a:latin typeface="Times New Roman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123840</xdr:colOff>
      <xdr:row>1</xdr:row>
      <xdr:rowOff>9360</xdr:rowOff>
    </xdr:from>
    <xdr:to>
      <xdr:col>9</xdr:col>
      <xdr:colOff>1218960</xdr:colOff>
      <xdr:row>44</xdr:row>
      <xdr:rowOff>85320</xdr:rowOff>
    </xdr:to>
    <xdr:pic>
      <xdr:nvPicPr>
        <xdr:cNvPr id="14" name="Picture 107" descr=""/>
        <xdr:cNvPicPr/>
      </xdr:nvPicPr>
      <xdr:blipFill>
        <a:blip r:embed="rId1"/>
        <a:stretch/>
      </xdr:blipFill>
      <xdr:spPr>
        <a:xfrm>
          <a:off x="123840" y="171360"/>
          <a:ext cx="11284920" cy="70768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428760</xdr:colOff>
      <xdr:row>3</xdr:row>
      <xdr:rowOff>47520</xdr:rowOff>
    </xdr:from>
    <xdr:to>
      <xdr:col>9</xdr:col>
      <xdr:colOff>1199880</xdr:colOff>
      <xdr:row>42</xdr:row>
      <xdr:rowOff>81360</xdr:rowOff>
    </xdr:to>
    <xdr:pic>
      <xdr:nvPicPr>
        <xdr:cNvPr id="15" name="Picture 73" descr=""/>
        <xdr:cNvPicPr/>
      </xdr:nvPicPr>
      <xdr:blipFill>
        <a:blip r:embed="rId2"/>
        <a:stretch/>
      </xdr:blipFill>
      <xdr:spPr>
        <a:xfrm>
          <a:off x="428760" y="533160"/>
          <a:ext cx="10960920" cy="63489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9</xdr:col>
      <xdr:colOff>742320</xdr:colOff>
      <xdr:row>11</xdr:row>
      <xdr:rowOff>54000</xdr:rowOff>
    </xdr:from>
    <xdr:to>
      <xdr:col>10</xdr:col>
      <xdr:colOff>113400</xdr:colOff>
      <xdr:row>12</xdr:row>
      <xdr:rowOff>137520</xdr:rowOff>
    </xdr:to>
    <xdr:sp>
      <xdr:nvSpPr>
        <xdr:cNvPr id="16" name="Text Box 285"/>
        <xdr:cNvSpPr/>
      </xdr:nvSpPr>
      <xdr:spPr>
        <a:xfrm>
          <a:off x="10932120" y="1835280"/>
          <a:ext cx="669600" cy="245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12V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9</xdr:col>
      <xdr:colOff>611280</xdr:colOff>
      <xdr:row>12</xdr:row>
      <xdr:rowOff>117000</xdr:rowOff>
    </xdr:from>
    <xdr:to>
      <xdr:col>9</xdr:col>
      <xdr:colOff>1171440</xdr:colOff>
      <xdr:row>14</xdr:row>
      <xdr:rowOff>29160</xdr:rowOff>
    </xdr:to>
    <xdr:sp>
      <xdr:nvSpPr>
        <xdr:cNvPr id="17" name="Text Box 286"/>
        <xdr:cNvSpPr/>
      </xdr:nvSpPr>
      <xdr:spPr>
        <a:xfrm>
          <a:off x="10801080" y="2060280"/>
          <a:ext cx="560160" cy="235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ctr"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12A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215640</xdr:colOff>
      <xdr:row>21</xdr:row>
      <xdr:rowOff>138600</xdr:rowOff>
    </xdr:from>
    <xdr:to>
      <xdr:col>7</xdr:col>
      <xdr:colOff>621360</xdr:colOff>
      <xdr:row>23</xdr:row>
      <xdr:rowOff>25560</xdr:rowOff>
    </xdr:to>
    <xdr:sp>
      <xdr:nvSpPr>
        <xdr:cNvPr id="18" name="Text Box 276"/>
        <xdr:cNvSpPr/>
      </xdr:nvSpPr>
      <xdr:spPr>
        <a:xfrm>
          <a:off x="8230680" y="3539160"/>
          <a:ext cx="405720" cy="2106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10µF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365400</xdr:colOff>
      <xdr:row>21</xdr:row>
      <xdr:rowOff>135720</xdr:rowOff>
    </xdr:from>
    <xdr:to>
      <xdr:col>1</xdr:col>
      <xdr:colOff>230760</xdr:colOff>
      <xdr:row>23</xdr:row>
      <xdr:rowOff>25920</xdr:rowOff>
    </xdr:to>
    <xdr:sp>
      <xdr:nvSpPr>
        <xdr:cNvPr id="19" name="Text Box 224"/>
        <xdr:cNvSpPr/>
      </xdr:nvSpPr>
      <xdr:spPr>
        <a:xfrm>
          <a:off x="365400" y="3536280"/>
          <a:ext cx="539640" cy="2138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SLOPE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159840</xdr:colOff>
      <xdr:row>37</xdr:row>
      <xdr:rowOff>159480</xdr:rowOff>
    </xdr:from>
    <xdr:to>
      <xdr:col>2</xdr:col>
      <xdr:colOff>479520</xdr:colOff>
      <xdr:row>39</xdr:row>
      <xdr:rowOff>38520</xdr:rowOff>
    </xdr:to>
    <xdr:sp>
      <xdr:nvSpPr>
        <xdr:cNvPr id="20" name="Text Box 225"/>
        <xdr:cNvSpPr/>
      </xdr:nvSpPr>
      <xdr:spPr>
        <a:xfrm>
          <a:off x="2264400" y="6150600"/>
          <a:ext cx="319680" cy="203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FB1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1035000</xdr:colOff>
      <xdr:row>19</xdr:row>
      <xdr:rowOff>127800</xdr:rowOff>
    </xdr:from>
    <xdr:to>
      <xdr:col>8</xdr:col>
      <xdr:colOff>381600</xdr:colOff>
      <xdr:row>20</xdr:row>
      <xdr:rowOff>158760</xdr:rowOff>
    </xdr:to>
    <xdr:sp>
      <xdr:nvSpPr>
        <xdr:cNvPr id="21" name="Text Box 228"/>
        <xdr:cNvSpPr/>
      </xdr:nvSpPr>
      <xdr:spPr>
        <a:xfrm>
          <a:off x="9050040" y="3204360"/>
          <a:ext cx="484560" cy="1929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OUT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9</xdr:col>
      <xdr:colOff>141480</xdr:colOff>
      <xdr:row>11</xdr:row>
      <xdr:rowOff>18360</xdr:rowOff>
    </xdr:from>
    <xdr:to>
      <xdr:col>9</xdr:col>
      <xdr:colOff>606240</xdr:colOff>
      <xdr:row>12</xdr:row>
      <xdr:rowOff>77760</xdr:rowOff>
    </xdr:to>
    <xdr:sp>
      <xdr:nvSpPr>
        <xdr:cNvPr id="22" name="Text Box 231"/>
        <xdr:cNvSpPr/>
      </xdr:nvSpPr>
      <xdr:spPr>
        <a:xfrm>
          <a:off x="10331280" y="1799640"/>
          <a:ext cx="464760" cy="2214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CS(out)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575280</xdr:colOff>
      <xdr:row>15</xdr:row>
      <xdr:rowOff>71280</xdr:rowOff>
    </xdr:from>
    <xdr:to>
      <xdr:col>1</xdr:col>
      <xdr:colOff>1033560</xdr:colOff>
      <xdr:row>16</xdr:row>
      <xdr:rowOff>120600</xdr:rowOff>
    </xdr:to>
    <xdr:sp>
      <xdr:nvSpPr>
        <xdr:cNvPr id="23" name="Text Box 233"/>
        <xdr:cNvSpPr/>
      </xdr:nvSpPr>
      <xdr:spPr>
        <a:xfrm>
          <a:off x="1249560" y="2500200"/>
          <a:ext cx="458280" cy="2113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DITH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920160</xdr:colOff>
      <xdr:row>27</xdr:row>
      <xdr:rowOff>76320</xdr:rowOff>
    </xdr:from>
    <xdr:to>
      <xdr:col>8</xdr:col>
      <xdr:colOff>33120</xdr:colOff>
      <xdr:row>28</xdr:row>
      <xdr:rowOff>131040</xdr:rowOff>
    </xdr:to>
    <xdr:sp>
      <xdr:nvSpPr>
        <xdr:cNvPr id="24" name="Text Box 234"/>
        <xdr:cNvSpPr/>
      </xdr:nvSpPr>
      <xdr:spPr>
        <a:xfrm>
          <a:off x="8935200" y="4448160"/>
          <a:ext cx="250920" cy="216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423360</xdr:colOff>
      <xdr:row>14</xdr:row>
      <xdr:rowOff>151200</xdr:rowOff>
    </xdr:from>
    <xdr:to>
      <xdr:col>7</xdr:col>
      <xdr:colOff>765360</xdr:colOff>
      <xdr:row>16</xdr:row>
      <xdr:rowOff>38160</xdr:rowOff>
    </xdr:to>
    <xdr:sp>
      <xdr:nvSpPr>
        <xdr:cNvPr id="25" name="Text Box 235"/>
        <xdr:cNvSpPr/>
      </xdr:nvSpPr>
      <xdr:spPr>
        <a:xfrm>
          <a:off x="8438400" y="2418120"/>
          <a:ext cx="342000" cy="2109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L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120240</xdr:colOff>
      <xdr:row>40</xdr:row>
      <xdr:rowOff>73440</xdr:rowOff>
    </xdr:from>
    <xdr:to>
      <xdr:col>4</xdr:col>
      <xdr:colOff>523800</xdr:colOff>
      <xdr:row>41</xdr:row>
      <xdr:rowOff>126360</xdr:rowOff>
    </xdr:to>
    <xdr:sp>
      <xdr:nvSpPr>
        <xdr:cNvPr id="26" name="Text Box 243"/>
        <xdr:cNvSpPr/>
      </xdr:nvSpPr>
      <xdr:spPr>
        <a:xfrm>
          <a:off x="4782240" y="6550560"/>
          <a:ext cx="403560" cy="214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230400</xdr:colOff>
      <xdr:row>19</xdr:row>
      <xdr:rowOff>118800</xdr:rowOff>
    </xdr:from>
    <xdr:to>
      <xdr:col>7</xdr:col>
      <xdr:colOff>481680</xdr:colOff>
      <xdr:row>20</xdr:row>
      <xdr:rowOff>159120</xdr:rowOff>
    </xdr:to>
    <xdr:sp>
      <xdr:nvSpPr>
        <xdr:cNvPr id="27" name="Text Box 244"/>
        <xdr:cNvSpPr/>
      </xdr:nvSpPr>
      <xdr:spPr>
        <a:xfrm>
          <a:off x="8245440" y="3195360"/>
          <a:ext cx="251280" cy="2023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690480</xdr:colOff>
      <xdr:row>7</xdr:row>
      <xdr:rowOff>111960</xdr:rowOff>
    </xdr:from>
    <xdr:to>
      <xdr:col>2</xdr:col>
      <xdr:colOff>1018440</xdr:colOff>
      <xdr:row>9</xdr:row>
      <xdr:rowOff>12960</xdr:rowOff>
    </xdr:to>
    <xdr:sp>
      <xdr:nvSpPr>
        <xdr:cNvPr id="28" name="Text Box 245"/>
        <xdr:cNvSpPr/>
      </xdr:nvSpPr>
      <xdr:spPr>
        <a:xfrm>
          <a:off x="2795040" y="1245600"/>
          <a:ext cx="327960" cy="2246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604800</xdr:colOff>
      <xdr:row>4</xdr:row>
      <xdr:rowOff>101880</xdr:rowOff>
    </xdr:from>
    <xdr:to>
      <xdr:col>2</xdr:col>
      <xdr:colOff>930600</xdr:colOff>
      <xdr:row>5</xdr:row>
      <xdr:rowOff>137160</xdr:rowOff>
    </xdr:to>
    <xdr:sp>
      <xdr:nvSpPr>
        <xdr:cNvPr id="29" name="Text Box 246"/>
        <xdr:cNvSpPr/>
      </xdr:nvSpPr>
      <xdr:spPr>
        <a:xfrm>
          <a:off x="2709360" y="749520"/>
          <a:ext cx="325800" cy="1972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420840</xdr:colOff>
      <xdr:row>5</xdr:row>
      <xdr:rowOff>36360</xdr:rowOff>
    </xdr:from>
    <xdr:to>
      <xdr:col>4</xdr:col>
      <xdr:colOff>941400</xdr:colOff>
      <xdr:row>6</xdr:row>
      <xdr:rowOff>104400</xdr:rowOff>
    </xdr:to>
    <xdr:sp>
      <xdr:nvSpPr>
        <xdr:cNvPr id="30" name="Text Box 248"/>
        <xdr:cNvSpPr/>
      </xdr:nvSpPr>
      <xdr:spPr>
        <a:xfrm>
          <a:off x="5082840" y="846000"/>
          <a:ext cx="520560" cy="230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5</xdr:col>
      <xdr:colOff>681480</xdr:colOff>
      <xdr:row>20</xdr:row>
      <xdr:rowOff>92520</xdr:rowOff>
    </xdr:from>
    <xdr:to>
      <xdr:col>5</xdr:col>
      <xdr:colOff>1050120</xdr:colOff>
      <xdr:row>21</xdr:row>
      <xdr:rowOff>132120</xdr:rowOff>
    </xdr:to>
    <xdr:sp>
      <xdr:nvSpPr>
        <xdr:cNvPr id="31" name="Text Box 249"/>
        <xdr:cNvSpPr/>
      </xdr:nvSpPr>
      <xdr:spPr>
        <a:xfrm>
          <a:off x="6562080" y="3331080"/>
          <a:ext cx="368640" cy="2016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VCC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615600</xdr:colOff>
      <xdr:row>25</xdr:row>
      <xdr:rowOff>16560</xdr:rowOff>
    </xdr:from>
    <xdr:to>
      <xdr:col>1</xdr:col>
      <xdr:colOff>940680</xdr:colOff>
      <xdr:row>26</xdr:row>
      <xdr:rowOff>86760</xdr:rowOff>
    </xdr:to>
    <xdr:sp>
      <xdr:nvSpPr>
        <xdr:cNvPr id="32" name="Text Box 251"/>
        <xdr:cNvSpPr/>
      </xdr:nvSpPr>
      <xdr:spPr>
        <a:xfrm>
          <a:off x="1289880" y="4064760"/>
          <a:ext cx="325080" cy="232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620280</xdr:colOff>
      <xdr:row>35</xdr:row>
      <xdr:rowOff>18360</xdr:rowOff>
    </xdr:from>
    <xdr:to>
      <xdr:col>1</xdr:col>
      <xdr:colOff>975960</xdr:colOff>
      <xdr:row>36</xdr:row>
      <xdr:rowOff>57600</xdr:rowOff>
    </xdr:to>
    <xdr:sp>
      <xdr:nvSpPr>
        <xdr:cNvPr id="33" name="Text Box 255"/>
        <xdr:cNvSpPr/>
      </xdr:nvSpPr>
      <xdr:spPr>
        <a:xfrm>
          <a:off x="1294560" y="5685840"/>
          <a:ext cx="355680" cy="201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FB2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248760</xdr:colOff>
      <xdr:row>28</xdr:row>
      <xdr:rowOff>99720</xdr:rowOff>
    </xdr:from>
    <xdr:to>
      <xdr:col>0</xdr:col>
      <xdr:colOff>496080</xdr:colOff>
      <xdr:row>29</xdr:row>
      <xdr:rowOff>146880</xdr:rowOff>
    </xdr:to>
    <xdr:sp>
      <xdr:nvSpPr>
        <xdr:cNvPr id="34" name="Text Box 256"/>
        <xdr:cNvSpPr/>
      </xdr:nvSpPr>
      <xdr:spPr>
        <a:xfrm>
          <a:off x="248760" y="4633560"/>
          <a:ext cx="247320" cy="209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513000</xdr:colOff>
      <xdr:row>32</xdr:row>
      <xdr:rowOff>14400</xdr:rowOff>
    </xdr:from>
    <xdr:to>
      <xdr:col>1</xdr:col>
      <xdr:colOff>826200</xdr:colOff>
      <xdr:row>33</xdr:row>
      <xdr:rowOff>79920</xdr:rowOff>
    </xdr:to>
    <xdr:sp>
      <xdr:nvSpPr>
        <xdr:cNvPr id="35" name="Text Box 257"/>
        <xdr:cNvSpPr/>
      </xdr:nvSpPr>
      <xdr:spPr>
        <a:xfrm>
          <a:off x="1187280" y="5195880"/>
          <a:ext cx="313200" cy="227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373680</xdr:colOff>
      <xdr:row>29</xdr:row>
      <xdr:rowOff>70560</xdr:rowOff>
    </xdr:from>
    <xdr:to>
      <xdr:col>1</xdr:col>
      <xdr:colOff>865080</xdr:colOff>
      <xdr:row>30</xdr:row>
      <xdr:rowOff>141120</xdr:rowOff>
    </xdr:to>
    <xdr:sp>
      <xdr:nvSpPr>
        <xdr:cNvPr id="36" name="Text Box 258"/>
        <xdr:cNvSpPr/>
      </xdr:nvSpPr>
      <xdr:spPr>
        <a:xfrm>
          <a:off x="1047960" y="4766400"/>
          <a:ext cx="491400" cy="232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995760</xdr:colOff>
      <xdr:row>40</xdr:row>
      <xdr:rowOff>24480</xdr:rowOff>
    </xdr:from>
    <xdr:to>
      <xdr:col>4</xdr:col>
      <xdr:colOff>7920</xdr:colOff>
      <xdr:row>41</xdr:row>
      <xdr:rowOff>74520</xdr:rowOff>
    </xdr:to>
    <xdr:sp>
      <xdr:nvSpPr>
        <xdr:cNvPr id="37" name="Text Box 259"/>
        <xdr:cNvSpPr/>
      </xdr:nvSpPr>
      <xdr:spPr>
        <a:xfrm>
          <a:off x="4237920" y="6501600"/>
          <a:ext cx="432000" cy="211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5</xdr:col>
      <xdr:colOff>680760</xdr:colOff>
      <xdr:row>22</xdr:row>
      <xdr:rowOff>30600</xdr:rowOff>
    </xdr:from>
    <xdr:to>
      <xdr:col>5</xdr:col>
      <xdr:colOff>1091880</xdr:colOff>
      <xdr:row>23</xdr:row>
      <xdr:rowOff>101880</xdr:rowOff>
    </xdr:to>
    <xdr:sp>
      <xdr:nvSpPr>
        <xdr:cNvPr id="38" name="Text Box 260"/>
        <xdr:cNvSpPr/>
      </xdr:nvSpPr>
      <xdr:spPr>
        <a:xfrm>
          <a:off x="6561360" y="3592800"/>
          <a:ext cx="411120" cy="2332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</a:t>
          </a:r>
          <a:r>
            <a:rPr b="0" lang="el-GR" sz="1000" strike="noStrike" u="none">
              <a:solidFill>
                <a:srgbClr val="000000"/>
              </a:solidFill>
              <a:uFillTx/>
              <a:latin typeface="Arial"/>
            </a:rPr>
            <a:t>μ</a:t>
          </a: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475200</xdr:colOff>
      <xdr:row>33</xdr:row>
      <xdr:rowOff>47160</xdr:rowOff>
    </xdr:from>
    <xdr:to>
      <xdr:col>1</xdr:col>
      <xdr:colOff>976320</xdr:colOff>
      <xdr:row>34</xdr:row>
      <xdr:rowOff>93240</xdr:rowOff>
    </xdr:to>
    <xdr:sp>
      <xdr:nvSpPr>
        <xdr:cNvPr id="39" name="Text Box 261"/>
        <xdr:cNvSpPr/>
      </xdr:nvSpPr>
      <xdr:spPr>
        <a:xfrm>
          <a:off x="1149480" y="5390640"/>
          <a:ext cx="501120" cy="208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33nF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65880</xdr:colOff>
      <xdr:row>29</xdr:row>
      <xdr:rowOff>153000</xdr:rowOff>
    </xdr:from>
    <xdr:to>
      <xdr:col>0</xdr:col>
      <xdr:colOff>492840</xdr:colOff>
      <xdr:row>31</xdr:row>
      <xdr:rowOff>28800</xdr:rowOff>
    </xdr:to>
    <xdr:sp>
      <xdr:nvSpPr>
        <xdr:cNvPr id="40" name="Text Box 262"/>
        <xdr:cNvSpPr/>
      </xdr:nvSpPr>
      <xdr:spPr>
        <a:xfrm>
          <a:off x="65880" y="4848840"/>
          <a:ext cx="426960" cy="199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308880</xdr:colOff>
      <xdr:row>36</xdr:row>
      <xdr:rowOff>59760</xdr:rowOff>
    </xdr:from>
    <xdr:to>
      <xdr:col>1</xdr:col>
      <xdr:colOff>915120</xdr:colOff>
      <xdr:row>37</xdr:row>
      <xdr:rowOff>100800</xdr:rowOff>
    </xdr:to>
    <xdr:sp>
      <xdr:nvSpPr>
        <xdr:cNvPr id="41" name="Text Box 264"/>
        <xdr:cNvSpPr/>
      </xdr:nvSpPr>
      <xdr:spPr>
        <a:xfrm>
          <a:off x="983160" y="5889240"/>
          <a:ext cx="606240" cy="202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20kΩ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331560</xdr:colOff>
      <xdr:row>6</xdr:row>
      <xdr:rowOff>15840</xdr:rowOff>
    </xdr:from>
    <xdr:to>
      <xdr:col>1</xdr:col>
      <xdr:colOff>149760</xdr:colOff>
      <xdr:row>7</xdr:row>
      <xdr:rowOff>105480</xdr:rowOff>
    </xdr:to>
    <xdr:sp>
      <xdr:nvSpPr>
        <xdr:cNvPr id="42" name="Text Box 265"/>
        <xdr:cNvSpPr/>
      </xdr:nvSpPr>
      <xdr:spPr>
        <a:xfrm>
          <a:off x="331560" y="987480"/>
          <a:ext cx="492480" cy="2516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ctr">
            <a:lnSpc>
              <a:spcPct val="100000"/>
            </a:lnSpc>
          </a:pPr>
          <a:r>
            <a:rPr b="0" lang="el-GR" sz="1000" strike="noStrike" u="none">
              <a:solidFill>
                <a:srgbClr val="000000"/>
              </a:solidFill>
              <a:uFillTx/>
              <a:latin typeface="Arial"/>
            </a:rPr>
            <a:t> 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342360</xdr:colOff>
      <xdr:row>23</xdr:row>
      <xdr:rowOff>11160</xdr:rowOff>
    </xdr:from>
    <xdr:to>
      <xdr:col>1</xdr:col>
      <xdr:colOff>241560</xdr:colOff>
      <xdr:row>24</xdr:row>
      <xdr:rowOff>30240</xdr:rowOff>
    </xdr:to>
    <xdr:sp>
      <xdr:nvSpPr>
        <xdr:cNvPr id="43" name="Text Box 266"/>
        <xdr:cNvSpPr/>
      </xdr:nvSpPr>
      <xdr:spPr>
        <a:xfrm>
          <a:off x="342360" y="3735360"/>
          <a:ext cx="573480" cy="181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270pF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138240</xdr:colOff>
      <xdr:row>39</xdr:row>
      <xdr:rowOff>24120</xdr:rowOff>
    </xdr:from>
    <xdr:to>
      <xdr:col>2</xdr:col>
      <xdr:colOff>736920</xdr:colOff>
      <xdr:row>40</xdr:row>
      <xdr:rowOff>100080</xdr:rowOff>
    </xdr:to>
    <xdr:sp>
      <xdr:nvSpPr>
        <xdr:cNvPr id="44" name="Text Box 268"/>
        <xdr:cNvSpPr/>
      </xdr:nvSpPr>
      <xdr:spPr>
        <a:xfrm>
          <a:off x="2242800" y="6339240"/>
          <a:ext cx="598680" cy="2379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280kΩ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871200</xdr:colOff>
      <xdr:row>28</xdr:row>
      <xdr:rowOff>95040</xdr:rowOff>
    </xdr:from>
    <xdr:to>
      <xdr:col>8</xdr:col>
      <xdr:colOff>238320</xdr:colOff>
      <xdr:row>29</xdr:row>
      <xdr:rowOff>153720</xdr:rowOff>
    </xdr:to>
    <xdr:sp>
      <xdr:nvSpPr>
        <xdr:cNvPr id="45" name="Text Box 269"/>
        <xdr:cNvSpPr/>
      </xdr:nvSpPr>
      <xdr:spPr>
        <a:xfrm>
          <a:off x="8886240" y="4628880"/>
          <a:ext cx="505080" cy="220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4mΩ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9</xdr:col>
      <xdr:colOff>152280</xdr:colOff>
      <xdr:row>12</xdr:row>
      <xdr:rowOff>50040</xdr:rowOff>
    </xdr:from>
    <xdr:to>
      <xdr:col>9</xdr:col>
      <xdr:colOff>719640</xdr:colOff>
      <xdr:row>13</xdr:row>
      <xdr:rowOff>96480</xdr:rowOff>
    </xdr:to>
    <xdr:sp>
      <xdr:nvSpPr>
        <xdr:cNvPr id="46" name="Text Box 270"/>
        <xdr:cNvSpPr/>
      </xdr:nvSpPr>
      <xdr:spPr>
        <a:xfrm>
          <a:off x="10342080" y="1993320"/>
          <a:ext cx="567360" cy="208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4.2mΩ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429120</xdr:colOff>
      <xdr:row>16</xdr:row>
      <xdr:rowOff>76320</xdr:rowOff>
    </xdr:from>
    <xdr:to>
      <xdr:col>1</xdr:col>
      <xdr:colOff>906840</xdr:colOff>
      <xdr:row>18</xdr:row>
      <xdr:rowOff>1080</xdr:rowOff>
    </xdr:to>
    <xdr:sp>
      <xdr:nvSpPr>
        <xdr:cNvPr id="47" name="Text Box 274"/>
        <xdr:cNvSpPr/>
      </xdr:nvSpPr>
      <xdr:spPr>
        <a:xfrm>
          <a:off x="1103400" y="2667240"/>
          <a:ext cx="477720" cy="2484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39nF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717120</xdr:colOff>
      <xdr:row>14</xdr:row>
      <xdr:rowOff>56160</xdr:rowOff>
    </xdr:from>
    <xdr:to>
      <xdr:col>8</xdr:col>
      <xdr:colOff>89640</xdr:colOff>
      <xdr:row>15</xdr:row>
      <xdr:rowOff>134640</xdr:rowOff>
    </xdr:to>
    <xdr:sp>
      <xdr:nvSpPr>
        <xdr:cNvPr id="48" name="Text Box 275"/>
        <xdr:cNvSpPr/>
      </xdr:nvSpPr>
      <xdr:spPr>
        <a:xfrm>
          <a:off x="8732160" y="2323080"/>
          <a:ext cx="510480" cy="2404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4.7µH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980640</xdr:colOff>
      <xdr:row>7</xdr:row>
      <xdr:rowOff>136440</xdr:rowOff>
    </xdr:from>
    <xdr:to>
      <xdr:col>3</xdr:col>
      <xdr:colOff>278640</xdr:colOff>
      <xdr:row>9</xdr:row>
      <xdr:rowOff>32760</xdr:rowOff>
    </xdr:to>
    <xdr:sp>
      <xdr:nvSpPr>
        <xdr:cNvPr id="49" name="Text Box 277"/>
        <xdr:cNvSpPr/>
      </xdr:nvSpPr>
      <xdr:spPr>
        <a:xfrm>
          <a:off x="3085200" y="1270080"/>
          <a:ext cx="435600" cy="2199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l-GR" sz="1000" strike="noStrike" u="none">
              <a:solidFill>
                <a:srgbClr val="000000"/>
              </a:solidFill>
              <a:uFillTx/>
              <a:latin typeface="Arial"/>
            </a:rPr>
            <a:t>2.2Ω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997920</xdr:colOff>
      <xdr:row>4</xdr:row>
      <xdr:rowOff>118800</xdr:rowOff>
    </xdr:from>
    <xdr:to>
      <xdr:col>3</xdr:col>
      <xdr:colOff>294480</xdr:colOff>
      <xdr:row>6</xdr:row>
      <xdr:rowOff>720</xdr:rowOff>
    </xdr:to>
    <xdr:sp>
      <xdr:nvSpPr>
        <xdr:cNvPr id="50" name="Text Box 278"/>
        <xdr:cNvSpPr/>
      </xdr:nvSpPr>
      <xdr:spPr>
        <a:xfrm>
          <a:off x="3102480" y="766440"/>
          <a:ext cx="434160" cy="2059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0.1µF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869760</xdr:colOff>
      <xdr:row>5</xdr:row>
      <xdr:rowOff>157680</xdr:rowOff>
    </xdr:from>
    <xdr:to>
      <xdr:col>3</xdr:col>
      <xdr:colOff>1236600</xdr:colOff>
      <xdr:row>7</xdr:row>
      <xdr:rowOff>51480</xdr:rowOff>
    </xdr:to>
    <xdr:sp>
      <xdr:nvSpPr>
        <xdr:cNvPr id="51" name="Text Box 279"/>
        <xdr:cNvSpPr/>
      </xdr:nvSpPr>
      <xdr:spPr>
        <a:xfrm>
          <a:off x="4111920" y="967320"/>
          <a:ext cx="366840" cy="217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0.1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554760</xdr:colOff>
      <xdr:row>26</xdr:row>
      <xdr:rowOff>53640</xdr:rowOff>
    </xdr:from>
    <xdr:to>
      <xdr:col>1</xdr:col>
      <xdr:colOff>981720</xdr:colOff>
      <xdr:row>27</xdr:row>
      <xdr:rowOff>107280</xdr:rowOff>
    </xdr:to>
    <xdr:sp>
      <xdr:nvSpPr>
        <xdr:cNvPr id="52" name="Text Box 281"/>
        <xdr:cNvSpPr/>
      </xdr:nvSpPr>
      <xdr:spPr>
        <a:xfrm>
          <a:off x="1229040" y="4263840"/>
          <a:ext cx="426960" cy="2152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100nF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183240</xdr:colOff>
      <xdr:row>11</xdr:row>
      <xdr:rowOff>45360</xdr:rowOff>
    </xdr:from>
    <xdr:to>
      <xdr:col>7</xdr:col>
      <xdr:colOff>1037880</xdr:colOff>
      <xdr:row>12</xdr:row>
      <xdr:rowOff>122040</xdr:rowOff>
    </xdr:to>
    <xdr:sp>
      <xdr:nvSpPr>
        <xdr:cNvPr id="53" name="Text Box 283"/>
        <xdr:cNvSpPr/>
      </xdr:nvSpPr>
      <xdr:spPr>
        <a:xfrm>
          <a:off x="8198280" y="1826640"/>
          <a:ext cx="854640" cy="238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6V...36V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496080</xdr:colOff>
      <xdr:row>19</xdr:row>
      <xdr:rowOff>38880</xdr:rowOff>
    </xdr:from>
    <xdr:to>
      <xdr:col>1</xdr:col>
      <xdr:colOff>159120</xdr:colOff>
      <xdr:row>20</xdr:row>
      <xdr:rowOff>104400</xdr:rowOff>
    </xdr:to>
    <xdr:sp>
      <xdr:nvSpPr>
        <xdr:cNvPr id="54" name="Text Box 251"/>
        <xdr:cNvSpPr/>
      </xdr:nvSpPr>
      <xdr:spPr>
        <a:xfrm>
          <a:off x="496080" y="3115440"/>
          <a:ext cx="337320" cy="227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T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377640</xdr:colOff>
      <xdr:row>20</xdr:row>
      <xdr:rowOff>80640</xdr:rowOff>
    </xdr:from>
    <xdr:to>
      <xdr:col>1</xdr:col>
      <xdr:colOff>251640</xdr:colOff>
      <xdr:row>21</xdr:row>
      <xdr:rowOff>136440</xdr:rowOff>
    </xdr:to>
    <xdr:sp>
      <xdr:nvSpPr>
        <xdr:cNvPr id="55" name="Text Box 281"/>
        <xdr:cNvSpPr/>
      </xdr:nvSpPr>
      <xdr:spPr>
        <a:xfrm>
          <a:off x="377640" y="3319200"/>
          <a:ext cx="548280" cy="217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33.2kΩ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797040</xdr:colOff>
      <xdr:row>4</xdr:row>
      <xdr:rowOff>118440</xdr:rowOff>
    </xdr:from>
    <xdr:to>
      <xdr:col>3</xdr:col>
      <xdr:colOff>1286280</xdr:colOff>
      <xdr:row>6</xdr:row>
      <xdr:rowOff>12960</xdr:rowOff>
    </xdr:to>
    <xdr:sp>
      <xdr:nvSpPr>
        <xdr:cNvPr id="56" name="Text Box 247"/>
        <xdr:cNvSpPr/>
      </xdr:nvSpPr>
      <xdr:spPr>
        <a:xfrm>
          <a:off x="4039200" y="766080"/>
          <a:ext cx="489240" cy="218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5</xdr:col>
      <xdr:colOff>76680</xdr:colOff>
      <xdr:row>34</xdr:row>
      <xdr:rowOff>63360</xdr:rowOff>
    </xdr:from>
    <xdr:to>
      <xdr:col>5</xdr:col>
      <xdr:colOff>561600</xdr:colOff>
      <xdr:row>35</xdr:row>
      <xdr:rowOff>130680</xdr:rowOff>
    </xdr:to>
    <xdr:sp>
      <xdr:nvSpPr>
        <xdr:cNvPr id="57" name="Text Box 251"/>
        <xdr:cNvSpPr/>
      </xdr:nvSpPr>
      <xdr:spPr>
        <a:xfrm>
          <a:off x="5957280" y="5568840"/>
          <a:ext cx="484920" cy="2293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PGOOD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5</xdr:col>
      <xdr:colOff>138600</xdr:colOff>
      <xdr:row>35</xdr:row>
      <xdr:rowOff>74880</xdr:rowOff>
    </xdr:from>
    <xdr:to>
      <xdr:col>5</xdr:col>
      <xdr:colOff>736920</xdr:colOff>
      <xdr:row>36</xdr:row>
      <xdr:rowOff>137520</xdr:rowOff>
    </xdr:to>
    <xdr:sp>
      <xdr:nvSpPr>
        <xdr:cNvPr id="58" name="Text Box 281"/>
        <xdr:cNvSpPr/>
      </xdr:nvSpPr>
      <xdr:spPr>
        <a:xfrm>
          <a:off x="6019200" y="5742360"/>
          <a:ext cx="598320" cy="2246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20kΩ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660600</xdr:colOff>
      <xdr:row>2</xdr:row>
      <xdr:rowOff>83880</xdr:rowOff>
    </xdr:from>
    <xdr:to>
      <xdr:col>3</xdr:col>
      <xdr:colOff>142200</xdr:colOff>
      <xdr:row>3</xdr:row>
      <xdr:rowOff>137160</xdr:rowOff>
    </xdr:to>
    <xdr:sp>
      <xdr:nvSpPr>
        <xdr:cNvPr id="59" name="Text Box 264"/>
        <xdr:cNvSpPr/>
      </xdr:nvSpPr>
      <xdr:spPr>
        <a:xfrm>
          <a:off x="2765160" y="407880"/>
          <a:ext cx="619200" cy="2149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57.6kΩ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742320</xdr:colOff>
      <xdr:row>1</xdr:row>
      <xdr:rowOff>51840</xdr:rowOff>
    </xdr:from>
    <xdr:to>
      <xdr:col>3</xdr:col>
      <xdr:colOff>72360</xdr:colOff>
      <xdr:row>2</xdr:row>
      <xdr:rowOff>84600</xdr:rowOff>
    </xdr:to>
    <xdr:sp>
      <xdr:nvSpPr>
        <xdr:cNvPr id="60" name="Text Box 255"/>
        <xdr:cNvSpPr/>
      </xdr:nvSpPr>
      <xdr:spPr>
        <a:xfrm>
          <a:off x="2846880" y="213840"/>
          <a:ext cx="467640" cy="1947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UV2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767520</xdr:colOff>
      <xdr:row>2</xdr:row>
      <xdr:rowOff>104760</xdr:rowOff>
    </xdr:from>
    <xdr:to>
      <xdr:col>3</xdr:col>
      <xdr:colOff>1320480</xdr:colOff>
      <xdr:row>3</xdr:row>
      <xdr:rowOff>145800</xdr:rowOff>
    </xdr:to>
    <xdr:sp>
      <xdr:nvSpPr>
        <xdr:cNvPr id="61" name="Text Box 264"/>
        <xdr:cNvSpPr/>
      </xdr:nvSpPr>
      <xdr:spPr>
        <a:xfrm>
          <a:off x="4009680" y="428760"/>
          <a:ext cx="552960" cy="202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249kΩ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907200</xdr:colOff>
      <xdr:row>1</xdr:row>
      <xdr:rowOff>55800</xdr:rowOff>
    </xdr:from>
    <xdr:to>
      <xdr:col>3</xdr:col>
      <xdr:colOff>1310040</xdr:colOff>
      <xdr:row>2</xdr:row>
      <xdr:rowOff>90360</xdr:rowOff>
    </xdr:to>
    <xdr:sp>
      <xdr:nvSpPr>
        <xdr:cNvPr id="62" name="Text Box 255"/>
        <xdr:cNvSpPr/>
      </xdr:nvSpPr>
      <xdr:spPr>
        <a:xfrm>
          <a:off x="4149360" y="217800"/>
          <a:ext cx="402840" cy="19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UV1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736920</xdr:colOff>
      <xdr:row>15</xdr:row>
      <xdr:rowOff>72000</xdr:rowOff>
    </xdr:from>
    <xdr:to>
      <xdr:col>8</xdr:col>
      <xdr:colOff>170640</xdr:colOff>
      <xdr:row>16</xdr:row>
      <xdr:rowOff>149760</xdr:rowOff>
    </xdr:to>
    <xdr:sp>
      <xdr:nvSpPr>
        <xdr:cNvPr id="63" name="Text Box 275"/>
        <xdr:cNvSpPr/>
      </xdr:nvSpPr>
      <xdr:spPr>
        <a:xfrm>
          <a:off x="8751960" y="2500920"/>
          <a:ext cx="571680" cy="2397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3.35mΩ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955440</xdr:colOff>
      <xdr:row>37</xdr:row>
      <xdr:rowOff>90720</xdr:rowOff>
    </xdr:from>
    <xdr:to>
      <xdr:col>5</xdr:col>
      <xdr:colOff>133920</xdr:colOff>
      <xdr:row>38</xdr:row>
      <xdr:rowOff>146160</xdr:rowOff>
    </xdr:to>
    <xdr:sp>
      <xdr:nvSpPr>
        <xdr:cNvPr id="64" name="Text Box 245"/>
        <xdr:cNvSpPr/>
      </xdr:nvSpPr>
      <xdr:spPr>
        <a:xfrm>
          <a:off x="5617440" y="6081840"/>
          <a:ext cx="397080" cy="2174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379800</xdr:colOff>
      <xdr:row>30</xdr:row>
      <xdr:rowOff>84240</xdr:rowOff>
    </xdr:from>
    <xdr:to>
      <xdr:col>1</xdr:col>
      <xdr:colOff>938880</xdr:colOff>
      <xdr:row>31</xdr:row>
      <xdr:rowOff>120240</xdr:rowOff>
    </xdr:to>
    <xdr:sp>
      <xdr:nvSpPr>
        <xdr:cNvPr id="65" name="Text Box 268"/>
        <xdr:cNvSpPr/>
      </xdr:nvSpPr>
      <xdr:spPr>
        <a:xfrm>
          <a:off x="1054080" y="4942080"/>
          <a:ext cx="559080" cy="1980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6.19kΩ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6</xdr:col>
      <xdr:colOff>398520</xdr:colOff>
      <xdr:row>14</xdr:row>
      <xdr:rowOff>62280</xdr:rowOff>
    </xdr:from>
    <xdr:to>
      <xdr:col>6</xdr:col>
      <xdr:colOff>585720</xdr:colOff>
      <xdr:row>15</xdr:row>
      <xdr:rowOff>116640</xdr:rowOff>
    </xdr:to>
    <xdr:sp>
      <xdr:nvSpPr>
        <xdr:cNvPr id="66" name="Text Box 234"/>
        <xdr:cNvSpPr/>
      </xdr:nvSpPr>
      <xdr:spPr>
        <a:xfrm>
          <a:off x="7728840" y="2329200"/>
          <a:ext cx="187200" cy="216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6</xdr:col>
      <xdr:colOff>382320</xdr:colOff>
      <xdr:row>21</xdr:row>
      <xdr:rowOff>60840</xdr:rowOff>
    </xdr:from>
    <xdr:to>
      <xdr:col>6</xdr:col>
      <xdr:colOff>569520</xdr:colOff>
      <xdr:row>22</xdr:row>
      <xdr:rowOff>118440</xdr:rowOff>
    </xdr:to>
    <xdr:sp>
      <xdr:nvSpPr>
        <xdr:cNvPr id="67" name="Text Box 234"/>
        <xdr:cNvSpPr/>
      </xdr:nvSpPr>
      <xdr:spPr>
        <a:xfrm>
          <a:off x="7712640" y="3461400"/>
          <a:ext cx="187200" cy="219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236520</xdr:colOff>
      <xdr:row>20</xdr:row>
      <xdr:rowOff>126360</xdr:rowOff>
    </xdr:from>
    <xdr:to>
      <xdr:col>7</xdr:col>
      <xdr:colOff>642240</xdr:colOff>
      <xdr:row>22</xdr:row>
      <xdr:rowOff>11160</xdr:rowOff>
    </xdr:to>
    <xdr:sp>
      <xdr:nvSpPr>
        <xdr:cNvPr id="68" name="Text Box 276"/>
        <xdr:cNvSpPr/>
      </xdr:nvSpPr>
      <xdr:spPr>
        <a:xfrm>
          <a:off x="8251560" y="3364920"/>
          <a:ext cx="405720" cy="2084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10 x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1246680</xdr:colOff>
      <xdr:row>12</xdr:row>
      <xdr:rowOff>149400</xdr:rowOff>
    </xdr:from>
    <xdr:to>
      <xdr:col>2</xdr:col>
      <xdr:colOff>157320</xdr:colOff>
      <xdr:row>14</xdr:row>
      <xdr:rowOff>35280</xdr:rowOff>
    </xdr:to>
    <xdr:sp>
      <xdr:nvSpPr>
        <xdr:cNvPr id="69" name="Text Box 259"/>
        <xdr:cNvSpPr/>
      </xdr:nvSpPr>
      <xdr:spPr>
        <a:xfrm>
          <a:off x="1920960" y="2092680"/>
          <a:ext cx="340920" cy="209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U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1063800</xdr:colOff>
      <xdr:row>21</xdr:row>
      <xdr:rowOff>145440</xdr:rowOff>
    </xdr:from>
    <xdr:to>
      <xdr:col>8</xdr:col>
      <xdr:colOff>390600</xdr:colOff>
      <xdr:row>23</xdr:row>
      <xdr:rowOff>33120</xdr:rowOff>
    </xdr:to>
    <xdr:sp>
      <xdr:nvSpPr>
        <xdr:cNvPr id="70" name="Text Box 276"/>
        <xdr:cNvSpPr/>
      </xdr:nvSpPr>
      <xdr:spPr>
        <a:xfrm>
          <a:off x="9078840" y="3546000"/>
          <a:ext cx="464760" cy="2113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22µF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7</xdr:col>
      <xdr:colOff>1055880</xdr:colOff>
      <xdr:row>20</xdr:row>
      <xdr:rowOff>136080</xdr:rowOff>
    </xdr:from>
    <xdr:to>
      <xdr:col>8</xdr:col>
      <xdr:colOff>382680</xdr:colOff>
      <xdr:row>22</xdr:row>
      <xdr:rowOff>22320</xdr:rowOff>
    </xdr:to>
    <xdr:sp>
      <xdr:nvSpPr>
        <xdr:cNvPr id="71" name="Text Box 276"/>
        <xdr:cNvSpPr/>
      </xdr:nvSpPr>
      <xdr:spPr>
        <a:xfrm>
          <a:off x="9070920" y="3374640"/>
          <a:ext cx="464760" cy="209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28 x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5</xdr:col>
      <xdr:colOff>714600</xdr:colOff>
      <xdr:row>24</xdr:row>
      <xdr:rowOff>131040</xdr:rowOff>
    </xdr:from>
    <xdr:to>
      <xdr:col>5</xdr:col>
      <xdr:colOff>1236600</xdr:colOff>
      <xdr:row>26</xdr:row>
      <xdr:rowOff>37800</xdr:rowOff>
    </xdr:to>
    <xdr:sp>
      <xdr:nvSpPr>
        <xdr:cNvPr id="72" name="Text Box 248"/>
        <xdr:cNvSpPr/>
      </xdr:nvSpPr>
      <xdr:spPr>
        <a:xfrm>
          <a:off x="6595200" y="4017240"/>
          <a:ext cx="522000" cy="2307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8</xdr:col>
      <xdr:colOff>534240</xdr:colOff>
      <xdr:row>14</xdr:row>
      <xdr:rowOff>73080</xdr:rowOff>
    </xdr:from>
    <xdr:to>
      <xdr:col>8</xdr:col>
      <xdr:colOff>721440</xdr:colOff>
      <xdr:row>15</xdr:row>
      <xdr:rowOff>127440</xdr:rowOff>
    </xdr:to>
    <xdr:sp>
      <xdr:nvSpPr>
        <xdr:cNvPr id="73" name="Text Box 234"/>
        <xdr:cNvSpPr/>
      </xdr:nvSpPr>
      <xdr:spPr>
        <a:xfrm>
          <a:off x="9687240" y="2340000"/>
          <a:ext cx="187200" cy="216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3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8</xdr:col>
      <xdr:colOff>545760</xdr:colOff>
      <xdr:row>21</xdr:row>
      <xdr:rowOff>55080</xdr:rowOff>
    </xdr:from>
    <xdr:to>
      <xdr:col>8</xdr:col>
      <xdr:colOff>732960</xdr:colOff>
      <xdr:row>22</xdr:row>
      <xdr:rowOff>112680</xdr:rowOff>
    </xdr:to>
    <xdr:sp>
      <xdr:nvSpPr>
        <xdr:cNvPr id="74" name="Text Box 234"/>
        <xdr:cNvSpPr/>
      </xdr:nvSpPr>
      <xdr:spPr>
        <a:xfrm>
          <a:off x="9698760" y="3455640"/>
          <a:ext cx="187200" cy="219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4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5</xdr:col>
      <xdr:colOff>770040</xdr:colOff>
      <xdr:row>29</xdr:row>
      <xdr:rowOff>48600</xdr:rowOff>
    </xdr:from>
    <xdr:to>
      <xdr:col>5</xdr:col>
      <xdr:colOff>1136160</xdr:colOff>
      <xdr:row>30</xdr:row>
      <xdr:rowOff>109800</xdr:rowOff>
    </xdr:to>
    <xdr:sp>
      <xdr:nvSpPr>
        <xdr:cNvPr id="75" name="Text Box 279"/>
        <xdr:cNvSpPr/>
      </xdr:nvSpPr>
      <xdr:spPr>
        <a:xfrm>
          <a:off x="6650640" y="4744440"/>
          <a:ext cx="366120" cy="223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0.1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5</xdr:col>
      <xdr:colOff>739080</xdr:colOff>
      <xdr:row>28</xdr:row>
      <xdr:rowOff>10080</xdr:rowOff>
    </xdr:from>
    <xdr:to>
      <xdr:col>5</xdr:col>
      <xdr:colOff>1227600</xdr:colOff>
      <xdr:row>29</xdr:row>
      <xdr:rowOff>64440</xdr:rowOff>
    </xdr:to>
    <xdr:sp>
      <xdr:nvSpPr>
        <xdr:cNvPr id="76" name="Text Box 247"/>
        <xdr:cNvSpPr/>
      </xdr:nvSpPr>
      <xdr:spPr>
        <a:xfrm>
          <a:off x="6619680" y="4543920"/>
          <a:ext cx="488520" cy="216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956520</xdr:colOff>
      <xdr:row>42</xdr:row>
      <xdr:rowOff>10800</xdr:rowOff>
    </xdr:from>
    <xdr:to>
      <xdr:col>5</xdr:col>
      <xdr:colOff>168480</xdr:colOff>
      <xdr:row>43</xdr:row>
      <xdr:rowOff>69480</xdr:rowOff>
    </xdr:to>
    <xdr:sp>
      <xdr:nvSpPr>
        <xdr:cNvPr id="77" name="Text Box 245"/>
        <xdr:cNvSpPr/>
      </xdr:nvSpPr>
      <xdr:spPr>
        <a:xfrm>
          <a:off x="5618520" y="6811560"/>
          <a:ext cx="430560" cy="220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CSG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938160</xdr:colOff>
      <xdr:row>43</xdr:row>
      <xdr:rowOff>43560</xdr:rowOff>
    </xdr:from>
    <xdr:to>
      <xdr:col>5</xdr:col>
      <xdr:colOff>158040</xdr:colOff>
      <xdr:row>44</xdr:row>
      <xdr:rowOff>66240</xdr:rowOff>
    </xdr:to>
    <xdr:sp>
      <xdr:nvSpPr>
        <xdr:cNvPr id="78" name="Text Box 277"/>
        <xdr:cNvSpPr/>
      </xdr:nvSpPr>
      <xdr:spPr>
        <a:xfrm>
          <a:off x="5600160" y="7006320"/>
          <a:ext cx="438480" cy="2228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</a:t>
          </a:r>
          <a:r>
            <a:rPr b="0" lang="el-GR" sz="1000" strike="noStrike" u="none">
              <a:solidFill>
                <a:srgbClr val="000000"/>
              </a:solidFill>
              <a:uFillTx/>
              <a:latin typeface="Arial"/>
            </a:rPr>
            <a:t>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2</xdr:col>
      <xdr:colOff>127800</xdr:colOff>
      <xdr:row>7</xdr:row>
      <xdr:rowOff>69840</xdr:rowOff>
    </xdr:from>
    <xdr:to>
      <xdr:col>2</xdr:col>
      <xdr:colOff>561600</xdr:colOff>
      <xdr:row>8</xdr:row>
      <xdr:rowOff>142920</xdr:rowOff>
    </xdr:to>
    <xdr:sp>
      <xdr:nvSpPr>
        <xdr:cNvPr id="79" name="Text Box 248"/>
        <xdr:cNvSpPr/>
      </xdr:nvSpPr>
      <xdr:spPr>
        <a:xfrm>
          <a:off x="2232360" y="1203480"/>
          <a:ext cx="433800" cy="234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903960</xdr:colOff>
      <xdr:row>39</xdr:row>
      <xdr:rowOff>9000</xdr:rowOff>
    </xdr:from>
    <xdr:to>
      <xdr:col>5</xdr:col>
      <xdr:colOff>122760</xdr:colOff>
      <xdr:row>40</xdr:row>
      <xdr:rowOff>72000</xdr:rowOff>
    </xdr:to>
    <xdr:sp>
      <xdr:nvSpPr>
        <xdr:cNvPr id="80" name="Text Box 277"/>
        <xdr:cNvSpPr/>
      </xdr:nvSpPr>
      <xdr:spPr>
        <a:xfrm>
          <a:off x="5565960" y="6324120"/>
          <a:ext cx="437400" cy="2250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</a:t>
          </a:r>
          <a:r>
            <a:rPr b="0" lang="el-GR" sz="1000" strike="noStrike" u="none">
              <a:solidFill>
                <a:srgbClr val="000000"/>
              </a:solidFill>
              <a:uFillTx/>
              <a:latin typeface="Arial"/>
            </a:rPr>
            <a:t>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190440</xdr:colOff>
      <xdr:row>22</xdr:row>
      <xdr:rowOff>15120</xdr:rowOff>
    </xdr:from>
    <xdr:to>
      <xdr:col>4</xdr:col>
      <xdr:colOff>37800</xdr:colOff>
      <xdr:row>25</xdr:row>
      <xdr:rowOff>37800</xdr:rowOff>
    </xdr:to>
    <xdr:sp>
      <xdr:nvSpPr>
        <xdr:cNvPr id="81" name="TextBox 75"/>
        <xdr:cNvSpPr/>
      </xdr:nvSpPr>
      <xdr:spPr>
        <a:xfrm>
          <a:off x="3432600" y="3577320"/>
          <a:ext cx="1267200" cy="508680"/>
        </a:xfrm>
        <a:prstGeom prst="rect">
          <a:avLst/>
        </a:prstGeom>
        <a:solidFill>
          <a:srgbClr val="cc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1" lang="en-US" sz="2000" strike="noStrike" u="none">
              <a:solidFill>
                <a:srgbClr val="ff0000"/>
              </a:solidFill>
              <a:uFillTx/>
              <a:latin typeface="Calibri"/>
            </a:rPr>
            <a:t>LM5176</a:t>
          </a:r>
          <a:endParaRPr b="0" lang="en-US" sz="2000" strike="noStrike" u="none">
            <a:uFillTx/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152280</xdr:rowOff>
    </xdr:from>
    <xdr:to>
      <xdr:col>1</xdr:col>
      <xdr:colOff>599760</xdr:colOff>
      <xdr:row>2</xdr:row>
      <xdr:rowOff>85320</xdr:rowOff>
    </xdr:to>
    <xdr:pic>
      <xdr:nvPicPr>
        <xdr:cNvPr id="82" name="Picture 1" descr="ti logo">
          <a:hlinkClick r:id="rId1"/>
        </xdr:cNvPr>
        <xdr:cNvPicPr/>
      </xdr:nvPicPr>
      <xdr:blipFill>
        <a:blip r:embed="rId2"/>
        <a:stretch/>
      </xdr:blipFill>
      <xdr:spPr>
        <a:xfrm>
          <a:off x="0" y="152280"/>
          <a:ext cx="2412000" cy="2948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200160</xdr:colOff>
      <xdr:row>0</xdr:row>
      <xdr:rowOff>114480</xdr:rowOff>
    </xdr:from>
    <xdr:to>
      <xdr:col>1</xdr:col>
      <xdr:colOff>3952800</xdr:colOff>
      <xdr:row>2</xdr:row>
      <xdr:rowOff>118800</xdr:rowOff>
    </xdr:to>
    <xdr:sp>
      <xdr:nvSpPr>
        <xdr:cNvPr id="83" name="TextBox 2"/>
        <xdr:cNvSpPr/>
      </xdr:nvSpPr>
      <xdr:spPr>
        <a:xfrm>
          <a:off x="2012400" y="114480"/>
          <a:ext cx="3752640" cy="3661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spAutoFit/>
        </a:bodyPr>
        <a:p>
          <a:pPr algn="ctr">
            <a:lnSpc>
              <a:spcPct val="100000"/>
            </a:lnSpc>
          </a:pPr>
          <a:r>
            <a:rPr b="0" lang="en-US" sz="1600" strike="noStrike" u="none">
              <a:solidFill>
                <a:schemeClr val="dk1"/>
              </a:solidFill>
              <a:uFillTx/>
              <a:latin typeface="Arial Black"/>
            </a:rPr>
            <a:t>About this tool...</a:t>
          </a:r>
          <a:endParaRPr b="0" lang="en-US" sz="1600" strike="noStrike" u="none">
            <a:uFillTx/>
            <a:latin typeface="Times New Roman"/>
          </a:endParaRPr>
        </a:p>
      </xdr:txBody>
    </xdr:sp>
    <xdr:clientData/>
  </xdr:twoCellAnchor>
  <xdr:twoCellAnchor editAs="oneCell">
    <xdr:from>
      <xdr:col>3</xdr:col>
      <xdr:colOff>437400</xdr:colOff>
      <xdr:row>1</xdr:row>
      <xdr:rowOff>28440</xdr:rowOff>
    </xdr:from>
    <xdr:to>
      <xdr:col>10</xdr:col>
      <xdr:colOff>418320</xdr:colOff>
      <xdr:row>2</xdr:row>
      <xdr:rowOff>93600</xdr:rowOff>
    </xdr:to>
    <xdr:sp>
      <xdr:nvSpPr>
        <xdr:cNvPr id="84" name="TextBox 3">
          <a:hlinkClick r:id="rId3"/>
        </xdr:cNvPr>
        <xdr:cNvSpPr/>
      </xdr:nvSpPr>
      <xdr:spPr>
        <a:xfrm>
          <a:off x="6881400" y="209520"/>
          <a:ext cx="4492440" cy="2458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horzOverflow="clip" vertOverflow="clip" lIns="90000" rIns="90000" tIns="45000" bIns="45000" anchor="t">
          <a:spAutoFit/>
        </a:bodyPr>
        <a:p>
          <a:pPr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Arial"/>
            </a:rPr>
            <a:t>© Copyright 2021 Texas Instruments Incorporated. All rights reserved.</a:t>
          </a:r>
          <a:endParaRPr b="0" lang="en-US" sz="1100" strike="noStrike" u="none">
            <a:uFillTx/>
            <a:latin typeface="Times New Roman"/>
          </a:endParaRPr>
        </a:p>
      </xdr:txBody>
    </xdr:sp>
    <xdr:clientData/>
  </xdr:twoCellAnchor>
  <xdr:twoCellAnchor editAs="oneCell">
    <xdr:from>
      <xdr:col>0</xdr:col>
      <xdr:colOff>95400</xdr:colOff>
      <xdr:row>6</xdr:row>
      <xdr:rowOff>47520</xdr:rowOff>
    </xdr:from>
    <xdr:to>
      <xdr:col>10</xdr:col>
      <xdr:colOff>369360</xdr:colOff>
      <xdr:row>29</xdr:row>
      <xdr:rowOff>65880</xdr:rowOff>
    </xdr:to>
    <xdr:sp>
      <xdr:nvSpPr>
        <xdr:cNvPr id="85" name="TextBox 4"/>
        <xdr:cNvSpPr/>
      </xdr:nvSpPr>
      <xdr:spPr>
        <a:xfrm>
          <a:off x="95400" y="1114200"/>
          <a:ext cx="11229480" cy="4181040"/>
        </a:xfrm>
        <a:prstGeom prst="rect">
          <a:avLst/>
        </a:prstGeom>
        <a:solidFill>
          <a:srgbClr val="d9d9d9"/>
        </a:solidFill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 algn="ctr" defTabSz="914400">
            <a:lnSpc>
              <a:spcPct val="100000"/>
            </a:lnSpc>
            <a:tabLst>
              <a:tab algn="l" pos="0"/>
            </a:tabLst>
          </a:pPr>
          <a:r>
            <a:rPr b="1" lang="en-US" sz="1800" strike="noStrike" u="none">
              <a:solidFill>
                <a:srgbClr val="000000"/>
              </a:solidFill>
              <a:uFillTx/>
              <a:latin typeface="Calibri"/>
            </a:rPr>
            <a:t>IMPORTANT NOTICE AND DISCLAIMER</a:t>
          </a:r>
          <a:endParaRPr b="0" lang="en-US" sz="1800" strike="noStrike" u="none"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TI PROVIDES TECHNICAL AND RELIABILITY DATA (INCLUDING DATA SHEETS), DESIGN RESOURCES (INCLUDING REFERENCE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DESIGNS), APPLICATION OR OTHER DESIGN ADVICE, WEB TOOLS, SAFETY INFORMATION, AND OTHER RESOURCES “AS IS”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AND WITH ALL FAULTS, AND DISCLAIMS ALL WARRANTIES, EXPRESS AND IMPLIED, INCLUDING WITHOUT LIMITATION ANY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IMPLIED WARRANTIES OF MERCHANTABILITY, FITNESS FOR A PARTICULAR PURPOSE OR NON-INFRINGEMENT OF THIRD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PARTY INTELLECTUAL PROPERTY RIGHTS.</a:t>
          </a:r>
          <a:endParaRPr b="0" lang="en-US" sz="1050" strike="noStrike" u="none"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These resources are intended for skilled developers designing with TI products. You are solely responsible for (1) selecting the appropriate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TI products for your application, (2) designing, validating and testing your application, and (3) ensuring your application meets applicable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standards, and any other safety, security, regulatory or other requirements.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These resources are subject to change without notice. TI grants you permission to use these resources only for development of an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application that uses the TI products described in the resource. Other reproduction and display of these resources is prohibited. No license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is granted to any other TI intellectual property right or to any third party intellectual property right. TI disclaims responsibility for, and you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will fully indemnify TI and its representatives against, any claims, damages, costs, losses, and liabilities arising out of your use of these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resources.</a:t>
          </a:r>
          <a:endParaRPr b="0" lang="en-US" sz="1050" strike="noStrike" u="none"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TI’s products are provided subject to TI’s Terms of Sale or other applicable terms available either on ti.com or provided in conjunction with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such TI products. TI’s provision of these resources does not expand or otherwise alter TI’s applicable warranties or warranty disclaimers for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TI products.</a:t>
          </a:r>
          <a:endParaRPr b="0" lang="en-US" sz="1050" strike="noStrike" u="none"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TI objects to and rejects any additional or different terms you may have proposed. IMPORTANT NOTICE</a:t>
          </a:r>
          <a:endParaRPr b="0" lang="en-US" sz="1050" strike="noStrike" u="none">
            <a:uFillTx/>
            <a:latin typeface="Times New Roman"/>
          </a:endParaRPr>
        </a:p>
        <a:p>
          <a:pPr algn="ctr" defTabSz="914400">
            <a:lnSpc>
              <a:spcPct val="100000"/>
            </a:lnSpc>
            <a:tabLst>
              <a:tab algn="l" pos="0"/>
            </a:tabLst>
          </a:pP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Mailing Address: Texas Instruments, Post Office Box 655303, Dallas, Texas 75265</a:t>
          </a:r>
          <a:br/>
          <a:r>
            <a:rPr b="0" lang="en-US" sz="1050" strike="noStrike" u="none">
              <a:solidFill>
                <a:srgbClr val="000000"/>
              </a:solidFill>
              <a:uFillTx/>
              <a:latin typeface="Calibri"/>
            </a:rPr>
            <a:t>Copyright © 2022, Texas Instruments Incorporated</a:t>
          </a:r>
          <a:endParaRPr b="0" lang="en-US" sz="1050" strike="noStrike" u="none">
            <a:uFillTx/>
            <a:latin typeface="Times New Roman"/>
          </a:endParaRPr>
        </a:p>
      </xdr:txBody>
    </xdr:sp>
    <xdr:clientData/>
  </xdr:twoCellAnchor>
  <xdr:twoCellAnchor editAs="oneCell">
    <xdr:from>
      <xdr:col>0</xdr:col>
      <xdr:colOff>95400</xdr:colOff>
      <xdr:row>30</xdr:row>
      <xdr:rowOff>28440</xdr:rowOff>
    </xdr:from>
    <xdr:to>
      <xdr:col>10</xdr:col>
      <xdr:colOff>369360</xdr:colOff>
      <xdr:row>33</xdr:row>
      <xdr:rowOff>132840</xdr:rowOff>
    </xdr:to>
    <xdr:sp>
      <xdr:nvSpPr>
        <xdr:cNvPr id="86" name="TextBox 5"/>
        <xdr:cNvSpPr/>
      </xdr:nvSpPr>
      <xdr:spPr>
        <a:xfrm>
          <a:off x="95400" y="5438520"/>
          <a:ext cx="11229480" cy="647280"/>
        </a:xfrm>
        <a:prstGeom prst="rect">
          <a:avLst/>
        </a:prstGeom>
        <a:solidFill>
          <a:srgbClr val="f2f2f2"/>
        </a:solidFill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US" sz="1100" strike="noStrike" u="none">
              <a:solidFill>
                <a:schemeClr val="dk1"/>
              </a:solidFill>
              <a:uFillTx/>
              <a:latin typeface="Calibri"/>
            </a:rPr>
            <a:t>IMPORTANT:   </a:t>
          </a:r>
          <a:endParaRPr b="0" lang="en-US" sz="1100" strike="noStrike" u="none">
            <a:uFillTx/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1.  Do not delete this worksheet!</a:t>
          </a:r>
          <a:endParaRPr b="0" lang="en-US" sz="1100" strike="noStrike" u="none">
            <a:uFillTx/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trike="noStrike" u="none">
              <a:solidFill>
                <a:schemeClr val="dk1"/>
              </a:solidFill>
              <a:uFillTx/>
              <a:latin typeface="Calibri"/>
            </a:rPr>
            <a:t>2.  Redistributions must retain the above copyright and the following disclaimer.</a:t>
          </a:r>
          <a:endParaRPr b="0" lang="en-US" sz="1100" strike="noStrike" u="none">
            <a:uFillTx/>
            <a:latin typeface="Times New Roman"/>
          </a:endParaRPr>
        </a:p>
        <a:p>
          <a:pPr>
            <a:lnSpc>
              <a:spcPct val="100000"/>
            </a:lnSpc>
          </a:pPr>
          <a:endParaRPr b="0" lang="en-US" sz="800" strike="noStrike" u="none">
            <a:uFillTx/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564840</xdr:colOff>
      <xdr:row>107</xdr:row>
      <xdr:rowOff>130320</xdr:rowOff>
    </xdr:from>
    <xdr:to>
      <xdr:col>9</xdr:col>
      <xdr:colOff>564480</xdr:colOff>
      <xdr:row>136</xdr:row>
      <xdr:rowOff>147960</xdr:rowOff>
    </xdr:to>
    <xdr:pic>
      <xdr:nvPicPr>
        <xdr:cNvPr id="87" name="Picture 9" descr=""/>
        <xdr:cNvPicPr/>
      </xdr:nvPicPr>
      <xdr:blipFill>
        <a:blip r:embed="rId1"/>
        <a:stretch/>
      </xdr:blipFill>
      <xdr:spPr>
        <a:xfrm>
          <a:off x="564840" y="17982720"/>
          <a:ext cx="5800320" cy="4713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564840</xdr:colOff>
      <xdr:row>137</xdr:row>
      <xdr:rowOff>145800</xdr:rowOff>
    </xdr:from>
    <xdr:to>
      <xdr:col>9</xdr:col>
      <xdr:colOff>564480</xdr:colOff>
      <xdr:row>166</xdr:row>
      <xdr:rowOff>142920</xdr:rowOff>
    </xdr:to>
    <xdr:pic>
      <xdr:nvPicPr>
        <xdr:cNvPr id="88" name="Picture 10" descr=""/>
        <xdr:cNvPicPr/>
      </xdr:nvPicPr>
      <xdr:blipFill>
        <a:blip r:embed="rId2"/>
        <a:stretch/>
      </xdr:blipFill>
      <xdr:spPr>
        <a:xfrm>
          <a:off x="564840" y="22856040"/>
          <a:ext cx="5800320" cy="46929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564840</xdr:colOff>
      <xdr:row>34</xdr:row>
      <xdr:rowOff>58320</xdr:rowOff>
    </xdr:from>
    <xdr:to>
      <xdr:col>9</xdr:col>
      <xdr:colOff>540000</xdr:colOff>
      <xdr:row>56</xdr:row>
      <xdr:rowOff>142920</xdr:rowOff>
    </xdr:to>
    <xdr:pic>
      <xdr:nvPicPr>
        <xdr:cNvPr id="89" name="Picture 3" descr=""/>
        <xdr:cNvPicPr/>
      </xdr:nvPicPr>
      <xdr:blipFill>
        <a:blip r:embed="rId3"/>
        <a:stretch/>
      </xdr:blipFill>
      <xdr:spPr>
        <a:xfrm>
          <a:off x="564840" y="6090120"/>
          <a:ext cx="5775840" cy="36471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564840</xdr:colOff>
      <xdr:row>82</xdr:row>
      <xdr:rowOff>135720</xdr:rowOff>
    </xdr:from>
    <xdr:to>
      <xdr:col>9</xdr:col>
      <xdr:colOff>540000</xdr:colOff>
      <xdr:row>106</xdr:row>
      <xdr:rowOff>133200</xdr:rowOff>
    </xdr:to>
    <xdr:pic>
      <xdr:nvPicPr>
        <xdr:cNvPr id="90" name="Picture 12" descr=""/>
        <xdr:cNvPicPr/>
      </xdr:nvPicPr>
      <xdr:blipFill>
        <a:blip r:embed="rId4"/>
        <a:stretch/>
      </xdr:blipFill>
      <xdr:spPr>
        <a:xfrm>
          <a:off x="564840" y="13939920"/>
          <a:ext cx="5775840" cy="38836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12</xdr:col>
      <xdr:colOff>63360</xdr:colOff>
      <xdr:row>9</xdr:row>
      <xdr:rowOff>19440</xdr:rowOff>
    </xdr:from>
    <xdr:to>
      <xdr:col>20</xdr:col>
      <xdr:colOff>88560</xdr:colOff>
      <xdr:row>34</xdr:row>
      <xdr:rowOff>146520</xdr:rowOff>
    </xdr:to>
    <xdr:pic>
      <xdr:nvPicPr>
        <xdr:cNvPr id="91" name="Picture 15" descr=""/>
        <xdr:cNvPicPr/>
      </xdr:nvPicPr>
      <xdr:blipFill>
        <a:blip r:embed="rId5"/>
        <a:srcRect l="6384" t="7674" r="5498" b="7950"/>
        <a:stretch/>
      </xdr:blipFill>
      <xdr:spPr>
        <a:xfrm>
          <a:off x="7797600" y="2003040"/>
          <a:ext cx="5835600" cy="41752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12</xdr:col>
      <xdr:colOff>57240</xdr:colOff>
      <xdr:row>35</xdr:row>
      <xdr:rowOff>160560</xdr:rowOff>
    </xdr:from>
    <xdr:to>
      <xdr:col>20</xdr:col>
      <xdr:colOff>63720</xdr:colOff>
      <xdr:row>68</xdr:row>
      <xdr:rowOff>71280</xdr:rowOff>
    </xdr:to>
    <xdr:pic>
      <xdr:nvPicPr>
        <xdr:cNvPr id="92" name="Picture 16" descr=""/>
        <xdr:cNvPicPr/>
      </xdr:nvPicPr>
      <xdr:blipFill>
        <a:blip r:embed="rId6"/>
        <a:srcRect l="3203" t="3892" r="994" b="4124"/>
        <a:stretch/>
      </xdr:blipFill>
      <xdr:spPr>
        <a:xfrm>
          <a:off x="7791480" y="6354360"/>
          <a:ext cx="5816880" cy="5254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12</xdr:col>
      <xdr:colOff>57240</xdr:colOff>
      <xdr:row>69</xdr:row>
      <xdr:rowOff>84960</xdr:rowOff>
    </xdr:from>
    <xdr:to>
      <xdr:col>20</xdr:col>
      <xdr:colOff>63720</xdr:colOff>
      <xdr:row>100</xdr:row>
      <xdr:rowOff>69840</xdr:rowOff>
    </xdr:to>
    <xdr:pic>
      <xdr:nvPicPr>
        <xdr:cNvPr id="93" name="Picture 17" descr=""/>
        <xdr:cNvPicPr/>
      </xdr:nvPicPr>
      <xdr:blipFill>
        <a:blip r:embed="rId7"/>
        <a:srcRect l="1658" t="6201" r="277" b="3404"/>
        <a:stretch/>
      </xdr:blipFill>
      <xdr:spPr>
        <a:xfrm>
          <a:off x="7791480" y="11784240"/>
          <a:ext cx="5816880" cy="50043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22</xdr:col>
      <xdr:colOff>69120</xdr:colOff>
      <xdr:row>9</xdr:row>
      <xdr:rowOff>17280</xdr:rowOff>
    </xdr:from>
    <xdr:to>
      <xdr:col>33</xdr:col>
      <xdr:colOff>259200</xdr:colOff>
      <xdr:row>38</xdr:row>
      <xdr:rowOff>21240</xdr:rowOff>
    </xdr:to>
    <xdr:pic>
      <xdr:nvPicPr>
        <xdr:cNvPr id="94" name="Picture 19" descr=""/>
        <xdr:cNvPicPr/>
      </xdr:nvPicPr>
      <xdr:blipFill>
        <a:blip r:embed="rId8"/>
        <a:srcRect l="3949" t="3175" r="2119" b="4977"/>
        <a:stretch/>
      </xdr:blipFill>
      <xdr:spPr>
        <a:xfrm>
          <a:off x="14902560" y="2000880"/>
          <a:ext cx="7279920" cy="46998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22</xdr:col>
      <xdr:colOff>69120</xdr:colOff>
      <xdr:row>38</xdr:row>
      <xdr:rowOff>160920</xdr:rowOff>
    </xdr:from>
    <xdr:to>
      <xdr:col>33</xdr:col>
      <xdr:colOff>252360</xdr:colOff>
      <xdr:row>68</xdr:row>
      <xdr:rowOff>56520</xdr:rowOff>
    </xdr:to>
    <xdr:pic>
      <xdr:nvPicPr>
        <xdr:cNvPr id="95" name="Picture 22" descr=""/>
        <xdr:cNvPicPr/>
      </xdr:nvPicPr>
      <xdr:blipFill>
        <a:blip r:embed="rId9"/>
        <a:srcRect l="4665" t="10113" r="4939" b="8223"/>
        <a:stretch/>
      </xdr:blipFill>
      <xdr:spPr>
        <a:xfrm>
          <a:off x="14902560" y="6840360"/>
          <a:ext cx="7273080" cy="47534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22</xdr:col>
      <xdr:colOff>69120</xdr:colOff>
      <xdr:row>69</xdr:row>
      <xdr:rowOff>34200</xdr:rowOff>
    </xdr:from>
    <xdr:to>
      <xdr:col>33</xdr:col>
      <xdr:colOff>259200</xdr:colOff>
      <xdr:row>98</xdr:row>
      <xdr:rowOff>115560</xdr:rowOff>
    </xdr:to>
    <xdr:pic>
      <xdr:nvPicPr>
        <xdr:cNvPr id="96" name="Picture 23" descr=""/>
        <xdr:cNvPicPr/>
      </xdr:nvPicPr>
      <xdr:blipFill>
        <a:blip r:embed="rId10"/>
        <a:srcRect l="2041" t="8671" r="3292" b="4724"/>
        <a:stretch/>
      </xdr:blipFill>
      <xdr:spPr>
        <a:xfrm>
          <a:off x="14902560" y="11733480"/>
          <a:ext cx="7279920" cy="4777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559440</xdr:colOff>
      <xdr:row>9</xdr:row>
      <xdr:rowOff>90720</xdr:rowOff>
    </xdr:from>
    <xdr:to>
      <xdr:col>9</xdr:col>
      <xdr:colOff>499680</xdr:colOff>
      <xdr:row>33</xdr:row>
      <xdr:rowOff>42840</xdr:rowOff>
    </xdr:to>
    <xdr:pic>
      <xdr:nvPicPr>
        <xdr:cNvPr id="97" name="Picture 4" descr=""/>
        <xdr:cNvPicPr/>
      </xdr:nvPicPr>
      <xdr:blipFill>
        <a:blip r:embed="rId11"/>
        <a:srcRect l="3258" t="7197" r="4310" b="7455"/>
        <a:stretch/>
      </xdr:blipFill>
      <xdr:spPr>
        <a:xfrm>
          <a:off x="559440" y="2074320"/>
          <a:ext cx="5740920" cy="38383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567720</xdr:colOff>
      <xdr:row>58</xdr:row>
      <xdr:rowOff>66600</xdr:rowOff>
    </xdr:from>
    <xdr:to>
      <xdr:col>9</xdr:col>
      <xdr:colOff>521280</xdr:colOff>
      <xdr:row>81</xdr:row>
      <xdr:rowOff>120600</xdr:rowOff>
    </xdr:to>
    <xdr:pic>
      <xdr:nvPicPr>
        <xdr:cNvPr id="98" name="Picture 5" descr=""/>
        <xdr:cNvPicPr/>
      </xdr:nvPicPr>
      <xdr:blipFill>
        <a:blip r:embed="rId12"/>
        <a:srcRect l="7015" t="10975" r="8252" b="10033"/>
        <a:stretch/>
      </xdr:blipFill>
      <xdr:spPr>
        <a:xfrm>
          <a:off x="567720" y="9984600"/>
          <a:ext cx="5754240" cy="3778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9</xdr:col>
      <xdr:colOff>809640</xdr:colOff>
      <xdr:row>24</xdr:row>
      <xdr:rowOff>85680</xdr:rowOff>
    </xdr:from>
    <xdr:to>
      <xdr:col>19</xdr:col>
      <xdr:colOff>190080</xdr:colOff>
      <xdr:row>55</xdr:row>
      <xdr:rowOff>47160</xdr:rowOff>
    </xdr:to>
    <xdr:grpSp>
      <xdr:nvGrpSpPr>
        <xdr:cNvPr id="99" name="Group 14"/>
        <xdr:cNvGrpSpPr/>
      </xdr:nvGrpSpPr>
      <xdr:grpSpPr>
        <a:xfrm>
          <a:off x="11405880" y="4181400"/>
          <a:ext cx="6455520" cy="5009760"/>
          <a:chOff x="11405880" y="4181400"/>
          <a:chExt cx="6455520" cy="5009760"/>
        </a:xfrm>
      </xdr:grpSpPr>
      <xdr:pic>
        <xdr:nvPicPr>
          <xdr:cNvPr id="100" name="Picture 11" descr="Error amp - no ref des.tif"/>
          <xdr:cNvPicPr/>
        </xdr:nvPicPr>
        <xdr:blipFill>
          <a:blip r:embed="rId1"/>
          <a:stretch/>
        </xdr:blipFill>
        <xdr:spPr>
          <a:xfrm>
            <a:off x="11405880" y="4189680"/>
            <a:ext cx="6455520" cy="5001480"/>
          </a:xfrm>
          <a:prstGeom prst="rect">
            <a:avLst/>
          </a:prstGeom>
          <a:noFill/>
          <a:ln w="9525">
            <a:noFill/>
          </a:ln>
        </xdr:spPr>
      </xdr:pic>
      <xdr:sp>
        <xdr:nvSpPr>
          <xdr:cNvPr id="101" name="Text Box 5"/>
          <xdr:cNvSpPr/>
        </xdr:nvSpPr>
        <xdr:spPr>
          <a:xfrm>
            <a:off x="13922640" y="7697160"/>
            <a:ext cx="1103760" cy="243360"/>
          </a:xfrm>
          <a:prstGeom prst="rect">
            <a:avLst/>
          </a:prstGeom>
          <a:noFill/>
          <a:ln w="9525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27360" rIns="0" tIns="23040" bIns="0" anchor="t" upright="1">
            <a:noAutofit/>
          </a:bodyPr>
          <a:p>
            <a:pPr>
              <a:lnSpc>
                <a:spcPct val="100000"/>
              </a:lnSpc>
            </a:pPr>
            <a:r>
              <a:rPr b="1" lang="en-US" sz="1000" strike="noStrike" u="none">
                <a:solidFill>
                  <a:srgbClr val="000000"/>
                </a:solidFill>
                <a:uFillTx/>
                <a:latin typeface="Arialri"/>
              </a:rPr>
              <a:t>CC1 = 33nF</a:t>
            </a:r>
            <a:endParaRPr b="0" lang="en-US" sz="1000" strike="noStrike" u="none">
              <a:uFillTx/>
              <a:latin typeface="Times New Roman"/>
            </a:endParaRPr>
          </a:p>
        </xdr:txBody>
      </xdr:sp>
      <xdr:sp>
        <xdr:nvSpPr>
          <xdr:cNvPr id="102" name="Text Box 6"/>
          <xdr:cNvSpPr/>
        </xdr:nvSpPr>
        <xdr:spPr>
          <a:xfrm>
            <a:off x="11535120" y="7752240"/>
            <a:ext cx="924840" cy="471600"/>
          </a:xfrm>
          <a:prstGeom prst="rect">
            <a:avLst/>
          </a:prstGeom>
          <a:noFill/>
          <a:ln w="9525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27360" rIns="0" tIns="23040" bIns="0" anchor="t" upright="1">
            <a:noAutofit/>
          </a:bodyPr>
          <a:p>
            <a:pPr algn="r">
              <a:lnSpc>
                <a:spcPct val="100000"/>
              </a:lnSpc>
            </a:pPr>
            <a:r>
              <a:rPr b="1" lang="en-US" sz="1000" strike="noStrike" u="none">
                <a:solidFill>
                  <a:srgbClr val="000000"/>
                </a:solidFill>
                <a:uFillTx/>
                <a:latin typeface="Arialri"/>
              </a:rPr>
              <a:t> </a:t>
            </a:r>
            <a:endParaRPr b="0" lang="en-US" sz="1000" strike="noStrike" u="none">
              <a:uFillTx/>
              <a:latin typeface="Times New Roman"/>
            </a:endParaRPr>
          </a:p>
        </xdr:txBody>
      </xdr:sp>
      <xdr:sp>
        <xdr:nvSpPr>
          <xdr:cNvPr id="103" name="Text Box 9"/>
          <xdr:cNvSpPr/>
        </xdr:nvSpPr>
        <xdr:spPr>
          <a:xfrm>
            <a:off x="16379640" y="5211720"/>
            <a:ext cx="1044000" cy="447840"/>
          </a:xfrm>
          <a:prstGeom prst="rect">
            <a:avLst/>
          </a:prstGeom>
          <a:noFill/>
          <a:ln w="9525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27360" rIns="0" tIns="23040" bIns="0" anchor="t" upright="1">
            <a:noAutofit/>
          </a:bodyPr>
          <a:p>
            <a:pPr algn="r">
              <a:lnSpc>
                <a:spcPct val="100000"/>
              </a:lnSpc>
            </a:pPr>
            <a:r>
              <a:rPr b="1" lang="en-US" sz="1000" strike="noStrike" u="none">
                <a:solidFill>
                  <a:srgbClr val="000000"/>
                </a:solidFill>
                <a:uFillTx/>
                <a:latin typeface="Arialri"/>
              </a:rPr>
              <a:t>RFB1 = 280kΩ</a:t>
            </a:r>
            <a:endParaRPr b="0" lang="en-US" sz="1000" strike="noStrike" u="none">
              <a:uFillTx/>
              <a:latin typeface="Times New Roman"/>
            </a:endParaRPr>
          </a:p>
        </xdr:txBody>
      </xdr:sp>
      <xdr:sp>
        <xdr:nvSpPr>
          <xdr:cNvPr id="104" name="Text Box 10"/>
          <xdr:cNvSpPr/>
        </xdr:nvSpPr>
        <xdr:spPr>
          <a:xfrm>
            <a:off x="16409520" y="6391440"/>
            <a:ext cx="1054080" cy="275040"/>
          </a:xfrm>
          <a:prstGeom prst="rect">
            <a:avLst/>
          </a:prstGeom>
          <a:noFill/>
          <a:ln w="9525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27360" rIns="0" tIns="23040" bIns="0" anchor="t" upright="1">
            <a:noAutofit/>
          </a:bodyPr>
          <a:p>
            <a:pPr algn="r">
              <a:lnSpc>
                <a:spcPct val="100000"/>
              </a:lnSpc>
            </a:pPr>
            <a:r>
              <a:rPr b="1" lang="en-US" sz="1000" strike="noStrike" u="none">
                <a:solidFill>
                  <a:srgbClr val="000000"/>
                </a:solidFill>
                <a:uFillTx/>
                <a:latin typeface="Arialri"/>
              </a:rPr>
              <a:t>RFB2 = 20kΩ</a:t>
            </a:r>
            <a:endParaRPr b="0" lang="en-US" sz="1000" strike="noStrike" u="none">
              <a:uFillTx/>
              <a:latin typeface="Times New Roman"/>
            </a:endParaRPr>
          </a:p>
        </xdr:txBody>
      </xdr:sp>
      <xdr:sp>
        <xdr:nvSpPr>
          <xdr:cNvPr id="105" name="Text Box 4"/>
          <xdr:cNvSpPr/>
        </xdr:nvSpPr>
        <xdr:spPr>
          <a:xfrm>
            <a:off x="13823280" y="6902640"/>
            <a:ext cx="1004400" cy="353520"/>
          </a:xfrm>
          <a:prstGeom prst="rect">
            <a:avLst/>
          </a:prstGeom>
          <a:noFill/>
          <a:ln w="9525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27360" rIns="0" tIns="23040" bIns="0" anchor="t" upright="1">
            <a:noAutofit/>
          </a:bodyPr>
          <a:p>
            <a:pPr>
              <a:lnSpc>
                <a:spcPct val="100000"/>
              </a:lnSpc>
            </a:pPr>
            <a:r>
              <a:rPr b="1" lang="en-US" sz="1000" strike="noStrike" u="none">
                <a:solidFill>
                  <a:srgbClr val="000000"/>
                </a:solidFill>
                <a:uFillTx/>
                <a:latin typeface="Arialri"/>
              </a:rPr>
              <a:t>RC1 = 6.19kΩ</a:t>
            </a:r>
            <a:endParaRPr b="0" lang="en-US" sz="1000" strike="noStrike" u="none">
              <a:uFillTx/>
              <a:latin typeface="Times New Roman"/>
            </a:endParaRPr>
          </a:p>
        </xdr:txBody>
      </xdr:sp>
      <xdr:sp>
        <xdr:nvSpPr>
          <xdr:cNvPr id="106" name="Text Box 9"/>
          <xdr:cNvSpPr/>
        </xdr:nvSpPr>
        <xdr:spPr>
          <a:xfrm>
            <a:off x="16280280" y="4181400"/>
            <a:ext cx="1243080" cy="267120"/>
          </a:xfrm>
          <a:prstGeom prst="rect">
            <a:avLst/>
          </a:prstGeom>
          <a:noFill/>
          <a:ln w="9525">
            <a:noFill/>
          </a:ln>
        </xdr:spPr>
        <xdr:style>
          <a:lnRef idx="0"/>
          <a:fillRef idx="0"/>
          <a:effectRef idx="0"/>
          <a:fontRef idx="minor"/>
        </xdr:style>
        <xdr:txBody>
          <a:bodyPr vertOverflow="clip" lIns="27360" rIns="0" tIns="23040" bIns="0" anchor="t" upright="1">
            <a:noAutofit/>
          </a:bodyPr>
          <a:p>
            <a:pPr algn="r">
              <a:lnSpc>
                <a:spcPct val="100000"/>
              </a:lnSpc>
            </a:pPr>
            <a:r>
              <a:rPr b="1" lang="en-US" sz="1000" strike="noStrike" u="none">
                <a:solidFill>
                  <a:srgbClr val="000000"/>
                </a:solidFill>
                <a:uFillTx/>
                <a:latin typeface="Arialri"/>
              </a:rPr>
              <a:t>VOUT = 12V</a:t>
            </a:r>
            <a:endParaRPr b="0" lang="en-US" sz="1000" strike="noStrike" u="none">
              <a:uFillTx/>
              <a:latin typeface="Times New Roman"/>
            </a:endParaRPr>
          </a:p>
        </xdr:txBody>
      </xdr:sp>
    </xdr:grpSp>
    <xdr:clientData/>
  </xdr:twoCellAnchor>
  <xdr:twoCellAnchor editAs="twoCell">
    <xdr:from>
      <xdr:col>13</xdr:col>
      <xdr:colOff>66600</xdr:colOff>
      <xdr:row>17</xdr:row>
      <xdr:rowOff>9360</xdr:rowOff>
    </xdr:from>
    <xdr:to>
      <xdr:col>14</xdr:col>
      <xdr:colOff>504360</xdr:colOff>
      <xdr:row>18</xdr:row>
      <xdr:rowOff>113760</xdr:rowOff>
    </xdr:to>
    <xdr:sp>
      <xdr:nvSpPr>
        <xdr:cNvPr id="107" name="Text Box 4"/>
        <xdr:cNvSpPr/>
      </xdr:nvSpPr>
      <xdr:spPr>
        <a:xfrm>
          <a:off x="14154120" y="2971800"/>
          <a:ext cx="991440" cy="266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1" lang="en-US" sz="1000" strike="noStrike" u="none">
              <a:solidFill>
                <a:srgbClr val="000000"/>
              </a:solidFill>
              <a:uFillTx/>
              <a:latin typeface="Arialri"/>
            </a:rPr>
            <a:t>gm = 1.27mS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13</xdr:col>
      <xdr:colOff>95400</xdr:colOff>
      <xdr:row>21</xdr:row>
      <xdr:rowOff>19080</xdr:rowOff>
    </xdr:from>
    <xdr:to>
      <xdr:col>14</xdr:col>
      <xdr:colOff>533160</xdr:colOff>
      <xdr:row>23</xdr:row>
      <xdr:rowOff>123480</xdr:rowOff>
    </xdr:to>
    <xdr:sp>
      <xdr:nvSpPr>
        <xdr:cNvPr id="108" name="Text Box 4"/>
        <xdr:cNvSpPr/>
      </xdr:nvSpPr>
      <xdr:spPr>
        <a:xfrm>
          <a:off x="14182920" y="3629160"/>
          <a:ext cx="991440" cy="428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1" lang="en-US" sz="1000" strike="noStrike" u="none">
              <a:solidFill>
                <a:srgbClr val="000000"/>
              </a:solidFill>
              <a:uFillTx/>
              <a:latin typeface="Arialri"/>
            </a:rPr>
            <a:t>RoEA = 20MΩ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13</xdr:col>
      <xdr:colOff>95400</xdr:colOff>
      <xdr:row>19</xdr:row>
      <xdr:rowOff>19080</xdr:rowOff>
    </xdr:from>
    <xdr:to>
      <xdr:col>14</xdr:col>
      <xdr:colOff>533160</xdr:colOff>
      <xdr:row>20</xdr:row>
      <xdr:rowOff>123480</xdr:rowOff>
    </xdr:to>
    <xdr:sp>
      <xdr:nvSpPr>
        <xdr:cNvPr id="109" name="Text Box 4"/>
        <xdr:cNvSpPr/>
      </xdr:nvSpPr>
      <xdr:spPr>
        <a:xfrm>
          <a:off x="14182920" y="3305160"/>
          <a:ext cx="991440" cy="2664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1" lang="en-US" sz="1000" strike="noStrike" u="none">
              <a:solidFill>
                <a:srgbClr val="000000"/>
              </a:solidFill>
              <a:uFillTx/>
              <a:latin typeface="Arialri"/>
            </a:rPr>
            <a:t>GBW = 8MHz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oneCell">
    <xdr:from>
      <xdr:col>2</xdr:col>
      <xdr:colOff>352440</xdr:colOff>
      <xdr:row>35</xdr:row>
      <xdr:rowOff>142920</xdr:rowOff>
    </xdr:from>
    <xdr:to>
      <xdr:col>5</xdr:col>
      <xdr:colOff>361440</xdr:colOff>
      <xdr:row>39</xdr:row>
      <xdr:rowOff>37800</xdr:rowOff>
    </xdr:to>
    <xdr:pic>
      <xdr:nvPicPr>
        <xdr:cNvPr id="110" name="Picture 12" descr=""/>
        <xdr:cNvPicPr/>
      </xdr:nvPicPr>
      <xdr:blipFill>
        <a:blip r:embed="rId2"/>
        <a:stretch/>
      </xdr:blipFill>
      <xdr:spPr>
        <a:xfrm>
          <a:off x="3936960" y="6019920"/>
          <a:ext cx="2475360" cy="5425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6</xdr:col>
      <xdr:colOff>28440</xdr:colOff>
      <xdr:row>35</xdr:row>
      <xdr:rowOff>47520</xdr:rowOff>
    </xdr:from>
    <xdr:to>
      <xdr:col>7</xdr:col>
      <xdr:colOff>704160</xdr:colOff>
      <xdr:row>39</xdr:row>
      <xdr:rowOff>37440</xdr:rowOff>
    </xdr:to>
    <xdr:pic>
      <xdr:nvPicPr>
        <xdr:cNvPr id="111" name="Picture 14" descr=""/>
        <xdr:cNvPicPr/>
      </xdr:nvPicPr>
      <xdr:blipFill>
        <a:blip r:embed="rId3"/>
        <a:stretch/>
      </xdr:blipFill>
      <xdr:spPr>
        <a:xfrm>
          <a:off x="6690960" y="5924520"/>
          <a:ext cx="1551240" cy="637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361800</xdr:colOff>
      <xdr:row>39</xdr:row>
      <xdr:rowOff>133560</xdr:rowOff>
    </xdr:from>
    <xdr:to>
      <xdr:col>4</xdr:col>
      <xdr:colOff>408960</xdr:colOff>
      <xdr:row>43</xdr:row>
      <xdr:rowOff>28440</xdr:rowOff>
    </xdr:to>
    <xdr:pic>
      <xdr:nvPicPr>
        <xdr:cNvPr id="112" name="Picture 15" descr=""/>
        <xdr:cNvPicPr/>
      </xdr:nvPicPr>
      <xdr:blipFill>
        <a:blip r:embed="rId4"/>
        <a:stretch/>
      </xdr:blipFill>
      <xdr:spPr>
        <a:xfrm>
          <a:off x="3946320" y="6658200"/>
          <a:ext cx="1698120" cy="5425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</xdr:col>
      <xdr:colOff>752400</xdr:colOff>
      <xdr:row>39</xdr:row>
      <xdr:rowOff>104760</xdr:rowOff>
    </xdr:from>
    <xdr:to>
      <xdr:col>7</xdr:col>
      <xdr:colOff>1056600</xdr:colOff>
      <xdr:row>42</xdr:row>
      <xdr:rowOff>161640</xdr:rowOff>
    </xdr:to>
    <xdr:pic>
      <xdr:nvPicPr>
        <xdr:cNvPr id="113" name="Picture 16" descr=""/>
        <xdr:cNvPicPr/>
      </xdr:nvPicPr>
      <xdr:blipFill>
        <a:blip r:embed="rId5"/>
        <a:stretch/>
      </xdr:blipFill>
      <xdr:spPr>
        <a:xfrm>
          <a:off x="5987880" y="6629400"/>
          <a:ext cx="2606760" cy="5425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4</xdr:row>
      <xdr:rowOff>0</xdr:rowOff>
    </xdr:from>
    <xdr:to>
      <xdr:col>1</xdr:col>
      <xdr:colOff>8838720</xdr:colOff>
      <xdr:row>5</xdr:row>
      <xdr:rowOff>9000</xdr:rowOff>
    </xdr:to>
    <xdr:pic>
      <xdr:nvPicPr>
        <xdr:cNvPr id="114" name="Picture 116" descr=""/>
        <xdr:cNvPicPr/>
      </xdr:nvPicPr>
      <xdr:blipFill>
        <a:blip r:embed="rId1"/>
        <a:stretch/>
      </xdr:blipFill>
      <xdr:spPr>
        <a:xfrm>
          <a:off x="744840" y="647640"/>
          <a:ext cx="8838720" cy="50000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8838720</xdr:colOff>
      <xdr:row>8</xdr:row>
      <xdr:rowOff>9000</xdr:rowOff>
    </xdr:to>
    <xdr:pic>
      <xdr:nvPicPr>
        <xdr:cNvPr id="115" name="Picture 115" descr=""/>
        <xdr:cNvPicPr/>
      </xdr:nvPicPr>
      <xdr:blipFill>
        <a:blip r:embed="rId2"/>
        <a:stretch/>
      </xdr:blipFill>
      <xdr:spPr>
        <a:xfrm>
          <a:off x="744840" y="6229440"/>
          <a:ext cx="8838720" cy="50000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1</xdr:col>
      <xdr:colOff>1741320</xdr:colOff>
      <xdr:row>4</xdr:row>
      <xdr:rowOff>4449600</xdr:rowOff>
    </xdr:from>
    <xdr:to>
      <xdr:col>1</xdr:col>
      <xdr:colOff>2083320</xdr:colOff>
      <xdr:row>4</xdr:row>
      <xdr:rowOff>4710960</xdr:rowOff>
    </xdr:to>
    <xdr:sp>
      <xdr:nvSpPr>
        <xdr:cNvPr id="116" name="Text Box 225"/>
        <xdr:cNvSpPr/>
      </xdr:nvSpPr>
      <xdr:spPr>
        <a:xfrm>
          <a:off x="2486160" y="5097240"/>
          <a:ext cx="342000" cy="261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FB1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6856560</xdr:colOff>
      <xdr:row>4</xdr:row>
      <xdr:rowOff>2095560</xdr:rowOff>
    </xdr:from>
    <xdr:to>
      <xdr:col>1</xdr:col>
      <xdr:colOff>7239960</xdr:colOff>
      <xdr:row>4</xdr:row>
      <xdr:rowOff>2323440</xdr:rowOff>
    </xdr:to>
    <xdr:sp>
      <xdr:nvSpPr>
        <xdr:cNvPr id="117" name="Text Box 228"/>
        <xdr:cNvSpPr/>
      </xdr:nvSpPr>
      <xdr:spPr>
        <a:xfrm>
          <a:off x="7601400" y="2743200"/>
          <a:ext cx="383400" cy="227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OUT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7914600</xdr:colOff>
      <xdr:row>4</xdr:row>
      <xdr:rowOff>985680</xdr:rowOff>
    </xdr:from>
    <xdr:to>
      <xdr:col>1</xdr:col>
      <xdr:colOff>8390160</xdr:colOff>
      <xdr:row>4</xdr:row>
      <xdr:rowOff>1229400</xdr:rowOff>
    </xdr:to>
    <xdr:sp>
      <xdr:nvSpPr>
        <xdr:cNvPr id="118" name="Text Box 231"/>
        <xdr:cNvSpPr/>
      </xdr:nvSpPr>
      <xdr:spPr>
        <a:xfrm>
          <a:off x="8659440" y="1633320"/>
          <a:ext cx="475560" cy="243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CS(out)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3248280</xdr:colOff>
      <xdr:row>4</xdr:row>
      <xdr:rowOff>4341960</xdr:rowOff>
    </xdr:from>
    <xdr:to>
      <xdr:col>1</xdr:col>
      <xdr:colOff>3522240</xdr:colOff>
      <xdr:row>4</xdr:row>
      <xdr:rowOff>4590000</xdr:rowOff>
    </xdr:to>
    <xdr:sp>
      <xdr:nvSpPr>
        <xdr:cNvPr id="119" name="Text Box 233"/>
        <xdr:cNvSpPr/>
      </xdr:nvSpPr>
      <xdr:spPr>
        <a:xfrm>
          <a:off x="3993120" y="4989600"/>
          <a:ext cx="273960" cy="248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6888960</xdr:colOff>
      <xdr:row>4</xdr:row>
      <xdr:rowOff>2971440</xdr:rowOff>
    </xdr:from>
    <xdr:to>
      <xdr:col>1</xdr:col>
      <xdr:colOff>7132320</xdr:colOff>
      <xdr:row>4</xdr:row>
      <xdr:rowOff>3192480</xdr:rowOff>
    </xdr:to>
    <xdr:sp>
      <xdr:nvSpPr>
        <xdr:cNvPr id="120" name="Text Box 234"/>
        <xdr:cNvSpPr/>
      </xdr:nvSpPr>
      <xdr:spPr>
        <a:xfrm>
          <a:off x="7633800" y="3619080"/>
          <a:ext cx="243360" cy="221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6587640</xdr:colOff>
      <xdr:row>4</xdr:row>
      <xdr:rowOff>1270080</xdr:rowOff>
    </xdr:from>
    <xdr:to>
      <xdr:col>1</xdr:col>
      <xdr:colOff>6927120</xdr:colOff>
      <xdr:row>4</xdr:row>
      <xdr:rowOff>1547280</xdr:rowOff>
    </xdr:to>
    <xdr:sp>
      <xdr:nvSpPr>
        <xdr:cNvPr id="121" name="Text Box 235"/>
        <xdr:cNvSpPr/>
      </xdr:nvSpPr>
      <xdr:spPr>
        <a:xfrm>
          <a:off x="7332480" y="1917720"/>
          <a:ext cx="339480" cy="277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L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3618720</xdr:colOff>
      <xdr:row>4</xdr:row>
      <xdr:rowOff>4540320</xdr:rowOff>
    </xdr:from>
    <xdr:to>
      <xdr:col>1</xdr:col>
      <xdr:colOff>4025160</xdr:colOff>
      <xdr:row>4</xdr:row>
      <xdr:rowOff>4788000</xdr:rowOff>
    </xdr:to>
    <xdr:sp>
      <xdr:nvSpPr>
        <xdr:cNvPr id="122" name="Text Box 243"/>
        <xdr:cNvSpPr/>
      </xdr:nvSpPr>
      <xdr:spPr>
        <a:xfrm>
          <a:off x="4363560" y="5187960"/>
          <a:ext cx="406440" cy="247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6345360</xdr:colOff>
      <xdr:row>4</xdr:row>
      <xdr:rowOff>2121840</xdr:rowOff>
    </xdr:from>
    <xdr:to>
      <xdr:col>1</xdr:col>
      <xdr:colOff>6670440</xdr:colOff>
      <xdr:row>4</xdr:row>
      <xdr:rowOff>2347560</xdr:rowOff>
    </xdr:to>
    <xdr:sp>
      <xdr:nvSpPr>
        <xdr:cNvPr id="123" name="Text Box 244"/>
        <xdr:cNvSpPr/>
      </xdr:nvSpPr>
      <xdr:spPr>
        <a:xfrm>
          <a:off x="7090200" y="2769480"/>
          <a:ext cx="325080" cy="225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3984840</xdr:colOff>
      <xdr:row>4</xdr:row>
      <xdr:rowOff>69480</xdr:rowOff>
    </xdr:from>
    <xdr:to>
      <xdr:col>1</xdr:col>
      <xdr:colOff>4393440</xdr:colOff>
      <xdr:row>4</xdr:row>
      <xdr:rowOff>310680</xdr:rowOff>
    </xdr:to>
    <xdr:sp>
      <xdr:nvSpPr>
        <xdr:cNvPr id="124" name="Text Box 248"/>
        <xdr:cNvSpPr/>
      </xdr:nvSpPr>
      <xdr:spPr>
        <a:xfrm>
          <a:off x="4729680" y="717120"/>
          <a:ext cx="408600" cy="241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5069520</xdr:colOff>
      <xdr:row>4</xdr:row>
      <xdr:rowOff>2108160</xdr:rowOff>
    </xdr:from>
    <xdr:to>
      <xdr:col>1</xdr:col>
      <xdr:colOff>5443920</xdr:colOff>
      <xdr:row>4</xdr:row>
      <xdr:rowOff>2358000</xdr:rowOff>
    </xdr:to>
    <xdr:sp>
      <xdr:nvSpPr>
        <xdr:cNvPr id="125" name="Text Box 249"/>
        <xdr:cNvSpPr/>
      </xdr:nvSpPr>
      <xdr:spPr>
        <a:xfrm>
          <a:off x="5814360" y="2755800"/>
          <a:ext cx="374400" cy="2498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VCC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4599360</xdr:colOff>
      <xdr:row>4</xdr:row>
      <xdr:rowOff>4171680</xdr:rowOff>
    </xdr:from>
    <xdr:to>
      <xdr:col>1</xdr:col>
      <xdr:colOff>4909680</xdr:colOff>
      <xdr:row>4</xdr:row>
      <xdr:rowOff>4403520</xdr:rowOff>
    </xdr:to>
    <xdr:sp>
      <xdr:nvSpPr>
        <xdr:cNvPr id="126" name="Text Box 250"/>
        <xdr:cNvSpPr/>
      </xdr:nvSpPr>
      <xdr:spPr>
        <a:xfrm>
          <a:off x="5344200" y="4819320"/>
          <a:ext cx="310320" cy="2318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CS1</a:t>
          </a:r>
          <a:endParaRPr b="0" lang="en-US" sz="1000" strike="noStrike" u="none">
            <a:uFillTx/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ood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1023480</xdr:colOff>
      <xdr:row>4</xdr:row>
      <xdr:rowOff>2748960</xdr:rowOff>
    </xdr:from>
    <xdr:to>
      <xdr:col>1</xdr:col>
      <xdr:colOff>1350360</xdr:colOff>
      <xdr:row>4</xdr:row>
      <xdr:rowOff>3004200</xdr:rowOff>
    </xdr:to>
    <xdr:sp>
      <xdr:nvSpPr>
        <xdr:cNvPr id="127" name="Text Box 251"/>
        <xdr:cNvSpPr/>
      </xdr:nvSpPr>
      <xdr:spPr>
        <a:xfrm>
          <a:off x="1768320" y="3396600"/>
          <a:ext cx="326880" cy="255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781920</xdr:colOff>
      <xdr:row>4</xdr:row>
      <xdr:rowOff>4088520</xdr:rowOff>
    </xdr:from>
    <xdr:to>
      <xdr:col>1</xdr:col>
      <xdr:colOff>1177200</xdr:colOff>
      <xdr:row>4</xdr:row>
      <xdr:rowOff>4289040</xdr:rowOff>
    </xdr:to>
    <xdr:sp>
      <xdr:nvSpPr>
        <xdr:cNvPr id="128" name="Text Box 255"/>
        <xdr:cNvSpPr/>
      </xdr:nvSpPr>
      <xdr:spPr>
        <a:xfrm>
          <a:off x="1526760" y="4736160"/>
          <a:ext cx="395280" cy="200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FB2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141840</xdr:colOff>
      <xdr:row>4</xdr:row>
      <xdr:rowOff>3374640</xdr:rowOff>
    </xdr:from>
    <xdr:to>
      <xdr:col>1</xdr:col>
      <xdr:colOff>384480</xdr:colOff>
      <xdr:row>4</xdr:row>
      <xdr:rowOff>3588840</xdr:rowOff>
    </xdr:to>
    <xdr:sp>
      <xdr:nvSpPr>
        <xdr:cNvPr id="129" name="Text Box 256"/>
        <xdr:cNvSpPr/>
      </xdr:nvSpPr>
      <xdr:spPr>
        <a:xfrm>
          <a:off x="886680" y="4022280"/>
          <a:ext cx="242640" cy="214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896040</xdr:colOff>
      <xdr:row>4</xdr:row>
      <xdr:rowOff>3616200</xdr:rowOff>
    </xdr:from>
    <xdr:to>
      <xdr:col>1</xdr:col>
      <xdr:colOff>1211400</xdr:colOff>
      <xdr:row>4</xdr:row>
      <xdr:rowOff>3859920</xdr:rowOff>
    </xdr:to>
    <xdr:sp>
      <xdr:nvSpPr>
        <xdr:cNvPr id="130" name="Text Box 257"/>
        <xdr:cNvSpPr/>
      </xdr:nvSpPr>
      <xdr:spPr>
        <a:xfrm>
          <a:off x="1640880" y="4263840"/>
          <a:ext cx="315360" cy="243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853560</xdr:colOff>
      <xdr:row>4</xdr:row>
      <xdr:rowOff>3233880</xdr:rowOff>
    </xdr:from>
    <xdr:to>
      <xdr:col>1</xdr:col>
      <xdr:colOff>1162080</xdr:colOff>
      <xdr:row>4</xdr:row>
      <xdr:rowOff>3476880</xdr:rowOff>
    </xdr:to>
    <xdr:sp>
      <xdr:nvSpPr>
        <xdr:cNvPr id="131" name="Text Box 258"/>
        <xdr:cNvSpPr/>
      </xdr:nvSpPr>
      <xdr:spPr>
        <a:xfrm>
          <a:off x="1598400" y="3881520"/>
          <a:ext cx="308520" cy="2430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9360</xdr:colOff>
      <xdr:row>4</xdr:row>
      <xdr:rowOff>2563200</xdr:rowOff>
    </xdr:from>
    <xdr:to>
      <xdr:col>1</xdr:col>
      <xdr:colOff>693000</xdr:colOff>
      <xdr:row>4</xdr:row>
      <xdr:rowOff>2807640</xdr:rowOff>
    </xdr:to>
    <xdr:sp>
      <xdr:nvSpPr>
        <xdr:cNvPr id="132" name="Text Box 261"/>
        <xdr:cNvSpPr/>
      </xdr:nvSpPr>
      <xdr:spPr>
        <a:xfrm>
          <a:off x="754200" y="3210840"/>
          <a:ext cx="683640" cy="2444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270pF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0</xdr:col>
      <xdr:colOff>657360</xdr:colOff>
      <xdr:row>4</xdr:row>
      <xdr:rowOff>3643200</xdr:rowOff>
    </xdr:from>
    <xdr:to>
      <xdr:col>1</xdr:col>
      <xdr:colOff>372240</xdr:colOff>
      <xdr:row>4</xdr:row>
      <xdr:rowOff>3918240</xdr:rowOff>
    </xdr:to>
    <xdr:sp>
      <xdr:nvSpPr>
        <xdr:cNvPr id="133" name="Text Box 262"/>
        <xdr:cNvSpPr/>
      </xdr:nvSpPr>
      <xdr:spPr>
        <a:xfrm>
          <a:off x="657360" y="4290840"/>
          <a:ext cx="459720" cy="275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815400</xdr:colOff>
      <xdr:row>4</xdr:row>
      <xdr:rowOff>3430440</xdr:rowOff>
    </xdr:from>
    <xdr:to>
      <xdr:col>1</xdr:col>
      <xdr:colOff>1274400</xdr:colOff>
      <xdr:row>4</xdr:row>
      <xdr:rowOff>3673800</xdr:rowOff>
    </xdr:to>
    <xdr:sp>
      <xdr:nvSpPr>
        <xdr:cNvPr id="134" name="Text Box 263"/>
        <xdr:cNvSpPr/>
      </xdr:nvSpPr>
      <xdr:spPr>
        <a:xfrm>
          <a:off x="1560240" y="4078080"/>
          <a:ext cx="459000" cy="243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6.19kΩ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720720</xdr:colOff>
      <xdr:row>4</xdr:row>
      <xdr:rowOff>4291200</xdr:rowOff>
    </xdr:from>
    <xdr:to>
      <xdr:col>1</xdr:col>
      <xdr:colOff>1235160</xdr:colOff>
      <xdr:row>4</xdr:row>
      <xdr:rowOff>4465440</xdr:rowOff>
    </xdr:to>
    <xdr:sp>
      <xdr:nvSpPr>
        <xdr:cNvPr id="135" name="Text Box 264"/>
        <xdr:cNvSpPr/>
      </xdr:nvSpPr>
      <xdr:spPr>
        <a:xfrm>
          <a:off x="1465560" y="4938840"/>
          <a:ext cx="514440" cy="174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20kΩ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35280</xdr:colOff>
      <xdr:row>4</xdr:row>
      <xdr:rowOff>2143800</xdr:rowOff>
    </xdr:from>
    <xdr:to>
      <xdr:col>1</xdr:col>
      <xdr:colOff>715680</xdr:colOff>
      <xdr:row>4</xdr:row>
      <xdr:rowOff>2403360</xdr:rowOff>
    </xdr:to>
    <xdr:sp>
      <xdr:nvSpPr>
        <xdr:cNvPr id="136" name="Text Box 265"/>
        <xdr:cNvSpPr/>
      </xdr:nvSpPr>
      <xdr:spPr>
        <a:xfrm>
          <a:off x="780120" y="2791440"/>
          <a:ext cx="680400" cy="259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33.2kΩ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648720</xdr:colOff>
      <xdr:row>4</xdr:row>
      <xdr:rowOff>1677960</xdr:rowOff>
    </xdr:from>
    <xdr:to>
      <xdr:col>1</xdr:col>
      <xdr:colOff>1135080</xdr:colOff>
      <xdr:row>4</xdr:row>
      <xdr:rowOff>1862640</xdr:rowOff>
    </xdr:to>
    <xdr:sp>
      <xdr:nvSpPr>
        <xdr:cNvPr id="137" name="Text Box 266"/>
        <xdr:cNvSpPr/>
      </xdr:nvSpPr>
      <xdr:spPr>
        <a:xfrm>
          <a:off x="1393560" y="2325600"/>
          <a:ext cx="486360" cy="184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 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6802560</xdr:colOff>
      <xdr:row>4</xdr:row>
      <xdr:rowOff>2314800</xdr:rowOff>
    </xdr:from>
    <xdr:to>
      <xdr:col>1</xdr:col>
      <xdr:colOff>7302960</xdr:colOff>
      <xdr:row>4</xdr:row>
      <xdr:rowOff>2523600</xdr:rowOff>
    </xdr:to>
    <xdr:sp>
      <xdr:nvSpPr>
        <xdr:cNvPr id="138" name="Text Box 267"/>
        <xdr:cNvSpPr/>
      </xdr:nvSpPr>
      <xdr:spPr>
        <a:xfrm>
          <a:off x="7547400" y="2962440"/>
          <a:ext cx="500400" cy="208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600µF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1750320</xdr:colOff>
      <xdr:row>4</xdr:row>
      <xdr:rowOff>4625280</xdr:rowOff>
    </xdr:from>
    <xdr:to>
      <xdr:col>1</xdr:col>
      <xdr:colOff>2273400</xdr:colOff>
      <xdr:row>4</xdr:row>
      <xdr:rowOff>4917960</xdr:rowOff>
    </xdr:to>
    <xdr:sp>
      <xdr:nvSpPr>
        <xdr:cNvPr id="139" name="Text Box 268"/>
        <xdr:cNvSpPr/>
      </xdr:nvSpPr>
      <xdr:spPr>
        <a:xfrm>
          <a:off x="2495160" y="5272920"/>
          <a:ext cx="523080" cy="292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280kΩ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7863480</xdr:colOff>
      <xdr:row>4</xdr:row>
      <xdr:rowOff>1170720</xdr:rowOff>
    </xdr:from>
    <xdr:to>
      <xdr:col>1</xdr:col>
      <xdr:colOff>8405280</xdr:colOff>
      <xdr:row>4</xdr:row>
      <xdr:rowOff>1375560</xdr:rowOff>
    </xdr:to>
    <xdr:sp>
      <xdr:nvSpPr>
        <xdr:cNvPr id="140" name="Text Box 274"/>
        <xdr:cNvSpPr/>
      </xdr:nvSpPr>
      <xdr:spPr>
        <a:xfrm>
          <a:off x="8608320" y="1818360"/>
          <a:ext cx="541800" cy="2048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4.2mΩ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6539040</xdr:colOff>
      <xdr:row>4</xdr:row>
      <xdr:rowOff>1499400</xdr:rowOff>
    </xdr:from>
    <xdr:to>
      <xdr:col>1</xdr:col>
      <xdr:colOff>6986880</xdr:colOff>
      <xdr:row>4</xdr:row>
      <xdr:rowOff>1708200</xdr:rowOff>
    </xdr:to>
    <xdr:sp>
      <xdr:nvSpPr>
        <xdr:cNvPr id="141" name="Text Box 275"/>
        <xdr:cNvSpPr/>
      </xdr:nvSpPr>
      <xdr:spPr>
        <a:xfrm>
          <a:off x="7283880" y="2147040"/>
          <a:ext cx="447840" cy="208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4.7µH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6311880</xdr:colOff>
      <xdr:row>4</xdr:row>
      <xdr:rowOff>2301120</xdr:rowOff>
    </xdr:from>
    <xdr:to>
      <xdr:col>1</xdr:col>
      <xdr:colOff>6783840</xdr:colOff>
      <xdr:row>4</xdr:row>
      <xdr:rowOff>2524320</xdr:rowOff>
    </xdr:to>
    <xdr:sp>
      <xdr:nvSpPr>
        <xdr:cNvPr id="142" name="Text Box 276"/>
        <xdr:cNvSpPr/>
      </xdr:nvSpPr>
      <xdr:spPr>
        <a:xfrm>
          <a:off x="7056720" y="2948760"/>
          <a:ext cx="471960" cy="223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100µF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3505320</xdr:colOff>
      <xdr:row>4</xdr:row>
      <xdr:rowOff>145800</xdr:rowOff>
    </xdr:from>
    <xdr:to>
      <xdr:col>1</xdr:col>
      <xdr:colOff>3874320</xdr:colOff>
      <xdr:row>4</xdr:row>
      <xdr:rowOff>381600</xdr:rowOff>
    </xdr:to>
    <xdr:sp>
      <xdr:nvSpPr>
        <xdr:cNvPr id="143" name="Text Box 279"/>
        <xdr:cNvSpPr/>
      </xdr:nvSpPr>
      <xdr:spPr>
        <a:xfrm>
          <a:off x="4250160" y="793440"/>
          <a:ext cx="369000" cy="235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0.1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1006560</xdr:colOff>
      <xdr:row>4</xdr:row>
      <xdr:rowOff>2949840</xdr:rowOff>
    </xdr:from>
    <xdr:to>
      <xdr:col>1</xdr:col>
      <xdr:colOff>1443960</xdr:colOff>
      <xdr:row>4</xdr:row>
      <xdr:rowOff>3184200</xdr:rowOff>
    </xdr:to>
    <xdr:sp>
      <xdr:nvSpPr>
        <xdr:cNvPr id="144" name="Text Box 281"/>
        <xdr:cNvSpPr/>
      </xdr:nvSpPr>
      <xdr:spPr>
        <a:xfrm>
          <a:off x="1751400" y="3597480"/>
          <a:ext cx="437400" cy="234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100nF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8287200</xdr:colOff>
      <xdr:row>4</xdr:row>
      <xdr:rowOff>976680</xdr:rowOff>
    </xdr:from>
    <xdr:to>
      <xdr:col>1</xdr:col>
      <xdr:colOff>8765640</xdr:colOff>
      <xdr:row>4</xdr:row>
      <xdr:rowOff>1220760</xdr:rowOff>
    </xdr:to>
    <xdr:sp>
      <xdr:nvSpPr>
        <xdr:cNvPr id="145" name="Text Box 285"/>
        <xdr:cNvSpPr/>
      </xdr:nvSpPr>
      <xdr:spPr>
        <a:xfrm>
          <a:off x="9032040" y="1624320"/>
          <a:ext cx="478440" cy="244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r"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12V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8272080</xdr:colOff>
      <xdr:row>4</xdr:row>
      <xdr:rowOff>1205640</xdr:rowOff>
    </xdr:from>
    <xdr:to>
      <xdr:col>1</xdr:col>
      <xdr:colOff>8724600</xdr:colOff>
      <xdr:row>4</xdr:row>
      <xdr:rowOff>1447920</xdr:rowOff>
    </xdr:to>
    <xdr:sp>
      <xdr:nvSpPr>
        <xdr:cNvPr id="146" name="Text Box 286"/>
        <xdr:cNvSpPr/>
      </xdr:nvSpPr>
      <xdr:spPr>
        <a:xfrm>
          <a:off x="9016920" y="1853280"/>
          <a:ext cx="452520" cy="2422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12A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339840</xdr:colOff>
      <xdr:row>4</xdr:row>
      <xdr:rowOff>1969200</xdr:rowOff>
    </xdr:from>
    <xdr:to>
      <xdr:col>1</xdr:col>
      <xdr:colOff>604080</xdr:colOff>
      <xdr:row>4</xdr:row>
      <xdr:rowOff>2160720</xdr:rowOff>
    </xdr:to>
    <xdr:sp>
      <xdr:nvSpPr>
        <xdr:cNvPr id="147" name="Text Box 251"/>
        <xdr:cNvSpPr/>
      </xdr:nvSpPr>
      <xdr:spPr>
        <a:xfrm>
          <a:off x="1084680" y="2616840"/>
          <a:ext cx="264240" cy="191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T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2952000</xdr:colOff>
      <xdr:row>4</xdr:row>
      <xdr:rowOff>141480</xdr:rowOff>
    </xdr:from>
    <xdr:to>
      <xdr:col>1</xdr:col>
      <xdr:colOff>3413160</xdr:colOff>
      <xdr:row>4</xdr:row>
      <xdr:rowOff>365040</xdr:rowOff>
    </xdr:to>
    <xdr:sp>
      <xdr:nvSpPr>
        <xdr:cNvPr id="148" name="Text Box 247"/>
        <xdr:cNvSpPr/>
      </xdr:nvSpPr>
      <xdr:spPr>
        <a:xfrm>
          <a:off x="3696840" y="789120"/>
          <a:ext cx="461160" cy="223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5943240</xdr:colOff>
      <xdr:row>4</xdr:row>
      <xdr:rowOff>2257200</xdr:rowOff>
    </xdr:from>
    <xdr:to>
      <xdr:col>1</xdr:col>
      <xdr:colOff>6265440</xdr:colOff>
      <xdr:row>4</xdr:row>
      <xdr:rowOff>2502000</xdr:rowOff>
    </xdr:to>
    <xdr:sp>
      <xdr:nvSpPr>
        <xdr:cNvPr id="149" name="Text Box 244"/>
        <xdr:cNvSpPr/>
      </xdr:nvSpPr>
      <xdr:spPr>
        <a:xfrm>
          <a:off x="6688080" y="2904840"/>
          <a:ext cx="322200" cy="244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5944320</xdr:colOff>
      <xdr:row>4</xdr:row>
      <xdr:rowOff>1381320</xdr:rowOff>
    </xdr:from>
    <xdr:to>
      <xdr:col>1</xdr:col>
      <xdr:colOff>6266520</xdr:colOff>
      <xdr:row>4</xdr:row>
      <xdr:rowOff>1647000</xdr:rowOff>
    </xdr:to>
    <xdr:sp>
      <xdr:nvSpPr>
        <xdr:cNvPr id="150" name="Text Box 244"/>
        <xdr:cNvSpPr/>
      </xdr:nvSpPr>
      <xdr:spPr>
        <a:xfrm>
          <a:off x="6689160" y="2028960"/>
          <a:ext cx="322200" cy="265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6867720</xdr:colOff>
      <xdr:row>4</xdr:row>
      <xdr:rowOff>3140640</xdr:rowOff>
    </xdr:from>
    <xdr:to>
      <xdr:col>1</xdr:col>
      <xdr:colOff>7346880</xdr:colOff>
      <xdr:row>4</xdr:row>
      <xdr:rowOff>3411360</xdr:rowOff>
    </xdr:to>
    <xdr:sp>
      <xdr:nvSpPr>
        <xdr:cNvPr id="151" name="Text Box 275"/>
        <xdr:cNvSpPr/>
      </xdr:nvSpPr>
      <xdr:spPr>
        <a:xfrm>
          <a:off x="7612560" y="3788280"/>
          <a:ext cx="479160" cy="270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4mΩ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254160</xdr:colOff>
      <xdr:row>4</xdr:row>
      <xdr:rowOff>2371320</xdr:rowOff>
    </xdr:from>
    <xdr:to>
      <xdr:col>1</xdr:col>
      <xdr:colOff>686880</xdr:colOff>
      <xdr:row>4</xdr:row>
      <xdr:rowOff>2607120</xdr:rowOff>
    </xdr:to>
    <xdr:sp>
      <xdr:nvSpPr>
        <xdr:cNvPr id="152" name="Text Box 251"/>
        <xdr:cNvSpPr/>
      </xdr:nvSpPr>
      <xdr:spPr>
        <a:xfrm>
          <a:off x="999000" y="3018960"/>
          <a:ext cx="432720" cy="235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SLOPE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5510520</xdr:colOff>
      <xdr:row>4</xdr:row>
      <xdr:rowOff>3213360</xdr:rowOff>
    </xdr:from>
    <xdr:to>
      <xdr:col>1</xdr:col>
      <xdr:colOff>5917680</xdr:colOff>
      <xdr:row>4</xdr:row>
      <xdr:rowOff>3457440</xdr:rowOff>
    </xdr:to>
    <xdr:sp>
      <xdr:nvSpPr>
        <xdr:cNvPr id="153" name="Text Box 248"/>
        <xdr:cNvSpPr/>
      </xdr:nvSpPr>
      <xdr:spPr>
        <a:xfrm>
          <a:off x="6255360" y="3861000"/>
          <a:ext cx="407160" cy="244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4880160</xdr:colOff>
      <xdr:row>4</xdr:row>
      <xdr:rowOff>3616200</xdr:rowOff>
    </xdr:from>
    <xdr:to>
      <xdr:col>1</xdr:col>
      <xdr:colOff>5341320</xdr:colOff>
      <xdr:row>4</xdr:row>
      <xdr:rowOff>3866760</xdr:rowOff>
    </xdr:to>
    <xdr:sp>
      <xdr:nvSpPr>
        <xdr:cNvPr id="154" name="Text Box 247"/>
        <xdr:cNvSpPr/>
      </xdr:nvSpPr>
      <xdr:spPr>
        <a:xfrm>
          <a:off x="5625000" y="4263840"/>
          <a:ext cx="461160" cy="250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4940640</xdr:colOff>
      <xdr:row>4</xdr:row>
      <xdr:rowOff>3828240</xdr:rowOff>
    </xdr:from>
    <xdr:to>
      <xdr:col>1</xdr:col>
      <xdr:colOff>5309640</xdr:colOff>
      <xdr:row>4</xdr:row>
      <xdr:rowOff>4055040</xdr:rowOff>
    </xdr:to>
    <xdr:sp>
      <xdr:nvSpPr>
        <xdr:cNvPr id="155" name="Text Box 279"/>
        <xdr:cNvSpPr/>
      </xdr:nvSpPr>
      <xdr:spPr>
        <a:xfrm>
          <a:off x="5685480" y="4475880"/>
          <a:ext cx="369000" cy="226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0.1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5095080</xdr:colOff>
      <xdr:row>4</xdr:row>
      <xdr:rowOff>2377440</xdr:rowOff>
    </xdr:from>
    <xdr:to>
      <xdr:col>1</xdr:col>
      <xdr:colOff>5365080</xdr:colOff>
      <xdr:row>4</xdr:row>
      <xdr:rowOff>2613960</xdr:rowOff>
    </xdr:to>
    <xdr:sp>
      <xdr:nvSpPr>
        <xdr:cNvPr id="156" name="Text Box 279"/>
        <xdr:cNvSpPr/>
      </xdr:nvSpPr>
      <xdr:spPr>
        <a:xfrm>
          <a:off x="5839920" y="3025080"/>
          <a:ext cx="270000" cy="236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2444760</xdr:colOff>
      <xdr:row>4</xdr:row>
      <xdr:rowOff>38160</xdr:rowOff>
    </xdr:from>
    <xdr:to>
      <xdr:col>1</xdr:col>
      <xdr:colOff>2820600</xdr:colOff>
      <xdr:row>4</xdr:row>
      <xdr:rowOff>273600</xdr:rowOff>
    </xdr:to>
    <xdr:sp>
      <xdr:nvSpPr>
        <xdr:cNvPr id="157" name="Text Box 279"/>
        <xdr:cNvSpPr/>
      </xdr:nvSpPr>
      <xdr:spPr>
        <a:xfrm>
          <a:off x="3189600" y="685800"/>
          <a:ext cx="375840" cy="2354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0.1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2144520</xdr:colOff>
      <xdr:row>4</xdr:row>
      <xdr:rowOff>478440</xdr:rowOff>
    </xdr:from>
    <xdr:to>
      <xdr:col>1</xdr:col>
      <xdr:colOff>2471400</xdr:colOff>
      <xdr:row>4</xdr:row>
      <xdr:rowOff>705240</xdr:rowOff>
    </xdr:to>
    <xdr:sp>
      <xdr:nvSpPr>
        <xdr:cNvPr id="158" name="Text Box 245"/>
        <xdr:cNvSpPr/>
      </xdr:nvSpPr>
      <xdr:spPr>
        <a:xfrm>
          <a:off x="2889360" y="1126080"/>
          <a:ext cx="326880" cy="226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2451960</xdr:colOff>
      <xdr:row>4</xdr:row>
      <xdr:rowOff>498960</xdr:rowOff>
    </xdr:from>
    <xdr:to>
      <xdr:col>1</xdr:col>
      <xdr:colOff>2821680</xdr:colOff>
      <xdr:row>4</xdr:row>
      <xdr:rowOff>722880</xdr:rowOff>
    </xdr:to>
    <xdr:sp>
      <xdr:nvSpPr>
        <xdr:cNvPr id="159" name="Text Box 277"/>
        <xdr:cNvSpPr/>
      </xdr:nvSpPr>
      <xdr:spPr>
        <a:xfrm>
          <a:off x="3196800" y="1146600"/>
          <a:ext cx="369720" cy="2239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l-GR" sz="1000" strike="noStrike" u="none">
              <a:solidFill>
                <a:srgbClr val="000000"/>
              </a:solidFill>
              <a:uFillTx/>
              <a:latin typeface="Arial"/>
            </a:rPr>
            <a:t>2Ω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4627800</xdr:colOff>
      <xdr:row>4</xdr:row>
      <xdr:rowOff>4758120</xdr:rowOff>
    </xdr:from>
    <xdr:to>
      <xdr:col>1</xdr:col>
      <xdr:colOff>4939920</xdr:colOff>
      <xdr:row>4</xdr:row>
      <xdr:rowOff>4982760</xdr:rowOff>
    </xdr:to>
    <xdr:sp>
      <xdr:nvSpPr>
        <xdr:cNvPr id="160" name="Text Box 250"/>
        <xdr:cNvSpPr/>
      </xdr:nvSpPr>
      <xdr:spPr>
        <a:xfrm>
          <a:off x="5372640" y="5405760"/>
          <a:ext cx="312120" cy="2246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CS2</a:t>
          </a:r>
          <a:endParaRPr b="0" lang="en-US" sz="1000" strike="noStrike" u="none">
            <a:uFillTx/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ood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2027880</xdr:colOff>
      <xdr:row>4</xdr:row>
      <xdr:rowOff>51480</xdr:rowOff>
    </xdr:from>
    <xdr:to>
      <xdr:col>1</xdr:col>
      <xdr:colOff>2351880</xdr:colOff>
      <xdr:row>4</xdr:row>
      <xdr:rowOff>269640</xdr:rowOff>
    </xdr:to>
    <xdr:sp>
      <xdr:nvSpPr>
        <xdr:cNvPr id="161" name="Text Box 245"/>
        <xdr:cNvSpPr/>
      </xdr:nvSpPr>
      <xdr:spPr>
        <a:xfrm>
          <a:off x="2772720" y="699120"/>
          <a:ext cx="324000" cy="218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7319880</xdr:colOff>
      <xdr:row>4</xdr:row>
      <xdr:rowOff>2253600</xdr:rowOff>
    </xdr:from>
    <xdr:to>
      <xdr:col>1</xdr:col>
      <xdr:colOff>7598160</xdr:colOff>
      <xdr:row>4</xdr:row>
      <xdr:rowOff>2543760</xdr:rowOff>
    </xdr:to>
    <xdr:sp>
      <xdr:nvSpPr>
        <xdr:cNvPr id="162" name="Text Box 244"/>
        <xdr:cNvSpPr/>
      </xdr:nvSpPr>
      <xdr:spPr>
        <a:xfrm>
          <a:off x="8064720" y="2901240"/>
          <a:ext cx="278280" cy="290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4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7311240</xdr:colOff>
      <xdr:row>4</xdr:row>
      <xdr:rowOff>1379880</xdr:rowOff>
    </xdr:from>
    <xdr:to>
      <xdr:col>1</xdr:col>
      <xdr:colOff>7590600</xdr:colOff>
      <xdr:row>4</xdr:row>
      <xdr:rowOff>1643400</xdr:rowOff>
    </xdr:to>
    <xdr:sp>
      <xdr:nvSpPr>
        <xdr:cNvPr id="163" name="Text Box 244"/>
        <xdr:cNvSpPr/>
      </xdr:nvSpPr>
      <xdr:spPr>
        <a:xfrm>
          <a:off x="8056080" y="2027520"/>
          <a:ext cx="279360" cy="263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3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663120</xdr:colOff>
      <xdr:row>4</xdr:row>
      <xdr:rowOff>3821760</xdr:rowOff>
    </xdr:from>
    <xdr:to>
      <xdr:col>1</xdr:col>
      <xdr:colOff>1167120</xdr:colOff>
      <xdr:row>4</xdr:row>
      <xdr:rowOff>4064760</xdr:rowOff>
    </xdr:to>
    <xdr:sp>
      <xdr:nvSpPr>
        <xdr:cNvPr id="164" name="Text Box 261"/>
        <xdr:cNvSpPr/>
      </xdr:nvSpPr>
      <xdr:spPr>
        <a:xfrm>
          <a:off x="1407960" y="4469400"/>
          <a:ext cx="504000" cy="2430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33nF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4854600</xdr:colOff>
      <xdr:row>4</xdr:row>
      <xdr:rowOff>4479840</xdr:rowOff>
    </xdr:from>
    <xdr:to>
      <xdr:col>1</xdr:col>
      <xdr:colOff>5247720</xdr:colOff>
      <xdr:row>4</xdr:row>
      <xdr:rowOff>4712400</xdr:rowOff>
    </xdr:to>
    <xdr:sp>
      <xdr:nvSpPr>
        <xdr:cNvPr id="165" name="Text Box 270"/>
        <xdr:cNvSpPr/>
      </xdr:nvSpPr>
      <xdr:spPr>
        <a:xfrm>
          <a:off x="5599440" y="5127480"/>
          <a:ext cx="393120" cy="232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 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1654200</xdr:colOff>
      <xdr:row>4</xdr:row>
      <xdr:rowOff>420840</xdr:rowOff>
    </xdr:from>
    <xdr:to>
      <xdr:col>1</xdr:col>
      <xdr:colOff>2003400</xdr:colOff>
      <xdr:row>4</xdr:row>
      <xdr:rowOff>662040</xdr:rowOff>
    </xdr:to>
    <xdr:sp>
      <xdr:nvSpPr>
        <xdr:cNvPr id="166" name="Text Box 248"/>
        <xdr:cNvSpPr/>
      </xdr:nvSpPr>
      <xdr:spPr>
        <a:xfrm>
          <a:off x="2399040" y="1068480"/>
          <a:ext cx="349200" cy="241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6291000</xdr:colOff>
      <xdr:row>4</xdr:row>
      <xdr:rowOff>996840</xdr:rowOff>
    </xdr:from>
    <xdr:to>
      <xdr:col>1</xdr:col>
      <xdr:colOff>7281360</xdr:colOff>
      <xdr:row>4</xdr:row>
      <xdr:rowOff>1256760</xdr:rowOff>
    </xdr:to>
    <xdr:sp>
      <xdr:nvSpPr>
        <xdr:cNvPr id="167" name="Text Box 283"/>
        <xdr:cNvSpPr/>
      </xdr:nvSpPr>
      <xdr:spPr>
        <a:xfrm>
          <a:off x="7035840" y="1644480"/>
          <a:ext cx="990360" cy="2599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6V...36V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713880</xdr:colOff>
      <xdr:row>4</xdr:row>
      <xdr:rowOff>1507320</xdr:rowOff>
    </xdr:from>
    <xdr:to>
      <xdr:col>1</xdr:col>
      <xdr:colOff>1196280</xdr:colOff>
      <xdr:row>4</xdr:row>
      <xdr:rowOff>1692000</xdr:rowOff>
    </xdr:to>
    <xdr:sp>
      <xdr:nvSpPr>
        <xdr:cNvPr id="168" name="Text Box 266"/>
        <xdr:cNvSpPr/>
      </xdr:nvSpPr>
      <xdr:spPr>
        <a:xfrm>
          <a:off x="1458720" y="2154960"/>
          <a:ext cx="482400" cy="184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 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1741320</xdr:colOff>
      <xdr:row>7</xdr:row>
      <xdr:rowOff>4459320</xdr:rowOff>
    </xdr:from>
    <xdr:to>
      <xdr:col>1</xdr:col>
      <xdr:colOff>2083320</xdr:colOff>
      <xdr:row>7</xdr:row>
      <xdr:rowOff>4720680</xdr:rowOff>
    </xdr:to>
    <xdr:sp>
      <xdr:nvSpPr>
        <xdr:cNvPr id="169" name="Text Box 225"/>
        <xdr:cNvSpPr/>
      </xdr:nvSpPr>
      <xdr:spPr>
        <a:xfrm>
          <a:off x="2486160" y="10688760"/>
          <a:ext cx="342000" cy="261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FB1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6856560</xdr:colOff>
      <xdr:row>7</xdr:row>
      <xdr:rowOff>2104920</xdr:rowOff>
    </xdr:from>
    <xdr:to>
      <xdr:col>1</xdr:col>
      <xdr:colOff>7239960</xdr:colOff>
      <xdr:row>7</xdr:row>
      <xdr:rowOff>2332800</xdr:rowOff>
    </xdr:to>
    <xdr:sp>
      <xdr:nvSpPr>
        <xdr:cNvPr id="170" name="Text Box 228"/>
        <xdr:cNvSpPr/>
      </xdr:nvSpPr>
      <xdr:spPr>
        <a:xfrm>
          <a:off x="7601400" y="8334360"/>
          <a:ext cx="383400" cy="227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OUT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7914600</xdr:colOff>
      <xdr:row>7</xdr:row>
      <xdr:rowOff>995040</xdr:rowOff>
    </xdr:from>
    <xdr:to>
      <xdr:col>1</xdr:col>
      <xdr:colOff>8390160</xdr:colOff>
      <xdr:row>7</xdr:row>
      <xdr:rowOff>1238760</xdr:rowOff>
    </xdr:to>
    <xdr:sp>
      <xdr:nvSpPr>
        <xdr:cNvPr id="171" name="Text Box 231"/>
        <xdr:cNvSpPr/>
      </xdr:nvSpPr>
      <xdr:spPr>
        <a:xfrm>
          <a:off x="8659440" y="7224480"/>
          <a:ext cx="475560" cy="243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CS(out)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3248280</xdr:colOff>
      <xdr:row>7</xdr:row>
      <xdr:rowOff>4351320</xdr:rowOff>
    </xdr:from>
    <xdr:to>
      <xdr:col>1</xdr:col>
      <xdr:colOff>3522240</xdr:colOff>
      <xdr:row>7</xdr:row>
      <xdr:rowOff>4599360</xdr:rowOff>
    </xdr:to>
    <xdr:sp>
      <xdr:nvSpPr>
        <xdr:cNvPr id="172" name="Text Box 233"/>
        <xdr:cNvSpPr/>
      </xdr:nvSpPr>
      <xdr:spPr>
        <a:xfrm>
          <a:off x="3993120" y="10580760"/>
          <a:ext cx="273960" cy="248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6888960</xdr:colOff>
      <xdr:row>7</xdr:row>
      <xdr:rowOff>2980800</xdr:rowOff>
    </xdr:from>
    <xdr:to>
      <xdr:col>1</xdr:col>
      <xdr:colOff>7132320</xdr:colOff>
      <xdr:row>7</xdr:row>
      <xdr:rowOff>3201840</xdr:rowOff>
    </xdr:to>
    <xdr:sp>
      <xdr:nvSpPr>
        <xdr:cNvPr id="173" name="Text Box 234"/>
        <xdr:cNvSpPr/>
      </xdr:nvSpPr>
      <xdr:spPr>
        <a:xfrm>
          <a:off x="7633800" y="9210240"/>
          <a:ext cx="243360" cy="221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6587640</xdr:colOff>
      <xdr:row>7</xdr:row>
      <xdr:rowOff>1279440</xdr:rowOff>
    </xdr:from>
    <xdr:to>
      <xdr:col>1</xdr:col>
      <xdr:colOff>6927120</xdr:colOff>
      <xdr:row>7</xdr:row>
      <xdr:rowOff>1556640</xdr:rowOff>
    </xdr:to>
    <xdr:sp>
      <xdr:nvSpPr>
        <xdr:cNvPr id="174" name="Text Box 235"/>
        <xdr:cNvSpPr/>
      </xdr:nvSpPr>
      <xdr:spPr>
        <a:xfrm>
          <a:off x="7332480" y="7508880"/>
          <a:ext cx="339480" cy="277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L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3609360</xdr:colOff>
      <xdr:row>7</xdr:row>
      <xdr:rowOff>4550040</xdr:rowOff>
    </xdr:from>
    <xdr:to>
      <xdr:col>1</xdr:col>
      <xdr:colOff>4015800</xdr:colOff>
      <xdr:row>7</xdr:row>
      <xdr:rowOff>4797720</xdr:rowOff>
    </xdr:to>
    <xdr:sp>
      <xdr:nvSpPr>
        <xdr:cNvPr id="175" name="Text Box 243"/>
        <xdr:cNvSpPr/>
      </xdr:nvSpPr>
      <xdr:spPr>
        <a:xfrm>
          <a:off x="4354200" y="10779480"/>
          <a:ext cx="406440" cy="247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6345360</xdr:colOff>
      <xdr:row>7</xdr:row>
      <xdr:rowOff>2131200</xdr:rowOff>
    </xdr:from>
    <xdr:to>
      <xdr:col>1</xdr:col>
      <xdr:colOff>6670440</xdr:colOff>
      <xdr:row>7</xdr:row>
      <xdr:rowOff>2356920</xdr:rowOff>
    </xdr:to>
    <xdr:sp>
      <xdr:nvSpPr>
        <xdr:cNvPr id="176" name="Text Box 244"/>
        <xdr:cNvSpPr/>
      </xdr:nvSpPr>
      <xdr:spPr>
        <a:xfrm>
          <a:off x="7090200" y="8360640"/>
          <a:ext cx="325080" cy="225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3984840</xdr:colOff>
      <xdr:row>7</xdr:row>
      <xdr:rowOff>79200</xdr:rowOff>
    </xdr:from>
    <xdr:to>
      <xdr:col>1</xdr:col>
      <xdr:colOff>4393440</xdr:colOff>
      <xdr:row>7</xdr:row>
      <xdr:rowOff>320400</xdr:rowOff>
    </xdr:to>
    <xdr:sp>
      <xdr:nvSpPr>
        <xdr:cNvPr id="177" name="Text Box 248"/>
        <xdr:cNvSpPr/>
      </xdr:nvSpPr>
      <xdr:spPr>
        <a:xfrm>
          <a:off x="4729680" y="6308640"/>
          <a:ext cx="408600" cy="241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5069520</xdr:colOff>
      <xdr:row>7</xdr:row>
      <xdr:rowOff>2117880</xdr:rowOff>
    </xdr:from>
    <xdr:to>
      <xdr:col>1</xdr:col>
      <xdr:colOff>5443920</xdr:colOff>
      <xdr:row>7</xdr:row>
      <xdr:rowOff>2367720</xdr:rowOff>
    </xdr:to>
    <xdr:sp>
      <xdr:nvSpPr>
        <xdr:cNvPr id="178" name="Text Box 249"/>
        <xdr:cNvSpPr/>
      </xdr:nvSpPr>
      <xdr:spPr>
        <a:xfrm>
          <a:off x="5814360" y="8347320"/>
          <a:ext cx="374400" cy="2498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VCC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4599360</xdr:colOff>
      <xdr:row>7</xdr:row>
      <xdr:rowOff>4181040</xdr:rowOff>
    </xdr:from>
    <xdr:to>
      <xdr:col>1</xdr:col>
      <xdr:colOff>4909680</xdr:colOff>
      <xdr:row>7</xdr:row>
      <xdr:rowOff>4412880</xdr:rowOff>
    </xdr:to>
    <xdr:sp>
      <xdr:nvSpPr>
        <xdr:cNvPr id="179" name="Text Box 250"/>
        <xdr:cNvSpPr/>
      </xdr:nvSpPr>
      <xdr:spPr>
        <a:xfrm>
          <a:off x="5344200" y="10410480"/>
          <a:ext cx="310320" cy="2318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CS1</a:t>
          </a:r>
          <a:endParaRPr b="0" lang="en-US" sz="1000" strike="noStrike" u="none">
            <a:uFillTx/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ood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1023480</xdr:colOff>
      <xdr:row>7</xdr:row>
      <xdr:rowOff>2758680</xdr:rowOff>
    </xdr:from>
    <xdr:to>
      <xdr:col>1</xdr:col>
      <xdr:colOff>1350360</xdr:colOff>
      <xdr:row>7</xdr:row>
      <xdr:rowOff>3013920</xdr:rowOff>
    </xdr:to>
    <xdr:sp>
      <xdr:nvSpPr>
        <xdr:cNvPr id="180" name="Text Box 251"/>
        <xdr:cNvSpPr/>
      </xdr:nvSpPr>
      <xdr:spPr>
        <a:xfrm>
          <a:off x="1768320" y="8988120"/>
          <a:ext cx="326880" cy="255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SS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781920</xdr:colOff>
      <xdr:row>7</xdr:row>
      <xdr:rowOff>4098240</xdr:rowOff>
    </xdr:from>
    <xdr:to>
      <xdr:col>1</xdr:col>
      <xdr:colOff>1177200</xdr:colOff>
      <xdr:row>7</xdr:row>
      <xdr:rowOff>4298760</xdr:rowOff>
    </xdr:to>
    <xdr:sp>
      <xdr:nvSpPr>
        <xdr:cNvPr id="181" name="Text Box 255"/>
        <xdr:cNvSpPr/>
      </xdr:nvSpPr>
      <xdr:spPr>
        <a:xfrm>
          <a:off x="1526760" y="10327680"/>
          <a:ext cx="395280" cy="200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FB2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141840</xdr:colOff>
      <xdr:row>7</xdr:row>
      <xdr:rowOff>3384000</xdr:rowOff>
    </xdr:from>
    <xdr:to>
      <xdr:col>1</xdr:col>
      <xdr:colOff>384480</xdr:colOff>
      <xdr:row>7</xdr:row>
      <xdr:rowOff>3598200</xdr:rowOff>
    </xdr:to>
    <xdr:sp>
      <xdr:nvSpPr>
        <xdr:cNvPr id="182" name="Text Box 256"/>
        <xdr:cNvSpPr/>
      </xdr:nvSpPr>
      <xdr:spPr>
        <a:xfrm>
          <a:off x="886680" y="9613440"/>
          <a:ext cx="242640" cy="214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896040</xdr:colOff>
      <xdr:row>7</xdr:row>
      <xdr:rowOff>3625920</xdr:rowOff>
    </xdr:from>
    <xdr:to>
      <xdr:col>1</xdr:col>
      <xdr:colOff>1211400</xdr:colOff>
      <xdr:row>7</xdr:row>
      <xdr:rowOff>3869640</xdr:rowOff>
    </xdr:to>
    <xdr:sp>
      <xdr:nvSpPr>
        <xdr:cNvPr id="183" name="Text Box 257"/>
        <xdr:cNvSpPr/>
      </xdr:nvSpPr>
      <xdr:spPr>
        <a:xfrm>
          <a:off x="1640880" y="9855360"/>
          <a:ext cx="315360" cy="243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853560</xdr:colOff>
      <xdr:row>7</xdr:row>
      <xdr:rowOff>3243600</xdr:rowOff>
    </xdr:from>
    <xdr:to>
      <xdr:col>1</xdr:col>
      <xdr:colOff>1162080</xdr:colOff>
      <xdr:row>7</xdr:row>
      <xdr:rowOff>3486600</xdr:rowOff>
    </xdr:to>
    <xdr:sp>
      <xdr:nvSpPr>
        <xdr:cNvPr id="184" name="Text Box 258"/>
        <xdr:cNvSpPr/>
      </xdr:nvSpPr>
      <xdr:spPr>
        <a:xfrm>
          <a:off x="1598400" y="9473040"/>
          <a:ext cx="308520" cy="2430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9360</xdr:colOff>
      <xdr:row>7</xdr:row>
      <xdr:rowOff>2572920</xdr:rowOff>
    </xdr:from>
    <xdr:to>
      <xdr:col>1</xdr:col>
      <xdr:colOff>693000</xdr:colOff>
      <xdr:row>7</xdr:row>
      <xdr:rowOff>2817360</xdr:rowOff>
    </xdr:to>
    <xdr:sp>
      <xdr:nvSpPr>
        <xdr:cNvPr id="185" name="Text Box 261"/>
        <xdr:cNvSpPr/>
      </xdr:nvSpPr>
      <xdr:spPr>
        <a:xfrm>
          <a:off x="754200" y="8802360"/>
          <a:ext cx="683640" cy="2444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270pF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0</xdr:col>
      <xdr:colOff>657360</xdr:colOff>
      <xdr:row>7</xdr:row>
      <xdr:rowOff>3652560</xdr:rowOff>
    </xdr:from>
    <xdr:to>
      <xdr:col>1</xdr:col>
      <xdr:colOff>372240</xdr:colOff>
      <xdr:row>7</xdr:row>
      <xdr:rowOff>3927600</xdr:rowOff>
    </xdr:to>
    <xdr:sp>
      <xdr:nvSpPr>
        <xdr:cNvPr id="186" name="Text Box 262"/>
        <xdr:cNvSpPr/>
      </xdr:nvSpPr>
      <xdr:spPr>
        <a:xfrm>
          <a:off x="657360" y="9882000"/>
          <a:ext cx="459720" cy="2750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1000pF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815400</xdr:colOff>
      <xdr:row>7</xdr:row>
      <xdr:rowOff>3439800</xdr:rowOff>
    </xdr:from>
    <xdr:to>
      <xdr:col>1</xdr:col>
      <xdr:colOff>1274400</xdr:colOff>
      <xdr:row>7</xdr:row>
      <xdr:rowOff>3683160</xdr:rowOff>
    </xdr:to>
    <xdr:sp>
      <xdr:nvSpPr>
        <xdr:cNvPr id="187" name="Text Box 263"/>
        <xdr:cNvSpPr/>
      </xdr:nvSpPr>
      <xdr:spPr>
        <a:xfrm>
          <a:off x="1560240" y="9669240"/>
          <a:ext cx="459000" cy="243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6.19kΩ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720720</xdr:colOff>
      <xdr:row>7</xdr:row>
      <xdr:rowOff>4300560</xdr:rowOff>
    </xdr:from>
    <xdr:to>
      <xdr:col>1</xdr:col>
      <xdr:colOff>1235160</xdr:colOff>
      <xdr:row>7</xdr:row>
      <xdr:rowOff>4474800</xdr:rowOff>
    </xdr:to>
    <xdr:sp>
      <xdr:nvSpPr>
        <xdr:cNvPr id="188" name="Text Box 264"/>
        <xdr:cNvSpPr/>
      </xdr:nvSpPr>
      <xdr:spPr>
        <a:xfrm>
          <a:off x="1465560" y="10530000"/>
          <a:ext cx="514440" cy="174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20kΩ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35280</xdr:colOff>
      <xdr:row>7</xdr:row>
      <xdr:rowOff>2153160</xdr:rowOff>
    </xdr:from>
    <xdr:to>
      <xdr:col>1</xdr:col>
      <xdr:colOff>715680</xdr:colOff>
      <xdr:row>7</xdr:row>
      <xdr:rowOff>2412720</xdr:rowOff>
    </xdr:to>
    <xdr:sp>
      <xdr:nvSpPr>
        <xdr:cNvPr id="189" name="Text Box 265"/>
        <xdr:cNvSpPr/>
      </xdr:nvSpPr>
      <xdr:spPr>
        <a:xfrm>
          <a:off x="780120" y="8382600"/>
          <a:ext cx="680400" cy="259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33.2kΩ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648720</xdr:colOff>
      <xdr:row>7</xdr:row>
      <xdr:rowOff>1687320</xdr:rowOff>
    </xdr:from>
    <xdr:to>
      <xdr:col>1</xdr:col>
      <xdr:colOff>1135080</xdr:colOff>
      <xdr:row>7</xdr:row>
      <xdr:rowOff>1872000</xdr:rowOff>
    </xdr:to>
    <xdr:sp>
      <xdr:nvSpPr>
        <xdr:cNvPr id="190" name="Text Box 266"/>
        <xdr:cNvSpPr/>
      </xdr:nvSpPr>
      <xdr:spPr>
        <a:xfrm>
          <a:off x="1393560" y="7916760"/>
          <a:ext cx="486360" cy="184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 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6802560</xdr:colOff>
      <xdr:row>7</xdr:row>
      <xdr:rowOff>2324520</xdr:rowOff>
    </xdr:from>
    <xdr:to>
      <xdr:col>1</xdr:col>
      <xdr:colOff>7302960</xdr:colOff>
      <xdr:row>7</xdr:row>
      <xdr:rowOff>2533320</xdr:rowOff>
    </xdr:to>
    <xdr:sp>
      <xdr:nvSpPr>
        <xdr:cNvPr id="191" name="Text Box 267"/>
        <xdr:cNvSpPr/>
      </xdr:nvSpPr>
      <xdr:spPr>
        <a:xfrm>
          <a:off x="7547400" y="8553960"/>
          <a:ext cx="500400" cy="208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600µF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1750320</xdr:colOff>
      <xdr:row>7</xdr:row>
      <xdr:rowOff>4634640</xdr:rowOff>
    </xdr:from>
    <xdr:to>
      <xdr:col>1</xdr:col>
      <xdr:colOff>2273400</xdr:colOff>
      <xdr:row>7</xdr:row>
      <xdr:rowOff>4927320</xdr:rowOff>
    </xdr:to>
    <xdr:sp>
      <xdr:nvSpPr>
        <xdr:cNvPr id="192" name="Text Box 268"/>
        <xdr:cNvSpPr/>
      </xdr:nvSpPr>
      <xdr:spPr>
        <a:xfrm>
          <a:off x="2495160" y="10864080"/>
          <a:ext cx="523080" cy="292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280kΩ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7863480</xdr:colOff>
      <xdr:row>7</xdr:row>
      <xdr:rowOff>1180080</xdr:rowOff>
    </xdr:from>
    <xdr:to>
      <xdr:col>1</xdr:col>
      <xdr:colOff>8405280</xdr:colOff>
      <xdr:row>7</xdr:row>
      <xdr:rowOff>1384920</xdr:rowOff>
    </xdr:to>
    <xdr:sp>
      <xdr:nvSpPr>
        <xdr:cNvPr id="193" name="Text Box 274"/>
        <xdr:cNvSpPr/>
      </xdr:nvSpPr>
      <xdr:spPr>
        <a:xfrm>
          <a:off x="8608320" y="7409520"/>
          <a:ext cx="541800" cy="2048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4.2mΩ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6539040</xdr:colOff>
      <xdr:row>7</xdr:row>
      <xdr:rowOff>1508760</xdr:rowOff>
    </xdr:from>
    <xdr:to>
      <xdr:col>1</xdr:col>
      <xdr:colOff>6986880</xdr:colOff>
      <xdr:row>7</xdr:row>
      <xdr:rowOff>1717560</xdr:rowOff>
    </xdr:to>
    <xdr:sp>
      <xdr:nvSpPr>
        <xdr:cNvPr id="194" name="Text Box 275"/>
        <xdr:cNvSpPr/>
      </xdr:nvSpPr>
      <xdr:spPr>
        <a:xfrm>
          <a:off x="7283880" y="7738200"/>
          <a:ext cx="447840" cy="208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4.7µH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6311880</xdr:colOff>
      <xdr:row>7</xdr:row>
      <xdr:rowOff>2310840</xdr:rowOff>
    </xdr:from>
    <xdr:to>
      <xdr:col>1</xdr:col>
      <xdr:colOff>6783840</xdr:colOff>
      <xdr:row>7</xdr:row>
      <xdr:rowOff>2534040</xdr:rowOff>
    </xdr:to>
    <xdr:sp>
      <xdr:nvSpPr>
        <xdr:cNvPr id="195" name="Text Box 276"/>
        <xdr:cNvSpPr/>
      </xdr:nvSpPr>
      <xdr:spPr>
        <a:xfrm>
          <a:off x="7056720" y="8540280"/>
          <a:ext cx="471960" cy="223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100µF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3505320</xdr:colOff>
      <xdr:row>7</xdr:row>
      <xdr:rowOff>155160</xdr:rowOff>
    </xdr:from>
    <xdr:to>
      <xdr:col>1</xdr:col>
      <xdr:colOff>3874320</xdr:colOff>
      <xdr:row>7</xdr:row>
      <xdr:rowOff>390960</xdr:rowOff>
    </xdr:to>
    <xdr:sp>
      <xdr:nvSpPr>
        <xdr:cNvPr id="196" name="Text Box 279"/>
        <xdr:cNvSpPr/>
      </xdr:nvSpPr>
      <xdr:spPr>
        <a:xfrm>
          <a:off x="4250160" y="6384600"/>
          <a:ext cx="369000" cy="235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0.1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1006560</xdr:colOff>
      <xdr:row>7</xdr:row>
      <xdr:rowOff>2959560</xdr:rowOff>
    </xdr:from>
    <xdr:to>
      <xdr:col>1</xdr:col>
      <xdr:colOff>1443960</xdr:colOff>
      <xdr:row>7</xdr:row>
      <xdr:rowOff>3193920</xdr:rowOff>
    </xdr:to>
    <xdr:sp>
      <xdr:nvSpPr>
        <xdr:cNvPr id="197" name="Text Box 281"/>
        <xdr:cNvSpPr/>
      </xdr:nvSpPr>
      <xdr:spPr>
        <a:xfrm>
          <a:off x="1751400" y="9189000"/>
          <a:ext cx="437400" cy="2343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100nF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8287200</xdr:colOff>
      <xdr:row>7</xdr:row>
      <xdr:rowOff>986040</xdr:rowOff>
    </xdr:from>
    <xdr:to>
      <xdr:col>1</xdr:col>
      <xdr:colOff>8765640</xdr:colOff>
      <xdr:row>7</xdr:row>
      <xdr:rowOff>1230120</xdr:rowOff>
    </xdr:to>
    <xdr:sp>
      <xdr:nvSpPr>
        <xdr:cNvPr id="198" name="Text Box 285"/>
        <xdr:cNvSpPr/>
      </xdr:nvSpPr>
      <xdr:spPr>
        <a:xfrm>
          <a:off x="9032040" y="7215480"/>
          <a:ext cx="478440" cy="244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 algn="r"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12V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8272080</xdr:colOff>
      <xdr:row>7</xdr:row>
      <xdr:rowOff>1215000</xdr:rowOff>
    </xdr:from>
    <xdr:to>
      <xdr:col>1</xdr:col>
      <xdr:colOff>8724600</xdr:colOff>
      <xdr:row>7</xdr:row>
      <xdr:rowOff>1457280</xdr:rowOff>
    </xdr:to>
    <xdr:sp>
      <xdr:nvSpPr>
        <xdr:cNvPr id="199" name="Text Box 286"/>
        <xdr:cNvSpPr/>
      </xdr:nvSpPr>
      <xdr:spPr>
        <a:xfrm>
          <a:off x="9016920" y="7444440"/>
          <a:ext cx="452520" cy="2422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12A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339840</xdr:colOff>
      <xdr:row>7</xdr:row>
      <xdr:rowOff>1978920</xdr:rowOff>
    </xdr:from>
    <xdr:to>
      <xdr:col>1</xdr:col>
      <xdr:colOff>604080</xdr:colOff>
      <xdr:row>7</xdr:row>
      <xdr:rowOff>2170440</xdr:rowOff>
    </xdr:to>
    <xdr:sp>
      <xdr:nvSpPr>
        <xdr:cNvPr id="200" name="Text Box 251"/>
        <xdr:cNvSpPr/>
      </xdr:nvSpPr>
      <xdr:spPr>
        <a:xfrm>
          <a:off x="1084680" y="8208360"/>
          <a:ext cx="264240" cy="191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T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2952000</xdr:colOff>
      <xdr:row>7</xdr:row>
      <xdr:rowOff>151200</xdr:rowOff>
    </xdr:from>
    <xdr:to>
      <xdr:col>1</xdr:col>
      <xdr:colOff>3413160</xdr:colOff>
      <xdr:row>7</xdr:row>
      <xdr:rowOff>374760</xdr:rowOff>
    </xdr:to>
    <xdr:sp>
      <xdr:nvSpPr>
        <xdr:cNvPr id="201" name="Text Box 247"/>
        <xdr:cNvSpPr/>
      </xdr:nvSpPr>
      <xdr:spPr>
        <a:xfrm>
          <a:off x="3696840" y="6380640"/>
          <a:ext cx="461160" cy="223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5943240</xdr:colOff>
      <xdr:row>7</xdr:row>
      <xdr:rowOff>2266920</xdr:rowOff>
    </xdr:from>
    <xdr:to>
      <xdr:col>1</xdr:col>
      <xdr:colOff>6265440</xdr:colOff>
      <xdr:row>7</xdr:row>
      <xdr:rowOff>2511720</xdr:rowOff>
    </xdr:to>
    <xdr:sp>
      <xdr:nvSpPr>
        <xdr:cNvPr id="202" name="Text Box 244"/>
        <xdr:cNvSpPr/>
      </xdr:nvSpPr>
      <xdr:spPr>
        <a:xfrm>
          <a:off x="6688080" y="8496360"/>
          <a:ext cx="322200" cy="244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5944320</xdr:colOff>
      <xdr:row>7</xdr:row>
      <xdr:rowOff>1390680</xdr:rowOff>
    </xdr:from>
    <xdr:to>
      <xdr:col>1</xdr:col>
      <xdr:colOff>6266520</xdr:colOff>
      <xdr:row>7</xdr:row>
      <xdr:rowOff>1656360</xdr:rowOff>
    </xdr:to>
    <xdr:sp>
      <xdr:nvSpPr>
        <xdr:cNvPr id="203" name="Text Box 244"/>
        <xdr:cNvSpPr/>
      </xdr:nvSpPr>
      <xdr:spPr>
        <a:xfrm>
          <a:off x="6689160" y="7620120"/>
          <a:ext cx="322200" cy="265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1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6867720</xdr:colOff>
      <xdr:row>7</xdr:row>
      <xdr:rowOff>3150360</xdr:rowOff>
    </xdr:from>
    <xdr:to>
      <xdr:col>1</xdr:col>
      <xdr:colOff>7346880</xdr:colOff>
      <xdr:row>7</xdr:row>
      <xdr:rowOff>3421080</xdr:rowOff>
    </xdr:to>
    <xdr:sp>
      <xdr:nvSpPr>
        <xdr:cNvPr id="204" name="Text Box 275"/>
        <xdr:cNvSpPr/>
      </xdr:nvSpPr>
      <xdr:spPr>
        <a:xfrm>
          <a:off x="7612560" y="9379800"/>
          <a:ext cx="479160" cy="270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4mΩ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254160</xdr:colOff>
      <xdr:row>7</xdr:row>
      <xdr:rowOff>2380680</xdr:rowOff>
    </xdr:from>
    <xdr:to>
      <xdr:col>1</xdr:col>
      <xdr:colOff>686880</xdr:colOff>
      <xdr:row>7</xdr:row>
      <xdr:rowOff>2616480</xdr:rowOff>
    </xdr:to>
    <xdr:sp>
      <xdr:nvSpPr>
        <xdr:cNvPr id="205" name="Text Box 251"/>
        <xdr:cNvSpPr/>
      </xdr:nvSpPr>
      <xdr:spPr>
        <a:xfrm>
          <a:off x="999000" y="8610120"/>
          <a:ext cx="432720" cy="235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SLOPE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5510520</xdr:colOff>
      <xdr:row>7</xdr:row>
      <xdr:rowOff>3222720</xdr:rowOff>
    </xdr:from>
    <xdr:to>
      <xdr:col>1</xdr:col>
      <xdr:colOff>5917680</xdr:colOff>
      <xdr:row>7</xdr:row>
      <xdr:rowOff>3466800</xdr:rowOff>
    </xdr:to>
    <xdr:sp>
      <xdr:nvSpPr>
        <xdr:cNvPr id="206" name="Text Box 248"/>
        <xdr:cNvSpPr/>
      </xdr:nvSpPr>
      <xdr:spPr>
        <a:xfrm>
          <a:off x="6255360" y="9452160"/>
          <a:ext cx="407160" cy="2440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4880160</xdr:colOff>
      <xdr:row>7</xdr:row>
      <xdr:rowOff>3625920</xdr:rowOff>
    </xdr:from>
    <xdr:to>
      <xdr:col>1</xdr:col>
      <xdr:colOff>5341320</xdr:colOff>
      <xdr:row>7</xdr:row>
      <xdr:rowOff>3876480</xdr:rowOff>
    </xdr:to>
    <xdr:sp>
      <xdr:nvSpPr>
        <xdr:cNvPr id="207" name="Text Box 247"/>
        <xdr:cNvSpPr/>
      </xdr:nvSpPr>
      <xdr:spPr>
        <a:xfrm>
          <a:off x="5625000" y="9855360"/>
          <a:ext cx="461160" cy="250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BOOT2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4940640</xdr:colOff>
      <xdr:row>7</xdr:row>
      <xdr:rowOff>3837960</xdr:rowOff>
    </xdr:from>
    <xdr:to>
      <xdr:col>1</xdr:col>
      <xdr:colOff>5309640</xdr:colOff>
      <xdr:row>7</xdr:row>
      <xdr:rowOff>4064760</xdr:rowOff>
    </xdr:to>
    <xdr:sp>
      <xdr:nvSpPr>
        <xdr:cNvPr id="208" name="Text Box 279"/>
        <xdr:cNvSpPr/>
      </xdr:nvSpPr>
      <xdr:spPr>
        <a:xfrm>
          <a:off x="5685480" y="10067400"/>
          <a:ext cx="369000" cy="226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ctr"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0.1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5095080</xdr:colOff>
      <xdr:row>7</xdr:row>
      <xdr:rowOff>2386800</xdr:rowOff>
    </xdr:from>
    <xdr:to>
      <xdr:col>1</xdr:col>
      <xdr:colOff>5365080</xdr:colOff>
      <xdr:row>7</xdr:row>
      <xdr:rowOff>2623320</xdr:rowOff>
    </xdr:to>
    <xdr:sp>
      <xdr:nvSpPr>
        <xdr:cNvPr id="209" name="Text Box 279"/>
        <xdr:cNvSpPr/>
      </xdr:nvSpPr>
      <xdr:spPr>
        <a:xfrm>
          <a:off x="5839920" y="8616240"/>
          <a:ext cx="270000" cy="236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2444760</xdr:colOff>
      <xdr:row>7</xdr:row>
      <xdr:rowOff>47520</xdr:rowOff>
    </xdr:from>
    <xdr:to>
      <xdr:col>1</xdr:col>
      <xdr:colOff>2820600</xdr:colOff>
      <xdr:row>7</xdr:row>
      <xdr:rowOff>282960</xdr:rowOff>
    </xdr:to>
    <xdr:sp>
      <xdr:nvSpPr>
        <xdr:cNvPr id="210" name="Text Box 279"/>
        <xdr:cNvSpPr/>
      </xdr:nvSpPr>
      <xdr:spPr>
        <a:xfrm>
          <a:off x="3189600" y="6276960"/>
          <a:ext cx="375840" cy="2354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uFillTx/>
              <a:latin typeface="Arial"/>
            </a:rPr>
            <a:t>0.1</a:t>
          </a:r>
          <a:r>
            <a:rPr b="0" lang="el-GR" sz="1000" strike="noStrike" u="none">
              <a:uFillTx/>
              <a:latin typeface="Arial"/>
            </a:rPr>
            <a:t>μ</a:t>
          </a:r>
          <a:r>
            <a:rPr b="0" lang="en-US" sz="1000" strike="noStrike" u="none">
              <a:uFillTx/>
              <a:latin typeface="Arial"/>
            </a:rPr>
            <a:t>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2144520</xdr:colOff>
      <xdr:row>7</xdr:row>
      <xdr:rowOff>488160</xdr:rowOff>
    </xdr:from>
    <xdr:to>
      <xdr:col>1</xdr:col>
      <xdr:colOff>2471400</xdr:colOff>
      <xdr:row>7</xdr:row>
      <xdr:rowOff>714960</xdr:rowOff>
    </xdr:to>
    <xdr:sp>
      <xdr:nvSpPr>
        <xdr:cNvPr id="211" name="Text Box 245"/>
        <xdr:cNvSpPr/>
      </xdr:nvSpPr>
      <xdr:spPr>
        <a:xfrm>
          <a:off x="2889360" y="6717600"/>
          <a:ext cx="326880" cy="2268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2451960</xdr:colOff>
      <xdr:row>7</xdr:row>
      <xdr:rowOff>508320</xdr:rowOff>
    </xdr:from>
    <xdr:to>
      <xdr:col>1</xdr:col>
      <xdr:colOff>2821680</xdr:colOff>
      <xdr:row>7</xdr:row>
      <xdr:rowOff>732240</xdr:rowOff>
    </xdr:to>
    <xdr:sp>
      <xdr:nvSpPr>
        <xdr:cNvPr id="212" name="Text Box 277"/>
        <xdr:cNvSpPr/>
      </xdr:nvSpPr>
      <xdr:spPr>
        <a:xfrm>
          <a:off x="3196800" y="6737760"/>
          <a:ext cx="369720" cy="2239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0" lang="el-GR" sz="1000" strike="noStrike" u="none">
              <a:solidFill>
                <a:srgbClr val="000000"/>
              </a:solidFill>
              <a:uFillTx/>
              <a:latin typeface="Arial"/>
            </a:rPr>
            <a:t>2Ω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4627800</xdr:colOff>
      <xdr:row>7</xdr:row>
      <xdr:rowOff>4767840</xdr:rowOff>
    </xdr:from>
    <xdr:to>
      <xdr:col>1</xdr:col>
      <xdr:colOff>4939920</xdr:colOff>
      <xdr:row>8</xdr:row>
      <xdr:rowOff>1440</xdr:rowOff>
    </xdr:to>
    <xdr:sp>
      <xdr:nvSpPr>
        <xdr:cNvPr id="213" name="Text Box 250"/>
        <xdr:cNvSpPr/>
      </xdr:nvSpPr>
      <xdr:spPr>
        <a:xfrm>
          <a:off x="5372640" y="10997280"/>
          <a:ext cx="312120" cy="2246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R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CS2</a:t>
          </a:r>
          <a:endParaRPr b="0" lang="en-US" sz="1000" strike="noStrike" u="none">
            <a:uFillTx/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ood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2027880</xdr:colOff>
      <xdr:row>7</xdr:row>
      <xdr:rowOff>61200</xdr:rowOff>
    </xdr:from>
    <xdr:to>
      <xdr:col>1</xdr:col>
      <xdr:colOff>2351880</xdr:colOff>
      <xdr:row>7</xdr:row>
      <xdr:rowOff>279360</xdr:rowOff>
    </xdr:to>
    <xdr:sp>
      <xdr:nvSpPr>
        <xdr:cNvPr id="214" name="Text Box 245"/>
        <xdr:cNvSpPr/>
      </xdr:nvSpPr>
      <xdr:spPr>
        <a:xfrm>
          <a:off x="2772720" y="6290640"/>
          <a:ext cx="324000" cy="218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C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7319880</xdr:colOff>
      <xdr:row>7</xdr:row>
      <xdr:rowOff>2262960</xdr:rowOff>
    </xdr:from>
    <xdr:to>
      <xdr:col>1</xdr:col>
      <xdr:colOff>7598160</xdr:colOff>
      <xdr:row>7</xdr:row>
      <xdr:rowOff>2553120</xdr:rowOff>
    </xdr:to>
    <xdr:sp>
      <xdr:nvSpPr>
        <xdr:cNvPr id="215" name="Text Box 244"/>
        <xdr:cNvSpPr/>
      </xdr:nvSpPr>
      <xdr:spPr>
        <a:xfrm>
          <a:off x="8064720" y="8492400"/>
          <a:ext cx="278280" cy="290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4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7311240</xdr:colOff>
      <xdr:row>7</xdr:row>
      <xdr:rowOff>1389240</xdr:rowOff>
    </xdr:from>
    <xdr:to>
      <xdr:col>1</xdr:col>
      <xdr:colOff>7590600</xdr:colOff>
      <xdr:row>7</xdr:row>
      <xdr:rowOff>1652760</xdr:rowOff>
    </xdr:to>
    <xdr:sp>
      <xdr:nvSpPr>
        <xdr:cNvPr id="216" name="Text Box 244"/>
        <xdr:cNvSpPr/>
      </xdr:nvSpPr>
      <xdr:spPr>
        <a:xfrm>
          <a:off x="8056080" y="7618680"/>
          <a:ext cx="279360" cy="2635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Q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3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663120</xdr:colOff>
      <xdr:row>7</xdr:row>
      <xdr:rowOff>3831120</xdr:rowOff>
    </xdr:from>
    <xdr:to>
      <xdr:col>1</xdr:col>
      <xdr:colOff>1167120</xdr:colOff>
      <xdr:row>7</xdr:row>
      <xdr:rowOff>4074120</xdr:rowOff>
    </xdr:to>
    <xdr:sp>
      <xdr:nvSpPr>
        <xdr:cNvPr id="217" name="Text Box 261"/>
        <xdr:cNvSpPr/>
      </xdr:nvSpPr>
      <xdr:spPr>
        <a:xfrm>
          <a:off x="1407960" y="10060560"/>
          <a:ext cx="504000" cy="2430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33nF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4854600</xdr:colOff>
      <xdr:row>7</xdr:row>
      <xdr:rowOff>4489560</xdr:rowOff>
    </xdr:from>
    <xdr:to>
      <xdr:col>1</xdr:col>
      <xdr:colOff>5247720</xdr:colOff>
      <xdr:row>7</xdr:row>
      <xdr:rowOff>4722120</xdr:rowOff>
    </xdr:to>
    <xdr:sp>
      <xdr:nvSpPr>
        <xdr:cNvPr id="218" name="Text Box 270"/>
        <xdr:cNvSpPr/>
      </xdr:nvSpPr>
      <xdr:spPr>
        <a:xfrm>
          <a:off x="5599440" y="10719000"/>
          <a:ext cx="393120" cy="232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ri"/>
            </a:rPr>
            <a:t> 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1654200</xdr:colOff>
      <xdr:row>7</xdr:row>
      <xdr:rowOff>430200</xdr:rowOff>
    </xdr:from>
    <xdr:to>
      <xdr:col>1</xdr:col>
      <xdr:colOff>2003400</xdr:colOff>
      <xdr:row>7</xdr:row>
      <xdr:rowOff>671400</xdr:rowOff>
    </xdr:to>
    <xdr:sp>
      <xdr:nvSpPr>
        <xdr:cNvPr id="219" name="Text Box 248"/>
        <xdr:cNvSpPr/>
      </xdr:nvSpPr>
      <xdr:spPr>
        <a:xfrm>
          <a:off x="2399040" y="6659640"/>
          <a:ext cx="349200" cy="2412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7360" bIns="0" anchor="ctr" upright="1">
          <a:noAutofit/>
        </a:bodyPr>
        <a:p>
          <a:pPr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D</a:t>
          </a:r>
          <a:r>
            <a:rPr b="0" lang="en-US" sz="1000" strike="noStrike" u="none" baseline="-25000">
              <a:solidFill>
                <a:srgbClr val="000000"/>
              </a:solidFill>
              <a:uFillTx/>
              <a:latin typeface="Arial"/>
            </a:rPr>
            <a:t>VIN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6291000</xdr:colOff>
      <xdr:row>7</xdr:row>
      <xdr:rowOff>1006560</xdr:rowOff>
    </xdr:from>
    <xdr:to>
      <xdr:col>1</xdr:col>
      <xdr:colOff>7281360</xdr:colOff>
      <xdr:row>7</xdr:row>
      <xdr:rowOff>1266480</xdr:rowOff>
    </xdr:to>
    <xdr:sp>
      <xdr:nvSpPr>
        <xdr:cNvPr id="220" name="Text Box 283"/>
        <xdr:cNvSpPr/>
      </xdr:nvSpPr>
      <xdr:spPr>
        <a:xfrm>
          <a:off x="7035840" y="7236000"/>
          <a:ext cx="990360" cy="2599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>
            <a:lnSpc>
              <a:spcPct val="100000"/>
            </a:lnSpc>
          </a:pPr>
          <a:r>
            <a:rPr b="1" lang="en-US" sz="1200" strike="noStrike" u="none">
              <a:solidFill>
                <a:srgbClr val="ff0000"/>
              </a:solidFill>
              <a:uFillTx/>
              <a:latin typeface="Arial"/>
            </a:rPr>
            <a:t>6V...36V</a:t>
          </a:r>
          <a:endParaRPr b="0" lang="en-US" sz="1200" strike="noStrike" u="none"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713880</xdr:colOff>
      <xdr:row>7</xdr:row>
      <xdr:rowOff>1516680</xdr:rowOff>
    </xdr:from>
    <xdr:to>
      <xdr:col>1</xdr:col>
      <xdr:colOff>1196280</xdr:colOff>
      <xdr:row>7</xdr:row>
      <xdr:rowOff>1701360</xdr:rowOff>
    </xdr:to>
    <xdr:sp>
      <xdr:nvSpPr>
        <xdr:cNvPr id="221" name="Text Box 266"/>
        <xdr:cNvSpPr/>
      </xdr:nvSpPr>
      <xdr:spPr>
        <a:xfrm>
          <a:off x="1458720" y="7746120"/>
          <a:ext cx="482400" cy="1846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vertOverflow="clip" lIns="27360" rIns="0" tIns="23040" bIns="0" anchor="t" upright="1">
          <a:noAutofit/>
        </a:bodyPr>
        <a:p>
          <a:pPr algn="ctr">
            <a:lnSpc>
              <a:spcPct val="100000"/>
            </a:lnSpc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 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428760</xdr:colOff>
      <xdr:row>4</xdr:row>
      <xdr:rowOff>1009800</xdr:rowOff>
    </xdr:from>
    <xdr:to>
      <xdr:col>5</xdr:col>
      <xdr:colOff>240840</xdr:colOff>
      <xdr:row>4</xdr:row>
      <xdr:rowOff>1238040</xdr:rowOff>
    </xdr:to>
    <xdr:sp>
      <xdr:nvSpPr>
        <xdr:cNvPr id="222" name="Text Box 24"/>
        <xdr:cNvSpPr/>
      </xdr:nvSpPr>
      <xdr:spPr>
        <a:xfrm>
          <a:off x="11277720" y="1657440"/>
          <a:ext cx="423720" cy="228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lIns="27360" rIns="0" tIns="23040" bIns="23040" anchor="b" upright="1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97.8%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419040</xdr:colOff>
      <xdr:row>4</xdr:row>
      <xdr:rowOff>1000080</xdr:rowOff>
    </xdr:from>
    <xdr:to>
      <xdr:col>4</xdr:col>
      <xdr:colOff>231120</xdr:colOff>
      <xdr:row>4</xdr:row>
      <xdr:rowOff>1228320</xdr:rowOff>
    </xdr:to>
    <xdr:sp>
      <xdr:nvSpPr>
        <xdr:cNvPr id="223" name="Text Box 24"/>
        <xdr:cNvSpPr/>
      </xdr:nvSpPr>
      <xdr:spPr>
        <a:xfrm>
          <a:off x="10656360" y="1647720"/>
          <a:ext cx="423720" cy="22824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lIns="27360" rIns="0" tIns="23040" bIns="23040" anchor="b" upright="1">
          <a:noAutofit/>
        </a:bodyPr>
        <a:p>
          <a:pPr>
            <a:lnSpc>
              <a:spcPct val="100000"/>
            </a:lnSpc>
            <a:tabLst>
              <a:tab algn="l" pos="0"/>
            </a:tabLst>
          </a:pPr>
          <a:r>
            <a:rPr b="0" lang="en-US" sz="1000" strike="noStrike" u="none">
              <a:solidFill>
                <a:srgbClr val="000000"/>
              </a:solidFill>
              <a:uFillTx/>
              <a:latin typeface="Arial"/>
            </a:rPr>
            <a:t>98%</a:t>
          </a:r>
          <a:endParaRPr b="0" lang="en-US" sz="1000" strike="noStrike" u="none">
            <a:uFillTx/>
            <a:latin typeface="Times New Roman"/>
          </a:endParaRPr>
        </a:p>
      </xdr:txBody>
    </xdr:sp>
    <xdr:clientData/>
  </xdr:twoCellAnchor>
  <xdr:twoCellAnchor editAs="oneCell">
    <xdr:from>
      <xdr:col>1</xdr:col>
      <xdr:colOff>25560</xdr:colOff>
      <xdr:row>4</xdr:row>
      <xdr:rowOff>12600</xdr:rowOff>
    </xdr:from>
    <xdr:to>
      <xdr:col>1</xdr:col>
      <xdr:colOff>8150040</xdr:colOff>
      <xdr:row>4</xdr:row>
      <xdr:rowOff>5165280</xdr:rowOff>
    </xdr:to>
    <xdr:graphicFrame>
      <xdr:nvGraphicFramePr>
        <xdr:cNvPr id="224" name="Chart 253"/>
        <xdr:cNvGraphicFramePr/>
      </xdr:nvGraphicFramePr>
      <xdr:xfrm>
        <a:off x="770400" y="660240"/>
        <a:ext cx="8124480" cy="5152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38160</xdr:colOff>
      <xdr:row>6</xdr:row>
      <xdr:rowOff>6480</xdr:rowOff>
    </xdr:from>
    <xdr:to>
      <xdr:col>1</xdr:col>
      <xdr:colOff>8162640</xdr:colOff>
      <xdr:row>6</xdr:row>
      <xdr:rowOff>5159160</xdr:rowOff>
    </xdr:to>
    <xdr:graphicFrame>
      <xdr:nvGraphicFramePr>
        <xdr:cNvPr id="225" name="Chart 253"/>
        <xdr:cNvGraphicFramePr/>
      </xdr:nvGraphicFramePr>
      <xdr:xfrm>
        <a:off x="783000" y="6016680"/>
        <a:ext cx="8124480" cy="5152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34</xdr:col>
      <xdr:colOff>628560</xdr:colOff>
      <xdr:row>60</xdr:row>
      <xdr:rowOff>60120</xdr:rowOff>
    </xdr:from>
    <xdr:to>
      <xdr:col>45</xdr:col>
      <xdr:colOff>380520</xdr:colOff>
      <xdr:row>90</xdr:row>
      <xdr:rowOff>31320</xdr:rowOff>
    </xdr:to>
    <xdr:graphicFrame>
      <xdr:nvGraphicFramePr>
        <xdr:cNvPr id="226" name="Chart 1"/>
        <xdr:cNvGraphicFramePr/>
      </xdr:nvGraphicFramePr>
      <xdr:xfrm>
        <a:off x="27896040" y="10210680"/>
        <a:ext cx="7394400" cy="4829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495360</xdr:colOff>
      <xdr:row>60</xdr:row>
      <xdr:rowOff>41040</xdr:rowOff>
    </xdr:from>
    <xdr:to>
      <xdr:col>34</xdr:col>
      <xdr:colOff>456840</xdr:colOff>
      <xdr:row>89</xdr:row>
      <xdr:rowOff>69480</xdr:rowOff>
    </xdr:to>
    <xdr:graphicFrame>
      <xdr:nvGraphicFramePr>
        <xdr:cNvPr id="227" name="Chart 2"/>
        <xdr:cNvGraphicFramePr/>
      </xdr:nvGraphicFramePr>
      <xdr:xfrm>
        <a:off x="20396160" y="10191600"/>
        <a:ext cx="7328160" cy="4724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95400</xdr:colOff>
      <xdr:row>60</xdr:row>
      <xdr:rowOff>25200</xdr:rowOff>
    </xdr:from>
    <xdr:to>
      <xdr:col>23</xdr:col>
      <xdr:colOff>327240</xdr:colOff>
      <xdr:row>89</xdr:row>
      <xdr:rowOff>53640</xdr:rowOff>
    </xdr:to>
    <xdr:graphicFrame>
      <xdr:nvGraphicFramePr>
        <xdr:cNvPr id="228" name="Chart 4"/>
        <xdr:cNvGraphicFramePr/>
      </xdr:nvGraphicFramePr>
      <xdr:xfrm>
        <a:off x="13129560" y="10175760"/>
        <a:ext cx="7098480" cy="4724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142920</xdr:colOff>
      <xdr:row>93</xdr:row>
      <xdr:rowOff>98280</xdr:rowOff>
    </xdr:from>
    <xdr:to>
      <xdr:col>24</xdr:col>
      <xdr:colOff>171000</xdr:colOff>
      <xdr:row>122</xdr:row>
      <xdr:rowOff>126360</xdr:rowOff>
    </xdr:to>
    <xdr:graphicFrame>
      <xdr:nvGraphicFramePr>
        <xdr:cNvPr id="229" name="Chart 4"/>
        <xdr:cNvGraphicFramePr/>
      </xdr:nvGraphicFramePr>
      <xdr:xfrm>
        <a:off x="13177080" y="15592320"/>
        <a:ext cx="7579440" cy="4723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34</xdr:col>
      <xdr:colOff>533520</xdr:colOff>
      <xdr:row>56</xdr:row>
      <xdr:rowOff>21960</xdr:rowOff>
    </xdr:from>
    <xdr:to>
      <xdr:col>45</xdr:col>
      <xdr:colOff>285480</xdr:colOff>
      <xdr:row>85</xdr:row>
      <xdr:rowOff>155160</xdr:rowOff>
    </xdr:to>
    <xdr:graphicFrame>
      <xdr:nvGraphicFramePr>
        <xdr:cNvPr id="230" name="Chart 1"/>
        <xdr:cNvGraphicFramePr/>
      </xdr:nvGraphicFramePr>
      <xdr:xfrm>
        <a:off x="27658800" y="9524880"/>
        <a:ext cx="7222680" cy="4829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399960</xdr:colOff>
      <xdr:row>56</xdr:row>
      <xdr:rowOff>2880</xdr:rowOff>
    </xdr:from>
    <xdr:to>
      <xdr:col>34</xdr:col>
      <xdr:colOff>361440</xdr:colOff>
      <xdr:row>85</xdr:row>
      <xdr:rowOff>31320</xdr:rowOff>
    </xdr:to>
    <xdr:graphicFrame>
      <xdr:nvGraphicFramePr>
        <xdr:cNvPr id="231" name="Chart 2"/>
        <xdr:cNvGraphicFramePr/>
      </xdr:nvGraphicFramePr>
      <xdr:xfrm>
        <a:off x="20319840" y="9505800"/>
        <a:ext cx="7166880" cy="4724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0</xdr:colOff>
      <xdr:row>55</xdr:row>
      <xdr:rowOff>149040</xdr:rowOff>
    </xdr:from>
    <xdr:to>
      <xdr:col>23</xdr:col>
      <xdr:colOff>231840</xdr:colOff>
      <xdr:row>85</xdr:row>
      <xdr:rowOff>15480</xdr:rowOff>
    </xdr:to>
    <xdr:graphicFrame>
      <xdr:nvGraphicFramePr>
        <xdr:cNvPr id="232" name="Chart 4"/>
        <xdr:cNvGraphicFramePr/>
      </xdr:nvGraphicFramePr>
      <xdr:xfrm>
        <a:off x="13214880" y="9489960"/>
        <a:ext cx="6936840" cy="4724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942840</xdr:colOff>
      <xdr:row>15</xdr:row>
      <xdr:rowOff>34200</xdr:rowOff>
    </xdr:from>
    <xdr:to>
      <xdr:col>10</xdr:col>
      <xdr:colOff>304200</xdr:colOff>
      <xdr:row>40</xdr:row>
      <xdr:rowOff>119520</xdr:rowOff>
    </xdr:to>
    <xdr:graphicFrame>
      <xdr:nvGraphicFramePr>
        <xdr:cNvPr id="233" name="Chart 1029"/>
        <xdr:cNvGraphicFramePr/>
      </xdr:nvGraphicFramePr>
      <xdr:xfrm>
        <a:off x="2080800" y="2476440"/>
        <a:ext cx="6943320" cy="4133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../../../../../../Users/a0196876/Desktop/LM5177/Quickstart%20Tool/customer/Valeo_LM5177%20Buck-Boost%20Quickstart%20Tool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sign Converter"/>
      <sheetName val="Licenses"/>
      <sheetName val="BOM &amp; Schematic"/>
      <sheetName val="EVMs"/>
      <sheetName val="Variable Management"/>
      <sheetName val="Timings"/>
      <sheetName val="CFG Setting"/>
      <sheetName val="Schematic Management"/>
      <sheetName val="Efficiency Plot Management"/>
      <sheetName val="Efficiency vs VIN Calculations"/>
      <sheetName val="Efficiency vs Load Calculations"/>
      <sheetName val="Stability Calculations"/>
      <sheetName val="Standard Value Calculator"/>
      <sheetName val="Snubber"/>
      <sheetName val="Parallel Output Ca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www.ti.com/product/lm5176" TargetMode="External"/><Relationship Id="rId3" Type="http://schemas.openxmlformats.org/officeDocument/2006/relationships/hyperlink" Target="http://www.ti.com/pol" TargetMode="External"/><Relationship Id="rId4" Type="http://schemas.openxmlformats.org/officeDocument/2006/relationships/drawing" Target="../drawings/drawing1.xml"/><Relationship Id="rId5" Type="http://schemas.openxmlformats.org/officeDocument/2006/relationships/vmlDrawing" Target="../drawings/vmlDrawing1.vml"/><Relationship Id="rId6" Type="http://schemas.openxmlformats.org/officeDocument/2006/relationships/ctrlProp" Target="../ctrlProps/ctrlProps3.xml"/><Relationship Id="rId7" Type="http://schemas.openxmlformats.org/officeDocument/2006/relationships/ctrlProp" Target="../ctrlProps/ctrlProps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ti.com/nexfet" TargetMode="External"/><Relationship Id="rId2" Type="http://schemas.openxmlformats.org/officeDocument/2006/relationships/drawing" Target="../drawings/drawing5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935"/>
  <sheetViews>
    <sheetView showFormulas="false" showGridLines="true" showRowColHeaders="true" showZeros="true" rightToLeft="false" tabSelected="true" showOutlineSymbols="true" defaultGridColor="true" view="normal" topLeftCell="A40" colorId="64" zoomScale="100" zoomScaleNormal="100" zoomScalePageLayoutView="100" workbookViewId="0">
      <selection pane="topLeft" activeCell="E9" activeCellId="0" sqref="E9"/>
    </sheetView>
  </sheetViews>
  <sheetFormatPr defaultColWidth="9.1484375" defaultRowHeight="12.75" zeroHeight="false" outlineLevelRow="0" outlineLevelCol="0"/>
  <cols>
    <col collapsed="false" customWidth="true" hidden="false" outlineLevel="0" max="1" min="1" style="1" width="8.29"/>
    <col collapsed="false" customWidth="true" hidden="false" outlineLevel="0" max="2" min="2" style="2" width="8.29"/>
    <col collapsed="false" customWidth="true" hidden="false" outlineLevel="0" max="3" min="3" style="2" width="13.57"/>
    <col collapsed="false" customWidth="true" hidden="false" outlineLevel="0" max="4" min="4" style="2" width="8.29"/>
    <col collapsed="false" customWidth="true" hidden="false" outlineLevel="0" max="5" min="5" style="2" width="6.85"/>
    <col collapsed="false" customWidth="true" hidden="false" outlineLevel="0" max="6" min="6" style="2" width="7.57"/>
    <col collapsed="false" customWidth="true" hidden="false" outlineLevel="0" max="8" min="7" style="2" width="11.85"/>
    <col collapsed="false" customWidth="false" hidden="false" outlineLevel="0" max="9" min="9" style="2" width="9.14"/>
    <col collapsed="false" customWidth="true" hidden="false" outlineLevel="0" max="10" min="10" style="2" width="12.42"/>
    <col collapsed="false" customWidth="false" hidden="false" outlineLevel="0" max="11" min="11" style="2" width="9.14"/>
    <col collapsed="false" customWidth="true" hidden="false" outlineLevel="0" max="12" min="12" style="2" width="12.42"/>
    <col collapsed="false" customWidth="false" hidden="false" outlineLevel="0" max="15" min="13" style="2" width="9.14"/>
    <col collapsed="false" customWidth="true" hidden="false" outlineLevel="0" max="16" min="16" style="2" width="10.14"/>
    <col collapsed="false" customWidth="true" hidden="false" outlineLevel="0" max="17" min="17" style="2" width="37.29"/>
    <col collapsed="false" customWidth="true" hidden="false" outlineLevel="0" max="18" min="18" style="2" width="3.15"/>
    <col collapsed="false" customWidth="true" hidden="false" outlineLevel="0" max="19" min="19" style="2" width="10"/>
    <col collapsed="false" customWidth="false" hidden="false" outlineLevel="0" max="16384" min="20" style="2" width="9.14"/>
  </cols>
  <sheetData>
    <row r="1" customFormat="false" ht="47.25" hidden="false" customHeight="tru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customFormat="false" ht="13.5" hidden="false" customHeight="true" outlineLevel="0" collapsed="false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7" t="s">
        <v>1</v>
      </c>
      <c r="P2" s="6"/>
      <c r="Q2" s="6"/>
      <c r="R2" s="4"/>
    </row>
    <row r="3" customFormat="false" ht="15.75" hidden="false" customHeight="true" outlineLevel="0" collapsed="false">
      <c r="A3" s="8" t="s">
        <v>2</v>
      </c>
      <c r="B3" s="9"/>
      <c r="C3" s="10" t="s">
        <v>3</v>
      </c>
      <c r="D3" s="11"/>
      <c r="E3" s="12"/>
      <c r="F3" s="13" t="s">
        <v>4</v>
      </c>
      <c r="G3" s="14"/>
      <c r="H3" s="6"/>
      <c r="I3" s="6"/>
      <c r="J3" s="14"/>
      <c r="K3" s="15"/>
      <c r="L3" s="16"/>
      <c r="M3" s="4"/>
      <c r="N3" s="4"/>
      <c r="O3" s="17" t="s">
        <v>5</v>
      </c>
      <c r="P3" s="17"/>
      <c r="Q3" s="4" t="s">
        <v>6</v>
      </c>
      <c r="R3" s="4"/>
    </row>
    <row r="4" customFormat="false" ht="13.5" hidden="false" customHeight="true" outlineLevel="0" collapsed="false">
      <c r="A4" s="18"/>
      <c r="B4" s="19"/>
      <c r="C4" s="20"/>
      <c r="D4" s="20"/>
      <c r="E4" s="20"/>
      <c r="F4" s="20"/>
      <c r="G4" s="20"/>
      <c r="H4" s="20"/>
      <c r="I4" s="20"/>
      <c r="J4" s="20"/>
      <c r="K4" s="20"/>
      <c r="L4" s="20"/>
      <c r="M4" s="21"/>
      <c r="N4" s="21"/>
      <c r="O4" s="21"/>
      <c r="P4" s="21"/>
      <c r="Q4" s="21"/>
      <c r="R4" s="4"/>
    </row>
    <row r="5" customFormat="false" ht="19.5" hidden="false" customHeight="true" outlineLevel="0" collapsed="false">
      <c r="A5" s="22" t="s">
        <v>7</v>
      </c>
      <c r="B5" s="23"/>
      <c r="C5" s="24"/>
      <c r="D5" s="24"/>
      <c r="E5" s="25"/>
      <c r="F5" s="24"/>
      <c r="G5" s="26"/>
      <c r="H5" s="27"/>
      <c r="I5" s="27"/>
      <c r="J5" s="27"/>
      <c r="K5" s="27"/>
      <c r="L5" s="28" t="s">
        <v>8</v>
      </c>
      <c r="M5" s="29" t="s">
        <v>9</v>
      </c>
      <c r="N5" s="27"/>
      <c r="O5" s="27"/>
      <c r="P5" s="27"/>
      <c r="Q5" s="30"/>
      <c r="R5" s="4"/>
    </row>
    <row r="6" customFormat="false" ht="13.5" hidden="false" customHeight="true" outlineLevel="0" collapsed="false">
      <c r="A6" s="31"/>
      <c r="B6" s="32"/>
      <c r="C6" s="33"/>
      <c r="D6" s="34" t="s">
        <v>10</v>
      </c>
      <c r="E6" s="35" t="n">
        <v>6</v>
      </c>
      <c r="F6" s="36" t="s">
        <v>11</v>
      </c>
      <c r="G6" s="37"/>
      <c r="H6" s="38"/>
      <c r="I6" s="27"/>
      <c r="J6" s="27"/>
      <c r="K6" s="27"/>
      <c r="L6" s="27"/>
      <c r="M6" s="27"/>
      <c r="N6" s="27"/>
      <c r="O6" s="27"/>
      <c r="P6" s="27"/>
      <c r="Q6" s="30"/>
      <c r="R6" s="4"/>
    </row>
    <row r="7" customFormat="false" ht="13.5" hidden="false" customHeight="true" outlineLevel="0" collapsed="false">
      <c r="A7" s="39"/>
      <c r="B7" s="40"/>
      <c r="C7" s="41"/>
      <c r="D7" s="42" t="s">
        <v>12</v>
      </c>
      <c r="E7" s="43" t="n">
        <v>12</v>
      </c>
      <c r="F7" s="44" t="s">
        <v>11</v>
      </c>
      <c r="G7" s="37"/>
      <c r="H7" s="38"/>
      <c r="I7" s="27"/>
      <c r="J7" s="27"/>
      <c r="K7" s="27"/>
      <c r="L7" s="27"/>
      <c r="M7" s="27"/>
      <c r="N7" s="27"/>
      <c r="O7" s="27"/>
      <c r="P7" s="27"/>
      <c r="Q7" s="30"/>
      <c r="R7" s="4"/>
    </row>
    <row r="8" customFormat="false" ht="13.5" hidden="false" customHeight="true" outlineLevel="0" collapsed="false">
      <c r="A8" s="39"/>
      <c r="B8" s="40"/>
      <c r="C8" s="41"/>
      <c r="D8" s="42" t="s">
        <v>13</v>
      </c>
      <c r="E8" s="43" t="n">
        <v>50</v>
      </c>
      <c r="F8" s="45" t="s">
        <v>11</v>
      </c>
      <c r="G8" s="37"/>
      <c r="H8" s="38"/>
      <c r="I8" s="27"/>
      <c r="J8" s="27"/>
      <c r="K8" s="27"/>
      <c r="L8" s="27"/>
      <c r="M8" s="27"/>
      <c r="N8" s="27"/>
      <c r="O8" s="27"/>
      <c r="P8" s="27"/>
      <c r="Q8" s="30"/>
      <c r="R8" s="4"/>
    </row>
    <row r="9" customFormat="false" ht="13.5" hidden="false" customHeight="true" outlineLevel="0" collapsed="false">
      <c r="A9" s="39"/>
      <c r="B9" s="40"/>
      <c r="C9" s="41"/>
      <c r="D9" s="42" t="s">
        <v>14</v>
      </c>
      <c r="E9" s="43" t="n">
        <v>12</v>
      </c>
      <c r="F9" s="45" t="s">
        <v>11</v>
      </c>
      <c r="G9" s="37"/>
      <c r="H9" s="38"/>
      <c r="I9" s="27"/>
      <c r="J9" s="27"/>
      <c r="K9" s="27"/>
      <c r="L9" s="27"/>
      <c r="M9" s="27"/>
      <c r="N9" s="27"/>
      <c r="O9" s="27"/>
      <c r="P9" s="27"/>
      <c r="Q9" s="30"/>
      <c r="R9" s="4"/>
      <c r="S9" s="46"/>
    </row>
    <row r="10" customFormat="false" ht="13.5" hidden="false" customHeight="true" outlineLevel="0" collapsed="false">
      <c r="A10" s="39"/>
      <c r="B10" s="40"/>
      <c r="C10" s="41"/>
      <c r="D10" s="42" t="s">
        <v>15</v>
      </c>
      <c r="E10" s="43" t="n">
        <v>6</v>
      </c>
      <c r="F10" s="45" t="s">
        <v>16</v>
      </c>
      <c r="G10" s="37"/>
      <c r="H10" s="38"/>
      <c r="I10" s="27"/>
      <c r="J10" s="27"/>
      <c r="K10" s="27"/>
      <c r="L10" s="27"/>
      <c r="M10" s="27"/>
      <c r="N10" s="27"/>
      <c r="O10" s="27"/>
      <c r="P10" s="27"/>
      <c r="Q10" s="30"/>
      <c r="R10" s="4"/>
      <c r="S10" s="46"/>
    </row>
    <row r="11" customFormat="false" ht="13.5" hidden="false" customHeight="true" outlineLevel="0" collapsed="false">
      <c r="A11" s="39"/>
      <c r="B11" s="40"/>
      <c r="C11" s="41"/>
      <c r="D11" s="42" t="s">
        <v>17</v>
      </c>
      <c r="E11" s="47" t="n">
        <v>300</v>
      </c>
      <c r="F11" s="45" t="s">
        <v>18</v>
      </c>
      <c r="G11" s="37"/>
      <c r="H11" s="38"/>
      <c r="I11" s="27"/>
      <c r="J11" s="27"/>
      <c r="K11" s="27"/>
      <c r="L11" s="27"/>
      <c r="M11" s="27"/>
      <c r="N11" s="27"/>
      <c r="O11" s="27"/>
      <c r="P11" s="27"/>
      <c r="Q11" s="30"/>
      <c r="R11" s="4"/>
    </row>
    <row r="12" customFormat="false" ht="17.25" hidden="false" customHeight="true" outlineLevel="0" collapsed="false">
      <c r="A12" s="48"/>
      <c r="B12" s="49"/>
      <c r="C12" s="50"/>
      <c r="D12" s="50" t="s">
        <v>19</v>
      </c>
      <c r="E12" s="51" t="n">
        <f aca="false">IF('Standard Value Calculator'!O4/1000&gt;288, "N/A",'Standard Value Calculator'!O4/1000)</f>
        <v>27.4</v>
      </c>
      <c r="F12" s="52" t="s">
        <v>20</v>
      </c>
      <c r="G12" s="37"/>
      <c r="H12" s="38"/>
      <c r="I12" s="27"/>
      <c r="J12" s="27"/>
      <c r="K12" s="27"/>
      <c r="L12" s="27"/>
      <c r="M12" s="27"/>
      <c r="N12" s="27"/>
      <c r="O12" s="27"/>
      <c r="P12" s="27"/>
      <c r="Q12" s="30"/>
      <c r="R12" s="4"/>
    </row>
    <row r="13" customFormat="false" ht="13.5" hidden="false" customHeight="true" outlineLevel="0" collapsed="false">
      <c r="A13" s="53"/>
      <c r="B13" s="38"/>
      <c r="C13" s="38"/>
      <c r="D13" s="54"/>
      <c r="E13" s="55"/>
      <c r="F13" s="38"/>
      <c r="G13" s="37"/>
      <c r="H13" s="38"/>
      <c r="I13" s="27"/>
      <c r="J13" s="27"/>
      <c r="K13" s="27"/>
      <c r="L13" s="27"/>
      <c r="M13" s="27"/>
      <c r="N13" s="27"/>
      <c r="O13" s="27"/>
      <c r="P13" s="27"/>
      <c r="Q13" s="30"/>
      <c r="R13" s="4"/>
    </row>
    <row r="14" customFormat="false" ht="19.5" hidden="false" customHeight="true" outlineLevel="0" collapsed="false">
      <c r="A14" s="22" t="s">
        <v>21</v>
      </c>
      <c r="B14" s="56"/>
      <c r="C14" s="57"/>
      <c r="D14" s="57"/>
      <c r="E14" s="58"/>
      <c r="F14" s="57"/>
      <c r="G14" s="37"/>
      <c r="H14" s="38"/>
      <c r="I14" s="27"/>
      <c r="J14" s="27"/>
      <c r="K14" s="27"/>
      <c r="L14" s="27"/>
      <c r="M14" s="27"/>
      <c r="N14" s="27"/>
      <c r="O14" s="27"/>
      <c r="P14" s="27"/>
      <c r="Q14" s="30"/>
      <c r="R14" s="4"/>
    </row>
    <row r="15" customFormat="false" ht="13.5" hidden="false" customHeight="true" outlineLevel="0" collapsed="false">
      <c r="A15" s="59"/>
      <c r="B15" s="60"/>
      <c r="C15" s="61"/>
      <c r="D15" s="61" t="s">
        <v>22</v>
      </c>
      <c r="E15" s="62" t="n">
        <f aca="false">Lopt*1000000</f>
        <v>4.41666666666667</v>
      </c>
      <c r="F15" s="63" t="s">
        <v>23</v>
      </c>
      <c r="G15" s="37"/>
      <c r="H15" s="38"/>
      <c r="I15" s="27"/>
      <c r="J15" s="27"/>
      <c r="K15" s="27"/>
      <c r="L15" s="27"/>
      <c r="M15" s="27"/>
      <c r="N15" s="27"/>
      <c r="O15" s="27"/>
      <c r="P15" s="27"/>
      <c r="Q15" s="30"/>
      <c r="R15" s="4"/>
    </row>
    <row r="16" customFormat="false" ht="13.5" hidden="false" customHeight="true" outlineLevel="0" collapsed="false">
      <c r="A16" s="53"/>
      <c r="B16" s="38"/>
      <c r="C16" s="64"/>
      <c r="D16" s="65" t="s">
        <v>24</v>
      </c>
      <c r="E16" s="66" t="n">
        <v>4.7</v>
      </c>
      <c r="F16" s="67" t="s">
        <v>23</v>
      </c>
      <c r="G16" s="37"/>
      <c r="H16" s="38"/>
      <c r="I16" s="27"/>
      <c r="J16" s="27"/>
      <c r="K16" s="27"/>
      <c r="L16" s="27"/>
      <c r="M16" s="27"/>
      <c r="N16" s="27"/>
      <c r="O16" s="27"/>
      <c r="P16" s="27"/>
      <c r="Q16" s="30"/>
      <c r="R16" s="4"/>
    </row>
    <row r="17" customFormat="false" ht="13.5" hidden="false" customHeight="true" outlineLevel="0" collapsed="false">
      <c r="A17" s="53"/>
      <c r="B17" s="38"/>
      <c r="C17" s="64"/>
      <c r="D17" s="65" t="s">
        <v>25</v>
      </c>
      <c r="E17" s="66" t="n">
        <v>3.35</v>
      </c>
      <c r="F17" s="67" t="s">
        <v>26</v>
      </c>
      <c r="G17" s="37"/>
      <c r="H17" s="38"/>
      <c r="I17" s="27"/>
      <c r="J17" s="27"/>
      <c r="K17" s="27"/>
      <c r="L17" s="27"/>
      <c r="M17" s="27"/>
      <c r="N17" s="27"/>
      <c r="O17" s="27"/>
      <c r="P17" s="27"/>
      <c r="Q17" s="30"/>
      <c r="R17" s="4"/>
    </row>
    <row r="18" customFormat="false" ht="13.5" hidden="false" customHeight="true" outlineLevel="0" collapsed="false">
      <c r="A18" s="39"/>
      <c r="B18" s="40"/>
      <c r="C18" s="41"/>
      <c r="D18" s="41" t="s">
        <v>27</v>
      </c>
      <c r="E18" s="68" t="n">
        <f aca="false">'Variable Management'!B78</f>
        <v>2.16272302261235</v>
      </c>
      <c r="F18" s="69" t="s">
        <v>28</v>
      </c>
      <c r="G18" s="37"/>
      <c r="H18" s="38"/>
      <c r="I18" s="27"/>
      <c r="J18" s="27"/>
      <c r="K18" s="27"/>
      <c r="L18" s="27"/>
      <c r="M18" s="27"/>
      <c r="N18" s="27"/>
      <c r="O18" s="27"/>
      <c r="P18" s="27"/>
      <c r="Q18" s="30"/>
      <c r="R18" s="4"/>
    </row>
    <row r="19" customFormat="false" ht="13.5" hidden="false" customHeight="true" outlineLevel="0" collapsed="false">
      <c r="A19" s="39"/>
      <c r="B19" s="40"/>
      <c r="C19" s="41"/>
      <c r="D19" s="41" t="s">
        <v>29</v>
      </c>
      <c r="E19" s="68" t="n">
        <f aca="false">'Variable Management'!B79</f>
        <v>0.0159099544072948</v>
      </c>
      <c r="F19" s="69" t="s">
        <v>28</v>
      </c>
      <c r="G19" s="37"/>
      <c r="H19" s="38"/>
      <c r="I19" s="27"/>
      <c r="J19" s="27"/>
      <c r="K19" s="27"/>
      <c r="L19" s="27"/>
      <c r="M19" s="27"/>
      <c r="N19" s="27"/>
      <c r="O19" s="27"/>
      <c r="P19" s="27"/>
      <c r="Q19" s="30"/>
      <c r="R19" s="4"/>
    </row>
    <row r="20" customFormat="false" ht="13.5" hidden="false" customHeight="true" outlineLevel="0" collapsed="false">
      <c r="A20" s="39"/>
      <c r="B20" s="40"/>
      <c r="C20" s="41"/>
      <c r="D20" s="41" t="s">
        <v>30</v>
      </c>
      <c r="E20" s="68" t="n">
        <f aca="false">'Variable Management'!B80</f>
        <v>6.49855287859825</v>
      </c>
      <c r="F20" s="69" t="s">
        <v>28</v>
      </c>
      <c r="G20" s="37"/>
      <c r="H20" s="38"/>
      <c r="I20" s="27"/>
      <c r="J20" s="27"/>
      <c r="K20" s="27"/>
      <c r="L20" s="27"/>
      <c r="M20" s="27"/>
      <c r="N20" s="27"/>
      <c r="O20" s="27"/>
      <c r="P20" s="27"/>
      <c r="Q20" s="30"/>
      <c r="R20" s="4"/>
    </row>
    <row r="21" customFormat="false" ht="15" hidden="false" customHeight="true" outlineLevel="0" collapsed="false">
      <c r="A21" s="39"/>
      <c r="B21" s="40"/>
      <c r="C21" s="41"/>
      <c r="D21" s="70" t="s">
        <v>31</v>
      </c>
      <c r="E21" s="71" t="n">
        <f aca="false">'Variable Management'!B90*100</f>
        <v>16.2204226695926</v>
      </c>
      <c r="F21" s="69" t="s">
        <v>32</v>
      </c>
      <c r="G21" s="37"/>
      <c r="H21" s="38"/>
      <c r="I21" s="27"/>
      <c r="J21" s="27"/>
      <c r="K21" s="27"/>
      <c r="L21" s="27"/>
      <c r="M21" s="27"/>
      <c r="N21" s="27"/>
      <c r="O21" s="27"/>
      <c r="P21" s="27"/>
      <c r="Q21" s="30"/>
      <c r="R21" s="4"/>
    </row>
    <row r="22" customFormat="false" ht="15" hidden="false" customHeight="true" outlineLevel="0" collapsed="false">
      <c r="A22" s="39"/>
      <c r="B22" s="40"/>
      <c r="C22" s="41"/>
      <c r="D22" s="70" t="s">
        <v>33</v>
      </c>
      <c r="E22" s="71" t="n">
        <f aca="false">'Variable Management'!B91*100</f>
        <v>0.238649316109422</v>
      </c>
      <c r="F22" s="69" t="s">
        <v>32</v>
      </c>
      <c r="G22" s="37"/>
      <c r="H22" s="38"/>
      <c r="I22" s="27"/>
      <c r="J22" s="27"/>
      <c r="K22" s="27"/>
      <c r="L22" s="27"/>
      <c r="M22" s="27"/>
      <c r="N22" s="27"/>
      <c r="O22" s="27"/>
      <c r="P22" s="27"/>
      <c r="Q22" s="30"/>
      <c r="R22" s="4"/>
    </row>
    <row r="23" customFormat="false" ht="15.75" hidden="false" customHeight="true" outlineLevel="0" collapsed="false">
      <c r="A23" s="48"/>
      <c r="B23" s="49"/>
      <c r="C23" s="50"/>
      <c r="D23" s="72" t="s">
        <v>34</v>
      </c>
      <c r="E23" s="73" t="n">
        <f aca="false">'Variable Management'!B92*100</f>
        <v>108.309214643304</v>
      </c>
      <c r="F23" s="52" t="s">
        <v>32</v>
      </c>
      <c r="G23" s="37"/>
      <c r="H23" s="38"/>
      <c r="I23" s="27"/>
      <c r="J23" s="27"/>
      <c r="K23" s="27"/>
      <c r="L23" s="27"/>
      <c r="M23" s="27"/>
      <c r="N23" s="27"/>
      <c r="O23" s="27"/>
      <c r="P23" s="27"/>
      <c r="Q23" s="30"/>
      <c r="R23" s="4"/>
    </row>
    <row r="24" customFormat="false" ht="13.5" hidden="false" customHeight="true" outlineLevel="0" collapsed="false">
      <c r="A24" s="53"/>
      <c r="B24" s="38"/>
      <c r="C24" s="38"/>
      <c r="D24" s="38"/>
      <c r="E24" s="38"/>
      <c r="F24" s="38"/>
      <c r="G24" s="37"/>
      <c r="H24" s="38"/>
      <c r="I24" s="27"/>
      <c r="J24" s="27"/>
      <c r="K24" s="27"/>
      <c r="L24" s="27"/>
      <c r="M24" s="27"/>
      <c r="N24" s="27"/>
      <c r="O24" s="27"/>
      <c r="P24" s="27"/>
      <c r="Q24" s="30"/>
      <c r="R24" s="4"/>
    </row>
    <row r="25" customFormat="false" ht="19.5" hidden="false" customHeight="true" outlineLevel="0" collapsed="false">
      <c r="A25" s="22" t="s">
        <v>35</v>
      </c>
      <c r="B25" s="74"/>
      <c r="C25" s="38"/>
      <c r="D25" s="38"/>
      <c r="E25" s="38"/>
      <c r="F25" s="38"/>
      <c r="G25" s="37"/>
      <c r="H25" s="38"/>
      <c r="I25" s="27"/>
      <c r="J25" s="27"/>
      <c r="K25" s="27"/>
      <c r="L25" s="27"/>
      <c r="M25" s="27"/>
      <c r="N25" s="27"/>
      <c r="O25" s="27"/>
      <c r="P25" s="27"/>
      <c r="Q25" s="30"/>
      <c r="R25" s="4"/>
    </row>
    <row r="26" customFormat="false" ht="15" hidden="false" customHeight="true" outlineLevel="0" collapsed="false">
      <c r="A26" s="31"/>
      <c r="B26" s="75"/>
      <c r="C26" s="75"/>
      <c r="D26" s="76" t="s">
        <v>36</v>
      </c>
      <c r="E26" s="77" t="n">
        <v>12</v>
      </c>
      <c r="F26" s="78" t="s">
        <v>16</v>
      </c>
      <c r="G26" s="37"/>
      <c r="H26" s="38"/>
      <c r="I26" s="27"/>
      <c r="J26" s="27"/>
      <c r="K26" s="27"/>
      <c r="L26" s="27"/>
      <c r="M26" s="27"/>
      <c r="N26" s="27"/>
      <c r="O26" s="27"/>
      <c r="P26" s="27"/>
      <c r="Q26" s="30"/>
      <c r="R26" s="4"/>
    </row>
    <row r="27" customFormat="false" ht="15" hidden="false" customHeight="true" outlineLevel="0" collapsed="false">
      <c r="A27" s="39"/>
      <c r="B27" s="79"/>
      <c r="C27" s="79"/>
      <c r="D27" s="64" t="s">
        <v>37</v>
      </c>
      <c r="E27" s="80" t="n">
        <f aca="false">Rs_ideal*1000</f>
        <v>4.32463161815798</v>
      </c>
      <c r="F27" s="81" t="s">
        <v>26</v>
      </c>
      <c r="G27" s="37"/>
      <c r="H27" s="38"/>
      <c r="I27" s="27"/>
      <c r="J27" s="27"/>
      <c r="K27" s="27"/>
      <c r="L27" s="27"/>
      <c r="M27" s="27"/>
      <c r="N27" s="27"/>
      <c r="O27" s="27"/>
      <c r="P27" s="27"/>
      <c r="Q27" s="30"/>
      <c r="R27" s="4"/>
    </row>
    <row r="28" customFormat="false" ht="13.5" hidden="false" customHeight="true" outlineLevel="0" collapsed="false">
      <c r="A28" s="39"/>
      <c r="B28" s="79"/>
      <c r="C28" s="79"/>
      <c r="D28" s="65" t="s">
        <v>38</v>
      </c>
      <c r="E28" s="82" t="n">
        <v>8</v>
      </c>
      <c r="F28" s="83" t="s">
        <v>26</v>
      </c>
      <c r="G28" s="37"/>
      <c r="H28" s="38"/>
      <c r="I28" s="27"/>
      <c r="J28" s="27"/>
      <c r="K28" s="27"/>
      <c r="L28" s="27"/>
      <c r="M28" s="27"/>
      <c r="N28" s="27"/>
      <c r="O28" s="27"/>
      <c r="P28" s="27"/>
      <c r="Q28" s="30"/>
      <c r="R28" s="4"/>
    </row>
    <row r="29" customFormat="false" ht="13.5" hidden="false" customHeight="true" outlineLevel="0" collapsed="false">
      <c r="A29" s="39"/>
      <c r="B29" s="79"/>
      <c r="C29" s="79"/>
      <c r="D29" s="84" t="s">
        <v>39</v>
      </c>
      <c r="E29" s="80" t="n">
        <f aca="false">'Variable Management'!B135</f>
        <v>16.4985528785982</v>
      </c>
      <c r="F29" s="81" t="s">
        <v>16</v>
      </c>
      <c r="G29" s="37"/>
      <c r="H29" s="38"/>
      <c r="I29" s="27"/>
      <c r="J29" s="27"/>
      <c r="K29" s="27"/>
      <c r="L29" s="27"/>
      <c r="M29" s="27"/>
      <c r="N29" s="27"/>
      <c r="O29" s="27"/>
      <c r="P29" s="27"/>
      <c r="Q29" s="30"/>
      <c r="R29" s="4"/>
    </row>
    <row r="30" customFormat="false" ht="13.5" hidden="false" customHeight="true" outlineLevel="0" collapsed="false">
      <c r="A30" s="39"/>
      <c r="B30" s="79"/>
      <c r="C30" s="79"/>
      <c r="D30" s="84" t="str">
        <f aca="false">IF('Variable Management'!B85&gt;'Variable Management'!B83, "Power Loss in Rs at Full Load (Max VIN)", "Power Loss in Rs at Full Load (Min VIN)")</f>
        <v>Power Loss in Rs at Full Load (Min VIN)</v>
      </c>
      <c r="E30" s="85" t="n">
        <f aca="false">'Variable Management'!B86</f>
        <v>0.724414912370502</v>
      </c>
      <c r="F30" s="81" t="s">
        <v>40</v>
      </c>
      <c r="G30" s="37"/>
      <c r="H30" s="38"/>
      <c r="I30" s="27"/>
      <c r="J30" s="27"/>
      <c r="K30" s="27"/>
      <c r="L30" s="27"/>
      <c r="M30" s="27"/>
      <c r="N30" s="27"/>
      <c r="O30" s="27"/>
      <c r="P30" s="27"/>
      <c r="Q30" s="30"/>
      <c r="R30" s="4"/>
    </row>
    <row r="31" customFormat="false" ht="13.5" hidden="false" customHeight="true" outlineLevel="0" collapsed="false">
      <c r="A31" s="39"/>
      <c r="B31" s="79"/>
      <c r="C31" s="64"/>
      <c r="D31" s="64" t="s">
        <v>41</v>
      </c>
      <c r="E31" s="86" t="n">
        <f aca="false">'Standard Value Calculator'!O14</f>
        <v>220</v>
      </c>
      <c r="F31" s="81" t="s">
        <v>42</v>
      </c>
      <c r="G31" s="37"/>
      <c r="H31" s="38"/>
      <c r="I31" s="27"/>
      <c r="J31" s="27"/>
      <c r="K31" s="27"/>
      <c r="L31" s="27"/>
      <c r="M31" s="27"/>
      <c r="N31" s="27"/>
      <c r="O31" s="27"/>
      <c r="P31" s="27"/>
      <c r="Q31" s="30"/>
      <c r="R31" s="4"/>
    </row>
    <row r="32" customFormat="false" ht="13.5" hidden="false" customHeight="true" outlineLevel="0" collapsed="false">
      <c r="A32" s="39"/>
      <c r="B32" s="79"/>
      <c r="C32" s="79"/>
      <c r="D32" s="65" t="s">
        <v>43</v>
      </c>
      <c r="E32" s="82" t="n">
        <v>235</v>
      </c>
      <c r="F32" s="83" t="s">
        <v>42</v>
      </c>
      <c r="G32" s="37"/>
      <c r="H32" s="38"/>
      <c r="I32" s="27"/>
      <c r="J32" s="27"/>
      <c r="K32" s="27"/>
      <c r="L32" s="27"/>
      <c r="M32" s="27"/>
      <c r="N32" s="27"/>
      <c r="O32" s="27"/>
      <c r="P32" s="27"/>
      <c r="Q32" s="30"/>
      <c r="R32" s="4"/>
    </row>
    <row r="33" customFormat="false" ht="13.5" hidden="false" customHeight="true" outlineLevel="0" collapsed="false">
      <c r="A33" s="39"/>
      <c r="B33" s="79"/>
      <c r="C33" s="87"/>
      <c r="D33" s="88" t="s">
        <v>44</v>
      </c>
      <c r="E33" s="68" t="n">
        <f aca="false">'Variable Management'!B127</f>
        <v>6.84463091150846</v>
      </c>
      <c r="F33" s="69" t="s">
        <v>16</v>
      </c>
      <c r="G33" s="37"/>
      <c r="H33" s="38"/>
      <c r="I33" s="27"/>
      <c r="J33" s="27"/>
      <c r="K33" s="27"/>
      <c r="L33" s="27"/>
      <c r="M33" s="27"/>
      <c r="N33" s="27"/>
      <c r="O33" s="27"/>
      <c r="P33" s="27"/>
      <c r="Q33" s="30"/>
      <c r="R33" s="4"/>
    </row>
    <row r="34" customFormat="false" ht="15" hidden="false" customHeight="true" outlineLevel="0" collapsed="false">
      <c r="A34" s="39"/>
      <c r="B34" s="79"/>
      <c r="C34" s="64" t="s">
        <v>45</v>
      </c>
      <c r="D34" s="88" t="s">
        <v>46</v>
      </c>
      <c r="E34" s="68" t="n">
        <f aca="false">'Variable Management'!B128</f>
        <v>9.97336569755843</v>
      </c>
      <c r="F34" s="69" t="s">
        <v>16</v>
      </c>
      <c r="G34" s="37"/>
      <c r="H34" s="38"/>
      <c r="I34" s="27"/>
      <c r="J34" s="27"/>
      <c r="K34" s="27"/>
      <c r="L34" s="27"/>
      <c r="M34" s="27"/>
      <c r="N34" s="27"/>
      <c r="O34" s="27"/>
      <c r="P34" s="27"/>
      <c r="Q34" s="30"/>
      <c r="R34" s="4"/>
    </row>
    <row r="35" customFormat="false" ht="15.75" hidden="false" customHeight="true" outlineLevel="0" collapsed="false">
      <c r="A35" s="39"/>
      <c r="B35" s="79"/>
      <c r="C35" s="79"/>
      <c r="D35" s="88" t="s">
        <v>47</v>
      </c>
      <c r="E35" s="68" t="n">
        <f aca="false">'Variable Management'!B129</f>
        <v>13.2492764392991</v>
      </c>
      <c r="F35" s="69" t="s">
        <v>16</v>
      </c>
      <c r="G35" s="37"/>
      <c r="H35" s="38"/>
      <c r="I35" s="27"/>
      <c r="J35" s="27"/>
      <c r="K35" s="27"/>
      <c r="L35" s="27"/>
      <c r="M35" s="27"/>
      <c r="N35" s="27"/>
      <c r="O35" s="27"/>
      <c r="P35" s="27"/>
      <c r="Q35" s="30"/>
      <c r="R35" s="4"/>
    </row>
    <row r="36" customFormat="false" ht="13.5" hidden="false" customHeight="true" outlineLevel="0" collapsed="false">
      <c r="A36" s="39"/>
      <c r="B36" s="79"/>
      <c r="C36" s="79"/>
      <c r="D36" s="65" t="s">
        <v>48</v>
      </c>
      <c r="E36" s="89" t="n">
        <v>12</v>
      </c>
      <c r="F36" s="83" t="s">
        <v>16</v>
      </c>
      <c r="G36" s="37"/>
      <c r="H36" s="38"/>
      <c r="I36" s="27"/>
      <c r="J36" s="27"/>
      <c r="K36" s="27"/>
      <c r="L36" s="27"/>
      <c r="M36" s="27"/>
      <c r="N36" s="27"/>
      <c r="O36" s="27"/>
      <c r="P36" s="27"/>
      <c r="Q36" s="30"/>
      <c r="R36" s="4"/>
    </row>
    <row r="37" customFormat="false" ht="16.5" hidden="false" customHeight="true" outlineLevel="0" collapsed="false">
      <c r="A37" s="48"/>
      <c r="B37" s="90"/>
      <c r="C37" s="90"/>
      <c r="D37" s="91" t="s">
        <v>49</v>
      </c>
      <c r="E37" s="92" t="n">
        <f aca="false">Rshunt</f>
        <v>4.16666666666667</v>
      </c>
      <c r="F37" s="93" t="s">
        <v>26</v>
      </c>
      <c r="G37" s="94"/>
      <c r="H37" s="38"/>
      <c r="I37" s="27"/>
      <c r="J37" s="27"/>
      <c r="K37" s="27"/>
      <c r="L37" s="27"/>
      <c r="M37" s="27"/>
      <c r="N37" s="27"/>
      <c r="O37" s="27"/>
      <c r="P37" s="27"/>
      <c r="Q37" s="30"/>
      <c r="R37" s="4"/>
    </row>
    <row r="38" customFormat="false" ht="13.5" hidden="false" customHeight="true" outlineLevel="0" collapsed="false">
      <c r="A38" s="53"/>
      <c r="B38" s="38"/>
      <c r="C38" s="38"/>
      <c r="D38" s="38"/>
      <c r="E38" s="38"/>
      <c r="F38" s="38"/>
      <c r="G38" s="38"/>
      <c r="H38" s="38"/>
      <c r="I38" s="27"/>
      <c r="J38" s="27"/>
      <c r="K38" s="27"/>
      <c r="L38" s="27"/>
      <c r="M38" s="27"/>
      <c r="N38" s="27"/>
      <c r="O38" s="27"/>
      <c r="P38" s="27"/>
      <c r="Q38" s="30"/>
      <c r="R38" s="4"/>
    </row>
    <row r="39" customFormat="false" ht="17.35" hidden="false" customHeight="false" outlineLevel="0" collapsed="false">
      <c r="A39" s="22" t="s">
        <v>50</v>
      </c>
      <c r="B39" s="56"/>
      <c r="C39" s="57"/>
      <c r="D39" s="57"/>
      <c r="E39" s="58"/>
      <c r="F39" s="57"/>
      <c r="G39" s="38"/>
      <c r="H39" s="38"/>
      <c r="I39" s="27"/>
      <c r="J39" s="27"/>
      <c r="K39" s="27"/>
      <c r="L39" s="27"/>
      <c r="M39" s="27"/>
      <c r="N39" s="27"/>
      <c r="O39" s="27"/>
      <c r="P39" s="27"/>
      <c r="Q39" s="30"/>
      <c r="R39" s="4"/>
    </row>
    <row r="40" customFormat="false" ht="15.75" hidden="false" customHeight="true" outlineLevel="0" collapsed="false">
      <c r="A40" s="95"/>
      <c r="B40" s="96"/>
      <c r="C40" s="61"/>
      <c r="D40" s="97" t="s">
        <v>51</v>
      </c>
      <c r="E40" s="98" t="n">
        <v>100</v>
      </c>
      <c r="F40" s="99" t="s">
        <v>52</v>
      </c>
      <c r="G40" s="38"/>
      <c r="H40" s="38"/>
      <c r="I40" s="27"/>
      <c r="J40" s="27"/>
      <c r="K40" s="27"/>
      <c r="L40" s="27"/>
      <c r="M40" s="27"/>
      <c r="N40" s="27"/>
      <c r="O40" s="27"/>
      <c r="P40" s="27"/>
      <c r="Q40" s="30"/>
      <c r="R40" s="4"/>
    </row>
    <row r="41" customFormat="false" ht="13.5" hidden="false" customHeight="true" outlineLevel="0" collapsed="false">
      <c r="A41" s="53"/>
      <c r="B41" s="38"/>
      <c r="C41" s="64"/>
      <c r="D41" s="64" t="s">
        <v>53</v>
      </c>
      <c r="E41" s="100" t="n">
        <f aca="false">'Variable Management'!B168</f>
        <v>101.64798206278</v>
      </c>
      <c r="F41" s="101" t="s">
        <v>54</v>
      </c>
      <c r="G41" s="38"/>
      <c r="H41" s="38"/>
      <c r="I41" s="27"/>
      <c r="J41" s="27"/>
      <c r="K41" s="27"/>
      <c r="L41" s="27"/>
      <c r="M41" s="27"/>
      <c r="N41" s="27"/>
      <c r="O41" s="27"/>
      <c r="P41" s="27"/>
      <c r="Q41" s="30"/>
      <c r="R41" s="4"/>
    </row>
    <row r="42" customFormat="false" ht="13.5" hidden="false" customHeight="true" outlineLevel="0" collapsed="false">
      <c r="A42" s="53"/>
      <c r="B42" s="38"/>
      <c r="C42" s="64"/>
      <c r="D42" s="102" t="s">
        <v>55</v>
      </c>
      <c r="E42" s="103" t="n">
        <v>400</v>
      </c>
      <c r="F42" s="67" t="s">
        <v>54</v>
      </c>
      <c r="G42" s="37"/>
      <c r="H42" s="38"/>
      <c r="I42" s="27"/>
      <c r="J42" s="27"/>
      <c r="K42" s="27"/>
      <c r="L42" s="27"/>
      <c r="M42" s="27"/>
      <c r="N42" s="27"/>
      <c r="O42" s="27"/>
      <c r="P42" s="27"/>
      <c r="Q42" s="30"/>
      <c r="R42" s="4"/>
    </row>
    <row r="43" customFormat="false" ht="13.5" hidden="false" customHeight="true" outlineLevel="0" collapsed="false">
      <c r="A43" s="53"/>
      <c r="B43" s="38"/>
      <c r="C43" s="64"/>
      <c r="D43" s="64" t="s">
        <v>56</v>
      </c>
      <c r="E43" s="104" t="n">
        <f aca="false">'Variable Management'!B172</f>
        <v>12.4313340807175</v>
      </c>
      <c r="F43" s="101" t="s">
        <v>26</v>
      </c>
      <c r="G43" s="37"/>
      <c r="H43" s="38"/>
      <c r="I43" s="27"/>
      <c r="J43" s="27"/>
      <c r="K43" s="27"/>
      <c r="L43" s="27"/>
      <c r="M43" s="27"/>
      <c r="N43" s="27"/>
      <c r="O43" s="27"/>
      <c r="P43" s="27"/>
      <c r="Q43" s="30"/>
      <c r="R43" s="4"/>
    </row>
    <row r="44" customFormat="false" ht="13.5" hidden="false" customHeight="true" outlineLevel="0" collapsed="false">
      <c r="A44" s="53"/>
      <c r="B44" s="38"/>
      <c r="C44" s="64"/>
      <c r="D44" s="102" t="s">
        <v>57</v>
      </c>
      <c r="E44" s="103" t="n">
        <v>5</v>
      </c>
      <c r="F44" s="67" t="s">
        <v>26</v>
      </c>
      <c r="G44" s="37"/>
      <c r="H44" s="38"/>
      <c r="I44" s="27"/>
      <c r="J44" s="27"/>
      <c r="K44" s="27"/>
      <c r="L44" s="27"/>
      <c r="M44" s="27"/>
      <c r="N44" s="27"/>
      <c r="O44" s="27"/>
      <c r="P44" s="27"/>
      <c r="Q44" s="30"/>
      <c r="R44" s="4"/>
    </row>
    <row r="45" customFormat="false" ht="13.5" hidden="false" customHeight="true" outlineLevel="0" collapsed="false">
      <c r="A45" s="53"/>
      <c r="B45" s="38"/>
      <c r="C45" s="38"/>
      <c r="D45" s="64" t="s">
        <v>58</v>
      </c>
      <c r="E45" s="105" t="n">
        <f aca="false">Vripple2*1000</f>
        <v>55.4119955156951</v>
      </c>
      <c r="F45" s="101" t="s">
        <v>59</v>
      </c>
      <c r="G45" s="37"/>
      <c r="H45" s="38"/>
      <c r="I45" s="27"/>
      <c r="J45" s="27"/>
      <c r="K45" s="27"/>
      <c r="L45" s="27"/>
      <c r="M45" s="27"/>
      <c r="N45" s="27"/>
      <c r="O45" s="27"/>
      <c r="P45" s="27"/>
      <c r="Q45" s="30"/>
      <c r="R45" s="4"/>
    </row>
    <row r="46" customFormat="false" ht="13.5" hidden="false" customHeight="true" outlineLevel="0" collapsed="false">
      <c r="A46" s="106"/>
      <c r="B46" s="107"/>
      <c r="C46" s="107"/>
      <c r="D46" s="91" t="s">
        <v>60</v>
      </c>
      <c r="E46" s="108" t="n">
        <f aca="false">'Variable Management'!B163</f>
        <v>6</v>
      </c>
      <c r="F46" s="109" t="s">
        <v>61</v>
      </c>
      <c r="G46" s="94"/>
      <c r="H46" s="38"/>
      <c r="I46" s="27"/>
      <c r="J46" s="27"/>
      <c r="K46" s="27"/>
      <c r="L46" s="27"/>
      <c r="M46" s="27"/>
      <c r="N46" s="27"/>
      <c r="O46" s="27"/>
      <c r="P46" s="27"/>
      <c r="Q46" s="30"/>
      <c r="R46" s="4"/>
    </row>
    <row r="47" customFormat="false" ht="16.5" hidden="false" customHeight="true" outlineLevel="0" collapsed="false">
      <c r="A47" s="53"/>
      <c r="B47" s="110"/>
      <c r="C47" s="110"/>
      <c r="D47" s="110"/>
      <c r="E47" s="110"/>
      <c r="F47" s="110"/>
      <c r="G47" s="38"/>
      <c r="H47" s="38"/>
      <c r="I47" s="27"/>
      <c r="J47" s="27"/>
      <c r="K47" s="27"/>
      <c r="L47" s="27"/>
      <c r="M47" s="42" t="s">
        <v>62</v>
      </c>
      <c r="N47" s="111" t="str">
        <f aca="false">VIN_nom&amp;"V"</f>
        <v>12V</v>
      </c>
      <c r="O47" s="27"/>
      <c r="P47" s="27"/>
      <c r="Q47" s="30"/>
      <c r="R47" s="4"/>
    </row>
    <row r="48" customFormat="false" ht="17.35" hidden="false" customHeight="false" outlineLevel="0" collapsed="false">
      <c r="A48" s="22" t="s">
        <v>63</v>
      </c>
      <c r="B48" s="74"/>
      <c r="C48" s="112"/>
      <c r="D48" s="112"/>
      <c r="E48" s="38"/>
      <c r="F48" s="38"/>
      <c r="G48" s="38"/>
      <c r="H48" s="38"/>
      <c r="I48" s="27"/>
      <c r="J48" s="27"/>
      <c r="K48" s="27"/>
      <c r="L48" s="113"/>
      <c r="M48" s="114"/>
      <c r="N48" s="114"/>
      <c r="O48" s="27"/>
      <c r="P48" s="27"/>
      <c r="Q48" s="30"/>
      <c r="R48" s="4"/>
    </row>
    <row r="49" customFormat="false" ht="13.5" hidden="false" customHeight="true" outlineLevel="0" collapsed="false">
      <c r="A49" s="115"/>
      <c r="B49" s="116"/>
      <c r="C49" s="60"/>
      <c r="D49" s="76" t="s">
        <v>64</v>
      </c>
      <c r="E49" s="98" t="n">
        <v>200</v>
      </c>
      <c r="F49" s="78" t="s">
        <v>52</v>
      </c>
      <c r="G49" s="38"/>
      <c r="H49" s="38"/>
      <c r="I49" s="27"/>
      <c r="J49" s="117"/>
      <c r="K49" s="27"/>
      <c r="L49" s="27"/>
      <c r="M49" s="27"/>
      <c r="N49" s="27"/>
      <c r="O49" s="27"/>
      <c r="P49" s="27"/>
      <c r="Q49" s="30"/>
      <c r="R49" s="4"/>
    </row>
    <row r="50" customFormat="false" ht="13.5" hidden="false" customHeight="true" outlineLevel="0" collapsed="false">
      <c r="A50" s="118"/>
      <c r="B50" s="112"/>
      <c r="C50" s="38"/>
      <c r="D50" s="64" t="s">
        <v>65</v>
      </c>
      <c r="E50" s="104" t="n">
        <f aca="false">'Variable Management'!B188</f>
        <v>25</v>
      </c>
      <c r="F50" s="101" t="s">
        <v>54</v>
      </c>
      <c r="G50" s="38"/>
      <c r="H50" s="38"/>
      <c r="I50" s="27"/>
      <c r="J50" s="117"/>
      <c r="K50" s="27"/>
      <c r="L50" s="27"/>
      <c r="M50" s="27"/>
      <c r="N50" s="27"/>
      <c r="O50" s="27"/>
      <c r="P50" s="27"/>
      <c r="Q50" s="30"/>
      <c r="R50" s="4"/>
    </row>
    <row r="51" customFormat="false" ht="13.5" hidden="false" customHeight="true" outlineLevel="0" collapsed="false">
      <c r="A51" s="53"/>
      <c r="B51" s="38"/>
      <c r="C51" s="112"/>
      <c r="D51" s="65" t="s">
        <v>66</v>
      </c>
      <c r="E51" s="119" t="n">
        <v>68</v>
      </c>
      <c r="F51" s="67" t="s">
        <v>54</v>
      </c>
      <c r="G51" s="38"/>
      <c r="H51" s="38"/>
      <c r="I51" s="27"/>
      <c r="J51" s="117"/>
      <c r="K51" s="27"/>
      <c r="L51" s="27"/>
      <c r="M51" s="27"/>
      <c r="N51" s="27"/>
      <c r="O51" s="27"/>
      <c r="P51" s="27"/>
      <c r="Q51" s="30"/>
      <c r="R51" s="4"/>
    </row>
    <row r="52" customFormat="false" ht="13.5" hidden="false" customHeight="true" outlineLevel="0" collapsed="false">
      <c r="A52" s="53"/>
      <c r="B52" s="38"/>
      <c r="C52" s="112"/>
      <c r="D52" s="64" t="s">
        <v>56</v>
      </c>
      <c r="E52" s="104" t="n">
        <f aca="false">'Variable Management'!B193</f>
        <v>13.6735656097308</v>
      </c>
      <c r="F52" s="101" t="s">
        <v>26</v>
      </c>
      <c r="G52" s="38"/>
      <c r="H52" s="38"/>
      <c r="I52" s="27"/>
      <c r="J52" s="120"/>
      <c r="K52" s="27"/>
      <c r="L52" s="27"/>
      <c r="M52" s="27"/>
      <c r="N52" s="27"/>
      <c r="O52" s="27"/>
      <c r="P52" s="27"/>
      <c r="Q52" s="30" t="s">
        <v>67</v>
      </c>
      <c r="R52" s="4"/>
    </row>
    <row r="53" customFormat="false" ht="13.5" hidden="false" customHeight="true" outlineLevel="0" collapsed="false">
      <c r="A53" s="53"/>
      <c r="B53" s="38"/>
      <c r="C53" s="112"/>
      <c r="D53" s="65" t="s">
        <v>68</v>
      </c>
      <c r="E53" s="119" t="n">
        <v>2</v>
      </c>
      <c r="F53" s="67" t="s">
        <v>26</v>
      </c>
      <c r="G53" s="38"/>
      <c r="H53" s="38"/>
      <c r="I53" s="27"/>
      <c r="J53" s="120"/>
      <c r="K53" s="27"/>
      <c r="L53" s="27"/>
      <c r="M53" s="27"/>
      <c r="N53" s="27"/>
      <c r="O53" s="27"/>
      <c r="P53" s="27"/>
      <c r="Q53" s="30"/>
      <c r="R53" s="4"/>
    </row>
    <row r="54" customFormat="false" ht="13.5" hidden="false" customHeight="true" outlineLevel="0" collapsed="false">
      <c r="A54" s="53"/>
      <c r="B54" s="38"/>
      <c r="C54" s="112"/>
      <c r="D54" s="64" t="s">
        <v>69</v>
      </c>
      <c r="E54" s="105" t="n">
        <f aca="false">Vinripple2*1000</f>
        <v>92.0279646433041</v>
      </c>
      <c r="F54" s="101" t="s">
        <v>59</v>
      </c>
      <c r="G54" s="38"/>
      <c r="H54" s="38"/>
      <c r="I54" s="27"/>
      <c r="J54" s="120"/>
      <c r="K54" s="27"/>
      <c r="L54" s="27"/>
      <c r="M54" s="27"/>
      <c r="N54" s="27"/>
      <c r="O54" s="27"/>
      <c r="P54" s="27"/>
      <c r="Q54" s="30"/>
      <c r="R54" s="4"/>
    </row>
    <row r="55" customFormat="false" ht="13.5" hidden="false" customHeight="true" outlineLevel="0" collapsed="false">
      <c r="A55" s="106"/>
      <c r="B55" s="107"/>
      <c r="C55" s="107"/>
      <c r="D55" s="91" t="s">
        <v>70</v>
      </c>
      <c r="E55" s="108" t="n">
        <f aca="false">'Variable Management'!B181</f>
        <v>2.56661590913173</v>
      </c>
      <c r="F55" s="93" t="s">
        <v>61</v>
      </c>
      <c r="G55" s="38"/>
      <c r="H55" s="38"/>
      <c r="I55" s="27"/>
      <c r="J55" s="27"/>
      <c r="K55" s="27"/>
      <c r="L55" s="27"/>
      <c r="M55" s="27"/>
      <c r="N55" s="27"/>
      <c r="O55" s="27"/>
      <c r="P55" s="27"/>
      <c r="Q55" s="30"/>
      <c r="R55" s="4"/>
    </row>
    <row r="56" customFormat="false" ht="13.5" hidden="false" customHeight="true" outlineLevel="0" collapsed="false">
      <c r="A56" s="53"/>
      <c r="B56" s="38"/>
      <c r="C56" s="38"/>
      <c r="D56" s="64"/>
      <c r="E56" s="38"/>
      <c r="F56" s="38"/>
      <c r="G56" s="38"/>
      <c r="H56" s="38"/>
      <c r="I56" s="27"/>
      <c r="J56" s="27"/>
      <c r="K56" s="27"/>
      <c r="L56" s="27"/>
      <c r="M56" s="27"/>
      <c r="N56" s="27"/>
      <c r="O56" s="27"/>
      <c r="P56" s="27"/>
      <c r="Q56" s="30"/>
      <c r="R56" s="4"/>
    </row>
    <row r="57" customFormat="false" ht="17.35" hidden="false" customHeight="false" outlineLevel="0" collapsed="false">
      <c r="A57" s="22" t="s">
        <v>71</v>
      </c>
      <c r="B57" s="74"/>
      <c r="C57" s="38"/>
      <c r="D57" s="64"/>
      <c r="E57" s="38"/>
      <c r="F57" s="38"/>
      <c r="G57" s="38"/>
      <c r="H57" s="74"/>
      <c r="I57" s="27"/>
      <c r="J57" s="27"/>
      <c r="K57" s="27"/>
      <c r="L57" s="27"/>
      <c r="M57" s="114"/>
      <c r="N57" s="27"/>
      <c r="O57" s="27"/>
      <c r="P57" s="27"/>
      <c r="Q57" s="30"/>
      <c r="R57" s="4"/>
    </row>
    <row r="58" customFormat="false" ht="13.5" hidden="false" customHeight="true" outlineLevel="0" collapsed="false">
      <c r="A58" s="31"/>
      <c r="B58" s="32"/>
      <c r="C58" s="32"/>
      <c r="D58" s="34" t="s">
        <v>72</v>
      </c>
      <c r="E58" s="121" t="n">
        <v>15</v>
      </c>
      <c r="F58" s="36" t="s">
        <v>73</v>
      </c>
      <c r="G58" s="38"/>
      <c r="H58" s="110"/>
      <c r="I58" s="114"/>
      <c r="J58" s="114"/>
      <c r="K58" s="114"/>
      <c r="L58" s="114"/>
      <c r="M58" s="114"/>
      <c r="N58" s="27"/>
      <c r="O58" s="27"/>
      <c r="P58" s="27"/>
      <c r="Q58" s="30"/>
      <c r="R58" s="4"/>
    </row>
    <row r="59" customFormat="false" ht="13.5" hidden="false" customHeight="true" outlineLevel="0" collapsed="false">
      <c r="A59" s="39"/>
      <c r="B59" s="40"/>
      <c r="C59" s="40"/>
      <c r="D59" s="41" t="s">
        <v>74</v>
      </c>
      <c r="E59" s="122" t="n">
        <f aca="false">IF(Tss&gt;1.28/1000,Css_u*1000000000,"N/A")</f>
        <v>100</v>
      </c>
      <c r="F59" s="69" t="s">
        <v>75</v>
      </c>
      <c r="G59" s="38"/>
      <c r="H59" s="110"/>
      <c r="I59" s="114"/>
      <c r="J59" s="114"/>
      <c r="K59" s="114"/>
      <c r="L59" s="114"/>
      <c r="M59" s="114"/>
      <c r="N59" s="27"/>
      <c r="O59" s="27"/>
      <c r="P59" s="27"/>
      <c r="Q59" s="30"/>
      <c r="R59" s="4"/>
    </row>
    <row r="60" customFormat="false" ht="13.5" hidden="false" customHeight="true" outlineLevel="0" collapsed="false">
      <c r="A60" s="39"/>
      <c r="B60" s="40"/>
      <c r="C60" s="40"/>
      <c r="D60" s="42" t="s">
        <v>76</v>
      </c>
      <c r="E60" s="123" t="n">
        <v>1</v>
      </c>
      <c r="F60" s="45" t="str">
        <f aca="false">IF(DITHER=1, "kHz", "")</f>
        <v/>
      </c>
      <c r="G60" s="38"/>
      <c r="H60" s="38"/>
      <c r="I60" s="27"/>
      <c r="J60" s="124"/>
      <c r="K60" s="125"/>
      <c r="L60" s="27"/>
      <c r="M60" s="114"/>
      <c r="N60" s="27"/>
      <c r="O60" s="27"/>
      <c r="P60" s="27"/>
      <c r="Q60" s="30"/>
      <c r="R60" s="4"/>
    </row>
    <row r="61" customFormat="false" ht="13.5" hidden="false" customHeight="true" outlineLevel="0" collapsed="false">
      <c r="A61" s="39"/>
      <c r="B61" s="40"/>
      <c r="C61" s="40"/>
      <c r="D61" s="41" t="str">
        <f aca="false">IF(DITHER=1, "DITH Capacitance, Cd", "*Short DITH pin to GND")</f>
        <v>*Short DITH pin to GND</v>
      </c>
      <c r="E61" s="126" t="str">
        <f aca="false">IF(DITHER=1,IF(E60&gt;0,'Standard Value Calculator'!O19*1000000000,"N/A"),"")</f>
        <v/>
      </c>
      <c r="F61" s="69" t="str">
        <f aca="false">IF(DITHER=1, "nF", "")</f>
        <v/>
      </c>
      <c r="G61" s="38"/>
      <c r="H61" s="38"/>
      <c r="I61" s="27"/>
      <c r="J61" s="124"/>
      <c r="K61" s="125"/>
      <c r="L61" s="27"/>
      <c r="M61" s="114"/>
      <c r="N61" s="27"/>
      <c r="O61" s="27"/>
      <c r="P61" s="27"/>
      <c r="Q61" s="30"/>
      <c r="R61" s="4"/>
    </row>
    <row r="62" customFormat="false" ht="13.5" hidden="false" customHeight="true" outlineLevel="0" collapsed="false">
      <c r="A62" s="39"/>
      <c r="B62" s="40"/>
      <c r="C62" s="127"/>
      <c r="D62" s="128" t="s">
        <v>77</v>
      </c>
      <c r="E62" s="89" t="n">
        <v>6</v>
      </c>
      <c r="F62" s="45" t="s">
        <v>11</v>
      </c>
      <c r="G62" s="38"/>
      <c r="H62" s="38"/>
      <c r="I62" s="27"/>
      <c r="J62" s="124"/>
      <c r="K62" s="125"/>
      <c r="L62" s="27"/>
      <c r="M62" s="114"/>
      <c r="N62" s="27"/>
      <c r="O62" s="27"/>
      <c r="P62" s="27"/>
      <c r="Q62" s="30"/>
      <c r="R62" s="4"/>
    </row>
    <row r="63" customFormat="false" ht="13.5" hidden="false" customHeight="true" outlineLevel="0" collapsed="false">
      <c r="A63" s="39"/>
      <c r="B63" s="40"/>
      <c r="C63" s="40"/>
      <c r="D63" s="41" t="s">
        <v>78</v>
      </c>
      <c r="E63" s="129" t="n">
        <f aca="false">'Variable Management'!B216</f>
        <v>5.26140833333333</v>
      </c>
      <c r="F63" s="69" t="s">
        <v>11</v>
      </c>
      <c r="G63" s="38"/>
      <c r="H63" s="38"/>
      <c r="I63" s="27"/>
      <c r="J63" s="124"/>
      <c r="K63" s="125"/>
      <c r="L63" s="27"/>
      <c r="M63" s="114"/>
      <c r="N63" s="27"/>
      <c r="O63" s="27"/>
      <c r="P63" s="27"/>
      <c r="Q63" s="30"/>
      <c r="R63" s="4"/>
    </row>
    <row r="64" customFormat="false" ht="13.5" hidden="false" customHeight="true" outlineLevel="0" collapsed="false">
      <c r="A64" s="39"/>
      <c r="B64" s="40"/>
      <c r="C64" s="127"/>
      <c r="D64" s="128" t="s">
        <v>79</v>
      </c>
      <c r="E64" s="89" t="n">
        <v>249</v>
      </c>
      <c r="F64" s="69" t="s">
        <v>20</v>
      </c>
      <c r="G64" s="38"/>
      <c r="H64" s="38"/>
      <c r="I64" s="27"/>
      <c r="J64" s="124"/>
      <c r="K64" s="125"/>
      <c r="L64" s="27"/>
      <c r="M64" s="114"/>
      <c r="N64" s="27"/>
      <c r="O64" s="27"/>
      <c r="P64" s="27"/>
      <c r="Q64" s="30"/>
      <c r="R64" s="4"/>
    </row>
    <row r="65" customFormat="false" ht="15" hidden="false" customHeight="true" outlineLevel="0" collapsed="false">
      <c r="A65" s="48"/>
      <c r="B65" s="49"/>
      <c r="C65" s="49"/>
      <c r="D65" s="50" t="s">
        <v>80</v>
      </c>
      <c r="E65" s="51" t="n">
        <f aca="false">'Variable Management'!E213</f>
        <v>57.6</v>
      </c>
      <c r="F65" s="52" t="s">
        <v>20</v>
      </c>
      <c r="G65" s="38"/>
      <c r="H65" s="38"/>
      <c r="I65" s="27"/>
      <c r="J65" s="124"/>
      <c r="K65" s="125"/>
      <c r="L65" s="27"/>
      <c r="M65" s="114"/>
      <c r="N65" s="27"/>
      <c r="O65" s="27"/>
      <c r="P65" s="27"/>
      <c r="Q65" s="30"/>
      <c r="R65" s="4"/>
    </row>
    <row r="66" customFormat="false" ht="13.5" hidden="false" customHeight="true" outlineLevel="0" collapsed="false">
      <c r="A66" s="53"/>
      <c r="B66" s="38"/>
      <c r="C66" s="38"/>
      <c r="D66" s="64"/>
      <c r="E66" s="130"/>
      <c r="F66" s="38"/>
      <c r="G66" s="38"/>
      <c r="H66" s="38"/>
      <c r="I66" s="27"/>
      <c r="J66" s="124"/>
      <c r="K66" s="125"/>
      <c r="L66" s="27"/>
      <c r="M66" s="114"/>
      <c r="N66" s="27"/>
      <c r="O66" s="27"/>
      <c r="P66" s="27"/>
      <c r="Q66" s="30"/>
      <c r="R66" s="4"/>
    </row>
    <row r="67" customFormat="false" ht="19.5" hidden="false" customHeight="true" outlineLevel="0" collapsed="false">
      <c r="A67" s="22" t="s">
        <v>81</v>
      </c>
      <c r="B67" s="131"/>
      <c r="C67" s="57"/>
      <c r="D67" s="132"/>
      <c r="E67" s="58"/>
      <c r="F67" s="57"/>
      <c r="G67" s="38"/>
      <c r="H67" s="38"/>
      <c r="I67" s="27"/>
      <c r="J67" s="27"/>
      <c r="K67" s="27"/>
      <c r="L67" s="27"/>
      <c r="M67" s="27"/>
      <c r="N67" s="27"/>
      <c r="O67" s="27"/>
      <c r="P67" s="27"/>
      <c r="Q67" s="30"/>
      <c r="R67" s="133"/>
      <c r="S67" s="134"/>
      <c r="T67" s="134"/>
      <c r="W67" s="134"/>
      <c r="X67" s="134"/>
      <c r="Y67" s="134"/>
      <c r="AB67" s="134"/>
      <c r="AC67" s="134"/>
      <c r="AD67" s="134"/>
      <c r="AG67" s="134"/>
      <c r="AH67" s="134"/>
      <c r="AI67" s="134"/>
    </row>
    <row r="68" customFormat="false" ht="15" hidden="false" customHeight="true" outlineLevel="0" collapsed="false">
      <c r="A68" s="31"/>
      <c r="B68" s="32"/>
      <c r="C68" s="33"/>
      <c r="D68" s="33" t="s">
        <v>82</v>
      </c>
      <c r="E68" s="135" t="n">
        <f aca="false">Fp_dominant</f>
        <v>585.574816193763</v>
      </c>
      <c r="F68" s="136" t="s">
        <v>83</v>
      </c>
      <c r="G68" s="38"/>
      <c r="H68" s="38"/>
      <c r="I68" s="27"/>
      <c r="J68" s="27"/>
      <c r="K68" s="27"/>
      <c r="L68" s="27"/>
      <c r="M68" s="27"/>
      <c r="N68" s="27"/>
      <c r="O68" s="27"/>
      <c r="P68" s="27"/>
      <c r="Q68" s="30"/>
      <c r="R68" s="133"/>
      <c r="S68" s="134"/>
      <c r="T68" s="134"/>
      <c r="W68" s="134"/>
      <c r="X68" s="134"/>
      <c r="Y68" s="134"/>
      <c r="AB68" s="134"/>
      <c r="AC68" s="134"/>
      <c r="AD68" s="134"/>
      <c r="AG68" s="134"/>
      <c r="AH68" s="134"/>
      <c r="AI68" s="134"/>
    </row>
    <row r="69" customFormat="false" ht="15" hidden="false" customHeight="true" outlineLevel="0" collapsed="false">
      <c r="A69" s="39"/>
      <c r="B69" s="40"/>
      <c r="C69" s="41"/>
      <c r="D69" s="41" t="s">
        <v>84</v>
      </c>
      <c r="E69" s="71" t="n">
        <f aca="false">Fesr/1000</f>
        <v>79.5774716368782</v>
      </c>
      <c r="F69" s="69" t="s">
        <v>18</v>
      </c>
      <c r="G69" s="38"/>
      <c r="H69" s="38"/>
      <c r="I69" s="27"/>
      <c r="J69" s="27"/>
      <c r="K69" s="27"/>
      <c r="L69" s="27"/>
      <c r="M69" s="27"/>
      <c r="N69" s="27"/>
      <c r="O69" s="27"/>
      <c r="P69" s="27"/>
      <c r="Q69" s="30"/>
      <c r="R69" s="133"/>
      <c r="S69" s="134"/>
      <c r="T69" s="134"/>
      <c r="W69" s="134"/>
      <c r="X69" s="134"/>
      <c r="Y69" s="134"/>
      <c r="AB69" s="134"/>
      <c r="AC69" s="134"/>
      <c r="AD69" s="134"/>
      <c r="AG69" s="134"/>
      <c r="AH69" s="134"/>
      <c r="AI69" s="134"/>
    </row>
    <row r="70" customFormat="false" ht="15" hidden="false" customHeight="true" outlineLevel="0" collapsed="false">
      <c r="A70" s="39"/>
      <c r="B70" s="40"/>
      <c r="C70" s="41"/>
      <c r="D70" s="41" t="s">
        <v>85</v>
      </c>
      <c r="E70" s="71" t="n">
        <f aca="false">Frhp/1000</f>
        <v>67.4725296692988</v>
      </c>
      <c r="F70" s="69" t="s">
        <v>18</v>
      </c>
      <c r="G70" s="38"/>
      <c r="H70" s="38"/>
      <c r="I70" s="27"/>
      <c r="J70" s="27"/>
      <c r="K70" s="27"/>
      <c r="L70" s="27"/>
      <c r="M70" s="27"/>
      <c r="N70" s="27"/>
      <c r="O70" s="27"/>
      <c r="P70" s="27"/>
      <c r="Q70" s="30"/>
      <c r="R70" s="133"/>
      <c r="S70" s="134"/>
      <c r="T70" s="134"/>
      <c r="W70" s="134"/>
      <c r="X70" s="134"/>
      <c r="Y70" s="134"/>
      <c r="AB70" s="134"/>
      <c r="AC70" s="134"/>
      <c r="AD70" s="134"/>
      <c r="AG70" s="134"/>
      <c r="AH70" s="134"/>
      <c r="AI70" s="134"/>
    </row>
    <row r="71" customFormat="false" ht="15" hidden="false" customHeight="true" outlineLevel="0" collapsed="false">
      <c r="A71" s="39"/>
      <c r="B71" s="40"/>
      <c r="C71" s="41"/>
      <c r="D71" s="128" t="s">
        <v>86</v>
      </c>
      <c r="E71" s="137" t="n">
        <v>4</v>
      </c>
      <c r="F71" s="44" t="str">
        <f aca="false">"     kHz "</f>
        <v>     kHz </v>
      </c>
      <c r="G71" s="38"/>
      <c r="H71" s="38"/>
      <c r="I71" s="27"/>
      <c r="J71" s="27"/>
      <c r="K71" s="27"/>
      <c r="L71" s="27"/>
      <c r="M71" s="27"/>
      <c r="N71" s="27"/>
      <c r="O71" s="27"/>
      <c r="P71" s="27"/>
      <c r="Q71" s="30"/>
      <c r="R71" s="133"/>
      <c r="S71" s="134"/>
      <c r="T71" s="134"/>
      <c r="W71" s="134"/>
      <c r="X71" s="134"/>
      <c r="Y71" s="134"/>
      <c r="AB71" s="134"/>
      <c r="AC71" s="134"/>
      <c r="AD71" s="134"/>
      <c r="AG71" s="134"/>
      <c r="AH71" s="134"/>
      <c r="AI71" s="134"/>
    </row>
    <row r="72" customFormat="false" ht="15" hidden="false" customHeight="true" outlineLevel="0" collapsed="false">
      <c r="A72" s="39"/>
      <c r="B72" s="40"/>
      <c r="C72" s="41"/>
      <c r="D72" s="41" t="s">
        <v>87</v>
      </c>
      <c r="E72" s="71" t="n">
        <f aca="false">Fp1_u</f>
        <v>0.241069242514527</v>
      </c>
      <c r="F72" s="69" t="s">
        <v>83</v>
      </c>
      <c r="G72" s="38"/>
      <c r="H72" s="38"/>
      <c r="I72" s="27"/>
      <c r="J72" s="27"/>
      <c r="K72" s="27"/>
      <c r="L72" s="27"/>
      <c r="M72" s="27"/>
      <c r="N72" s="27"/>
      <c r="O72" s="27"/>
      <c r="P72" s="27"/>
      <c r="Q72" s="30"/>
      <c r="R72" s="133"/>
      <c r="S72" s="134"/>
      <c r="T72" s="134"/>
      <c r="W72" s="134"/>
      <c r="X72" s="134"/>
      <c r="Y72" s="134"/>
      <c r="AB72" s="134"/>
      <c r="AC72" s="134"/>
      <c r="AD72" s="134"/>
      <c r="AG72" s="134"/>
      <c r="AH72" s="134"/>
      <c r="AI72" s="134"/>
    </row>
    <row r="73" customFormat="false" ht="15" hidden="false" customHeight="true" outlineLevel="0" collapsed="false">
      <c r="A73" s="39"/>
      <c r="B73" s="40"/>
      <c r="C73" s="41"/>
      <c r="D73" s="128" t="s">
        <v>88</v>
      </c>
      <c r="E73" s="138" t="n">
        <v>280</v>
      </c>
      <c r="F73" s="45" t="s">
        <v>20</v>
      </c>
      <c r="G73" s="38"/>
      <c r="H73" s="38"/>
      <c r="I73" s="27"/>
      <c r="J73" s="27"/>
      <c r="K73" s="27"/>
      <c r="L73" s="27"/>
      <c r="M73" s="27"/>
      <c r="N73" s="27"/>
      <c r="O73" s="27"/>
      <c r="P73" s="27"/>
      <c r="Q73" s="30"/>
      <c r="R73" s="133"/>
      <c r="S73" s="134"/>
      <c r="T73" s="134"/>
      <c r="W73" s="134"/>
      <c r="X73" s="134"/>
      <c r="Y73" s="134"/>
      <c r="AB73" s="134"/>
      <c r="AC73" s="134"/>
      <c r="AD73" s="134"/>
      <c r="AG73" s="134"/>
      <c r="AH73" s="134"/>
      <c r="AI73" s="134"/>
    </row>
    <row r="74" customFormat="false" ht="17.25" hidden="false" customHeight="true" outlineLevel="0" collapsed="false">
      <c r="A74" s="48"/>
      <c r="B74" s="49"/>
      <c r="C74" s="50"/>
      <c r="D74" s="50" t="s">
        <v>89</v>
      </c>
      <c r="E74" s="51" t="n">
        <f aca="false">IF(Vout=Vref,"OPEN",Rfb2_u/1000)</f>
        <v>20</v>
      </c>
      <c r="F74" s="52" t="str">
        <f aca="false">IF(Vout=Vref,"","kΩ")</f>
        <v>kΩ</v>
      </c>
      <c r="G74" s="38"/>
      <c r="H74" s="38"/>
      <c r="I74" s="27"/>
      <c r="J74" s="27"/>
      <c r="K74" s="27"/>
      <c r="L74" s="27"/>
      <c r="M74" s="27"/>
      <c r="N74" s="27"/>
      <c r="O74" s="27"/>
      <c r="P74" s="27"/>
      <c r="Q74" s="30"/>
      <c r="R74" s="133"/>
      <c r="S74" s="134"/>
      <c r="T74" s="134"/>
      <c r="W74" s="134"/>
      <c r="X74" s="134"/>
      <c r="Y74" s="134"/>
      <c r="AB74" s="134"/>
      <c r="AC74" s="134"/>
      <c r="AD74" s="134"/>
      <c r="AG74" s="134"/>
      <c r="AH74" s="134"/>
      <c r="AI74" s="134"/>
    </row>
    <row r="75" customFormat="false" ht="13.5" hidden="false" customHeight="true" outlineLevel="0" collapsed="false">
      <c r="A75" s="139"/>
      <c r="B75" s="140"/>
      <c r="C75" s="141"/>
      <c r="D75" s="110"/>
      <c r="E75" s="110"/>
      <c r="F75" s="110"/>
      <c r="G75" s="142"/>
      <c r="H75" s="143"/>
      <c r="I75" s="27"/>
      <c r="J75" s="27"/>
      <c r="K75" s="27"/>
      <c r="L75" s="27"/>
      <c r="M75" s="27"/>
      <c r="N75" s="27"/>
      <c r="O75" s="27"/>
      <c r="P75" s="27"/>
      <c r="Q75" s="30"/>
      <c r="R75" s="133"/>
      <c r="S75" s="134"/>
      <c r="T75" s="134"/>
      <c r="W75" s="134"/>
      <c r="X75" s="134"/>
      <c r="Y75" s="134"/>
      <c r="AB75" s="134"/>
      <c r="AC75" s="134"/>
      <c r="AD75" s="134"/>
      <c r="AG75" s="134"/>
      <c r="AH75" s="134"/>
      <c r="AI75" s="134"/>
    </row>
    <row r="76" customFormat="false" ht="15.75" hidden="false" customHeight="true" outlineLevel="0" collapsed="false">
      <c r="A76" s="144" t="s">
        <v>90</v>
      </c>
      <c r="B76" s="145"/>
      <c r="C76" s="64"/>
      <c r="D76" s="146"/>
      <c r="E76" s="147"/>
      <c r="F76" s="148"/>
      <c r="G76" s="143"/>
      <c r="H76" s="38"/>
      <c r="I76" s="27"/>
      <c r="J76" s="27"/>
      <c r="K76" s="27"/>
      <c r="L76" s="27"/>
      <c r="M76" s="27"/>
      <c r="N76" s="27"/>
      <c r="O76" s="27"/>
      <c r="P76" s="27"/>
      <c r="Q76" s="30"/>
      <c r="R76" s="133"/>
      <c r="S76" s="134"/>
      <c r="T76" s="134"/>
      <c r="W76" s="134"/>
      <c r="X76" s="134"/>
      <c r="Y76" s="134"/>
      <c r="AB76" s="134"/>
      <c r="AC76" s="134"/>
      <c r="AD76" s="134"/>
      <c r="AG76" s="134"/>
      <c r="AH76" s="134"/>
      <c r="AI76" s="134"/>
    </row>
    <row r="77" s="158" customFormat="true" ht="13.5" hidden="false" customHeight="true" outlineLevel="0" collapsed="false">
      <c r="A77" s="149"/>
      <c r="B77" s="150" t="s">
        <v>91</v>
      </c>
      <c r="C77" s="151" t="s">
        <v>92</v>
      </c>
      <c r="D77" s="152" t="str">
        <f aca="false">"    Selected"</f>
        <v>    Selected</v>
      </c>
      <c r="E77" s="132"/>
      <c r="F77" s="153" t="s">
        <v>93</v>
      </c>
      <c r="G77" s="153"/>
      <c r="H77" s="153"/>
      <c r="I77" s="154"/>
      <c r="J77" s="154"/>
      <c r="K77" s="154"/>
      <c r="L77" s="154"/>
      <c r="M77" s="154"/>
      <c r="N77" s="154"/>
      <c r="O77" s="154"/>
      <c r="P77" s="154"/>
      <c r="Q77" s="155"/>
      <c r="R77" s="156"/>
      <c r="S77" s="157"/>
      <c r="T77" s="157"/>
      <c r="W77" s="157"/>
      <c r="X77" s="157"/>
      <c r="Y77" s="157"/>
      <c r="AB77" s="157"/>
      <c r="AC77" s="157"/>
      <c r="AD77" s="157"/>
      <c r="AG77" s="157"/>
      <c r="AH77" s="157"/>
      <c r="AI77" s="157"/>
    </row>
    <row r="78" customFormat="false" ht="12.75" hidden="false" customHeight="false" outlineLevel="0" collapsed="false">
      <c r="A78" s="159" t="s">
        <v>94</v>
      </c>
      <c r="B78" s="160" t="n">
        <f aca="false">Rcea1/1000</f>
        <v>4.75005007597337</v>
      </c>
      <c r="C78" s="161" t="n">
        <f aca="false">'Standard Value Calculator'!O27</f>
        <v>4.75</v>
      </c>
      <c r="D78" s="162" t="n">
        <v>6.19</v>
      </c>
      <c r="E78" s="163" t="s">
        <v>20</v>
      </c>
      <c r="F78" s="164" t="n">
        <f aca="false">Fp1_u</f>
        <v>0.241069242514527</v>
      </c>
      <c r="G78" s="165" t="s">
        <v>95</v>
      </c>
      <c r="H78" s="110"/>
      <c r="I78" s="64" t="s">
        <v>96</v>
      </c>
      <c r="J78" s="166" t="str">
        <f aca="false">ROUND('Variable Management'!B269,2)&amp;"V"</f>
        <v>0.61V</v>
      </c>
      <c r="K78" s="38"/>
      <c r="L78" s="27"/>
      <c r="M78" s="27"/>
      <c r="N78" s="27"/>
      <c r="O78" s="27"/>
      <c r="P78" s="27"/>
      <c r="Q78" s="30"/>
      <c r="R78" s="133"/>
      <c r="S78" s="134"/>
      <c r="T78" s="134"/>
      <c r="W78" s="134"/>
      <c r="X78" s="134"/>
      <c r="Y78" s="134"/>
      <c r="AB78" s="134"/>
      <c r="AC78" s="134"/>
      <c r="AD78" s="134"/>
      <c r="AG78" s="134"/>
      <c r="AH78" s="134"/>
      <c r="AI78" s="134"/>
    </row>
    <row r="79" customFormat="false" ht="12.75" hidden="false" customHeight="false" outlineLevel="0" collapsed="false">
      <c r="A79" s="167" t="s">
        <v>97</v>
      </c>
      <c r="B79" s="168" t="n">
        <f aca="false">Cc1ea*1000000000</f>
        <v>38.1459376216245</v>
      </c>
      <c r="C79" s="143" t="n">
        <f aca="false">'Standard Value Calculator'!O28</f>
        <v>39</v>
      </c>
      <c r="D79" s="169" t="n">
        <v>33</v>
      </c>
      <c r="E79" s="170" t="s">
        <v>75</v>
      </c>
      <c r="F79" s="171" t="n">
        <f aca="false">Fz1_u/1000</f>
        <v>0.779140075751488</v>
      </c>
      <c r="G79" s="172" t="s">
        <v>98</v>
      </c>
      <c r="H79" s="110"/>
      <c r="I79" s="64" t="s">
        <v>99</v>
      </c>
      <c r="J79" s="166" t="str">
        <f aca="false">ROUND('Variable Management'!B270,2)&amp;"V"</f>
        <v>2.29V</v>
      </c>
      <c r="K79" s="38"/>
      <c r="L79" s="27"/>
      <c r="M79" s="27"/>
      <c r="N79" s="27"/>
      <c r="O79" s="27"/>
      <c r="P79" s="27"/>
      <c r="Q79" s="30"/>
      <c r="R79" s="133"/>
      <c r="S79" s="134"/>
      <c r="T79" s="134"/>
      <c r="W79" s="134"/>
      <c r="X79" s="134"/>
      <c r="Y79" s="134"/>
      <c r="AB79" s="134"/>
      <c r="AC79" s="134"/>
      <c r="AD79" s="134"/>
      <c r="AG79" s="134"/>
      <c r="AH79" s="134"/>
      <c r="AI79" s="134"/>
    </row>
    <row r="80" customFormat="false" ht="12.75" hidden="false" customHeight="false" outlineLevel="0" collapsed="false">
      <c r="A80" s="173" t="s">
        <v>100</v>
      </c>
      <c r="B80" s="174" t="n">
        <f aca="false">IF(Cc2ea*1000000000000&lt;0, 0, Cc2ea*1000000000000)</f>
        <v>1091.59917332137</v>
      </c>
      <c r="C80" s="175" t="n">
        <f aca="false">'Standard Value Calculator'!O29</f>
        <v>1000</v>
      </c>
      <c r="D80" s="176" t="n">
        <v>1000</v>
      </c>
      <c r="E80" s="177" t="s">
        <v>42</v>
      </c>
      <c r="F80" s="178" t="n">
        <f aca="false">Fp2_u/1000</f>
        <v>25.0780054450232</v>
      </c>
      <c r="G80" s="179" t="s">
        <v>101</v>
      </c>
      <c r="H80" s="110"/>
      <c r="I80" s="27"/>
      <c r="J80" s="27"/>
      <c r="K80" s="27"/>
      <c r="L80" s="27"/>
      <c r="M80" s="27"/>
      <c r="N80" s="27"/>
      <c r="O80" s="27"/>
      <c r="P80" s="27"/>
      <c r="Q80" s="30"/>
      <c r="R80" s="133"/>
      <c r="S80" s="134"/>
      <c r="T80" s="134"/>
      <c r="W80" s="134"/>
      <c r="X80" s="134"/>
      <c r="Y80" s="134"/>
      <c r="AB80" s="134"/>
      <c r="AC80" s="134"/>
      <c r="AD80" s="134"/>
      <c r="AG80" s="134"/>
      <c r="AH80" s="134"/>
      <c r="AI80" s="134"/>
    </row>
    <row r="81" customFormat="false" ht="12.75" hidden="false" customHeight="false" outlineLevel="0" collapsed="false">
      <c r="A81" s="53"/>
      <c r="B81" s="64"/>
      <c r="C81" s="64"/>
      <c r="D81" s="180"/>
      <c r="E81" s="38"/>
      <c r="F81" s="38"/>
      <c r="G81" s="38"/>
      <c r="H81" s="38"/>
      <c r="I81" s="27"/>
      <c r="J81" s="27"/>
      <c r="K81" s="27"/>
      <c r="L81" s="27"/>
      <c r="M81" s="27"/>
      <c r="N81" s="27"/>
      <c r="O81" s="27"/>
      <c r="P81" s="27"/>
      <c r="Q81" s="30"/>
      <c r="R81" s="133"/>
      <c r="S81" s="134"/>
      <c r="T81" s="134"/>
      <c r="W81" s="134"/>
      <c r="X81" s="134"/>
      <c r="Y81" s="134"/>
      <c r="AB81" s="134"/>
      <c r="AC81" s="134"/>
      <c r="AD81" s="134"/>
      <c r="AG81" s="134"/>
      <c r="AH81" s="134"/>
      <c r="AI81" s="134"/>
    </row>
    <row r="82" s="188" customFormat="true" ht="17.35" hidden="false" customHeight="false" outlineLevel="0" collapsed="false">
      <c r="A82" s="181" t="s">
        <v>102</v>
      </c>
      <c r="B82" s="182"/>
      <c r="C82" s="183"/>
      <c r="D82" s="183"/>
      <c r="E82" s="183"/>
      <c r="F82" s="183"/>
      <c r="G82" s="183"/>
      <c r="H82" s="183"/>
      <c r="I82" s="184"/>
      <c r="J82" s="184"/>
      <c r="K82" s="184"/>
      <c r="L82" s="184"/>
      <c r="M82" s="184"/>
      <c r="N82" s="184"/>
      <c r="O82" s="184"/>
      <c r="P82" s="184"/>
      <c r="Q82" s="185"/>
      <c r="R82" s="186"/>
      <c r="S82" s="187"/>
      <c r="T82" s="187"/>
      <c r="W82" s="187"/>
      <c r="X82" s="187"/>
      <c r="Y82" s="187"/>
      <c r="AB82" s="187"/>
      <c r="AC82" s="187"/>
      <c r="AD82" s="187"/>
      <c r="AG82" s="187"/>
      <c r="AH82" s="187"/>
      <c r="AI82" s="187"/>
    </row>
    <row r="83" customFormat="false" ht="12.75" hidden="false" customHeight="false" outlineLevel="0" collapsed="false">
      <c r="A83" s="53"/>
      <c r="B83" s="110"/>
      <c r="C83" s="38"/>
      <c r="D83" s="38"/>
      <c r="E83" s="38"/>
      <c r="F83" s="38"/>
      <c r="G83" s="38"/>
      <c r="H83" s="38"/>
      <c r="I83" s="27"/>
      <c r="J83" s="27"/>
      <c r="K83" s="27"/>
      <c r="L83" s="27"/>
      <c r="M83" s="27"/>
      <c r="N83" s="27"/>
      <c r="O83" s="27"/>
      <c r="P83" s="27"/>
      <c r="Q83" s="30"/>
      <c r="R83" s="133"/>
      <c r="S83" s="134"/>
      <c r="T83" s="134"/>
      <c r="W83" s="134"/>
      <c r="X83" s="134"/>
      <c r="Y83" s="134"/>
      <c r="AB83" s="134"/>
      <c r="AC83" s="134"/>
      <c r="AD83" s="134"/>
      <c r="AG83" s="134"/>
      <c r="AH83" s="134"/>
      <c r="AI83" s="134"/>
    </row>
    <row r="84" customFormat="false" ht="17.35" hidden="false" customHeight="false" outlineLevel="0" collapsed="false">
      <c r="A84" s="189" t="s">
        <v>103</v>
      </c>
      <c r="B84" s="56"/>
      <c r="C84" s="38"/>
      <c r="D84" s="38"/>
      <c r="E84" s="38"/>
      <c r="F84" s="38"/>
      <c r="G84" s="38"/>
      <c r="H84" s="38"/>
      <c r="I84" s="27"/>
      <c r="J84" s="27"/>
      <c r="K84" s="27"/>
      <c r="L84" s="27"/>
      <c r="M84" s="190" t="s">
        <v>62</v>
      </c>
      <c r="N84" s="191" t="str">
        <f aca="false">VIN_nom&amp;"V"</f>
        <v>12V</v>
      </c>
      <c r="O84" s="27"/>
      <c r="P84" s="27"/>
      <c r="Q84" s="30"/>
      <c r="R84" s="133"/>
      <c r="S84" s="134"/>
      <c r="T84" s="134"/>
      <c r="W84" s="134"/>
      <c r="X84" s="134"/>
      <c r="Y84" s="134"/>
      <c r="AB84" s="134"/>
      <c r="AC84" s="134"/>
      <c r="AD84" s="134"/>
      <c r="AG84" s="134"/>
      <c r="AH84" s="134"/>
      <c r="AI84" s="134"/>
    </row>
    <row r="85" customFormat="false" ht="18" hidden="false" customHeight="true" outlineLevel="0" collapsed="false">
      <c r="A85" s="115"/>
      <c r="B85" s="116"/>
      <c r="C85" s="60"/>
      <c r="D85" s="192" t="s">
        <v>104</v>
      </c>
      <c r="E85" s="193" t="s">
        <v>105</v>
      </c>
      <c r="F85" s="60"/>
      <c r="G85" s="63"/>
      <c r="H85" s="38"/>
      <c r="I85" s="27"/>
      <c r="J85" s="27"/>
      <c r="K85" s="27"/>
      <c r="L85" s="27"/>
      <c r="M85" s="27"/>
      <c r="N85" s="27"/>
      <c r="O85" s="27"/>
      <c r="P85" s="27"/>
      <c r="Q85" s="30"/>
      <c r="R85" s="133"/>
      <c r="S85" s="134"/>
      <c r="T85" s="194"/>
      <c r="U85" s="194"/>
      <c r="W85" s="134"/>
      <c r="X85" s="134"/>
      <c r="Y85" s="134"/>
      <c r="AB85" s="134"/>
      <c r="AC85" s="134"/>
      <c r="AD85" s="134"/>
      <c r="AG85" s="134"/>
      <c r="AH85" s="134"/>
      <c r="AI85" s="134"/>
    </row>
    <row r="86" customFormat="false" ht="14.25" hidden="false" customHeight="true" outlineLevel="0" collapsed="false">
      <c r="A86" s="195"/>
      <c r="B86" s="114"/>
      <c r="C86" s="114"/>
      <c r="D86" s="114"/>
      <c r="E86" s="196" t="s">
        <v>106</v>
      </c>
      <c r="F86" s="197" t="s">
        <v>107</v>
      </c>
      <c r="G86" s="197"/>
      <c r="H86" s="38"/>
      <c r="I86" s="27"/>
      <c r="J86" s="27"/>
      <c r="K86" s="27"/>
      <c r="L86" s="27"/>
      <c r="M86" s="27"/>
      <c r="N86" s="27"/>
      <c r="O86" s="27"/>
      <c r="P86" s="27"/>
      <c r="Q86" s="30"/>
      <c r="R86" s="133"/>
      <c r="S86" s="134"/>
      <c r="T86" s="194"/>
      <c r="U86" s="194"/>
      <c r="W86" s="134"/>
      <c r="X86" s="134"/>
      <c r="Y86" s="134"/>
      <c r="AB86" s="134"/>
      <c r="AC86" s="134"/>
      <c r="AD86" s="134"/>
      <c r="AG86" s="134"/>
      <c r="AH86" s="134"/>
      <c r="AI86" s="134"/>
    </row>
    <row r="87" customFormat="false" ht="14.25" hidden="false" customHeight="true" outlineLevel="0" collapsed="false">
      <c r="A87" s="53"/>
      <c r="B87" s="38"/>
      <c r="C87" s="112"/>
      <c r="D87" s="102" t="s">
        <v>108</v>
      </c>
      <c r="E87" s="198" t="n">
        <v>5.7</v>
      </c>
      <c r="F87" s="198" t="n">
        <v>5.7</v>
      </c>
      <c r="G87" s="101" t="s">
        <v>26</v>
      </c>
      <c r="H87" s="38"/>
      <c r="I87" s="27"/>
      <c r="J87" s="27"/>
      <c r="K87" s="27"/>
      <c r="L87" s="27"/>
      <c r="M87" s="27"/>
      <c r="N87" s="27"/>
      <c r="O87" s="27"/>
      <c r="P87" s="27"/>
      <c r="Q87" s="30"/>
      <c r="R87" s="133"/>
      <c r="S87" s="134"/>
      <c r="T87" s="194"/>
      <c r="U87" s="194"/>
      <c r="W87" s="134"/>
      <c r="X87" s="134"/>
      <c r="Y87" s="134"/>
      <c r="AB87" s="134"/>
      <c r="AC87" s="134"/>
      <c r="AD87" s="134"/>
      <c r="AG87" s="134"/>
      <c r="AH87" s="134"/>
      <c r="AI87" s="134"/>
    </row>
    <row r="88" customFormat="false" ht="14.25" hidden="false" customHeight="true" outlineLevel="0" collapsed="false">
      <c r="A88" s="53"/>
      <c r="B88" s="38"/>
      <c r="C88" s="112"/>
      <c r="D88" s="102" t="s">
        <v>109</v>
      </c>
      <c r="E88" s="66" t="n">
        <v>11</v>
      </c>
      <c r="F88" s="66" t="n">
        <v>11</v>
      </c>
      <c r="G88" s="101" t="s">
        <v>110</v>
      </c>
      <c r="H88" s="38"/>
      <c r="I88" s="27"/>
      <c r="J88" s="27"/>
      <c r="K88" s="27"/>
      <c r="L88" s="27"/>
      <c r="M88" s="27"/>
      <c r="N88" s="27"/>
      <c r="O88" s="27"/>
      <c r="P88" s="27"/>
      <c r="Q88" s="30"/>
      <c r="R88" s="133"/>
      <c r="S88" s="134"/>
      <c r="T88" s="194"/>
      <c r="U88" s="194"/>
      <c r="W88" s="134"/>
      <c r="X88" s="134"/>
      <c r="Y88" s="134"/>
      <c r="AB88" s="134"/>
      <c r="AC88" s="134"/>
      <c r="AD88" s="134"/>
      <c r="AG88" s="134"/>
      <c r="AH88" s="134"/>
      <c r="AI88" s="134"/>
    </row>
    <row r="89" customFormat="false" ht="14.25" hidden="false" customHeight="true" outlineLevel="0" collapsed="false">
      <c r="A89" s="53"/>
      <c r="B89" s="38"/>
      <c r="C89" s="112"/>
      <c r="D89" s="102" t="s">
        <v>111</v>
      </c>
      <c r="E89" s="119" t="n">
        <v>2.9</v>
      </c>
      <c r="F89" s="119" t="n">
        <v>2.9</v>
      </c>
      <c r="G89" s="101" t="s">
        <v>110</v>
      </c>
      <c r="H89" s="38"/>
      <c r="I89" s="27"/>
      <c r="J89" s="27"/>
      <c r="K89" s="27"/>
      <c r="L89" s="27"/>
      <c r="M89" s="27"/>
      <c r="N89" s="27"/>
      <c r="O89" s="27"/>
      <c r="P89" s="27"/>
      <c r="Q89" s="30"/>
      <c r="R89" s="133"/>
      <c r="S89" s="134"/>
      <c r="T89" s="194"/>
      <c r="U89" s="194"/>
      <c r="W89" s="134"/>
      <c r="X89" s="134"/>
      <c r="Y89" s="134"/>
      <c r="AB89" s="134"/>
      <c r="AC89" s="134"/>
      <c r="AD89" s="134"/>
      <c r="AG89" s="134"/>
      <c r="AH89" s="134"/>
      <c r="AI89" s="134"/>
    </row>
    <row r="90" customFormat="false" ht="14.25" hidden="false" customHeight="true" outlineLevel="0" collapsed="false">
      <c r="A90" s="53"/>
      <c r="B90" s="38"/>
      <c r="C90" s="112"/>
      <c r="D90" s="102" t="s">
        <v>112</v>
      </c>
      <c r="E90" s="119" t="n">
        <v>3.3</v>
      </c>
      <c r="F90" s="119" t="n">
        <v>3.3</v>
      </c>
      <c r="G90" s="101" t="s">
        <v>110</v>
      </c>
      <c r="H90" s="38"/>
      <c r="I90" s="27"/>
      <c r="J90" s="27"/>
      <c r="K90" s="27"/>
      <c r="L90" s="27"/>
      <c r="M90" s="27"/>
      <c r="N90" s="27"/>
      <c r="O90" s="27"/>
      <c r="P90" s="27"/>
      <c r="Q90" s="30"/>
      <c r="R90" s="133"/>
      <c r="S90" s="134"/>
      <c r="T90" s="194"/>
      <c r="U90" s="194"/>
      <c r="W90" s="134"/>
      <c r="X90" s="134"/>
      <c r="Y90" s="134"/>
      <c r="AB90" s="134"/>
      <c r="AC90" s="134"/>
      <c r="AD90" s="134"/>
      <c r="AG90" s="134"/>
      <c r="AH90" s="134"/>
      <c r="AI90" s="134"/>
    </row>
    <row r="91" customFormat="false" ht="14.25" hidden="false" customHeight="true" outlineLevel="0" collapsed="false">
      <c r="A91" s="53"/>
      <c r="B91" s="38"/>
      <c r="C91" s="112"/>
      <c r="D91" s="102" t="s">
        <v>113</v>
      </c>
      <c r="E91" s="119" t="n">
        <v>1.5</v>
      </c>
      <c r="F91" s="119" t="n">
        <v>1.5</v>
      </c>
      <c r="G91" s="101" t="s">
        <v>114</v>
      </c>
      <c r="H91" s="38"/>
      <c r="I91" s="27"/>
      <c r="J91" s="27"/>
      <c r="K91" s="27"/>
      <c r="L91" s="27"/>
      <c r="M91" s="27"/>
      <c r="N91" s="27"/>
      <c r="O91" s="27"/>
      <c r="P91" s="27"/>
      <c r="Q91" s="30"/>
      <c r="R91" s="133"/>
      <c r="S91" s="134"/>
      <c r="T91" s="194"/>
      <c r="U91" s="194"/>
      <c r="W91" s="134"/>
      <c r="X91" s="134"/>
      <c r="Y91" s="134"/>
      <c r="AB91" s="134"/>
      <c r="AC91" s="134"/>
      <c r="AD91" s="134"/>
      <c r="AG91" s="134"/>
      <c r="AH91" s="134"/>
      <c r="AI91" s="134"/>
    </row>
    <row r="92" customFormat="false" ht="14.25" hidden="false" customHeight="true" outlineLevel="0" collapsed="false">
      <c r="A92" s="53"/>
      <c r="B92" s="38"/>
      <c r="C92" s="112"/>
      <c r="D92" s="102" t="s">
        <v>115</v>
      </c>
      <c r="E92" s="119" t="n">
        <v>60</v>
      </c>
      <c r="F92" s="119" t="n">
        <v>60</v>
      </c>
      <c r="G92" s="101" t="s">
        <v>116</v>
      </c>
      <c r="H92" s="38"/>
      <c r="I92" s="27"/>
      <c r="J92" s="27"/>
      <c r="K92" s="27"/>
      <c r="L92" s="27"/>
      <c r="M92" s="27"/>
      <c r="N92" s="27"/>
      <c r="O92" s="27"/>
      <c r="P92" s="27"/>
      <c r="Q92" s="30"/>
      <c r="R92" s="133"/>
      <c r="S92" s="134"/>
      <c r="T92" s="194"/>
      <c r="U92" s="194"/>
      <c r="W92" s="134"/>
      <c r="X92" s="134"/>
      <c r="Y92" s="134"/>
      <c r="AB92" s="134"/>
      <c r="AC92" s="134"/>
      <c r="AD92" s="134"/>
      <c r="AG92" s="134"/>
      <c r="AH92" s="134"/>
      <c r="AI92" s="134"/>
    </row>
    <row r="93" customFormat="false" ht="14.25" hidden="false" customHeight="true" outlineLevel="0" collapsed="false">
      <c r="A93" s="53"/>
      <c r="B93" s="38"/>
      <c r="C93" s="112"/>
      <c r="D93" s="102" t="s">
        <v>117</v>
      </c>
      <c r="E93" s="119" t="n">
        <v>4</v>
      </c>
      <c r="F93" s="119" t="n">
        <v>4</v>
      </c>
      <c r="G93" s="101" t="s">
        <v>11</v>
      </c>
      <c r="H93" s="38"/>
      <c r="I93" s="27"/>
      <c r="J93" s="27"/>
      <c r="K93" s="27"/>
      <c r="L93" s="27"/>
      <c r="M93" s="27"/>
      <c r="N93" s="27"/>
      <c r="O93" s="27"/>
      <c r="P93" s="27"/>
      <c r="Q93" s="30"/>
      <c r="R93" s="133"/>
      <c r="S93" s="134"/>
      <c r="T93" s="194"/>
      <c r="U93" s="194"/>
      <c r="W93" s="134"/>
      <c r="X93" s="134"/>
      <c r="Y93" s="134"/>
      <c r="AB93" s="134"/>
      <c r="AC93" s="134"/>
      <c r="AD93" s="134"/>
      <c r="AG93" s="134"/>
      <c r="AH93" s="134"/>
      <c r="AI93" s="134"/>
    </row>
    <row r="94" customFormat="false" ht="14.25" hidden="false" customHeight="true" outlineLevel="0" collapsed="false">
      <c r="A94" s="53"/>
      <c r="B94" s="38"/>
      <c r="C94" s="112"/>
      <c r="D94" s="102" t="s">
        <v>118</v>
      </c>
      <c r="E94" s="119" t="n">
        <v>0.8</v>
      </c>
      <c r="F94" s="119" t="n">
        <v>0.8</v>
      </c>
      <c r="G94" s="101" t="s">
        <v>11</v>
      </c>
      <c r="H94" s="38"/>
      <c r="I94" s="27"/>
      <c r="J94" s="27"/>
      <c r="K94" s="27"/>
      <c r="L94" s="27"/>
      <c r="M94" s="27"/>
      <c r="N94" s="27"/>
      <c r="O94" s="27"/>
      <c r="P94" s="27"/>
      <c r="Q94" s="30"/>
      <c r="R94" s="133"/>
      <c r="S94" s="134"/>
      <c r="T94" s="194"/>
      <c r="U94" s="194"/>
      <c r="W94" s="134"/>
      <c r="X94" s="134"/>
      <c r="Y94" s="134"/>
      <c r="AB94" s="134"/>
      <c r="AC94" s="134"/>
      <c r="AD94" s="134"/>
      <c r="AG94" s="134"/>
      <c r="AH94" s="134"/>
      <c r="AI94" s="134"/>
    </row>
    <row r="95" customFormat="false" ht="14.25" hidden="false" customHeight="true" outlineLevel="0" collapsed="false">
      <c r="A95" s="53"/>
      <c r="B95" s="38"/>
      <c r="C95" s="38"/>
      <c r="D95" s="102" t="s">
        <v>119</v>
      </c>
      <c r="E95" s="199"/>
      <c r="F95" s="119" t="n">
        <v>63</v>
      </c>
      <c r="G95" s="101" t="s">
        <v>110</v>
      </c>
      <c r="H95" s="38"/>
      <c r="I95" s="27"/>
      <c r="J95" s="27"/>
      <c r="K95" s="27"/>
      <c r="L95" s="27"/>
      <c r="M95" s="27"/>
      <c r="N95" s="27"/>
      <c r="O95" s="27"/>
      <c r="P95" s="27"/>
      <c r="Q95" s="30"/>
      <c r="R95" s="133"/>
      <c r="S95" s="134"/>
      <c r="T95" s="194"/>
      <c r="U95" s="194"/>
      <c r="W95" s="134"/>
      <c r="X95" s="134"/>
      <c r="Y95" s="134"/>
      <c r="AB95" s="134"/>
      <c r="AC95" s="134"/>
      <c r="AD95" s="134"/>
      <c r="AG95" s="134"/>
      <c r="AH95" s="134"/>
      <c r="AI95" s="134"/>
    </row>
    <row r="96" customFormat="false" ht="14.25" hidden="false" customHeight="true" outlineLevel="0" collapsed="false">
      <c r="A96" s="106"/>
      <c r="B96" s="107"/>
      <c r="C96" s="200"/>
      <c r="D96" s="201" t="s">
        <v>120</v>
      </c>
      <c r="E96" s="202" t="n">
        <v>50</v>
      </c>
      <c r="F96" s="202" t="n">
        <v>50</v>
      </c>
      <c r="G96" s="109" t="s">
        <v>121</v>
      </c>
      <c r="H96" s="38"/>
      <c r="I96" s="27"/>
      <c r="J96" s="27"/>
      <c r="K96" s="27"/>
      <c r="L96" s="27"/>
      <c r="M96" s="27"/>
      <c r="N96" s="27"/>
      <c r="O96" s="27"/>
      <c r="P96" s="27"/>
      <c r="Q96" s="30"/>
      <c r="R96" s="133"/>
      <c r="S96" s="134"/>
      <c r="T96" s="194"/>
      <c r="U96" s="194"/>
      <c r="W96" s="134"/>
      <c r="X96" s="134"/>
      <c r="Y96" s="134"/>
      <c r="AB96" s="134"/>
      <c r="AC96" s="134"/>
      <c r="AD96" s="134"/>
      <c r="AG96" s="134"/>
      <c r="AH96" s="134"/>
      <c r="AI96" s="134"/>
    </row>
    <row r="97" customFormat="false" ht="18" hidden="false" customHeight="true" outlineLevel="0" collapsed="false">
      <c r="A97" s="53"/>
      <c r="B97" s="38"/>
      <c r="C97" s="112"/>
      <c r="D97" s="102"/>
      <c r="E97" s="203"/>
      <c r="F97" s="204"/>
      <c r="G97" s="38"/>
      <c r="H97" s="38"/>
      <c r="I97" s="27"/>
      <c r="J97" s="27"/>
      <c r="K97" s="27"/>
      <c r="L97" s="27"/>
      <c r="M97" s="27"/>
      <c r="N97" s="27"/>
      <c r="O97" s="27"/>
      <c r="P97" s="27"/>
      <c r="Q97" s="30"/>
      <c r="R97" s="133"/>
      <c r="S97" s="134"/>
      <c r="T97" s="194"/>
      <c r="U97" s="194"/>
      <c r="W97" s="134"/>
      <c r="X97" s="134"/>
      <c r="Y97" s="134"/>
      <c r="AB97" s="134"/>
      <c r="AC97" s="134"/>
      <c r="AD97" s="134"/>
      <c r="AG97" s="134"/>
      <c r="AH97" s="134"/>
      <c r="AI97" s="134"/>
    </row>
    <row r="98" customFormat="false" ht="14.25" hidden="false" customHeight="true" outlineLevel="0" collapsed="false">
      <c r="A98" s="115"/>
      <c r="B98" s="116"/>
      <c r="C98" s="32"/>
      <c r="D98" s="192" t="s">
        <v>122</v>
      </c>
      <c r="E98" s="193" t="s">
        <v>123</v>
      </c>
      <c r="F98" s="60"/>
      <c r="G98" s="63"/>
      <c r="H98" s="38"/>
      <c r="I98" s="27"/>
      <c r="J98" s="27"/>
      <c r="K98" s="27"/>
      <c r="L98" s="27"/>
      <c r="M98" s="27"/>
      <c r="N98" s="27"/>
      <c r="O98" s="27"/>
      <c r="P98" s="27"/>
      <c r="Q98" s="30"/>
      <c r="R98" s="133"/>
      <c r="S98" s="134"/>
      <c r="T98" s="194"/>
      <c r="U98" s="194"/>
      <c r="W98" s="134"/>
      <c r="X98" s="134"/>
      <c r="Y98" s="134"/>
      <c r="AB98" s="134"/>
      <c r="AC98" s="134"/>
      <c r="AD98" s="134"/>
      <c r="AG98" s="134"/>
      <c r="AH98" s="134"/>
      <c r="AI98" s="134"/>
    </row>
    <row r="99" customFormat="false" ht="14.25" hidden="false" customHeight="true" outlineLevel="0" collapsed="false">
      <c r="A99" s="195"/>
      <c r="B99" s="114"/>
      <c r="C99" s="114"/>
      <c r="D99" s="114"/>
      <c r="E99" s="205" t="s">
        <v>106</v>
      </c>
      <c r="F99" s="206" t="s">
        <v>107</v>
      </c>
      <c r="G99" s="69"/>
      <c r="H99" s="38"/>
      <c r="I99" s="27"/>
      <c r="J99" s="27"/>
      <c r="K99" s="27"/>
      <c r="L99" s="27"/>
      <c r="M99" s="27"/>
      <c r="N99" s="27"/>
      <c r="O99" s="27"/>
      <c r="P99" s="27"/>
      <c r="Q99" s="30"/>
      <c r="R99" s="133"/>
      <c r="S99" s="134"/>
      <c r="T99" s="194"/>
      <c r="U99" s="194"/>
      <c r="W99" s="134"/>
      <c r="X99" s="134"/>
      <c r="Y99" s="134"/>
      <c r="AB99" s="134"/>
      <c r="AC99" s="134"/>
      <c r="AD99" s="134"/>
      <c r="AG99" s="134"/>
      <c r="AH99" s="134"/>
      <c r="AI99" s="134"/>
    </row>
    <row r="100" customFormat="false" ht="14.25" hidden="false" customHeight="true" outlineLevel="0" collapsed="false">
      <c r="A100" s="53"/>
      <c r="B100" s="38"/>
      <c r="C100" s="38"/>
      <c r="D100" s="102" t="s">
        <v>108</v>
      </c>
      <c r="E100" s="119" t="n">
        <v>1.9</v>
      </c>
      <c r="F100" s="119" t="n">
        <v>1.9</v>
      </c>
      <c r="G100" s="101" t="s">
        <v>26</v>
      </c>
      <c r="H100" s="38"/>
      <c r="I100" s="27"/>
      <c r="J100" s="27"/>
      <c r="K100" s="27"/>
      <c r="L100" s="27"/>
      <c r="M100" s="27"/>
      <c r="N100" s="27"/>
      <c r="O100" s="27"/>
      <c r="P100" s="27"/>
      <c r="Q100" s="30"/>
      <c r="R100" s="133"/>
      <c r="S100" s="134"/>
      <c r="T100" s="194"/>
      <c r="U100" s="194"/>
      <c r="W100" s="134"/>
      <c r="X100" s="134"/>
      <c r="Y100" s="134"/>
      <c r="AB100" s="134"/>
      <c r="AC100" s="134"/>
      <c r="AD100" s="134"/>
      <c r="AG100" s="134"/>
      <c r="AH100" s="134"/>
      <c r="AI100" s="134"/>
    </row>
    <row r="101" customFormat="false" ht="14.25" hidden="false" customHeight="true" outlineLevel="0" collapsed="false">
      <c r="A101" s="53"/>
      <c r="B101" s="38"/>
      <c r="C101" s="38"/>
      <c r="D101" s="102" t="s">
        <v>109</v>
      </c>
      <c r="E101" s="119" t="n">
        <v>22</v>
      </c>
      <c r="F101" s="119" t="n">
        <v>22</v>
      </c>
      <c r="G101" s="101" t="s">
        <v>110</v>
      </c>
      <c r="H101" s="38"/>
      <c r="I101" s="27"/>
      <c r="J101" s="27"/>
      <c r="K101" s="27"/>
      <c r="L101" s="27"/>
      <c r="M101" s="27"/>
      <c r="N101" s="27"/>
      <c r="O101" s="27"/>
      <c r="P101" s="27"/>
      <c r="Q101" s="30"/>
      <c r="R101" s="133"/>
      <c r="S101" s="134"/>
      <c r="T101" s="194"/>
      <c r="U101" s="194"/>
      <c r="W101" s="134"/>
      <c r="X101" s="134"/>
      <c r="Y101" s="134"/>
      <c r="AB101" s="134"/>
      <c r="AC101" s="134"/>
      <c r="AD101" s="134"/>
      <c r="AG101" s="134"/>
      <c r="AH101" s="134"/>
      <c r="AI101" s="134"/>
    </row>
    <row r="102" customFormat="false" ht="14.25" hidden="false" customHeight="true" outlineLevel="0" collapsed="false">
      <c r="A102" s="53"/>
      <c r="B102" s="38"/>
      <c r="C102" s="112"/>
      <c r="D102" s="102" t="s">
        <v>111</v>
      </c>
      <c r="E102" s="119" t="n">
        <v>2.5</v>
      </c>
      <c r="F102" s="119" t="n">
        <v>2.5</v>
      </c>
      <c r="G102" s="101" t="s">
        <v>110</v>
      </c>
      <c r="H102" s="38"/>
      <c r="I102" s="27"/>
      <c r="J102" s="27"/>
      <c r="K102" s="27"/>
      <c r="L102" s="27"/>
      <c r="M102" s="27"/>
      <c r="N102" s="27"/>
      <c r="O102" s="27"/>
      <c r="P102" s="27"/>
      <c r="Q102" s="30"/>
      <c r="R102" s="133"/>
      <c r="S102" s="134"/>
      <c r="T102" s="194"/>
      <c r="U102" s="194"/>
      <c r="W102" s="134"/>
      <c r="X102" s="134"/>
      <c r="Y102" s="134"/>
      <c r="AB102" s="134"/>
      <c r="AC102" s="134"/>
      <c r="AD102" s="134"/>
      <c r="AG102" s="134"/>
      <c r="AH102" s="134"/>
      <c r="AI102" s="134"/>
    </row>
    <row r="103" customFormat="false" ht="14.25" hidden="false" customHeight="true" outlineLevel="0" collapsed="false">
      <c r="A103" s="53"/>
      <c r="B103" s="38"/>
      <c r="C103" s="112"/>
      <c r="D103" s="102" t="s">
        <v>112</v>
      </c>
      <c r="E103" s="119" t="n">
        <v>4</v>
      </c>
      <c r="F103" s="119" t="n">
        <v>4</v>
      </c>
      <c r="G103" s="101" t="s">
        <v>110</v>
      </c>
      <c r="H103" s="38"/>
      <c r="I103" s="27"/>
      <c r="J103" s="27"/>
      <c r="K103" s="27"/>
      <c r="L103" s="27"/>
      <c r="M103" s="27"/>
      <c r="N103" s="27"/>
      <c r="O103" s="27"/>
      <c r="P103" s="27"/>
      <c r="Q103" s="30"/>
      <c r="R103" s="133"/>
      <c r="S103" s="134"/>
      <c r="T103" s="194"/>
      <c r="U103" s="194"/>
      <c r="W103" s="134"/>
      <c r="X103" s="134"/>
      <c r="Y103" s="134"/>
      <c r="AB103" s="134"/>
      <c r="AC103" s="134"/>
      <c r="AD103" s="134"/>
      <c r="AG103" s="134"/>
      <c r="AH103" s="134"/>
      <c r="AI103" s="134"/>
    </row>
    <row r="104" customFormat="false" ht="14.25" hidden="false" customHeight="true" outlineLevel="0" collapsed="false">
      <c r="A104" s="53"/>
      <c r="B104" s="38"/>
      <c r="C104" s="112"/>
      <c r="D104" s="102" t="s">
        <v>113</v>
      </c>
      <c r="E104" s="119" t="n">
        <v>1.5</v>
      </c>
      <c r="F104" s="119" t="n">
        <v>1.5</v>
      </c>
      <c r="G104" s="101" t="s">
        <v>114</v>
      </c>
      <c r="H104" s="38"/>
      <c r="I104" s="27"/>
      <c r="J104" s="27"/>
      <c r="K104" s="27"/>
      <c r="L104" s="27"/>
      <c r="M104" s="27"/>
      <c r="N104" s="27"/>
      <c r="O104" s="27"/>
      <c r="P104" s="27"/>
      <c r="Q104" s="30"/>
      <c r="R104" s="133"/>
      <c r="S104" s="134"/>
      <c r="T104" s="194"/>
      <c r="U104" s="194"/>
      <c r="W104" s="134"/>
      <c r="X104" s="134"/>
      <c r="Y104" s="134"/>
      <c r="AB104" s="134"/>
      <c r="AC104" s="134"/>
      <c r="AD104" s="134"/>
      <c r="AG104" s="134"/>
      <c r="AH104" s="134"/>
      <c r="AI104" s="134"/>
    </row>
    <row r="105" customFormat="false" ht="14.25" hidden="false" customHeight="true" outlineLevel="0" collapsed="false">
      <c r="A105" s="53"/>
      <c r="B105" s="38"/>
      <c r="C105" s="112"/>
      <c r="D105" s="102" t="s">
        <v>115</v>
      </c>
      <c r="E105" s="119" t="n">
        <v>150</v>
      </c>
      <c r="F105" s="119" t="n">
        <v>150</v>
      </c>
      <c r="G105" s="101" t="s">
        <v>116</v>
      </c>
      <c r="H105" s="38"/>
      <c r="I105" s="27"/>
      <c r="J105" s="27"/>
      <c r="K105" s="27"/>
      <c r="L105" s="27"/>
      <c r="M105" s="27"/>
      <c r="N105" s="27"/>
      <c r="O105" s="27"/>
      <c r="P105" s="27"/>
      <c r="Q105" s="30"/>
      <c r="R105" s="133"/>
      <c r="S105" s="134"/>
      <c r="T105" s="194"/>
      <c r="U105" s="194"/>
      <c r="W105" s="134"/>
      <c r="X105" s="134"/>
      <c r="Y105" s="134"/>
      <c r="AB105" s="134"/>
      <c r="AC105" s="134"/>
      <c r="AD105" s="134"/>
      <c r="AG105" s="134"/>
      <c r="AH105" s="134"/>
      <c r="AI105" s="134"/>
    </row>
    <row r="106" customFormat="false" ht="14.25" hidden="false" customHeight="true" outlineLevel="0" collapsed="false">
      <c r="A106" s="53"/>
      <c r="B106" s="38"/>
      <c r="C106" s="112"/>
      <c r="D106" s="102" t="s">
        <v>117</v>
      </c>
      <c r="E106" s="119" t="n">
        <v>2</v>
      </c>
      <c r="F106" s="119" t="n">
        <v>2</v>
      </c>
      <c r="G106" s="101" t="s">
        <v>11</v>
      </c>
      <c r="H106" s="38"/>
      <c r="I106" s="27"/>
      <c r="J106" s="27"/>
      <c r="K106" s="27"/>
      <c r="L106" s="27"/>
      <c r="M106" s="27"/>
      <c r="N106" s="27"/>
      <c r="O106" s="27"/>
      <c r="P106" s="27"/>
      <c r="Q106" s="30"/>
      <c r="R106" s="133"/>
      <c r="S106" s="134"/>
      <c r="T106" s="134"/>
      <c r="W106" s="134"/>
      <c r="X106" s="134"/>
      <c r="Y106" s="134"/>
      <c r="AB106" s="134"/>
      <c r="AC106" s="134"/>
      <c r="AD106" s="134"/>
      <c r="AG106" s="134"/>
      <c r="AH106" s="134"/>
      <c r="AI106" s="134"/>
    </row>
    <row r="107" customFormat="false" ht="14.25" hidden="false" customHeight="true" outlineLevel="0" collapsed="false">
      <c r="A107" s="53"/>
      <c r="B107" s="38"/>
      <c r="C107" s="38"/>
      <c r="D107" s="102" t="s">
        <v>118</v>
      </c>
      <c r="E107" s="119" t="n">
        <v>0.8</v>
      </c>
      <c r="F107" s="119" t="n">
        <v>0.8</v>
      </c>
      <c r="G107" s="101" t="s">
        <v>11</v>
      </c>
      <c r="H107" s="38"/>
      <c r="I107" s="27"/>
      <c r="J107" s="27"/>
      <c r="K107" s="27"/>
      <c r="L107" s="27"/>
      <c r="M107" s="27"/>
      <c r="N107" s="27"/>
      <c r="O107" s="27"/>
      <c r="P107" s="27"/>
      <c r="Q107" s="30"/>
      <c r="R107" s="133"/>
      <c r="S107" s="134"/>
      <c r="T107" s="134"/>
      <c r="W107" s="134"/>
      <c r="X107" s="134"/>
      <c r="Y107" s="134"/>
      <c r="AB107" s="134"/>
      <c r="AC107" s="134"/>
      <c r="AD107" s="134"/>
      <c r="AG107" s="134"/>
      <c r="AH107" s="134"/>
      <c r="AI107" s="134"/>
    </row>
    <row r="108" customFormat="false" ht="14.25" hidden="false" customHeight="true" outlineLevel="0" collapsed="false">
      <c r="A108" s="53"/>
      <c r="B108" s="38"/>
      <c r="C108" s="38"/>
      <c r="D108" s="102" t="s">
        <v>119</v>
      </c>
      <c r="E108" s="119" t="n">
        <v>33</v>
      </c>
      <c r="F108" s="199"/>
      <c r="G108" s="101" t="s">
        <v>110</v>
      </c>
      <c r="H108" s="38"/>
      <c r="I108" s="27"/>
      <c r="J108" s="27"/>
      <c r="K108" s="27"/>
      <c r="L108" s="27"/>
      <c r="M108" s="27"/>
      <c r="N108" s="27"/>
      <c r="O108" s="27"/>
      <c r="P108" s="27"/>
      <c r="Q108" s="30"/>
      <c r="R108" s="133"/>
      <c r="S108" s="134"/>
      <c r="T108" s="134"/>
      <c r="W108" s="134"/>
      <c r="X108" s="134"/>
      <c r="Y108" s="134"/>
      <c r="AB108" s="134"/>
      <c r="AC108" s="134"/>
      <c r="AD108" s="134"/>
      <c r="AG108" s="134"/>
      <c r="AH108" s="134"/>
      <c r="AI108" s="134"/>
    </row>
    <row r="109" customFormat="false" ht="14.25" hidden="false" customHeight="true" outlineLevel="0" collapsed="false">
      <c r="A109" s="106"/>
      <c r="B109" s="107"/>
      <c r="C109" s="107"/>
      <c r="D109" s="201" t="s">
        <v>120</v>
      </c>
      <c r="E109" s="202" t="n">
        <v>50</v>
      </c>
      <c r="F109" s="202" t="n">
        <v>50</v>
      </c>
      <c r="G109" s="109" t="s">
        <v>121</v>
      </c>
      <c r="H109" s="38"/>
      <c r="I109" s="27"/>
      <c r="J109" s="27"/>
      <c r="K109" s="27"/>
      <c r="L109" s="27"/>
      <c r="M109" s="27"/>
      <c r="N109" s="27"/>
      <c r="O109" s="27"/>
      <c r="P109" s="27"/>
      <c r="Q109" s="30"/>
      <c r="R109" s="133"/>
      <c r="S109" s="134"/>
      <c r="T109" s="134"/>
      <c r="W109" s="134"/>
      <c r="X109" s="134"/>
      <c r="Y109" s="134"/>
      <c r="AB109" s="134"/>
      <c r="AC109" s="134"/>
      <c r="AD109" s="134"/>
      <c r="AG109" s="134"/>
      <c r="AH109" s="134"/>
      <c r="AI109" s="134"/>
    </row>
    <row r="110" customFormat="false" ht="14.25" hidden="false" customHeight="true" outlineLevel="0" collapsed="false">
      <c r="A110" s="53"/>
      <c r="B110" s="38"/>
      <c r="C110" s="38"/>
      <c r="D110" s="102"/>
      <c r="E110" s="207"/>
      <c r="F110" s="204"/>
      <c r="G110" s="38"/>
      <c r="H110" s="38"/>
      <c r="I110" s="208"/>
      <c r="J110" s="209"/>
      <c r="K110" s="27"/>
      <c r="L110" s="27"/>
      <c r="M110" s="27"/>
      <c r="N110" s="27"/>
      <c r="O110" s="27"/>
      <c r="P110" s="27"/>
      <c r="Q110" s="30"/>
      <c r="R110" s="133"/>
      <c r="S110" s="134"/>
      <c r="T110" s="134"/>
      <c r="W110" s="134"/>
      <c r="X110" s="134"/>
      <c r="Y110" s="134"/>
      <c r="AB110" s="134"/>
      <c r="AC110" s="134"/>
      <c r="AD110" s="134"/>
      <c r="AG110" s="134"/>
      <c r="AH110" s="134"/>
      <c r="AI110" s="134"/>
    </row>
    <row r="111" customFormat="false" ht="14.25" hidden="false" customHeight="true" outlineLevel="0" collapsed="false">
      <c r="A111" s="210" t="s">
        <v>124</v>
      </c>
      <c r="B111" s="116"/>
      <c r="C111" s="60"/>
      <c r="D111" s="210"/>
      <c r="E111" s="211" t="s">
        <v>125</v>
      </c>
      <c r="F111" s="212" t="s">
        <v>126</v>
      </c>
      <c r="G111" s="63"/>
      <c r="H111" s="38"/>
      <c r="I111" s="27"/>
      <c r="J111" s="27"/>
      <c r="K111" s="27"/>
      <c r="L111" s="27"/>
      <c r="M111" s="27"/>
      <c r="N111" s="27"/>
      <c r="O111" s="27"/>
      <c r="P111" s="27"/>
      <c r="Q111" s="30"/>
      <c r="R111" s="133"/>
      <c r="S111" s="134"/>
      <c r="T111" s="134"/>
      <c r="W111" s="134"/>
      <c r="X111" s="134"/>
      <c r="Y111" s="134"/>
      <c r="AB111" s="134"/>
      <c r="AC111" s="134"/>
      <c r="AD111" s="134"/>
      <c r="AG111" s="134"/>
      <c r="AH111" s="134"/>
      <c r="AI111" s="134"/>
    </row>
    <row r="112" customFormat="false" ht="14.25" hidden="false" customHeight="true" outlineLevel="0" collapsed="false">
      <c r="A112" s="53"/>
      <c r="B112" s="38"/>
      <c r="C112" s="38"/>
      <c r="D112" s="102" t="s">
        <v>127</v>
      </c>
      <c r="E112" s="213" t="n">
        <v>0</v>
      </c>
      <c r="F112" s="213" t="n">
        <v>0</v>
      </c>
      <c r="G112" s="101" t="s">
        <v>11</v>
      </c>
      <c r="H112" s="38"/>
      <c r="I112" s="27"/>
      <c r="J112" s="27"/>
      <c r="K112" s="27"/>
      <c r="L112" s="27"/>
      <c r="M112" s="27"/>
      <c r="N112" s="27"/>
      <c r="O112" s="27"/>
      <c r="P112" s="27"/>
      <c r="Q112" s="30"/>
      <c r="R112" s="133"/>
      <c r="S112" s="134"/>
      <c r="T112" s="134"/>
      <c r="W112" s="134"/>
      <c r="X112" s="134"/>
      <c r="Y112" s="134"/>
      <c r="AB112" s="134"/>
      <c r="AC112" s="134"/>
      <c r="AD112" s="134"/>
      <c r="AG112" s="134"/>
      <c r="AH112" s="134"/>
      <c r="AI112" s="134"/>
    </row>
    <row r="113" customFormat="false" ht="14.25" hidden="false" customHeight="true" outlineLevel="0" collapsed="false">
      <c r="A113" s="106"/>
      <c r="B113" s="107"/>
      <c r="C113" s="107"/>
      <c r="D113" s="201" t="s">
        <v>128</v>
      </c>
      <c r="E113" s="214" t="n">
        <v>0</v>
      </c>
      <c r="F113" s="214" t="n">
        <v>0</v>
      </c>
      <c r="G113" s="109" t="s">
        <v>110</v>
      </c>
      <c r="H113" s="38"/>
      <c r="I113" s="27"/>
      <c r="J113" s="27"/>
      <c r="K113" s="27"/>
      <c r="L113" s="27"/>
      <c r="M113" s="27"/>
      <c r="N113" s="27"/>
      <c r="O113" s="27"/>
      <c r="P113" s="27"/>
      <c r="Q113" s="30"/>
      <c r="R113" s="133"/>
      <c r="S113" s="134"/>
      <c r="T113" s="134"/>
      <c r="W113" s="134"/>
      <c r="X113" s="134"/>
      <c r="Y113" s="134"/>
      <c r="AB113" s="134"/>
      <c r="AC113" s="134"/>
      <c r="AD113" s="134"/>
      <c r="AG113" s="134"/>
      <c r="AH113" s="134"/>
      <c r="AI113" s="134"/>
    </row>
    <row r="114" customFormat="false" ht="12.75" hidden="false" customHeight="false" outlineLevel="0" collapsed="false">
      <c r="A114" s="106"/>
      <c r="B114" s="107"/>
      <c r="C114" s="107"/>
      <c r="D114" s="107"/>
      <c r="E114" s="107"/>
      <c r="F114" s="107"/>
      <c r="G114" s="107"/>
      <c r="H114" s="107"/>
      <c r="I114" s="215"/>
      <c r="J114" s="215"/>
      <c r="K114" s="215"/>
      <c r="L114" s="215"/>
      <c r="M114" s="215"/>
      <c r="N114" s="215"/>
      <c r="O114" s="215"/>
      <c r="P114" s="215"/>
      <c r="Q114" s="216"/>
      <c r="R114" s="133"/>
      <c r="S114" s="134"/>
      <c r="T114" s="134"/>
      <c r="W114" s="134"/>
      <c r="X114" s="134"/>
      <c r="Y114" s="134"/>
      <c r="AB114" s="134"/>
      <c r="AC114" s="134"/>
      <c r="AD114" s="134"/>
      <c r="AG114" s="134"/>
      <c r="AH114" s="134"/>
      <c r="AI114" s="134"/>
    </row>
    <row r="115" customFormat="false" ht="12.75" hidden="false" customHeight="false" outlineLevel="0" collapsed="false">
      <c r="A115" s="217"/>
      <c r="B115" s="218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133"/>
      <c r="S115" s="134"/>
      <c r="T115" s="134"/>
      <c r="W115" s="134"/>
      <c r="X115" s="134"/>
      <c r="Y115" s="134"/>
      <c r="AB115" s="134"/>
      <c r="AC115" s="134"/>
      <c r="AD115" s="134"/>
      <c r="AG115" s="134"/>
      <c r="AH115" s="134"/>
      <c r="AI115" s="134"/>
    </row>
    <row r="116" customFormat="false" ht="12.75" hidden="false" customHeight="false" outlineLevel="0" collapsed="false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134"/>
      <c r="S116" s="134"/>
      <c r="T116" s="134"/>
      <c r="W116" s="134"/>
      <c r="X116" s="134"/>
      <c r="Y116" s="134"/>
      <c r="AB116" s="134"/>
      <c r="AC116" s="134"/>
      <c r="AD116" s="134"/>
      <c r="AG116" s="134"/>
      <c r="AH116" s="134"/>
      <c r="AI116" s="134"/>
    </row>
    <row r="117" customFormat="false" ht="12.75" hidden="false" customHeight="false" outlineLevel="0" collapsed="false"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R117" s="134"/>
      <c r="S117" s="134"/>
      <c r="T117" s="134"/>
      <c r="W117" s="134"/>
      <c r="X117" s="134"/>
      <c r="Y117" s="134"/>
      <c r="AB117" s="134"/>
      <c r="AC117" s="134"/>
      <c r="AD117" s="134"/>
      <c r="AG117" s="134"/>
      <c r="AH117" s="134"/>
      <c r="AI117" s="134"/>
    </row>
    <row r="118" customFormat="false" ht="12.75" hidden="false" customHeight="false" outlineLevel="0" collapsed="false"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R118" s="134"/>
      <c r="S118" s="134"/>
      <c r="T118" s="134"/>
      <c r="W118" s="134"/>
      <c r="X118" s="134"/>
      <c r="Y118" s="134"/>
      <c r="AB118" s="134"/>
      <c r="AC118" s="134"/>
      <c r="AD118" s="134"/>
      <c r="AG118" s="134"/>
      <c r="AH118" s="134"/>
      <c r="AI118" s="134"/>
    </row>
    <row r="119" customFormat="false" ht="12.75" hidden="false" customHeight="false" outlineLevel="0" collapsed="false"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R119" s="134"/>
      <c r="S119" s="134"/>
      <c r="T119" s="134"/>
      <c r="W119" s="134"/>
      <c r="X119" s="134"/>
      <c r="Y119" s="134"/>
      <c r="AB119" s="134"/>
      <c r="AC119" s="134"/>
      <c r="AD119" s="134"/>
      <c r="AG119" s="134"/>
      <c r="AH119" s="134"/>
      <c r="AI119" s="134"/>
    </row>
    <row r="120" customFormat="false" ht="12.75" hidden="false" customHeight="false" outlineLevel="0" collapsed="false"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R120" s="134"/>
      <c r="S120" s="134"/>
      <c r="T120" s="134"/>
      <c r="W120" s="134"/>
      <c r="X120" s="134"/>
      <c r="Y120" s="134"/>
      <c r="AB120" s="134"/>
      <c r="AC120" s="134"/>
      <c r="AD120" s="134"/>
      <c r="AG120" s="134"/>
      <c r="AH120" s="134"/>
      <c r="AI120" s="134"/>
    </row>
    <row r="121" customFormat="false" ht="12.75" hidden="false" customHeight="false" outlineLevel="0" collapsed="false"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R121" s="134"/>
      <c r="S121" s="134"/>
      <c r="T121" s="134"/>
      <c r="W121" s="134"/>
      <c r="X121" s="134"/>
      <c r="Y121" s="134"/>
      <c r="AB121" s="134"/>
      <c r="AC121" s="134"/>
      <c r="AD121" s="134"/>
      <c r="AG121" s="134"/>
      <c r="AH121" s="134"/>
      <c r="AI121" s="134"/>
    </row>
    <row r="122" customFormat="false" ht="12.75" hidden="false" customHeight="false" outlineLevel="0" collapsed="false"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R122" s="134"/>
      <c r="S122" s="134"/>
      <c r="T122" s="134"/>
      <c r="W122" s="134"/>
      <c r="X122" s="134"/>
      <c r="Y122" s="134"/>
      <c r="AB122" s="134"/>
      <c r="AC122" s="134"/>
      <c r="AD122" s="134"/>
      <c r="AG122" s="134"/>
      <c r="AH122" s="134"/>
      <c r="AI122" s="134"/>
    </row>
    <row r="123" customFormat="false" ht="12.75" hidden="false" customHeight="false" outlineLevel="0" collapsed="false"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R123" s="134"/>
      <c r="S123" s="134"/>
      <c r="T123" s="134"/>
      <c r="W123" s="134"/>
      <c r="X123" s="134"/>
      <c r="Y123" s="134"/>
      <c r="AB123" s="134"/>
      <c r="AC123" s="134"/>
      <c r="AD123" s="134"/>
      <c r="AG123" s="134"/>
      <c r="AH123" s="134"/>
      <c r="AI123" s="134"/>
    </row>
    <row r="124" customFormat="false" ht="12.75" hidden="false" customHeight="false" outlineLevel="0" collapsed="false"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R124" s="134"/>
      <c r="S124" s="134"/>
      <c r="T124" s="134"/>
      <c r="W124" s="134"/>
      <c r="X124" s="134"/>
      <c r="Y124" s="134"/>
      <c r="AB124" s="134"/>
      <c r="AC124" s="134"/>
      <c r="AD124" s="134"/>
      <c r="AG124" s="134"/>
      <c r="AH124" s="134"/>
      <c r="AI124" s="134"/>
    </row>
    <row r="125" customFormat="false" ht="12.75" hidden="false" customHeight="false" outlineLevel="0" collapsed="false"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R125" s="134"/>
      <c r="S125" s="134"/>
      <c r="T125" s="134"/>
      <c r="W125" s="134"/>
      <c r="X125" s="134"/>
      <c r="Y125" s="134"/>
      <c r="AB125" s="134"/>
      <c r="AC125" s="134"/>
      <c r="AD125" s="134"/>
      <c r="AG125" s="134"/>
      <c r="AH125" s="134"/>
      <c r="AI125" s="134"/>
    </row>
    <row r="126" customFormat="false" ht="12.75" hidden="false" customHeight="false" outlineLevel="0" collapsed="false"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R126" s="220"/>
      <c r="S126" s="220"/>
      <c r="T126" s="220"/>
      <c r="W126" s="220"/>
      <c r="X126" s="220"/>
      <c r="Y126" s="220"/>
      <c r="AB126" s="220"/>
      <c r="AC126" s="220"/>
      <c r="AD126" s="220"/>
      <c r="AG126" s="220"/>
      <c r="AH126" s="220"/>
      <c r="AI126" s="220"/>
    </row>
    <row r="127" customFormat="false" ht="12.75" hidden="false" customHeight="false" outlineLevel="0" collapsed="false"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R127" s="220"/>
      <c r="S127" s="220"/>
      <c r="T127" s="220"/>
      <c r="W127" s="220"/>
      <c r="X127" s="220"/>
      <c r="Y127" s="220"/>
      <c r="AB127" s="220"/>
      <c r="AC127" s="220"/>
      <c r="AD127" s="220"/>
      <c r="AG127" s="220"/>
      <c r="AH127" s="220"/>
      <c r="AI127" s="220"/>
    </row>
    <row r="128" customFormat="false" ht="12.75" hidden="false" customHeight="false" outlineLevel="0" collapsed="false"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R128" s="220"/>
      <c r="S128" s="134"/>
      <c r="T128" s="134"/>
      <c r="W128" s="220"/>
      <c r="X128" s="134"/>
      <c r="Y128" s="134"/>
      <c r="AB128" s="220"/>
      <c r="AC128" s="134"/>
      <c r="AD128" s="134"/>
      <c r="AG128" s="220"/>
      <c r="AH128" s="134"/>
      <c r="AI128" s="134"/>
    </row>
    <row r="129" customFormat="false" ht="12.75" hidden="false" customHeight="false" outlineLevel="0" collapsed="false"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R129" s="134"/>
      <c r="S129" s="134"/>
      <c r="T129" s="134"/>
      <c r="W129" s="134"/>
      <c r="X129" s="134"/>
      <c r="Y129" s="134"/>
      <c r="AB129" s="134"/>
      <c r="AC129" s="134"/>
      <c r="AD129" s="134"/>
      <c r="AG129" s="134"/>
      <c r="AH129" s="134"/>
      <c r="AI129" s="134"/>
    </row>
    <row r="130" customFormat="false" ht="12.75" hidden="false" customHeight="false" outlineLevel="0" collapsed="false"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R130" s="134"/>
      <c r="S130" s="134"/>
      <c r="T130" s="134"/>
      <c r="W130" s="134"/>
      <c r="X130" s="134"/>
      <c r="Y130" s="134"/>
      <c r="AB130" s="134"/>
      <c r="AC130" s="134"/>
      <c r="AD130" s="134"/>
      <c r="AG130" s="134"/>
      <c r="AH130" s="134"/>
      <c r="AI130" s="134"/>
    </row>
    <row r="131" customFormat="false" ht="12.75" hidden="false" customHeight="false" outlineLevel="0" collapsed="false"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R131" s="220"/>
      <c r="S131" s="220"/>
      <c r="T131" s="220"/>
      <c r="W131" s="220"/>
      <c r="X131" s="220"/>
      <c r="Y131" s="220"/>
      <c r="AB131" s="220"/>
      <c r="AC131" s="220"/>
      <c r="AD131" s="220"/>
      <c r="AG131" s="220"/>
      <c r="AH131" s="220"/>
      <c r="AI131" s="220"/>
    </row>
    <row r="132" customFormat="false" ht="12.75" hidden="false" customHeight="false" outlineLevel="0" collapsed="false"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R132" s="220"/>
      <c r="S132" s="220"/>
      <c r="T132" s="220"/>
      <c r="W132" s="220"/>
      <c r="X132" s="220"/>
      <c r="Y132" s="220"/>
      <c r="AB132" s="220"/>
      <c r="AC132" s="220"/>
      <c r="AD132" s="220"/>
      <c r="AG132" s="220"/>
      <c r="AH132" s="220"/>
      <c r="AI132" s="220"/>
    </row>
    <row r="133" customFormat="false" ht="12.75" hidden="false" customHeight="false" outlineLevel="0" collapsed="false"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R133" s="220"/>
      <c r="S133" s="220"/>
      <c r="T133" s="220"/>
      <c r="W133" s="220"/>
      <c r="X133" s="220"/>
      <c r="Y133" s="220"/>
      <c r="AB133" s="220"/>
      <c r="AC133" s="220"/>
      <c r="AD133" s="220"/>
      <c r="AG133" s="220"/>
      <c r="AH133" s="220"/>
      <c r="AI133" s="220"/>
    </row>
    <row r="134" customFormat="false" ht="12.75" hidden="false" customHeight="false" outlineLevel="0" collapsed="false"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R134" s="220"/>
      <c r="S134" s="220"/>
      <c r="T134" s="220"/>
      <c r="W134" s="220"/>
      <c r="X134" s="220"/>
      <c r="Y134" s="220"/>
      <c r="AB134" s="220"/>
      <c r="AC134" s="220"/>
      <c r="AD134" s="220"/>
      <c r="AG134" s="220"/>
      <c r="AH134" s="220"/>
      <c r="AI134" s="220"/>
    </row>
    <row r="135" customFormat="false" ht="12.75" hidden="false" customHeight="false" outlineLevel="0" collapsed="false"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R135" s="220"/>
      <c r="S135" s="220"/>
      <c r="T135" s="220"/>
      <c r="W135" s="220"/>
      <c r="X135" s="220"/>
      <c r="Y135" s="220"/>
      <c r="AB135" s="220"/>
      <c r="AC135" s="220"/>
      <c r="AD135" s="220"/>
      <c r="AG135" s="220"/>
      <c r="AH135" s="220"/>
      <c r="AI135" s="220"/>
    </row>
    <row r="136" customFormat="false" ht="12.75" hidden="false" customHeight="false" outlineLevel="0" collapsed="false"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R136" s="220"/>
      <c r="S136" s="220"/>
      <c r="T136" s="220"/>
      <c r="W136" s="220"/>
      <c r="X136" s="220"/>
      <c r="Y136" s="220"/>
      <c r="AB136" s="220"/>
      <c r="AC136" s="220"/>
      <c r="AD136" s="220"/>
      <c r="AG136" s="220"/>
      <c r="AH136" s="220"/>
      <c r="AI136" s="220"/>
    </row>
    <row r="137" customFormat="false" ht="12.75" hidden="false" customHeight="false" outlineLevel="0" collapsed="false"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R137" s="220"/>
      <c r="S137" s="220"/>
      <c r="T137" s="220"/>
      <c r="W137" s="220"/>
      <c r="X137" s="220"/>
      <c r="Y137" s="220"/>
      <c r="AB137" s="220"/>
      <c r="AC137" s="220"/>
      <c r="AD137" s="220"/>
      <c r="AG137" s="220"/>
      <c r="AH137" s="220"/>
      <c r="AI137" s="220"/>
    </row>
    <row r="138" customFormat="false" ht="12.75" hidden="false" customHeight="false" outlineLevel="0" collapsed="false"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R138" s="220"/>
      <c r="S138" s="220"/>
      <c r="T138" s="220"/>
      <c r="W138" s="220"/>
      <c r="X138" s="220"/>
      <c r="Y138" s="220"/>
      <c r="AB138" s="220"/>
      <c r="AC138" s="220"/>
      <c r="AD138" s="220"/>
      <c r="AG138" s="220"/>
      <c r="AH138" s="220"/>
      <c r="AI138" s="220"/>
    </row>
    <row r="139" customFormat="false" ht="12.75" hidden="false" customHeight="false" outlineLevel="0" collapsed="false"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R139" s="220"/>
      <c r="S139" s="220"/>
      <c r="T139" s="220"/>
      <c r="W139" s="220"/>
      <c r="X139" s="220"/>
      <c r="Y139" s="220"/>
      <c r="AB139" s="220"/>
      <c r="AC139" s="220"/>
      <c r="AD139" s="220"/>
      <c r="AG139" s="220"/>
      <c r="AH139" s="220"/>
      <c r="AI139" s="220"/>
    </row>
    <row r="140" customFormat="false" ht="12.75" hidden="false" customHeight="false" outlineLevel="0" collapsed="false"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R140" s="220"/>
      <c r="S140" s="220"/>
      <c r="T140" s="220"/>
      <c r="W140" s="220"/>
      <c r="X140" s="220"/>
      <c r="Y140" s="220"/>
      <c r="AB140" s="220"/>
      <c r="AC140" s="220"/>
      <c r="AD140" s="220"/>
      <c r="AG140" s="220"/>
      <c r="AH140" s="220"/>
      <c r="AI140" s="220"/>
    </row>
    <row r="141" customFormat="false" ht="12.75" hidden="false" customHeight="false" outlineLevel="0" collapsed="false"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R141" s="220"/>
      <c r="S141" s="220"/>
      <c r="T141" s="220"/>
      <c r="W141" s="220"/>
      <c r="X141" s="220"/>
      <c r="Y141" s="220"/>
      <c r="AB141" s="220"/>
      <c r="AC141" s="220"/>
      <c r="AD141" s="220"/>
      <c r="AG141" s="220"/>
      <c r="AH141" s="220"/>
      <c r="AI141" s="220"/>
    </row>
    <row r="142" customFormat="false" ht="12.75" hidden="false" customHeight="false" outlineLevel="0" collapsed="false"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R142" s="220"/>
      <c r="S142" s="220"/>
      <c r="T142" s="220"/>
      <c r="W142" s="220"/>
      <c r="X142" s="220"/>
      <c r="Y142" s="220"/>
      <c r="AB142" s="220"/>
      <c r="AC142" s="220"/>
      <c r="AD142" s="220"/>
      <c r="AG142" s="220"/>
      <c r="AH142" s="220"/>
      <c r="AI142" s="220"/>
    </row>
    <row r="143" customFormat="false" ht="12.75" hidden="false" customHeight="false" outlineLevel="0" collapsed="false"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R143" s="220"/>
      <c r="S143" s="220"/>
      <c r="T143" s="220"/>
      <c r="W143" s="220"/>
      <c r="X143" s="220"/>
      <c r="Y143" s="220"/>
      <c r="AB143" s="220"/>
      <c r="AC143" s="220"/>
      <c r="AD143" s="220"/>
      <c r="AG143" s="220"/>
      <c r="AH143" s="220"/>
      <c r="AI143" s="220"/>
    </row>
    <row r="144" customFormat="false" ht="12.75" hidden="false" customHeight="false" outlineLevel="0" collapsed="false"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R144" s="220"/>
      <c r="S144" s="220"/>
      <c r="T144" s="220"/>
      <c r="W144" s="220"/>
      <c r="X144" s="220"/>
      <c r="Y144" s="220"/>
      <c r="AB144" s="220"/>
      <c r="AC144" s="220"/>
      <c r="AD144" s="220"/>
      <c r="AG144" s="220"/>
      <c r="AH144" s="220"/>
      <c r="AI144" s="220"/>
    </row>
    <row r="145" customFormat="false" ht="12.75" hidden="false" customHeight="false" outlineLevel="0" collapsed="false"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R145" s="220"/>
      <c r="S145" s="220"/>
      <c r="T145" s="220"/>
      <c r="W145" s="220"/>
      <c r="X145" s="220"/>
      <c r="Y145" s="220"/>
      <c r="AB145" s="220"/>
      <c r="AC145" s="220"/>
      <c r="AD145" s="220"/>
      <c r="AG145" s="220"/>
      <c r="AH145" s="220"/>
      <c r="AI145" s="220"/>
    </row>
    <row r="146" customFormat="false" ht="12.75" hidden="false" customHeight="false" outlineLevel="0" collapsed="false"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R146" s="220"/>
      <c r="S146" s="220"/>
      <c r="T146" s="220"/>
      <c r="W146" s="220"/>
      <c r="X146" s="220"/>
      <c r="Y146" s="220"/>
      <c r="AB146" s="220"/>
      <c r="AC146" s="220"/>
      <c r="AD146" s="220"/>
      <c r="AG146" s="220"/>
      <c r="AH146" s="220"/>
      <c r="AI146" s="220"/>
    </row>
    <row r="147" customFormat="false" ht="12.75" hidden="false" customHeight="false" outlineLevel="0" collapsed="false"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R147" s="220"/>
      <c r="S147" s="220"/>
      <c r="T147" s="220"/>
      <c r="W147" s="220"/>
      <c r="X147" s="220"/>
      <c r="Y147" s="220"/>
      <c r="AB147" s="220"/>
      <c r="AC147" s="220"/>
      <c r="AD147" s="220"/>
      <c r="AG147" s="220"/>
      <c r="AH147" s="220"/>
      <c r="AI147" s="220"/>
    </row>
    <row r="148" customFormat="false" ht="12.75" hidden="false" customHeight="false" outlineLevel="0" collapsed="false"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R148" s="220"/>
      <c r="S148" s="220"/>
      <c r="T148" s="220"/>
      <c r="W148" s="220"/>
      <c r="X148" s="220"/>
      <c r="Y148" s="220"/>
      <c r="AB148" s="220"/>
      <c r="AC148" s="220"/>
      <c r="AD148" s="220"/>
      <c r="AG148" s="220"/>
      <c r="AH148" s="220"/>
      <c r="AI148" s="220"/>
    </row>
    <row r="149" customFormat="false" ht="12.75" hidden="false" customHeight="false" outlineLevel="0" collapsed="false"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R149" s="220"/>
      <c r="S149" s="220"/>
      <c r="T149" s="220"/>
      <c r="W149" s="220"/>
      <c r="X149" s="220"/>
      <c r="Y149" s="220"/>
      <c r="AB149" s="220"/>
      <c r="AC149" s="220"/>
      <c r="AD149" s="220"/>
      <c r="AG149" s="220"/>
      <c r="AH149" s="220"/>
      <c r="AI149" s="220"/>
    </row>
    <row r="150" customFormat="false" ht="12.75" hidden="false" customHeight="false" outlineLevel="0" collapsed="false"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R150" s="220"/>
      <c r="S150" s="220"/>
      <c r="T150" s="220"/>
      <c r="W150" s="220"/>
      <c r="X150" s="220"/>
      <c r="Y150" s="220"/>
      <c r="AB150" s="220"/>
      <c r="AC150" s="220"/>
      <c r="AD150" s="220"/>
      <c r="AG150" s="220"/>
      <c r="AH150" s="220"/>
      <c r="AI150" s="220"/>
    </row>
    <row r="151" customFormat="false" ht="12.75" hidden="false" customHeight="false" outlineLevel="0" collapsed="false"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R151" s="220"/>
      <c r="S151" s="220"/>
      <c r="T151" s="220"/>
      <c r="W151" s="220"/>
      <c r="X151" s="220"/>
      <c r="Y151" s="220"/>
      <c r="AB151" s="220"/>
      <c r="AC151" s="220"/>
      <c r="AD151" s="220"/>
      <c r="AG151" s="220"/>
      <c r="AH151" s="220"/>
      <c r="AI151" s="220"/>
    </row>
    <row r="152" customFormat="false" ht="12.75" hidden="false" customHeight="false" outlineLevel="0" collapsed="false"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R152" s="220"/>
      <c r="S152" s="220"/>
      <c r="T152" s="220"/>
      <c r="W152" s="220"/>
      <c r="X152" s="220"/>
      <c r="Y152" s="220"/>
      <c r="AB152" s="220"/>
      <c r="AC152" s="220"/>
      <c r="AD152" s="220"/>
      <c r="AG152" s="220"/>
      <c r="AH152" s="220"/>
      <c r="AI152" s="220"/>
    </row>
    <row r="153" customFormat="false" ht="12.75" hidden="false" customHeight="false" outlineLevel="0" collapsed="false"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R153" s="220"/>
      <c r="S153" s="220"/>
      <c r="T153" s="220"/>
      <c r="W153" s="220"/>
      <c r="X153" s="220"/>
      <c r="Y153" s="220"/>
      <c r="AB153" s="220"/>
      <c r="AC153" s="220"/>
      <c r="AD153" s="220"/>
      <c r="AG153" s="220"/>
      <c r="AH153" s="220"/>
      <c r="AI153" s="220"/>
    </row>
    <row r="154" customFormat="false" ht="12.75" hidden="false" customHeight="false" outlineLevel="0" collapsed="false"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R154" s="220"/>
      <c r="S154" s="220"/>
      <c r="T154" s="220"/>
      <c r="W154" s="220"/>
      <c r="X154" s="220"/>
      <c r="Y154" s="220"/>
      <c r="AB154" s="220"/>
      <c r="AC154" s="220"/>
      <c r="AD154" s="220"/>
      <c r="AG154" s="220"/>
      <c r="AH154" s="220"/>
      <c r="AI154" s="220"/>
    </row>
    <row r="155" customFormat="false" ht="12.75" hidden="false" customHeight="false" outlineLevel="0" collapsed="false"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R155" s="220"/>
      <c r="S155" s="220"/>
      <c r="T155" s="220"/>
      <c r="W155" s="220"/>
      <c r="X155" s="220"/>
      <c r="Y155" s="220"/>
      <c r="AB155" s="220"/>
      <c r="AC155" s="220"/>
      <c r="AD155" s="220"/>
      <c r="AG155" s="220"/>
      <c r="AH155" s="220"/>
      <c r="AI155" s="220"/>
    </row>
    <row r="156" customFormat="false" ht="12.75" hidden="false" customHeight="false" outlineLevel="0" collapsed="false"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R156" s="220"/>
      <c r="S156" s="220"/>
      <c r="T156" s="220"/>
      <c r="W156" s="220"/>
      <c r="X156" s="220"/>
      <c r="Y156" s="220"/>
      <c r="AB156" s="220"/>
      <c r="AC156" s="220"/>
      <c r="AD156" s="220"/>
      <c r="AG156" s="220"/>
      <c r="AH156" s="220"/>
      <c r="AI156" s="220"/>
    </row>
    <row r="157" customFormat="false" ht="12.75" hidden="false" customHeight="false" outlineLevel="0" collapsed="false"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R157" s="220"/>
      <c r="S157" s="220"/>
      <c r="T157" s="220"/>
      <c r="W157" s="220"/>
      <c r="X157" s="220"/>
      <c r="Y157" s="220"/>
      <c r="AB157" s="220"/>
      <c r="AC157" s="220"/>
      <c r="AD157" s="220"/>
      <c r="AG157" s="220"/>
      <c r="AH157" s="220"/>
      <c r="AI157" s="220"/>
    </row>
    <row r="158" customFormat="false" ht="12.75" hidden="false" customHeight="false" outlineLevel="0" collapsed="false"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R158" s="220"/>
      <c r="S158" s="220"/>
      <c r="T158" s="220"/>
      <c r="W158" s="220"/>
      <c r="X158" s="220"/>
      <c r="Y158" s="220"/>
      <c r="AB158" s="220"/>
      <c r="AC158" s="220"/>
      <c r="AD158" s="220"/>
      <c r="AG158" s="220"/>
      <c r="AH158" s="220"/>
      <c r="AI158" s="220"/>
    </row>
    <row r="159" customFormat="false" ht="12.75" hidden="false" customHeight="false" outlineLevel="0" collapsed="false"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R159" s="220"/>
      <c r="S159" s="220"/>
      <c r="T159" s="220"/>
      <c r="W159" s="220"/>
      <c r="X159" s="220"/>
      <c r="Y159" s="220"/>
      <c r="AB159" s="220"/>
      <c r="AC159" s="220"/>
      <c r="AD159" s="220"/>
      <c r="AG159" s="220"/>
      <c r="AH159" s="220"/>
      <c r="AI159" s="220"/>
    </row>
    <row r="160" customFormat="false" ht="12.75" hidden="false" customHeight="false" outlineLevel="0" collapsed="false"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R160" s="220"/>
      <c r="S160" s="220"/>
      <c r="T160" s="220"/>
      <c r="W160" s="220"/>
      <c r="X160" s="220"/>
      <c r="Y160" s="220"/>
      <c r="AB160" s="220"/>
      <c r="AC160" s="220"/>
      <c r="AD160" s="220"/>
      <c r="AG160" s="220"/>
      <c r="AH160" s="220"/>
      <c r="AI160" s="220"/>
    </row>
    <row r="161" customFormat="false" ht="12.75" hidden="false" customHeight="false" outlineLevel="0" collapsed="false"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R161" s="220"/>
      <c r="S161" s="220"/>
      <c r="T161" s="220"/>
      <c r="W161" s="220"/>
      <c r="X161" s="220"/>
      <c r="Y161" s="220"/>
      <c r="AB161" s="220"/>
      <c r="AC161" s="220"/>
      <c r="AD161" s="220"/>
      <c r="AG161" s="220"/>
      <c r="AH161" s="220"/>
      <c r="AI161" s="220"/>
    </row>
    <row r="162" customFormat="false" ht="12.75" hidden="false" customHeight="false" outlineLevel="0" collapsed="false"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R162" s="220"/>
      <c r="S162" s="220"/>
      <c r="T162" s="220"/>
      <c r="W162" s="220"/>
      <c r="X162" s="220"/>
      <c r="Y162" s="220"/>
      <c r="AB162" s="220"/>
      <c r="AC162" s="220"/>
      <c r="AD162" s="220"/>
      <c r="AG162" s="220"/>
      <c r="AH162" s="220"/>
      <c r="AI162" s="220"/>
    </row>
    <row r="163" customFormat="false" ht="12.75" hidden="false" customHeight="false" outlineLevel="0" collapsed="false"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R163" s="220"/>
      <c r="S163" s="220"/>
      <c r="T163" s="220"/>
      <c r="W163" s="220"/>
      <c r="X163" s="220"/>
      <c r="Y163" s="220"/>
      <c r="AB163" s="220"/>
      <c r="AC163" s="220"/>
      <c r="AD163" s="220"/>
      <c r="AG163" s="220"/>
      <c r="AH163" s="220"/>
      <c r="AI163" s="220"/>
    </row>
    <row r="164" customFormat="false" ht="12.75" hidden="false" customHeight="false" outlineLevel="0" collapsed="false"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R164" s="220"/>
      <c r="S164" s="220"/>
      <c r="T164" s="220"/>
      <c r="W164" s="220"/>
      <c r="X164" s="220"/>
      <c r="Y164" s="220"/>
      <c r="AB164" s="220"/>
      <c r="AC164" s="220"/>
      <c r="AD164" s="220"/>
      <c r="AG164" s="220"/>
      <c r="AH164" s="220"/>
      <c r="AI164" s="220"/>
    </row>
    <row r="165" customFormat="false" ht="12.75" hidden="false" customHeight="false" outlineLevel="0" collapsed="false"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R165" s="220"/>
      <c r="S165" s="220"/>
      <c r="T165" s="220"/>
      <c r="W165" s="220"/>
      <c r="X165" s="220"/>
      <c r="Y165" s="220"/>
      <c r="AB165" s="220"/>
      <c r="AC165" s="220"/>
      <c r="AD165" s="220"/>
      <c r="AG165" s="220"/>
      <c r="AH165" s="220"/>
      <c r="AI165" s="220"/>
    </row>
    <row r="166" customFormat="false" ht="12.75" hidden="false" customHeight="false" outlineLevel="0" collapsed="false"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R166" s="220"/>
      <c r="S166" s="220"/>
      <c r="T166" s="220"/>
      <c r="W166" s="220"/>
      <c r="X166" s="220"/>
      <c r="Y166" s="220"/>
      <c r="AB166" s="220"/>
      <c r="AC166" s="220"/>
      <c r="AD166" s="220"/>
      <c r="AG166" s="220"/>
      <c r="AH166" s="220"/>
      <c r="AI166" s="220"/>
    </row>
    <row r="167" customFormat="false" ht="12.75" hidden="false" customHeight="false" outlineLevel="0" collapsed="false"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R167" s="220"/>
      <c r="S167" s="220"/>
      <c r="T167" s="220"/>
      <c r="W167" s="220"/>
      <c r="X167" s="220"/>
      <c r="Y167" s="220"/>
      <c r="AB167" s="220"/>
      <c r="AC167" s="220"/>
      <c r="AD167" s="220"/>
      <c r="AG167" s="220"/>
      <c r="AH167" s="220"/>
      <c r="AI167" s="220"/>
    </row>
    <row r="168" customFormat="false" ht="12.75" hidden="false" customHeight="false" outlineLevel="0" collapsed="false"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R168" s="220"/>
      <c r="S168" s="220"/>
      <c r="T168" s="220"/>
      <c r="W168" s="220"/>
      <c r="X168" s="220"/>
      <c r="Y168" s="220"/>
      <c r="AB168" s="220"/>
      <c r="AC168" s="220"/>
      <c r="AD168" s="220"/>
      <c r="AG168" s="220"/>
      <c r="AH168" s="220"/>
      <c r="AI168" s="220"/>
    </row>
    <row r="169" customFormat="false" ht="12.75" hidden="false" customHeight="false" outlineLevel="0" collapsed="false"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R169" s="220"/>
      <c r="S169" s="220"/>
      <c r="T169" s="220"/>
      <c r="W169" s="220"/>
      <c r="X169" s="220"/>
      <c r="Y169" s="220"/>
      <c r="AB169" s="220"/>
      <c r="AC169" s="220"/>
      <c r="AD169" s="220"/>
      <c r="AG169" s="220"/>
      <c r="AH169" s="220"/>
      <c r="AI169" s="220"/>
    </row>
    <row r="170" customFormat="false" ht="12.75" hidden="false" customHeight="false" outlineLevel="0" collapsed="false"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R170" s="220"/>
      <c r="S170" s="220"/>
      <c r="T170" s="220"/>
      <c r="W170" s="220"/>
      <c r="X170" s="220"/>
      <c r="Y170" s="220"/>
      <c r="AB170" s="220"/>
      <c r="AC170" s="220"/>
      <c r="AD170" s="220"/>
      <c r="AG170" s="220"/>
      <c r="AH170" s="220"/>
      <c r="AI170" s="220"/>
    </row>
    <row r="171" customFormat="false" ht="12.75" hidden="false" customHeight="false" outlineLevel="0" collapsed="false"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R171" s="220"/>
      <c r="S171" s="220"/>
      <c r="T171" s="220"/>
      <c r="W171" s="220"/>
      <c r="X171" s="220"/>
      <c r="Y171" s="220"/>
      <c r="AB171" s="220"/>
      <c r="AC171" s="220"/>
      <c r="AD171" s="220"/>
      <c r="AG171" s="220"/>
      <c r="AH171" s="220"/>
      <c r="AI171" s="220"/>
    </row>
    <row r="172" customFormat="false" ht="12.75" hidden="false" customHeight="false" outlineLevel="0" collapsed="false"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R172" s="220"/>
      <c r="S172" s="220"/>
      <c r="T172" s="220"/>
      <c r="W172" s="220"/>
      <c r="X172" s="220"/>
      <c r="Y172" s="220"/>
      <c r="AB172" s="220"/>
      <c r="AC172" s="220"/>
      <c r="AD172" s="220"/>
      <c r="AG172" s="220"/>
      <c r="AH172" s="220"/>
      <c r="AI172" s="220"/>
    </row>
    <row r="173" customFormat="false" ht="12.75" hidden="false" customHeight="false" outlineLevel="0" collapsed="false"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R173" s="220"/>
      <c r="S173" s="220"/>
      <c r="T173" s="220"/>
      <c r="W173" s="220"/>
      <c r="X173" s="220"/>
      <c r="Y173" s="220"/>
      <c r="AB173" s="220"/>
      <c r="AC173" s="220"/>
      <c r="AD173" s="220"/>
      <c r="AG173" s="220"/>
      <c r="AH173" s="220"/>
      <c r="AI173" s="220"/>
    </row>
    <row r="174" customFormat="false" ht="12.75" hidden="false" customHeight="false" outlineLevel="0" collapsed="false"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R174" s="220"/>
      <c r="S174" s="220"/>
      <c r="T174" s="220"/>
      <c r="W174" s="220"/>
      <c r="X174" s="220"/>
      <c r="Y174" s="220"/>
      <c r="AB174" s="220"/>
      <c r="AC174" s="220"/>
      <c r="AD174" s="220"/>
      <c r="AG174" s="220"/>
      <c r="AH174" s="220"/>
      <c r="AI174" s="220"/>
    </row>
    <row r="175" customFormat="false" ht="12.75" hidden="false" customHeight="false" outlineLevel="0" collapsed="false"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R175" s="220"/>
      <c r="S175" s="220"/>
      <c r="T175" s="220"/>
      <c r="W175" s="220"/>
      <c r="X175" s="220"/>
      <c r="Y175" s="220"/>
      <c r="AB175" s="220"/>
      <c r="AC175" s="220"/>
      <c r="AD175" s="220"/>
      <c r="AG175" s="220"/>
      <c r="AH175" s="220"/>
      <c r="AI175" s="220"/>
    </row>
    <row r="176" customFormat="false" ht="12.75" hidden="false" customHeight="false" outlineLevel="0" collapsed="false"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R176" s="220"/>
      <c r="S176" s="220"/>
      <c r="T176" s="220"/>
      <c r="W176" s="220"/>
      <c r="X176" s="220"/>
      <c r="Y176" s="220"/>
      <c r="AB176" s="220"/>
      <c r="AC176" s="220"/>
      <c r="AD176" s="220"/>
      <c r="AG176" s="220"/>
      <c r="AH176" s="220"/>
      <c r="AI176" s="220"/>
    </row>
    <row r="177" customFormat="false" ht="12.75" hidden="false" customHeight="false" outlineLevel="0" collapsed="false"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R177" s="220"/>
      <c r="S177" s="220"/>
      <c r="T177" s="220"/>
      <c r="W177" s="220"/>
      <c r="X177" s="220"/>
      <c r="Y177" s="220"/>
      <c r="AB177" s="220"/>
      <c r="AC177" s="220"/>
      <c r="AD177" s="220"/>
      <c r="AG177" s="220"/>
      <c r="AH177" s="220"/>
      <c r="AI177" s="220"/>
    </row>
    <row r="178" customFormat="false" ht="12.75" hidden="false" customHeight="false" outlineLevel="0" collapsed="false"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R178" s="220"/>
      <c r="S178" s="220"/>
      <c r="T178" s="220"/>
      <c r="W178" s="220"/>
      <c r="X178" s="220"/>
      <c r="Y178" s="220"/>
      <c r="AB178" s="220"/>
      <c r="AC178" s="220"/>
      <c r="AD178" s="220"/>
      <c r="AG178" s="220"/>
      <c r="AH178" s="220"/>
      <c r="AI178" s="220"/>
    </row>
    <row r="179" customFormat="false" ht="12.75" hidden="false" customHeight="false" outlineLevel="0" collapsed="false"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R179" s="220"/>
      <c r="S179" s="220"/>
      <c r="T179" s="220"/>
      <c r="W179" s="220"/>
      <c r="X179" s="220"/>
      <c r="Y179" s="220"/>
      <c r="AB179" s="220"/>
      <c r="AC179" s="220"/>
      <c r="AD179" s="220"/>
      <c r="AG179" s="220"/>
      <c r="AH179" s="220"/>
      <c r="AI179" s="220"/>
    </row>
    <row r="180" customFormat="false" ht="12.75" hidden="false" customHeight="false" outlineLevel="0" collapsed="false"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R180" s="220"/>
      <c r="S180" s="220"/>
      <c r="T180" s="220"/>
      <c r="W180" s="220"/>
      <c r="X180" s="220"/>
      <c r="Y180" s="220"/>
      <c r="AB180" s="220"/>
      <c r="AC180" s="220"/>
      <c r="AD180" s="220"/>
      <c r="AG180" s="220"/>
      <c r="AH180" s="220"/>
      <c r="AI180" s="220"/>
    </row>
    <row r="181" customFormat="false" ht="12.75" hidden="false" customHeight="false" outlineLevel="0" collapsed="false"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R181" s="220"/>
      <c r="S181" s="220"/>
      <c r="T181" s="220"/>
      <c r="W181" s="220"/>
      <c r="X181" s="220"/>
      <c r="Y181" s="220"/>
      <c r="AB181" s="220"/>
      <c r="AC181" s="220"/>
      <c r="AD181" s="220"/>
      <c r="AG181" s="220"/>
      <c r="AH181" s="220"/>
      <c r="AI181" s="220"/>
    </row>
    <row r="182" customFormat="false" ht="12.75" hidden="false" customHeight="false" outlineLevel="0" collapsed="false"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R182" s="220"/>
      <c r="S182" s="220"/>
      <c r="T182" s="220"/>
      <c r="W182" s="220"/>
      <c r="X182" s="220"/>
      <c r="Y182" s="220"/>
      <c r="AB182" s="220"/>
      <c r="AC182" s="220"/>
      <c r="AD182" s="220"/>
      <c r="AG182" s="220"/>
      <c r="AH182" s="220"/>
      <c r="AI182" s="220"/>
    </row>
    <row r="183" customFormat="false" ht="12.75" hidden="false" customHeight="false" outlineLevel="0" collapsed="false"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R183" s="220"/>
      <c r="S183" s="220"/>
      <c r="T183" s="220"/>
      <c r="W183" s="220"/>
      <c r="X183" s="220"/>
      <c r="Y183" s="220"/>
      <c r="AB183" s="220"/>
      <c r="AC183" s="220"/>
      <c r="AD183" s="220"/>
      <c r="AG183" s="220"/>
      <c r="AH183" s="220"/>
      <c r="AI183" s="220"/>
    </row>
    <row r="184" customFormat="false" ht="12.75" hidden="false" customHeight="false" outlineLevel="0" collapsed="false"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R184" s="220"/>
      <c r="S184" s="220"/>
      <c r="T184" s="220"/>
      <c r="W184" s="220"/>
      <c r="X184" s="220"/>
      <c r="Y184" s="220"/>
      <c r="AB184" s="220"/>
      <c r="AC184" s="220"/>
      <c r="AD184" s="220"/>
      <c r="AG184" s="220"/>
      <c r="AH184" s="220"/>
      <c r="AI184" s="220"/>
    </row>
    <row r="185" customFormat="false" ht="12.75" hidden="false" customHeight="false" outlineLevel="0" collapsed="false"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R185" s="220"/>
      <c r="S185" s="220"/>
      <c r="T185" s="220"/>
      <c r="W185" s="220"/>
      <c r="X185" s="220"/>
      <c r="Y185" s="220"/>
      <c r="AB185" s="220"/>
      <c r="AC185" s="220"/>
      <c r="AD185" s="220"/>
      <c r="AG185" s="220"/>
      <c r="AH185" s="220"/>
      <c r="AI185" s="220"/>
    </row>
    <row r="186" customFormat="false" ht="12.75" hidden="false" customHeight="false" outlineLevel="0" collapsed="false"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R186" s="220"/>
      <c r="S186" s="220"/>
      <c r="T186" s="220"/>
      <c r="W186" s="220"/>
      <c r="X186" s="220"/>
      <c r="Y186" s="220"/>
      <c r="AB186" s="220"/>
      <c r="AC186" s="220"/>
      <c r="AD186" s="220"/>
      <c r="AG186" s="220"/>
      <c r="AH186" s="220"/>
      <c r="AI186" s="220"/>
    </row>
    <row r="187" customFormat="false" ht="12.75" hidden="false" customHeight="false" outlineLevel="0" collapsed="false"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R187" s="220"/>
      <c r="S187" s="220"/>
      <c r="T187" s="220"/>
      <c r="W187" s="220"/>
      <c r="X187" s="220"/>
      <c r="Y187" s="220"/>
      <c r="AB187" s="220"/>
      <c r="AC187" s="220"/>
      <c r="AD187" s="220"/>
      <c r="AG187" s="220"/>
      <c r="AH187" s="220"/>
      <c r="AI187" s="220"/>
    </row>
    <row r="188" customFormat="false" ht="12.75" hidden="false" customHeight="false" outlineLevel="0" collapsed="false"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R188" s="220"/>
      <c r="S188" s="220"/>
      <c r="T188" s="220"/>
      <c r="W188" s="220"/>
      <c r="X188" s="220"/>
      <c r="Y188" s="220"/>
      <c r="AB188" s="220"/>
      <c r="AC188" s="220"/>
      <c r="AD188" s="220"/>
      <c r="AG188" s="220"/>
      <c r="AH188" s="220"/>
      <c r="AI188" s="220"/>
    </row>
    <row r="189" customFormat="false" ht="12.75" hidden="false" customHeight="false" outlineLevel="0" collapsed="false"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R189" s="220"/>
      <c r="S189" s="220"/>
      <c r="T189" s="220"/>
      <c r="W189" s="220"/>
      <c r="X189" s="220"/>
      <c r="Y189" s="220"/>
      <c r="AB189" s="220"/>
      <c r="AC189" s="220"/>
      <c r="AD189" s="220"/>
      <c r="AG189" s="220"/>
      <c r="AH189" s="220"/>
      <c r="AI189" s="220"/>
    </row>
    <row r="190" customFormat="false" ht="12.75" hidden="false" customHeight="false" outlineLevel="0" collapsed="false"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R190" s="220"/>
      <c r="S190" s="220"/>
      <c r="T190" s="220"/>
      <c r="W190" s="220"/>
      <c r="X190" s="220"/>
      <c r="Y190" s="220"/>
      <c r="AB190" s="220"/>
      <c r="AC190" s="220"/>
      <c r="AD190" s="220"/>
      <c r="AG190" s="220"/>
      <c r="AH190" s="220"/>
      <c r="AI190" s="220"/>
    </row>
    <row r="191" customFormat="false" ht="12.75" hidden="false" customHeight="false" outlineLevel="0" collapsed="false"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R191" s="220"/>
      <c r="S191" s="220"/>
      <c r="T191" s="220"/>
      <c r="W191" s="220"/>
      <c r="X191" s="220"/>
      <c r="Y191" s="220"/>
      <c r="AB191" s="220"/>
      <c r="AC191" s="220"/>
      <c r="AD191" s="220"/>
      <c r="AG191" s="220"/>
      <c r="AH191" s="220"/>
      <c r="AI191" s="220"/>
    </row>
    <row r="192" customFormat="false" ht="12.75" hidden="false" customHeight="false" outlineLevel="0" collapsed="false"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R192" s="220"/>
      <c r="S192" s="220"/>
      <c r="T192" s="220"/>
      <c r="W192" s="220"/>
      <c r="X192" s="220"/>
      <c r="Y192" s="220"/>
      <c r="AB192" s="220"/>
      <c r="AC192" s="220"/>
      <c r="AD192" s="220"/>
      <c r="AG192" s="220"/>
      <c r="AH192" s="220"/>
      <c r="AI192" s="220"/>
    </row>
    <row r="193" customFormat="false" ht="12.75" hidden="false" customHeight="false" outlineLevel="0" collapsed="false"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R193" s="220"/>
      <c r="S193" s="220"/>
      <c r="T193" s="220"/>
      <c r="W193" s="220"/>
      <c r="X193" s="220"/>
      <c r="Y193" s="220"/>
      <c r="AB193" s="220"/>
      <c r="AC193" s="220"/>
      <c r="AD193" s="220"/>
      <c r="AG193" s="220"/>
      <c r="AH193" s="220"/>
      <c r="AI193" s="220"/>
    </row>
    <row r="194" customFormat="false" ht="12.75" hidden="false" customHeight="false" outlineLevel="0" collapsed="false"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R194" s="220"/>
      <c r="S194" s="220"/>
      <c r="T194" s="220"/>
      <c r="W194" s="220"/>
      <c r="X194" s="220"/>
      <c r="Y194" s="220"/>
      <c r="AB194" s="220"/>
      <c r="AC194" s="220"/>
      <c r="AD194" s="220"/>
      <c r="AG194" s="220"/>
      <c r="AH194" s="220"/>
      <c r="AI194" s="220"/>
    </row>
    <row r="195" customFormat="false" ht="12.75" hidden="false" customHeight="false" outlineLevel="0" collapsed="false"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R195" s="220"/>
      <c r="S195" s="220"/>
      <c r="T195" s="220"/>
      <c r="W195" s="220"/>
      <c r="X195" s="220"/>
      <c r="Y195" s="220"/>
      <c r="AB195" s="220"/>
      <c r="AC195" s="220"/>
      <c r="AD195" s="220"/>
      <c r="AG195" s="220"/>
      <c r="AH195" s="220"/>
      <c r="AI195" s="220"/>
    </row>
    <row r="196" customFormat="false" ht="12.75" hidden="false" customHeight="false" outlineLevel="0" collapsed="false"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R196" s="220"/>
      <c r="S196" s="220"/>
      <c r="T196" s="220"/>
      <c r="W196" s="220"/>
      <c r="X196" s="220"/>
      <c r="Y196" s="220"/>
      <c r="AB196" s="220"/>
      <c r="AC196" s="220"/>
      <c r="AD196" s="220"/>
      <c r="AG196" s="220"/>
      <c r="AH196" s="220"/>
      <c r="AI196" s="220"/>
    </row>
    <row r="197" customFormat="false" ht="12.75" hidden="false" customHeight="false" outlineLevel="0" collapsed="false"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R197" s="220"/>
      <c r="S197" s="220"/>
      <c r="T197" s="220"/>
      <c r="W197" s="220"/>
      <c r="X197" s="220"/>
      <c r="Y197" s="220"/>
      <c r="AB197" s="220"/>
      <c r="AC197" s="220"/>
      <c r="AD197" s="220"/>
      <c r="AG197" s="220"/>
      <c r="AH197" s="220"/>
      <c r="AI197" s="220"/>
    </row>
    <row r="198" customFormat="false" ht="12.75" hidden="false" customHeight="false" outlineLevel="0" collapsed="false"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R198" s="220"/>
      <c r="S198" s="220"/>
      <c r="T198" s="220"/>
      <c r="W198" s="220"/>
      <c r="X198" s="220"/>
      <c r="Y198" s="220"/>
      <c r="AB198" s="220"/>
      <c r="AC198" s="220"/>
      <c r="AD198" s="220"/>
      <c r="AG198" s="220"/>
      <c r="AH198" s="220"/>
      <c r="AI198" s="220"/>
    </row>
    <row r="199" customFormat="false" ht="12.75" hidden="false" customHeight="false" outlineLevel="0" collapsed="false"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R199" s="220"/>
      <c r="S199" s="220"/>
      <c r="T199" s="220"/>
      <c r="W199" s="220"/>
      <c r="X199" s="220"/>
      <c r="Y199" s="220"/>
      <c r="AB199" s="220"/>
      <c r="AC199" s="220"/>
      <c r="AD199" s="220"/>
      <c r="AG199" s="220"/>
      <c r="AH199" s="220"/>
      <c r="AI199" s="220"/>
    </row>
    <row r="200" customFormat="false" ht="12.75" hidden="false" customHeight="false" outlineLevel="0" collapsed="false"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R200" s="220"/>
      <c r="S200" s="220"/>
      <c r="T200" s="220"/>
      <c r="W200" s="220"/>
      <c r="X200" s="220"/>
      <c r="Y200" s="220"/>
      <c r="AB200" s="220"/>
      <c r="AC200" s="220"/>
      <c r="AD200" s="220"/>
      <c r="AG200" s="220"/>
      <c r="AH200" s="220"/>
      <c r="AI200" s="220"/>
    </row>
    <row r="201" customFormat="false" ht="12.75" hidden="false" customHeight="false" outlineLevel="0" collapsed="false"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R201" s="220"/>
      <c r="S201" s="220"/>
      <c r="T201" s="220"/>
      <c r="W201" s="220"/>
      <c r="X201" s="220"/>
      <c r="Y201" s="220"/>
      <c r="AB201" s="220"/>
      <c r="AC201" s="220"/>
      <c r="AD201" s="220"/>
      <c r="AG201" s="220"/>
      <c r="AH201" s="220"/>
      <c r="AI201" s="220"/>
    </row>
    <row r="202" customFormat="false" ht="12.75" hidden="false" customHeight="false" outlineLevel="0" collapsed="false"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R202" s="220"/>
      <c r="S202" s="220"/>
      <c r="T202" s="220"/>
      <c r="W202" s="220"/>
      <c r="X202" s="220"/>
      <c r="Y202" s="220"/>
      <c r="AB202" s="220"/>
      <c r="AC202" s="220"/>
      <c r="AD202" s="220"/>
      <c r="AG202" s="220"/>
      <c r="AH202" s="220"/>
      <c r="AI202" s="220"/>
    </row>
    <row r="203" customFormat="false" ht="12.75" hidden="false" customHeight="false" outlineLevel="0" collapsed="false"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R203" s="220"/>
      <c r="S203" s="220"/>
      <c r="T203" s="220"/>
      <c r="W203" s="220"/>
      <c r="X203" s="220"/>
      <c r="Y203" s="220"/>
      <c r="AB203" s="220"/>
      <c r="AC203" s="220"/>
      <c r="AD203" s="220"/>
      <c r="AG203" s="220"/>
      <c r="AH203" s="220"/>
      <c r="AI203" s="220"/>
    </row>
    <row r="204" customFormat="false" ht="12.75" hidden="false" customHeight="false" outlineLevel="0" collapsed="false"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R204" s="220"/>
      <c r="S204" s="220"/>
      <c r="T204" s="220"/>
      <c r="W204" s="220"/>
      <c r="X204" s="220"/>
      <c r="Y204" s="220"/>
      <c r="AB204" s="220"/>
      <c r="AC204" s="220"/>
      <c r="AD204" s="220"/>
      <c r="AG204" s="220"/>
      <c r="AH204" s="220"/>
      <c r="AI204" s="220"/>
    </row>
    <row r="205" customFormat="false" ht="12.75" hidden="false" customHeight="false" outlineLevel="0" collapsed="false"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R205" s="220"/>
      <c r="S205" s="220"/>
      <c r="T205" s="220"/>
      <c r="W205" s="220"/>
      <c r="X205" s="220"/>
      <c r="Y205" s="220"/>
      <c r="AB205" s="220"/>
      <c r="AC205" s="220"/>
      <c r="AD205" s="220"/>
      <c r="AG205" s="220"/>
      <c r="AH205" s="220"/>
      <c r="AI205" s="220"/>
    </row>
    <row r="206" customFormat="false" ht="12.75" hidden="false" customHeight="false" outlineLevel="0" collapsed="false"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R206" s="220"/>
      <c r="S206" s="220"/>
      <c r="T206" s="220"/>
      <c r="W206" s="220"/>
      <c r="X206" s="220"/>
      <c r="Y206" s="220"/>
      <c r="AB206" s="220"/>
      <c r="AC206" s="220"/>
      <c r="AD206" s="220"/>
      <c r="AG206" s="220"/>
      <c r="AH206" s="220"/>
      <c r="AI206" s="220"/>
    </row>
    <row r="207" customFormat="false" ht="12.75" hidden="false" customHeight="false" outlineLevel="0" collapsed="false"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R207" s="220"/>
      <c r="S207" s="220"/>
      <c r="T207" s="220"/>
      <c r="W207" s="220"/>
      <c r="X207" s="220"/>
      <c r="Y207" s="220"/>
      <c r="AB207" s="220"/>
      <c r="AC207" s="220"/>
      <c r="AD207" s="220"/>
      <c r="AG207" s="220"/>
      <c r="AH207" s="220"/>
      <c r="AI207" s="220"/>
    </row>
    <row r="208" customFormat="false" ht="12.75" hidden="false" customHeight="false" outlineLevel="0" collapsed="false"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R208" s="220"/>
      <c r="S208" s="220"/>
      <c r="T208" s="220"/>
      <c r="W208" s="220"/>
      <c r="X208" s="220"/>
      <c r="Y208" s="220"/>
      <c r="AB208" s="220"/>
      <c r="AC208" s="220"/>
      <c r="AD208" s="220"/>
      <c r="AG208" s="220"/>
      <c r="AH208" s="220"/>
      <c r="AI208" s="220"/>
    </row>
    <row r="209" customFormat="false" ht="12.75" hidden="false" customHeight="false" outlineLevel="0" collapsed="false"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R209" s="220"/>
      <c r="S209" s="220"/>
      <c r="T209" s="220"/>
      <c r="W209" s="220"/>
      <c r="X209" s="220"/>
      <c r="Y209" s="220"/>
      <c r="AB209" s="220"/>
      <c r="AC209" s="220"/>
      <c r="AD209" s="220"/>
      <c r="AG209" s="220"/>
      <c r="AH209" s="220"/>
      <c r="AI209" s="220"/>
    </row>
    <row r="210" customFormat="false" ht="12.75" hidden="false" customHeight="false" outlineLevel="0" collapsed="false"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R210" s="220"/>
      <c r="S210" s="220"/>
      <c r="T210" s="220"/>
      <c r="W210" s="220"/>
      <c r="X210" s="220"/>
      <c r="Y210" s="220"/>
      <c r="AB210" s="220"/>
      <c r="AC210" s="220"/>
      <c r="AD210" s="220"/>
      <c r="AG210" s="220"/>
      <c r="AH210" s="220"/>
      <c r="AI210" s="220"/>
    </row>
    <row r="211" customFormat="false" ht="12.75" hidden="false" customHeight="false" outlineLevel="0" collapsed="false"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R211" s="220"/>
      <c r="S211" s="220"/>
      <c r="T211" s="220"/>
      <c r="W211" s="220"/>
      <c r="X211" s="220"/>
      <c r="Y211" s="220"/>
      <c r="AB211" s="220"/>
      <c r="AC211" s="220"/>
      <c r="AD211" s="220"/>
      <c r="AG211" s="220"/>
      <c r="AH211" s="220"/>
      <c r="AI211" s="220"/>
    </row>
    <row r="212" customFormat="false" ht="12.75" hidden="false" customHeight="false" outlineLevel="0" collapsed="false"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R212" s="220"/>
      <c r="S212" s="220"/>
      <c r="T212" s="220"/>
      <c r="W212" s="220"/>
      <c r="X212" s="220"/>
      <c r="Y212" s="220"/>
      <c r="AB212" s="220"/>
      <c r="AC212" s="220"/>
      <c r="AD212" s="220"/>
      <c r="AG212" s="220"/>
      <c r="AH212" s="220"/>
      <c r="AI212" s="220"/>
    </row>
    <row r="213" customFormat="false" ht="12.75" hidden="false" customHeight="false" outlineLevel="0" collapsed="false"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R213" s="220"/>
      <c r="S213" s="220"/>
      <c r="T213" s="220"/>
      <c r="W213" s="220"/>
      <c r="X213" s="220"/>
      <c r="Y213" s="220"/>
      <c r="AB213" s="220"/>
      <c r="AC213" s="220"/>
      <c r="AD213" s="220"/>
      <c r="AG213" s="220"/>
      <c r="AH213" s="220"/>
      <c r="AI213" s="220"/>
    </row>
    <row r="214" customFormat="false" ht="12.75" hidden="false" customHeight="false" outlineLevel="0" collapsed="false"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R214" s="220"/>
      <c r="S214" s="220"/>
      <c r="T214" s="220"/>
      <c r="W214" s="220"/>
      <c r="X214" s="220"/>
      <c r="Y214" s="220"/>
      <c r="AB214" s="220"/>
      <c r="AC214" s="220"/>
      <c r="AD214" s="220"/>
      <c r="AG214" s="220"/>
      <c r="AH214" s="220"/>
      <c r="AI214" s="220"/>
    </row>
    <row r="215" customFormat="false" ht="12.75" hidden="false" customHeight="false" outlineLevel="0" collapsed="false"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R215" s="220"/>
      <c r="S215" s="220"/>
      <c r="T215" s="220"/>
      <c r="W215" s="220"/>
      <c r="X215" s="220"/>
      <c r="Y215" s="220"/>
      <c r="AB215" s="220"/>
      <c r="AC215" s="220"/>
      <c r="AD215" s="220"/>
      <c r="AG215" s="220"/>
      <c r="AH215" s="220"/>
      <c r="AI215" s="220"/>
    </row>
    <row r="216" customFormat="false" ht="12.75" hidden="false" customHeight="false" outlineLevel="0" collapsed="false"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R216" s="220"/>
      <c r="S216" s="220"/>
      <c r="T216" s="220"/>
      <c r="W216" s="220"/>
      <c r="X216" s="220"/>
      <c r="Y216" s="220"/>
      <c r="AB216" s="220"/>
      <c r="AC216" s="220"/>
      <c r="AD216" s="220"/>
      <c r="AG216" s="220"/>
      <c r="AH216" s="220"/>
      <c r="AI216" s="220"/>
    </row>
    <row r="217" customFormat="false" ht="12.75" hidden="false" customHeight="false" outlineLevel="0" collapsed="false"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R217" s="220"/>
      <c r="S217" s="220"/>
      <c r="T217" s="220"/>
      <c r="W217" s="220"/>
      <c r="X217" s="220"/>
      <c r="Y217" s="220"/>
      <c r="AB217" s="220"/>
      <c r="AC217" s="220"/>
      <c r="AD217" s="220"/>
      <c r="AG217" s="220"/>
      <c r="AH217" s="220"/>
      <c r="AI217" s="220"/>
    </row>
    <row r="218" customFormat="false" ht="12.75" hidden="false" customHeight="false" outlineLevel="0" collapsed="false"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R218" s="220"/>
      <c r="S218" s="220"/>
      <c r="T218" s="220"/>
      <c r="W218" s="220"/>
      <c r="X218" s="220"/>
      <c r="Y218" s="220"/>
      <c r="AB218" s="220"/>
      <c r="AC218" s="220"/>
      <c r="AD218" s="220"/>
      <c r="AG218" s="220"/>
      <c r="AH218" s="220"/>
      <c r="AI218" s="220"/>
    </row>
    <row r="219" customFormat="false" ht="12.75" hidden="false" customHeight="false" outlineLevel="0" collapsed="false"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R219" s="220"/>
      <c r="S219" s="220"/>
      <c r="T219" s="220"/>
      <c r="W219" s="220"/>
      <c r="X219" s="220"/>
      <c r="Y219" s="220"/>
      <c r="AB219" s="220"/>
      <c r="AC219" s="220"/>
      <c r="AD219" s="220"/>
      <c r="AG219" s="220"/>
      <c r="AH219" s="220"/>
      <c r="AI219" s="220"/>
    </row>
    <row r="220" customFormat="false" ht="12.75" hidden="false" customHeight="false" outlineLevel="0" collapsed="false"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R220" s="220"/>
      <c r="S220" s="220"/>
      <c r="T220" s="220"/>
      <c r="W220" s="220"/>
      <c r="X220" s="220"/>
      <c r="Y220" s="220"/>
      <c r="AB220" s="220"/>
      <c r="AC220" s="220"/>
      <c r="AD220" s="220"/>
      <c r="AG220" s="220"/>
      <c r="AH220" s="220"/>
      <c r="AI220" s="220"/>
    </row>
    <row r="221" customFormat="false" ht="12.75" hidden="false" customHeight="false" outlineLevel="0" collapsed="false"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R221" s="220"/>
      <c r="S221" s="220"/>
      <c r="T221" s="220"/>
      <c r="W221" s="220"/>
      <c r="X221" s="220"/>
      <c r="Y221" s="220"/>
      <c r="AB221" s="220"/>
      <c r="AC221" s="220"/>
      <c r="AD221" s="220"/>
      <c r="AG221" s="220"/>
      <c r="AH221" s="220"/>
      <c r="AI221" s="220"/>
    </row>
    <row r="222" customFormat="false" ht="12.75" hidden="false" customHeight="false" outlineLevel="0" collapsed="false"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R222" s="220"/>
      <c r="S222" s="220"/>
      <c r="T222" s="220"/>
      <c r="W222" s="220"/>
      <c r="X222" s="220"/>
      <c r="Y222" s="220"/>
      <c r="AB222" s="220"/>
      <c r="AC222" s="220"/>
      <c r="AD222" s="220"/>
      <c r="AG222" s="220"/>
      <c r="AH222" s="220"/>
      <c r="AI222" s="220"/>
    </row>
    <row r="223" customFormat="false" ht="12.75" hidden="false" customHeight="false" outlineLevel="0" collapsed="false"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R223" s="220"/>
      <c r="S223" s="220"/>
      <c r="T223" s="220"/>
      <c r="W223" s="220"/>
      <c r="X223" s="220"/>
      <c r="Y223" s="220"/>
      <c r="AB223" s="220"/>
      <c r="AC223" s="220"/>
      <c r="AD223" s="220"/>
      <c r="AG223" s="220"/>
      <c r="AH223" s="220"/>
      <c r="AI223" s="220"/>
    </row>
    <row r="224" customFormat="false" ht="12.75" hidden="false" customHeight="false" outlineLevel="0" collapsed="false"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R224" s="220"/>
      <c r="S224" s="220"/>
      <c r="T224" s="220"/>
      <c r="W224" s="220"/>
      <c r="X224" s="220"/>
      <c r="Y224" s="220"/>
      <c r="AB224" s="220"/>
      <c r="AC224" s="220"/>
      <c r="AD224" s="220"/>
      <c r="AG224" s="220"/>
      <c r="AH224" s="220"/>
      <c r="AI224" s="220"/>
    </row>
    <row r="225" customFormat="false" ht="12.75" hidden="false" customHeight="false" outlineLevel="0" collapsed="false"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R225" s="220"/>
      <c r="S225" s="220"/>
      <c r="T225" s="220"/>
      <c r="W225" s="220"/>
      <c r="X225" s="220"/>
      <c r="Y225" s="220"/>
      <c r="AB225" s="220"/>
      <c r="AC225" s="220"/>
      <c r="AD225" s="220"/>
      <c r="AG225" s="220"/>
      <c r="AH225" s="220"/>
      <c r="AI225" s="220"/>
    </row>
    <row r="226" customFormat="false" ht="12.75" hidden="false" customHeight="false" outlineLevel="0" collapsed="false"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R226" s="220"/>
      <c r="S226" s="220"/>
      <c r="T226" s="220"/>
      <c r="W226" s="220"/>
      <c r="X226" s="220"/>
      <c r="Y226" s="220"/>
      <c r="AB226" s="220"/>
      <c r="AC226" s="220"/>
      <c r="AD226" s="220"/>
      <c r="AG226" s="220"/>
      <c r="AH226" s="220"/>
      <c r="AI226" s="220"/>
    </row>
    <row r="227" customFormat="false" ht="12.75" hidden="false" customHeight="false" outlineLevel="0" collapsed="false"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R227" s="220"/>
      <c r="S227" s="220"/>
      <c r="T227" s="220"/>
      <c r="W227" s="220"/>
      <c r="X227" s="220"/>
      <c r="Y227" s="220"/>
      <c r="AB227" s="220"/>
      <c r="AC227" s="220"/>
      <c r="AD227" s="220"/>
      <c r="AG227" s="220"/>
      <c r="AH227" s="220"/>
      <c r="AI227" s="220"/>
    </row>
    <row r="228" customFormat="false" ht="12.75" hidden="false" customHeight="false" outlineLevel="0" collapsed="false"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R228" s="220"/>
      <c r="S228" s="220"/>
      <c r="T228" s="220"/>
      <c r="W228" s="220"/>
      <c r="X228" s="220"/>
      <c r="Y228" s="220"/>
      <c r="AB228" s="220"/>
      <c r="AC228" s="220"/>
      <c r="AD228" s="220"/>
      <c r="AG228" s="220"/>
      <c r="AH228" s="220"/>
      <c r="AI228" s="220"/>
    </row>
    <row r="229" customFormat="false" ht="12.75" hidden="false" customHeight="false" outlineLevel="0" collapsed="false"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R229" s="220"/>
      <c r="S229" s="220"/>
      <c r="T229" s="220"/>
      <c r="W229" s="220"/>
      <c r="X229" s="220"/>
      <c r="Y229" s="220"/>
      <c r="AB229" s="220"/>
      <c r="AC229" s="220"/>
      <c r="AD229" s="220"/>
      <c r="AG229" s="220"/>
      <c r="AH229" s="220"/>
      <c r="AI229" s="220"/>
    </row>
    <row r="230" customFormat="false" ht="12.75" hidden="false" customHeight="false" outlineLevel="0" collapsed="false"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R230" s="220"/>
      <c r="S230" s="220"/>
      <c r="T230" s="220"/>
      <c r="W230" s="220"/>
      <c r="X230" s="220"/>
      <c r="Y230" s="220"/>
      <c r="AB230" s="220"/>
      <c r="AC230" s="220"/>
      <c r="AD230" s="220"/>
      <c r="AG230" s="220"/>
      <c r="AH230" s="220"/>
      <c r="AI230" s="220"/>
    </row>
    <row r="231" customFormat="false" ht="12.75" hidden="false" customHeight="false" outlineLevel="0" collapsed="false"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R231" s="220"/>
      <c r="S231" s="220"/>
      <c r="T231" s="220"/>
      <c r="W231" s="220"/>
      <c r="X231" s="220"/>
      <c r="Y231" s="220"/>
      <c r="AB231" s="220"/>
      <c r="AC231" s="220"/>
      <c r="AD231" s="220"/>
      <c r="AG231" s="220"/>
      <c r="AH231" s="220"/>
      <c r="AI231" s="220"/>
    </row>
    <row r="232" customFormat="false" ht="12.75" hidden="false" customHeight="false" outlineLevel="0" collapsed="false"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R232" s="220"/>
      <c r="S232" s="220"/>
      <c r="T232" s="220"/>
      <c r="W232" s="220"/>
      <c r="X232" s="220"/>
      <c r="Y232" s="220"/>
      <c r="AB232" s="220"/>
      <c r="AC232" s="220"/>
      <c r="AD232" s="220"/>
      <c r="AG232" s="220"/>
      <c r="AH232" s="220"/>
      <c r="AI232" s="220"/>
    </row>
    <row r="233" customFormat="false" ht="12.75" hidden="false" customHeight="false" outlineLevel="0" collapsed="false"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R233" s="220"/>
      <c r="S233" s="220"/>
      <c r="T233" s="220"/>
      <c r="W233" s="220"/>
      <c r="X233" s="220"/>
      <c r="Y233" s="220"/>
      <c r="AB233" s="220"/>
      <c r="AC233" s="220"/>
      <c r="AD233" s="220"/>
      <c r="AG233" s="220"/>
      <c r="AH233" s="220"/>
      <c r="AI233" s="220"/>
    </row>
    <row r="234" customFormat="false" ht="12.75" hidden="false" customHeight="false" outlineLevel="0" collapsed="false"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R234" s="220"/>
      <c r="S234" s="220"/>
      <c r="T234" s="220"/>
      <c r="W234" s="220"/>
      <c r="X234" s="220"/>
      <c r="Y234" s="220"/>
      <c r="AB234" s="220"/>
      <c r="AC234" s="220"/>
      <c r="AD234" s="220"/>
      <c r="AG234" s="220"/>
      <c r="AH234" s="220"/>
      <c r="AI234" s="220"/>
    </row>
    <row r="235" customFormat="false" ht="12.75" hidden="false" customHeight="false" outlineLevel="0" collapsed="false"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R235" s="220"/>
      <c r="S235" s="220"/>
      <c r="T235" s="220"/>
      <c r="W235" s="220"/>
      <c r="X235" s="220"/>
      <c r="Y235" s="220"/>
      <c r="AB235" s="220"/>
      <c r="AC235" s="220"/>
      <c r="AD235" s="220"/>
      <c r="AG235" s="220"/>
      <c r="AH235" s="220"/>
      <c r="AI235" s="220"/>
    </row>
    <row r="236" customFormat="false" ht="12.75" hidden="false" customHeight="false" outlineLevel="0" collapsed="false"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R236" s="220"/>
      <c r="S236" s="220"/>
      <c r="T236" s="220"/>
      <c r="W236" s="220"/>
      <c r="X236" s="220"/>
      <c r="Y236" s="220"/>
      <c r="AB236" s="220"/>
      <c r="AC236" s="220"/>
      <c r="AD236" s="220"/>
      <c r="AG236" s="220"/>
      <c r="AH236" s="220"/>
      <c r="AI236" s="220"/>
    </row>
    <row r="237" customFormat="false" ht="12.75" hidden="false" customHeight="false" outlineLevel="0" collapsed="false"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R237" s="220"/>
      <c r="S237" s="220"/>
      <c r="T237" s="220"/>
      <c r="W237" s="220"/>
      <c r="X237" s="220"/>
      <c r="Y237" s="220"/>
      <c r="AB237" s="220"/>
      <c r="AC237" s="220"/>
      <c r="AD237" s="220"/>
      <c r="AG237" s="220"/>
      <c r="AH237" s="220"/>
      <c r="AI237" s="220"/>
    </row>
    <row r="238" customFormat="false" ht="12.75" hidden="false" customHeight="false" outlineLevel="0" collapsed="false"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R238" s="220"/>
      <c r="S238" s="220"/>
      <c r="T238" s="220"/>
      <c r="W238" s="220"/>
      <c r="X238" s="220"/>
      <c r="Y238" s="220"/>
      <c r="AB238" s="220"/>
      <c r="AC238" s="220"/>
      <c r="AD238" s="220"/>
      <c r="AG238" s="220"/>
      <c r="AH238" s="220"/>
      <c r="AI238" s="220"/>
    </row>
    <row r="239" customFormat="false" ht="12.75" hidden="false" customHeight="false" outlineLevel="0" collapsed="false"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R239" s="220"/>
      <c r="S239" s="220"/>
      <c r="T239" s="220"/>
      <c r="W239" s="220"/>
      <c r="X239" s="220"/>
      <c r="Y239" s="220"/>
      <c r="AB239" s="220"/>
      <c r="AC239" s="220"/>
      <c r="AD239" s="220"/>
      <c r="AG239" s="220"/>
      <c r="AH239" s="220"/>
      <c r="AI239" s="220"/>
    </row>
    <row r="240" customFormat="false" ht="12.75" hidden="false" customHeight="false" outlineLevel="0" collapsed="false"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R240" s="220"/>
      <c r="S240" s="220"/>
      <c r="T240" s="220"/>
      <c r="W240" s="220"/>
      <c r="X240" s="220"/>
      <c r="Y240" s="220"/>
      <c r="AB240" s="220"/>
      <c r="AC240" s="220"/>
      <c r="AD240" s="220"/>
      <c r="AG240" s="220"/>
      <c r="AH240" s="220"/>
      <c r="AI240" s="220"/>
    </row>
    <row r="241" customFormat="false" ht="12.75" hidden="false" customHeight="false" outlineLevel="0" collapsed="false"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R241" s="220"/>
      <c r="S241" s="220"/>
      <c r="T241" s="220"/>
      <c r="W241" s="220"/>
      <c r="X241" s="220"/>
      <c r="Y241" s="220"/>
      <c r="AB241" s="220"/>
      <c r="AC241" s="220"/>
      <c r="AD241" s="220"/>
      <c r="AG241" s="220"/>
      <c r="AH241" s="220"/>
      <c r="AI241" s="220"/>
    </row>
    <row r="242" customFormat="false" ht="12.75" hidden="false" customHeight="false" outlineLevel="0" collapsed="false"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R242" s="220"/>
      <c r="S242" s="220"/>
      <c r="T242" s="220"/>
      <c r="W242" s="220"/>
      <c r="X242" s="220"/>
      <c r="Y242" s="220"/>
      <c r="AB242" s="220"/>
      <c r="AC242" s="220"/>
      <c r="AD242" s="220"/>
      <c r="AG242" s="220"/>
      <c r="AH242" s="220"/>
      <c r="AI242" s="220"/>
    </row>
    <row r="243" customFormat="false" ht="12.75" hidden="false" customHeight="false" outlineLevel="0" collapsed="false"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R243" s="220"/>
      <c r="S243" s="220"/>
      <c r="T243" s="220"/>
      <c r="W243" s="220"/>
      <c r="X243" s="220"/>
      <c r="Y243" s="220"/>
      <c r="AB243" s="220"/>
      <c r="AC243" s="220"/>
      <c r="AD243" s="220"/>
      <c r="AG243" s="220"/>
      <c r="AH243" s="220"/>
      <c r="AI243" s="220"/>
    </row>
    <row r="244" customFormat="false" ht="12.75" hidden="false" customHeight="false" outlineLevel="0" collapsed="false"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R244" s="220"/>
      <c r="S244" s="220"/>
      <c r="T244" s="220"/>
      <c r="W244" s="220"/>
      <c r="X244" s="220"/>
      <c r="Y244" s="220"/>
      <c r="AB244" s="220"/>
      <c r="AC244" s="220"/>
      <c r="AD244" s="220"/>
      <c r="AG244" s="220"/>
      <c r="AH244" s="220"/>
      <c r="AI244" s="220"/>
    </row>
    <row r="245" customFormat="false" ht="12.75" hidden="false" customHeight="false" outlineLevel="0" collapsed="false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R245" s="220"/>
      <c r="S245" s="220"/>
      <c r="T245" s="220"/>
      <c r="W245" s="220"/>
      <c r="X245" s="220"/>
      <c r="Y245" s="220"/>
      <c r="AB245" s="220"/>
      <c r="AC245" s="220"/>
      <c r="AD245" s="220"/>
      <c r="AG245" s="220"/>
      <c r="AH245" s="220"/>
      <c r="AI245" s="220"/>
    </row>
    <row r="246" customFormat="false" ht="12.75" hidden="false" customHeight="false" outlineLevel="0" collapsed="false"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R246" s="220"/>
      <c r="S246" s="220"/>
      <c r="T246" s="220"/>
      <c r="W246" s="220"/>
      <c r="X246" s="220"/>
      <c r="Y246" s="220"/>
      <c r="AB246" s="220"/>
      <c r="AC246" s="220"/>
      <c r="AD246" s="220"/>
      <c r="AG246" s="220"/>
      <c r="AH246" s="220"/>
      <c r="AI246" s="220"/>
    </row>
    <row r="247" customFormat="false" ht="12.75" hidden="false" customHeight="false" outlineLevel="0" collapsed="false"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R247" s="220"/>
      <c r="S247" s="220"/>
      <c r="T247" s="220"/>
      <c r="W247" s="220"/>
      <c r="X247" s="220"/>
      <c r="Y247" s="220"/>
      <c r="AB247" s="220"/>
      <c r="AC247" s="220"/>
      <c r="AD247" s="220"/>
      <c r="AG247" s="220"/>
      <c r="AH247" s="220"/>
      <c r="AI247" s="220"/>
    </row>
    <row r="248" customFormat="false" ht="12.75" hidden="false" customHeight="false" outlineLevel="0" collapsed="false"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R248" s="220"/>
      <c r="S248" s="220"/>
      <c r="T248" s="220"/>
      <c r="W248" s="220"/>
      <c r="X248" s="220"/>
      <c r="Y248" s="220"/>
      <c r="AB248" s="220"/>
      <c r="AC248" s="220"/>
      <c r="AD248" s="220"/>
      <c r="AG248" s="220"/>
      <c r="AH248" s="220"/>
      <c r="AI248" s="220"/>
    </row>
    <row r="249" customFormat="false" ht="12.75" hidden="false" customHeight="false" outlineLevel="0" collapsed="false"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R249" s="220"/>
      <c r="S249" s="220"/>
      <c r="T249" s="220"/>
      <c r="W249" s="220"/>
      <c r="X249" s="220"/>
      <c r="Y249" s="220"/>
      <c r="AB249" s="220"/>
      <c r="AC249" s="220"/>
      <c r="AD249" s="220"/>
      <c r="AG249" s="220"/>
      <c r="AH249" s="220"/>
      <c r="AI249" s="220"/>
    </row>
    <row r="250" customFormat="false" ht="12.75" hidden="false" customHeight="false" outlineLevel="0" collapsed="false"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R250" s="220"/>
      <c r="S250" s="220"/>
      <c r="T250" s="220"/>
      <c r="W250" s="220"/>
      <c r="X250" s="220"/>
      <c r="Y250" s="220"/>
      <c r="AB250" s="220"/>
      <c r="AC250" s="220"/>
      <c r="AD250" s="220"/>
      <c r="AG250" s="220"/>
      <c r="AH250" s="220"/>
      <c r="AI250" s="220"/>
    </row>
    <row r="251" customFormat="false" ht="12.75" hidden="false" customHeight="false" outlineLevel="0" collapsed="false"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R251" s="220"/>
      <c r="S251" s="220"/>
      <c r="T251" s="220"/>
      <c r="W251" s="220"/>
      <c r="X251" s="220"/>
      <c r="Y251" s="220"/>
      <c r="AB251" s="220"/>
      <c r="AC251" s="220"/>
      <c r="AD251" s="220"/>
      <c r="AG251" s="220"/>
      <c r="AH251" s="220"/>
      <c r="AI251" s="220"/>
    </row>
    <row r="252" customFormat="false" ht="12.75" hidden="false" customHeight="false" outlineLevel="0" collapsed="false"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R252" s="220"/>
      <c r="S252" s="220"/>
      <c r="T252" s="220"/>
      <c r="W252" s="220"/>
      <c r="X252" s="220"/>
      <c r="Y252" s="220"/>
      <c r="AB252" s="220"/>
      <c r="AC252" s="220"/>
      <c r="AD252" s="220"/>
      <c r="AG252" s="220"/>
      <c r="AH252" s="220"/>
      <c r="AI252" s="220"/>
    </row>
    <row r="253" customFormat="false" ht="12.75" hidden="false" customHeight="false" outlineLevel="0" collapsed="false"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R253" s="220"/>
      <c r="S253" s="220"/>
      <c r="T253" s="220"/>
      <c r="W253" s="220"/>
      <c r="X253" s="220"/>
      <c r="Y253" s="220"/>
      <c r="AB253" s="220"/>
      <c r="AC253" s="220"/>
      <c r="AD253" s="220"/>
      <c r="AG253" s="220"/>
      <c r="AH253" s="220"/>
      <c r="AI253" s="220"/>
    </row>
    <row r="254" customFormat="false" ht="12.75" hidden="false" customHeight="false" outlineLevel="0" collapsed="false"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R254" s="220"/>
      <c r="S254" s="220"/>
      <c r="T254" s="220"/>
      <c r="W254" s="220"/>
      <c r="X254" s="220"/>
      <c r="Y254" s="220"/>
      <c r="AB254" s="220"/>
      <c r="AC254" s="220"/>
      <c r="AD254" s="220"/>
      <c r="AG254" s="220"/>
      <c r="AH254" s="220"/>
      <c r="AI254" s="220"/>
    </row>
    <row r="255" customFormat="false" ht="12.75" hidden="false" customHeight="false" outlineLevel="0" collapsed="false"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R255" s="220"/>
      <c r="S255" s="220"/>
      <c r="T255" s="220"/>
      <c r="W255" s="220"/>
      <c r="X255" s="220"/>
      <c r="Y255" s="220"/>
      <c r="AB255" s="220"/>
      <c r="AC255" s="220"/>
      <c r="AD255" s="220"/>
      <c r="AG255" s="220"/>
      <c r="AH255" s="220"/>
      <c r="AI255" s="220"/>
    </row>
    <row r="256" customFormat="false" ht="12.75" hidden="false" customHeight="false" outlineLevel="0" collapsed="false"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R256" s="220"/>
      <c r="S256" s="220"/>
      <c r="T256" s="220"/>
      <c r="W256" s="220"/>
      <c r="X256" s="220"/>
      <c r="Y256" s="220"/>
      <c r="AB256" s="220"/>
      <c r="AC256" s="220"/>
      <c r="AD256" s="220"/>
      <c r="AG256" s="220"/>
      <c r="AH256" s="220"/>
      <c r="AI256" s="220"/>
    </row>
    <row r="257" customFormat="false" ht="12.75" hidden="false" customHeight="false" outlineLevel="0" collapsed="false"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R257" s="220"/>
      <c r="S257" s="220"/>
      <c r="T257" s="220"/>
      <c r="W257" s="220"/>
      <c r="X257" s="220"/>
      <c r="Y257" s="220"/>
      <c r="AB257" s="220"/>
      <c r="AC257" s="220"/>
      <c r="AD257" s="220"/>
      <c r="AG257" s="220"/>
      <c r="AH257" s="220"/>
      <c r="AI257" s="220"/>
    </row>
    <row r="258" customFormat="false" ht="12.75" hidden="false" customHeight="false" outlineLevel="0" collapsed="false"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R258" s="220"/>
      <c r="S258" s="220"/>
      <c r="T258" s="220"/>
      <c r="W258" s="220"/>
      <c r="X258" s="220"/>
      <c r="Y258" s="220"/>
      <c r="AB258" s="220"/>
      <c r="AC258" s="220"/>
      <c r="AD258" s="220"/>
      <c r="AG258" s="220"/>
      <c r="AH258" s="220"/>
      <c r="AI258" s="220"/>
    </row>
    <row r="259" customFormat="false" ht="12.75" hidden="false" customHeight="false" outlineLevel="0" collapsed="false"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R259" s="220"/>
      <c r="S259" s="220"/>
      <c r="T259" s="220"/>
      <c r="W259" s="220"/>
      <c r="X259" s="220"/>
      <c r="Y259" s="220"/>
      <c r="AB259" s="220"/>
      <c r="AC259" s="220"/>
      <c r="AD259" s="220"/>
      <c r="AG259" s="220"/>
      <c r="AH259" s="220"/>
      <c r="AI259" s="220"/>
    </row>
    <row r="260" customFormat="false" ht="12.75" hidden="false" customHeight="false" outlineLevel="0" collapsed="false"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R260" s="220"/>
      <c r="S260" s="220"/>
      <c r="T260" s="220"/>
      <c r="W260" s="220"/>
      <c r="X260" s="220"/>
      <c r="Y260" s="220"/>
      <c r="AB260" s="220"/>
      <c r="AC260" s="220"/>
      <c r="AD260" s="220"/>
      <c r="AG260" s="220"/>
      <c r="AH260" s="220"/>
      <c r="AI260" s="220"/>
    </row>
    <row r="261" customFormat="false" ht="12.75" hidden="false" customHeight="false" outlineLevel="0" collapsed="false"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R261" s="220"/>
      <c r="S261" s="220"/>
      <c r="T261" s="220"/>
      <c r="W261" s="220"/>
      <c r="X261" s="220"/>
      <c r="Y261" s="220"/>
      <c r="AB261" s="220"/>
      <c r="AC261" s="220"/>
      <c r="AD261" s="220"/>
      <c r="AG261" s="220"/>
      <c r="AH261" s="220"/>
      <c r="AI261" s="220"/>
    </row>
    <row r="262" customFormat="false" ht="12.75" hidden="false" customHeight="false" outlineLevel="0" collapsed="false"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R262" s="220"/>
      <c r="S262" s="220"/>
      <c r="T262" s="220"/>
      <c r="W262" s="220"/>
      <c r="X262" s="220"/>
      <c r="Y262" s="220"/>
      <c r="AB262" s="220"/>
      <c r="AC262" s="220"/>
      <c r="AD262" s="220"/>
      <c r="AG262" s="220"/>
      <c r="AH262" s="220"/>
      <c r="AI262" s="220"/>
    </row>
    <row r="263" customFormat="false" ht="12.75" hidden="false" customHeight="false" outlineLevel="0" collapsed="false"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R263" s="220"/>
      <c r="S263" s="220"/>
      <c r="T263" s="220"/>
      <c r="W263" s="220"/>
      <c r="X263" s="220"/>
      <c r="Y263" s="220"/>
      <c r="AB263" s="220"/>
      <c r="AC263" s="220"/>
      <c r="AD263" s="220"/>
      <c r="AG263" s="220"/>
      <c r="AH263" s="220"/>
      <c r="AI263" s="220"/>
    </row>
    <row r="264" customFormat="false" ht="12.75" hidden="false" customHeight="false" outlineLevel="0" collapsed="false"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R264" s="220"/>
      <c r="S264" s="220"/>
      <c r="T264" s="220"/>
      <c r="W264" s="220"/>
      <c r="X264" s="220"/>
      <c r="Y264" s="220"/>
      <c r="AB264" s="220"/>
      <c r="AC264" s="220"/>
      <c r="AD264" s="220"/>
      <c r="AG264" s="220"/>
      <c r="AH264" s="220"/>
      <c r="AI264" s="220"/>
    </row>
    <row r="265" customFormat="false" ht="12.75" hidden="false" customHeight="false" outlineLevel="0" collapsed="false"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R265" s="220"/>
      <c r="S265" s="220"/>
      <c r="T265" s="220"/>
      <c r="W265" s="220"/>
      <c r="X265" s="220"/>
      <c r="Y265" s="220"/>
      <c r="AB265" s="220"/>
      <c r="AC265" s="220"/>
      <c r="AD265" s="220"/>
      <c r="AG265" s="220"/>
      <c r="AH265" s="220"/>
      <c r="AI265" s="220"/>
    </row>
    <row r="266" customFormat="false" ht="12.75" hidden="false" customHeight="false" outlineLevel="0" collapsed="false"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R266" s="220"/>
      <c r="S266" s="220"/>
      <c r="T266" s="220"/>
      <c r="W266" s="220"/>
      <c r="X266" s="220"/>
      <c r="Y266" s="220"/>
      <c r="AB266" s="220"/>
      <c r="AC266" s="220"/>
      <c r="AD266" s="220"/>
      <c r="AG266" s="220"/>
      <c r="AH266" s="220"/>
      <c r="AI266" s="220"/>
    </row>
    <row r="267" customFormat="false" ht="12.75" hidden="false" customHeight="false" outlineLevel="0" collapsed="false"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R267" s="220"/>
      <c r="S267" s="220"/>
      <c r="T267" s="220"/>
      <c r="W267" s="220"/>
      <c r="X267" s="220"/>
      <c r="Y267" s="220"/>
      <c r="AB267" s="220"/>
      <c r="AC267" s="220"/>
      <c r="AD267" s="220"/>
      <c r="AG267" s="220"/>
      <c r="AH267" s="220"/>
      <c r="AI267" s="220"/>
    </row>
    <row r="268" customFormat="false" ht="12.75" hidden="false" customHeight="false" outlineLevel="0" collapsed="false"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R268" s="220"/>
      <c r="S268" s="220"/>
      <c r="T268" s="220"/>
      <c r="W268" s="220"/>
      <c r="X268" s="220"/>
      <c r="Y268" s="220"/>
      <c r="AB268" s="220"/>
      <c r="AC268" s="220"/>
      <c r="AD268" s="220"/>
      <c r="AG268" s="220"/>
      <c r="AH268" s="220"/>
      <c r="AI268" s="220"/>
    </row>
    <row r="269" customFormat="false" ht="12.75" hidden="false" customHeight="false" outlineLevel="0" collapsed="false"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R269" s="220"/>
      <c r="S269" s="220"/>
      <c r="T269" s="220"/>
      <c r="W269" s="220"/>
      <c r="X269" s="220"/>
      <c r="Y269" s="220"/>
      <c r="AB269" s="220"/>
      <c r="AC269" s="220"/>
      <c r="AD269" s="220"/>
      <c r="AG269" s="220"/>
      <c r="AH269" s="220"/>
      <c r="AI269" s="220"/>
    </row>
    <row r="270" customFormat="false" ht="12.75" hidden="false" customHeight="false" outlineLevel="0" collapsed="false"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R270" s="220"/>
      <c r="S270" s="220"/>
      <c r="T270" s="220"/>
      <c r="W270" s="220"/>
      <c r="X270" s="220"/>
      <c r="Y270" s="220"/>
      <c r="AB270" s="220"/>
      <c r="AC270" s="220"/>
      <c r="AD270" s="220"/>
      <c r="AG270" s="220"/>
      <c r="AH270" s="220"/>
      <c r="AI270" s="220"/>
    </row>
    <row r="271" customFormat="false" ht="12.75" hidden="false" customHeight="false" outlineLevel="0" collapsed="false"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R271" s="220"/>
      <c r="S271" s="220"/>
      <c r="T271" s="220"/>
      <c r="W271" s="220"/>
      <c r="X271" s="220"/>
      <c r="Y271" s="220"/>
      <c r="AB271" s="220"/>
      <c r="AC271" s="220"/>
      <c r="AD271" s="220"/>
      <c r="AG271" s="220"/>
      <c r="AH271" s="220"/>
      <c r="AI271" s="220"/>
    </row>
    <row r="272" customFormat="false" ht="12.75" hidden="false" customHeight="false" outlineLevel="0" collapsed="false"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R272" s="220"/>
      <c r="S272" s="220"/>
      <c r="T272" s="220"/>
      <c r="W272" s="220"/>
      <c r="X272" s="220"/>
      <c r="Y272" s="220"/>
      <c r="AB272" s="220"/>
      <c r="AC272" s="220"/>
      <c r="AD272" s="220"/>
      <c r="AG272" s="220"/>
      <c r="AH272" s="220"/>
      <c r="AI272" s="220"/>
    </row>
    <row r="273" customFormat="false" ht="12.75" hidden="false" customHeight="false" outlineLevel="0" collapsed="false"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R273" s="220"/>
      <c r="S273" s="220"/>
      <c r="T273" s="220"/>
      <c r="W273" s="220"/>
      <c r="X273" s="220"/>
      <c r="Y273" s="220"/>
      <c r="AB273" s="220"/>
      <c r="AC273" s="220"/>
      <c r="AD273" s="220"/>
      <c r="AG273" s="220"/>
      <c r="AH273" s="220"/>
      <c r="AI273" s="220"/>
    </row>
    <row r="274" customFormat="false" ht="12.75" hidden="false" customHeight="false" outlineLevel="0" collapsed="false"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R274" s="220"/>
      <c r="S274" s="220"/>
      <c r="T274" s="220"/>
      <c r="W274" s="220"/>
      <c r="X274" s="220"/>
      <c r="Y274" s="220"/>
      <c r="AB274" s="220"/>
      <c r="AC274" s="220"/>
      <c r="AD274" s="220"/>
      <c r="AG274" s="220"/>
      <c r="AH274" s="220"/>
      <c r="AI274" s="220"/>
    </row>
    <row r="275" customFormat="false" ht="12.75" hidden="false" customHeight="false" outlineLevel="0" collapsed="false"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R275" s="220"/>
      <c r="S275" s="220"/>
      <c r="T275" s="220"/>
      <c r="W275" s="220"/>
      <c r="X275" s="220"/>
      <c r="Y275" s="220"/>
      <c r="AB275" s="220"/>
      <c r="AC275" s="220"/>
      <c r="AD275" s="220"/>
      <c r="AG275" s="220"/>
      <c r="AH275" s="220"/>
      <c r="AI275" s="220"/>
    </row>
    <row r="276" customFormat="false" ht="12.75" hidden="false" customHeight="false" outlineLevel="0" collapsed="false"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R276" s="220"/>
      <c r="S276" s="220"/>
      <c r="T276" s="220"/>
      <c r="W276" s="220"/>
      <c r="X276" s="220"/>
      <c r="Y276" s="220"/>
      <c r="AB276" s="220"/>
      <c r="AC276" s="220"/>
      <c r="AD276" s="220"/>
      <c r="AG276" s="220"/>
      <c r="AH276" s="220"/>
      <c r="AI276" s="220"/>
    </row>
    <row r="277" customFormat="false" ht="12.75" hidden="false" customHeight="false" outlineLevel="0" collapsed="false"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R277" s="220"/>
      <c r="S277" s="220"/>
      <c r="T277" s="220"/>
      <c r="W277" s="220"/>
      <c r="X277" s="220"/>
      <c r="Y277" s="220"/>
      <c r="AB277" s="220"/>
      <c r="AC277" s="220"/>
      <c r="AD277" s="220"/>
      <c r="AG277" s="220"/>
      <c r="AH277" s="220"/>
      <c r="AI277" s="220"/>
    </row>
    <row r="278" customFormat="false" ht="12.75" hidden="false" customHeight="false" outlineLevel="0" collapsed="false"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R278" s="220"/>
      <c r="S278" s="220"/>
      <c r="T278" s="220"/>
      <c r="W278" s="220"/>
      <c r="X278" s="220"/>
      <c r="Y278" s="220"/>
      <c r="AB278" s="220"/>
      <c r="AC278" s="220"/>
      <c r="AD278" s="220"/>
      <c r="AG278" s="220"/>
      <c r="AH278" s="220"/>
      <c r="AI278" s="220"/>
    </row>
    <row r="279" customFormat="false" ht="12.75" hidden="false" customHeight="false" outlineLevel="0" collapsed="false"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R279" s="220"/>
      <c r="S279" s="220"/>
      <c r="T279" s="220"/>
      <c r="W279" s="220"/>
      <c r="X279" s="220"/>
      <c r="Y279" s="220"/>
      <c r="AB279" s="220"/>
      <c r="AC279" s="220"/>
      <c r="AD279" s="220"/>
      <c r="AG279" s="220"/>
      <c r="AH279" s="220"/>
      <c r="AI279" s="220"/>
    </row>
    <row r="280" customFormat="false" ht="12.75" hidden="false" customHeight="false" outlineLevel="0" collapsed="false"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R280" s="220"/>
      <c r="S280" s="220"/>
      <c r="T280" s="220"/>
      <c r="W280" s="220"/>
      <c r="X280" s="220"/>
      <c r="Y280" s="220"/>
      <c r="AB280" s="220"/>
      <c r="AC280" s="220"/>
      <c r="AD280" s="220"/>
      <c r="AG280" s="220"/>
      <c r="AH280" s="220"/>
      <c r="AI280" s="220"/>
    </row>
    <row r="281" customFormat="false" ht="12.75" hidden="false" customHeight="false" outlineLevel="0" collapsed="false"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R281" s="220"/>
      <c r="S281" s="220"/>
      <c r="T281" s="220"/>
      <c r="W281" s="220"/>
      <c r="X281" s="220"/>
      <c r="Y281" s="220"/>
      <c r="AB281" s="220"/>
      <c r="AC281" s="220"/>
      <c r="AD281" s="220"/>
      <c r="AG281" s="220"/>
      <c r="AH281" s="220"/>
      <c r="AI281" s="220"/>
    </row>
    <row r="282" customFormat="false" ht="12.75" hidden="false" customHeight="false" outlineLevel="0" collapsed="false"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R282" s="220"/>
      <c r="S282" s="220"/>
      <c r="T282" s="220"/>
      <c r="W282" s="220"/>
      <c r="X282" s="220"/>
      <c r="Y282" s="220"/>
      <c r="AB282" s="220"/>
      <c r="AC282" s="220"/>
      <c r="AD282" s="220"/>
      <c r="AG282" s="220"/>
      <c r="AH282" s="220"/>
      <c r="AI282" s="220"/>
    </row>
    <row r="283" customFormat="false" ht="12.75" hidden="false" customHeight="false" outlineLevel="0" collapsed="false"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R283" s="220"/>
      <c r="S283" s="220"/>
      <c r="T283" s="220"/>
      <c r="W283" s="220"/>
      <c r="X283" s="220"/>
      <c r="Y283" s="220"/>
      <c r="AB283" s="220"/>
      <c r="AC283" s="220"/>
      <c r="AD283" s="220"/>
      <c r="AG283" s="220"/>
      <c r="AH283" s="220"/>
      <c r="AI283" s="220"/>
    </row>
    <row r="284" customFormat="false" ht="12.75" hidden="false" customHeight="false" outlineLevel="0" collapsed="false"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R284" s="220"/>
      <c r="S284" s="220"/>
      <c r="T284" s="220"/>
      <c r="W284" s="220"/>
      <c r="X284" s="220"/>
      <c r="Y284" s="220"/>
      <c r="AB284" s="220"/>
      <c r="AC284" s="220"/>
      <c r="AD284" s="220"/>
      <c r="AG284" s="220"/>
      <c r="AH284" s="220"/>
      <c r="AI284" s="220"/>
    </row>
    <row r="285" customFormat="false" ht="12.75" hidden="false" customHeight="false" outlineLevel="0" collapsed="false"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R285" s="220"/>
      <c r="S285" s="220"/>
      <c r="T285" s="220"/>
      <c r="W285" s="220"/>
      <c r="X285" s="220"/>
      <c r="Y285" s="220"/>
      <c r="AB285" s="220"/>
      <c r="AC285" s="220"/>
      <c r="AD285" s="220"/>
      <c r="AG285" s="220"/>
      <c r="AH285" s="220"/>
      <c r="AI285" s="220"/>
    </row>
    <row r="286" customFormat="false" ht="12.75" hidden="false" customHeight="false" outlineLevel="0" collapsed="false"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R286" s="220"/>
      <c r="S286" s="220"/>
      <c r="T286" s="220"/>
      <c r="W286" s="220"/>
      <c r="X286" s="220"/>
      <c r="Y286" s="220"/>
      <c r="AB286" s="220"/>
      <c r="AC286" s="220"/>
      <c r="AD286" s="220"/>
      <c r="AG286" s="220"/>
      <c r="AH286" s="220"/>
      <c r="AI286" s="220"/>
    </row>
    <row r="287" customFormat="false" ht="12.75" hidden="false" customHeight="false" outlineLevel="0" collapsed="false"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R287" s="220"/>
      <c r="S287" s="220"/>
      <c r="T287" s="220"/>
      <c r="W287" s="220"/>
      <c r="X287" s="220"/>
      <c r="Y287" s="220"/>
      <c r="AB287" s="220"/>
      <c r="AC287" s="220"/>
      <c r="AD287" s="220"/>
      <c r="AG287" s="220"/>
      <c r="AH287" s="220"/>
      <c r="AI287" s="220"/>
    </row>
    <row r="288" customFormat="false" ht="12.75" hidden="false" customHeight="false" outlineLevel="0" collapsed="false"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R288" s="220"/>
      <c r="S288" s="220"/>
      <c r="T288" s="220"/>
      <c r="W288" s="220"/>
      <c r="X288" s="220"/>
      <c r="Y288" s="220"/>
      <c r="AB288" s="220"/>
      <c r="AC288" s="220"/>
      <c r="AD288" s="220"/>
      <c r="AG288" s="220"/>
      <c r="AH288" s="220"/>
      <c r="AI288" s="220"/>
    </row>
    <row r="289" customFormat="false" ht="12.75" hidden="false" customHeight="false" outlineLevel="0" collapsed="false"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R289" s="220"/>
      <c r="S289" s="220"/>
      <c r="T289" s="220"/>
      <c r="W289" s="220"/>
      <c r="X289" s="220"/>
      <c r="Y289" s="220"/>
      <c r="AB289" s="220"/>
      <c r="AC289" s="220"/>
      <c r="AD289" s="220"/>
      <c r="AG289" s="220"/>
      <c r="AH289" s="220"/>
      <c r="AI289" s="220"/>
    </row>
    <row r="290" customFormat="false" ht="12.75" hidden="false" customHeight="false" outlineLevel="0" collapsed="false"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R290" s="220"/>
      <c r="S290" s="220"/>
      <c r="T290" s="220"/>
      <c r="W290" s="220"/>
      <c r="X290" s="220"/>
      <c r="Y290" s="220"/>
      <c r="AB290" s="220"/>
      <c r="AC290" s="220"/>
      <c r="AD290" s="220"/>
      <c r="AG290" s="220"/>
      <c r="AH290" s="220"/>
      <c r="AI290" s="220"/>
    </row>
    <row r="291" customFormat="false" ht="12.75" hidden="false" customHeight="false" outlineLevel="0" collapsed="false"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R291" s="220"/>
      <c r="S291" s="220"/>
      <c r="T291" s="220"/>
      <c r="W291" s="220"/>
      <c r="X291" s="220"/>
      <c r="Y291" s="220"/>
      <c r="AB291" s="220"/>
      <c r="AC291" s="220"/>
      <c r="AD291" s="220"/>
      <c r="AG291" s="220"/>
      <c r="AH291" s="220"/>
      <c r="AI291" s="220"/>
    </row>
    <row r="292" customFormat="false" ht="12.75" hidden="false" customHeight="false" outlineLevel="0" collapsed="false"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R292" s="220"/>
      <c r="S292" s="220"/>
      <c r="T292" s="220"/>
      <c r="W292" s="220"/>
      <c r="X292" s="220"/>
      <c r="Y292" s="220"/>
      <c r="AB292" s="220"/>
      <c r="AC292" s="220"/>
      <c r="AD292" s="220"/>
      <c r="AG292" s="220"/>
      <c r="AH292" s="220"/>
      <c r="AI292" s="220"/>
    </row>
    <row r="293" customFormat="false" ht="12.75" hidden="false" customHeight="false" outlineLevel="0" collapsed="false"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R293" s="220"/>
      <c r="S293" s="220"/>
      <c r="T293" s="220"/>
      <c r="W293" s="220"/>
      <c r="X293" s="220"/>
      <c r="Y293" s="220"/>
      <c r="AB293" s="220"/>
      <c r="AC293" s="220"/>
      <c r="AD293" s="220"/>
      <c r="AG293" s="220"/>
      <c r="AH293" s="220"/>
      <c r="AI293" s="220"/>
    </row>
    <row r="294" customFormat="false" ht="12.75" hidden="false" customHeight="false" outlineLevel="0" collapsed="false"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R294" s="220"/>
      <c r="S294" s="220"/>
      <c r="T294" s="220"/>
      <c r="W294" s="220"/>
      <c r="X294" s="220"/>
      <c r="Y294" s="220"/>
      <c r="AB294" s="220"/>
      <c r="AC294" s="220"/>
      <c r="AD294" s="220"/>
      <c r="AG294" s="220"/>
      <c r="AH294" s="220"/>
      <c r="AI294" s="220"/>
    </row>
    <row r="295" customFormat="false" ht="12.75" hidden="false" customHeight="false" outlineLevel="0" collapsed="false"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R295" s="220"/>
      <c r="S295" s="220"/>
      <c r="T295" s="220"/>
      <c r="W295" s="220"/>
      <c r="X295" s="220"/>
      <c r="Y295" s="220"/>
      <c r="AB295" s="220"/>
      <c r="AC295" s="220"/>
      <c r="AD295" s="220"/>
      <c r="AG295" s="220"/>
      <c r="AH295" s="220"/>
      <c r="AI295" s="220"/>
    </row>
    <row r="296" customFormat="false" ht="12.75" hidden="false" customHeight="false" outlineLevel="0" collapsed="false"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R296" s="220"/>
      <c r="S296" s="220"/>
      <c r="T296" s="220"/>
      <c r="W296" s="220"/>
      <c r="X296" s="220"/>
      <c r="Y296" s="220"/>
      <c r="AB296" s="220"/>
      <c r="AC296" s="220"/>
      <c r="AD296" s="220"/>
      <c r="AG296" s="220"/>
      <c r="AH296" s="220"/>
      <c r="AI296" s="220"/>
    </row>
    <row r="297" customFormat="false" ht="12.75" hidden="false" customHeight="false" outlineLevel="0" collapsed="false"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R297" s="220"/>
      <c r="S297" s="220"/>
      <c r="T297" s="220"/>
      <c r="W297" s="220"/>
      <c r="X297" s="220"/>
      <c r="Y297" s="220"/>
      <c r="AB297" s="220"/>
      <c r="AC297" s="220"/>
      <c r="AD297" s="220"/>
      <c r="AG297" s="220"/>
      <c r="AH297" s="220"/>
      <c r="AI297" s="220"/>
    </row>
    <row r="298" customFormat="false" ht="12.75" hidden="false" customHeight="false" outlineLevel="0" collapsed="false"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R298" s="220"/>
      <c r="S298" s="220"/>
      <c r="T298" s="220"/>
      <c r="W298" s="220"/>
      <c r="X298" s="220"/>
      <c r="Y298" s="220"/>
      <c r="AB298" s="220"/>
      <c r="AC298" s="220"/>
      <c r="AD298" s="220"/>
      <c r="AG298" s="220"/>
      <c r="AH298" s="220"/>
      <c r="AI298" s="220"/>
    </row>
    <row r="299" customFormat="false" ht="12.75" hidden="false" customHeight="false" outlineLevel="0" collapsed="false"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R299" s="220"/>
      <c r="S299" s="220"/>
      <c r="T299" s="220"/>
      <c r="W299" s="220"/>
      <c r="X299" s="220"/>
      <c r="Y299" s="220"/>
      <c r="AB299" s="220"/>
      <c r="AC299" s="220"/>
      <c r="AD299" s="220"/>
      <c r="AG299" s="220"/>
      <c r="AH299" s="220"/>
      <c r="AI299" s="220"/>
    </row>
    <row r="300" customFormat="false" ht="12.75" hidden="false" customHeight="false" outlineLevel="0" collapsed="false"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R300" s="220"/>
      <c r="S300" s="220"/>
      <c r="T300" s="220"/>
      <c r="W300" s="220"/>
      <c r="X300" s="220"/>
      <c r="Y300" s="220"/>
      <c r="AB300" s="220"/>
      <c r="AC300" s="220"/>
      <c r="AD300" s="220"/>
      <c r="AG300" s="220"/>
      <c r="AH300" s="220"/>
      <c r="AI300" s="220"/>
    </row>
    <row r="301" customFormat="false" ht="12.75" hidden="false" customHeight="false" outlineLevel="0" collapsed="false"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R301" s="220"/>
      <c r="S301" s="220"/>
      <c r="T301" s="220"/>
      <c r="W301" s="220"/>
      <c r="X301" s="220"/>
      <c r="Y301" s="220"/>
      <c r="AB301" s="220"/>
      <c r="AC301" s="220"/>
      <c r="AD301" s="220"/>
      <c r="AG301" s="220"/>
      <c r="AH301" s="220"/>
      <c r="AI301" s="220"/>
    </row>
    <row r="302" customFormat="false" ht="12.75" hidden="false" customHeight="false" outlineLevel="0" collapsed="false"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R302" s="220"/>
      <c r="S302" s="220"/>
      <c r="T302" s="220"/>
      <c r="W302" s="220"/>
      <c r="X302" s="220"/>
      <c r="Y302" s="220"/>
      <c r="AB302" s="220"/>
      <c r="AC302" s="220"/>
      <c r="AD302" s="220"/>
      <c r="AG302" s="220"/>
      <c r="AH302" s="220"/>
      <c r="AI302" s="220"/>
    </row>
    <row r="303" customFormat="false" ht="12.75" hidden="false" customHeight="false" outlineLevel="0" collapsed="false"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R303" s="220"/>
      <c r="S303" s="220"/>
      <c r="T303" s="220"/>
      <c r="W303" s="220"/>
      <c r="X303" s="220"/>
      <c r="Y303" s="220"/>
      <c r="AB303" s="220"/>
      <c r="AC303" s="220"/>
      <c r="AD303" s="220"/>
      <c r="AG303" s="220"/>
      <c r="AH303" s="220"/>
      <c r="AI303" s="220"/>
    </row>
    <row r="304" customFormat="false" ht="12.75" hidden="false" customHeight="false" outlineLevel="0" collapsed="false"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R304" s="220"/>
      <c r="S304" s="220"/>
      <c r="T304" s="220"/>
      <c r="W304" s="220"/>
      <c r="X304" s="220"/>
      <c r="Y304" s="220"/>
      <c r="AB304" s="220"/>
      <c r="AC304" s="220"/>
      <c r="AD304" s="220"/>
      <c r="AG304" s="220"/>
      <c r="AH304" s="220"/>
      <c r="AI304" s="220"/>
    </row>
    <row r="305" customFormat="false" ht="12.75" hidden="false" customHeight="false" outlineLevel="0" collapsed="false"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R305" s="220"/>
      <c r="S305" s="220"/>
      <c r="T305" s="220"/>
      <c r="W305" s="220"/>
      <c r="X305" s="220"/>
      <c r="Y305" s="220"/>
      <c r="AB305" s="220"/>
      <c r="AC305" s="220"/>
      <c r="AD305" s="220"/>
      <c r="AG305" s="220"/>
      <c r="AH305" s="220"/>
      <c r="AI305" s="220"/>
    </row>
    <row r="306" customFormat="false" ht="12.75" hidden="false" customHeight="false" outlineLevel="0" collapsed="false"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R306" s="220"/>
      <c r="S306" s="220"/>
      <c r="T306" s="220"/>
      <c r="W306" s="220"/>
      <c r="X306" s="220"/>
      <c r="Y306" s="220"/>
      <c r="AB306" s="220"/>
      <c r="AC306" s="220"/>
      <c r="AD306" s="220"/>
      <c r="AG306" s="220"/>
      <c r="AH306" s="220"/>
      <c r="AI306" s="220"/>
    </row>
    <row r="307" customFormat="false" ht="12.75" hidden="false" customHeight="false" outlineLevel="0" collapsed="false"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R307" s="220"/>
      <c r="S307" s="220"/>
      <c r="T307" s="220"/>
      <c r="W307" s="220"/>
      <c r="X307" s="220"/>
      <c r="Y307" s="220"/>
      <c r="AB307" s="220"/>
      <c r="AC307" s="220"/>
      <c r="AD307" s="220"/>
      <c r="AG307" s="220"/>
      <c r="AH307" s="220"/>
      <c r="AI307" s="220"/>
    </row>
    <row r="308" customFormat="false" ht="12.75" hidden="false" customHeight="false" outlineLevel="0" collapsed="false"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R308" s="220"/>
      <c r="S308" s="220"/>
      <c r="T308" s="220"/>
      <c r="W308" s="220"/>
      <c r="X308" s="220"/>
      <c r="Y308" s="220"/>
      <c r="AB308" s="220"/>
      <c r="AC308" s="220"/>
      <c r="AD308" s="220"/>
      <c r="AG308" s="220"/>
      <c r="AH308" s="220"/>
      <c r="AI308" s="220"/>
    </row>
    <row r="309" customFormat="false" ht="12.75" hidden="false" customHeight="false" outlineLevel="0" collapsed="false"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R309" s="220"/>
      <c r="S309" s="220"/>
      <c r="T309" s="220"/>
      <c r="W309" s="220"/>
      <c r="X309" s="220"/>
      <c r="Y309" s="220"/>
      <c r="AB309" s="220"/>
      <c r="AC309" s="220"/>
      <c r="AD309" s="220"/>
      <c r="AG309" s="220"/>
      <c r="AH309" s="220"/>
      <c r="AI309" s="220"/>
    </row>
    <row r="310" customFormat="false" ht="12.75" hidden="false" customHeight="false" outlineLevel="0" collapsed="false"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R310" s="220"/>
      <c r="S310" s="220"/>
      <c r="T310" s="220"/>
      <c r="W310" s="220"/>
      <c r="X310" s="220"/>
      <c r="Y310" s="220"/>
      <c r="AB310" s="220"/>
      <c r="AC310" s="220"/>
      <c r="AD310" s="220"/>
      <c r="AG310" s="220"/>
      <c r="AH310" s="220"/>
      <c r="AI310" s="220"/>
    </row>
    <row r="311" customFormat="false" ht="12.75" hidden="false" customHeight="false" outlineLevel="0" collapsed="false"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R311" s="220"/>
      <c r="S311" s="220"/>
      <c r="T311" s="220"/>
      <c r="W311" s="220"/>
      <c r="X311" s="220"/>
      <c r="Y311" s="220"/>
      <c r="AB311" s="220"/>
      <c r="AC311" s="220"/>
      <c r="AD311" s="220"/>
      <c r="AG311" s="220"/>
      <c r="AH311" s="220"/>
      <c r="AI311" s="220"/>
    </row>
    <row r="312" customFormat="false" ht="12.75" hidden="false" customHeight="false" outlineLevel="0" collapsed="false"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R312" s="220"/>
      <c r="S312" s="220"/>
      <c r="T312" s="220"/>
      <c r="W312" s="220"/>
      <c r="X312" s="220"/>
      <c r="Y312" s="220"/>
      <c r="AB312" s="220"/>
      <c r="AC312" s="220"/>
      <c r="AD312" s="220"/>
      <c r="AG312" s="220"/>
      <c r="AH312" s="220"/>
      <c r="AI312" s="220"/>
    </row>
    <row r="313" customFormat="false" ht="12.75" hidden="false" customHeight="false" outlineLevel="0" collapsed="false"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R313" s="220"/>
      <c r="S313" s="220"/>
      <c r="T313" s="220"/>
      <c r="W313" s="220"/>
      <c r="X313" s="220"/>
      <c r="Y313" s="220"/>
      <c r="AB313" s="220"/>
      <c r="AC313" s="220"/>
      <c r="AD313" s="220"/>
      <c r="AG313" s="220"/>
      <c r="AH313" s="220"/>
      <c r="AI313" s="220"/>
    </row>
    <row r="314" customFormat="false" ht="12.75" hidden="false" customHeight="false" outlineLevel="0" collapsed="false"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R314" s="220"/>
      <c r="S314" s="220"/>
      <c r="T314" s="220"/>
      <c r="W314" s="220"/>
      <c r="X314" s="220"/>
      <c r="Y314" s="220"/>
      <c r="AB314" s="220"/>
      <c r="AC314" s="220"/>
      <c r="AD314" s="220"/>
      <c r="AG314" s="220"/>
      <c r="AH314" s="220"/>
      <c r="AI314" s="220"/>
    </row>
    <row r="315" customFormat="false" ht="12.75" hidden="false" customHeight="false" outlineLevel="0" collapsed="false"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R315" s="220"/>
      <c r="S315" s="220"/>
      <c r="T315" s="220"/>
      <c r="W315" s="220"/>
      <c r="X315" s="220"/>
      <c r="Y315" s="220"/>
      <c r="AB315" s="220"/>
      <c r="AC315" s="220"/>
      <c r="AD315" s="220"/>
      <c r="AG315" s="220"/>
      <c r="AH315" s="220"/>
      <c r="AI315" s="220"/>
    </row>
    <row r="316" customFormat="false" ht="12.75" hidden="false" customHeight="false" outlineLevel="0" collapsed="false"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R316" s="220"/>
      <c r="S316" s="220"/>
      <c r="T316" s="220"/>
      <c r="W316" s="220"/>
      <c r="X316" s="220"/>
      <c r="Y316" s="220"/>
      <c r="AB316" s="220"/>
      <c r="AC316" s="220"/>
      <c r="AD316" s="220"/>
      <c r="AG316" s="220"/>
      <c r="AH316" s="220"/>
      <c r="AI316" s="220"/>
    </row>
    <row r="317" customFormat="false" ht="12.75" hidden="false" customHeight="false" outlineLevel="0" collapsed="false"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R317" s="220"/>
      <c r="S317" s="220"/>
      <c r="T317" s="220"/>
      <c r="W317" s="220"/>
      <c r="X317" s="220"/>
      <c r="Y317" s="220"/>
      <c r="AB317" s="220"/>
      <c r="AC317" s="220"/>
      <c r="AD317" s="220"/>
      <c r="AG317" s="220"/>
      <c r="AH317" s="220"/>
      <c r="AI317" s="220"/>
    </row>
    <row r="318" customFormat="false" ht="12.75" hidden="false" customHeight="false" outlineLevel="0" collapsed="false"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R318" s="220"/>
      <c r="S318" s="220"/>
      <c r="T318" s="220"/>
      <c r="W318" s="220"/>
      <c r="X318" s="220"/>
      <c r="Y318" s="220"/>
      <c r="AB318" s="220"/>
      <c r="AC318" s="220"/>
      <c r="AD318" s="220"/>
      <c r="AG318" s="220"/>
      <c r="AH318" s="220"/>
      <c r="AI318" s="220"/>
    </row>
    <row r="319" customFormat="false" ht="12.75" hidden="false" customHeight="false" outlineLevel="0" collapsed="false"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R319" s="220"/>
      <c r="S319" s="220"/>
      <c r="T319" s="220"/>
      <c r="W319" s="220"/>
      <c r="X319" s="220"/>
      <c r="Y319" s="220"/>
      <c r="AB319" s="220"/>
      <c r="AC319" s="220"/>
      <c r="AD319" s="220"/>
      <c r="AG319" s="220"/>
      <c r="AH319" s="220"/>
      <c r="AI319" s="220"/>
    </row>
    <row r="320" customFormat="false" ht="12.75" hidden="false" customHeight="false" outlineLevel="0" collapsed="false"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R320" s="220"/>
      <c r="S320" s="220"/>
      <c r="T320" s="220"/>
      <c r="W320" s="220"/>
      <c r="X320" s="220"/>
      <c r="Y320" s="220"/>
      <c r="AB320" s="220"/>
      <c r="AC320" s="220"/>
      <c r="AD320" s="220"/>
      <c r="AG320" s="220"/>
      <c r="AH320" s="220"/>
      <c r="AI320" s="220"/>
    </row>
    <row r="321" customFormat="false" ht="12.75" hidden="false" customHeight="false" outlineLevel="0" collapsed="false"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R321" s="220"/>
      <c r="S321" s="220"/>
      <c r="T321" s="220"/>
      <c r="W321" s="220"/>
      <c r="X321" s="220"/>
      <c r="Y321" s="220"/>
      <c r="AB321" s="220"/>
      <c r="AC321" s="220"/>
      <c r="AD321" s="220"/>
      <c r="AG321" s="220"/>
      <c r="AH321" s="220"/>
      <c r="AI321" s="220"/>
    </row>
    <row r="322" customFormat="false" ht="12.75" hidden="false" customHeight="false" outlineLevel="0" collapsed="false"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R322" s="220"/>
      <c r="S322" s="220"/>
      <c r="T322" s="220"/>
      <c r="W322" s="220"/>
      <c r="X322" s="220"/>
      <c r="Y322" s="220"/>
      <c r="AB322" s="220"/>
      <c r="AC322" s="220"/>
      <c r="AD322" s="220"/>
      <c r="AG322" s="220"/>
      <c r="AH322" s="220"/>
      <c r="AI322" s="220"/>
    </row>
    <row r="323" customFormat="false" ht="12.75" hidden="false" customHeight="false" outlineLevel="0" collapsed="false"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R323" s="220"/>
      <c r="S323" s="220"/>
      <c r="T323" s="220"/>
      <c r="W323" s="220"/>
      <c r="X323" s="220"/>
      <c r="Y323" s="220"/>
      <c r="AB323" s="220"/>
      <c r="AC323" s="220"/>
      <c r="AD323" s="220"/>
      <c r="AG323" s="220"/>
      <c r="AH323" s="220"/>
      <c r="AI323" s="220"/>
    </row>
    <row r="324" customFormat="false" ht="12.75" hidden="false" customHeight="false" outlineLevel="0" collapsed="false"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R324" s="220"/>
      <c r="S324" s="220"/>
      <c r="T324" s="220"/>
      <c r="W324" s="220"/>
      <c r="X324" s="220"/>
      <c r="Y324" s="220"/>
      <c r="AB324" s="220"/>
      <c r="AC324" s="220"/>
      <c r="AD324" s="220"/>
      <c r="AG324" s="220"/>
      <c r="AH324" s="220"/>
      <c r="AI324" s="220"/>
    </row>
    <row r="325" customFormat="false" ht="12.75" hidden="false" customHeight="false" outlineLevel="0" collapsed="false"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R325" s="220"/>
      <c r="S325" s="220"/>
      <c r="T325" s="220"/>
      <c r="W325" s="220"/>
      <c r="X325" s="220"/>
      <c r="Y325" s="220"/>
      <c r="AB325" s="220"/>
      <c r="AC325" s="220"/>
      <c r="AD325" s="220"/>
      <c r="AG325" s="220"/>
      <c r="AH325" s="220"/>
      <c r="AI325" s="220"/>
    </row>
    <row r="326" customFormat="false" ht="12.75" hidden="false" customHeight="false" outlineLevel="0" collapsed="false"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R326" s="220"/>
      <c r="S326" s="220"/>
      <c r="T326" s="220"/>
      <c r="W326" s="220"/>
      <c r="X326" s="220"/>
      <c r="Y326" s="220"/>
      <c r="AB326" s="220"/>
      <c r="AC326" s="220"/>
      <c r="AD326" s="220"/>
      <c r="AG326" s="220"/>
      <c r="AH326" s="220"/>
      <c r="AI326" s="220"/>
    </row>
    <row r="327" customFormat="false" ht="12.75" hidden="false" customHeight="false" outlineLevel="0" collapsed="false"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R327" s="220"/>
      <c r="S327" s="220"/>
      <c r="T327" s="220"/>
      <c r="W327" s="220"/>
      <c r="X327" s="220"/>
      <c r="Y327" s="220"/>
      <c r="AB327" s="220"/>
      <c r="AC327" s="220"/>
      <c r="AD327" s="220"/>
      <c r="AG327" s="220"/>
      <c r="AH327" s="220"/>
      <c r="AI327" s="220"/>
    </row>
    <row r="328" customFormat="false" ht="12.75" hidden="false" customHeight="false" outlineLevel="0" collapsed="false"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R328" s="220"/>
      <c r="S328" s="220"/>
      <c r="T328" s="220"/>
      <c r="W328" s="220"/>
      <c r="X328" s="220"/>
      <c r="Y328" s="220"/>
      <c r="AB328" s="220"/>
      <c r="AC328" s="220"/>
      <c r="AD328" s="220"/>
      <c r="AG328" s="220"/>
      <c r="AH328" s="220"/>
      <c r="AI328" s="220"/>
    </row>
    <row r="329" customFormat="false" ht="12.75" hidden="false" customHeight="false" outlineLevel="0" collapsed="false"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R329" s="220"/>
      <c r="S329" s="220"/>
      <c r="T329" s="220"/>
      <c r="W329" s="220"/>
      <c r="X329" s="220"/>
      <c r="Y329" s="220"/>
      <c r="AB329" s="220"/>
      <c r="AC329" s="220"/>
      <c r="AD329" s="220"/>
      <c r="AG329" s="220"/>
      <c r="AH329" s="220"/>
      <c r="AI329" s="220"/>
    </row>
    <row r="330" customFormat="false" ht="12.75" hidden="false" customHeight="false" outlineLevel="0" collapsed="false"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R330" s="220"/>
      <c r="S330" s="220"/>
      <c r="T330" s="220"/>
      <c r="W330" s="220"/>
      <c r="X330" s="220"/>
      <c r="Y330" s="220"/>
      <c r="AB330" s="220"/>
      <c r="AC330" s="220"/>
      <c r="AD330" s="220"/>
      <c r="AG330" s="220"/>
      <c r="AH330" s="220"/>
      <c r="AI330" s="220"/>
    </row>
    <row r="331" customFormat="false" ht="12.75" hidden="false" customHeight="false" outlineLevel="0" collapsed="false"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R331" s="220"/>
      <c r="S331" s="220"/>
      <c r="T331" s="220"/>
      <c r="W331" s="220"/>
      <c r="X331" s="220"/>
      <c r="Y331" s="220"/>
      <c r="AB331" s="220"/>
      <c r="AC331" s="220"/>
      <c r="AD331" s="220"/>
      <c r="AG331" s="220"/>
      <c r="AH331" s="220"/>
      <c r="AI331" s="220"/>
    </row>
    <row r="332" customFormat="false" ht="12.75" hidden="false" customHeight="false" outlineLevel="0" collapsed="false"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R332" s="220"/>
      <c r="S332" s="220"/>
      <c r="T332" s="220"/>
      <c r="W332" s="220"/>
      <c r="X332" s="220"/>
      <c r="Y332" s="220"/>
      <c r="AB332" s="220"/>
      <c r="AC332" s="220"/>
      <c r="AD332" s="220"/>
      <c r="AG332" s="220"/>
      <c r="AH332" s="220"/>
      <c r="AI332" s="220"/>
    </row>
    <row r="333" customFormat="false" ht="12.75" hidden="false" customHeight="false" outlineLevel="0" collapsed="false"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R333" s="220"/>
      <c r="S333" s="220"/>
      <c r="T333" s="220"/>
      <c r="W333" s="220"/>
      <c r="X333" s="220"/>
      <c r="Y333" s="220"/>
      <c r="AB333" s="220"/>
      <c r="AC333" s="220"/>
      <c r="AD333" s="220"/>
      <c r="AG333" s="220"/>
      <c r="AH333" s="220"/>
      <c r="AI333" s="220"/>
    </row>
    <row r="334" customFormat="false" ht="12.75" hidden="false" customHeight="false" outlineLevel="0" collapsed="false"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R334" s="220"/>
      <c r="S334" s="220"/>
      <c r="T334" s="220"/>
      <c r="W334" s="220"/>
      <c r="X334" s="220"/>
      <c r="Y334" s="220"/>
      <c r="AB334" s="220"/>
      <c r="AC334" s="220"/>
      <c r="AD334" s="220"/>
      <c r="AG334" s="220"/>
      <c r="AH334" s="220"/>
      <c r="AI334" s="220"/>
    </row>
    <row r="335" customFormat="false" ht="12.75" hidden="false" customHeight="false" outlineLevel="0" collapsed="false"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R335" s="220"/>
      <c r="S335" s="220"/>
      <c r="T335" s="220"/>
      <c r="W335" s="220"/>
      <c r="X335" s="220"/>
      <c r="Y335" s="220"/>
      <c r="AB335" s="220"/>
      <c r="AC335" s="220"/>
      <c r="AD335" s="220"/>
      <c r="AG335" s="220"/>
      <c r="AH335" s="220"/>
      <c r="AI335" s="220"/>
    </row>
    <row r="336" customFormat="false" ht="12.75" hidden="false" customHeight="false" outlineLevel="0" collapsed="false"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R336" s="220"/>
      <c r="S336" s="220"/>
      <c r="T336" s="220"/>
      <c r="W336" s="220"/>
      <c r="X336" s="220"/>
      <c r="Y336" s="220"/>
      <c r="AB336" s="220"/>
      <c r="AC336" s="220"/>
      <c r="AD336" s="220"/>
      <c r="AG336" s="220"/>
      <c r="AH336" s="220"/>
      <c r="AI336" s="220"/>
    </row>
    <row r="337" customFormat="false" ht="12.75" hidden="false" customHeight="false" outlineLevel="0" collapsed="false"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R337" s="220"/>
      <c r="S337" s="220"/>
      <c r="T337" s="220"/>
      <c r="W337" s="220"/>
      <c r="X337" s="220"/>
      <c r="Y337" s="220"/>
      <c r="AB337" s="220"/>
      <c r="AC337" s="220"/>
      <c r="AD337" s="220"/>
      <c r="AG337" s="220"/>
      <c r="AH337" s="220"/>
      <c r="AI337" s="220"/>
    </row>
    <row r="338" customFormat="false" ht="12.75" hidden="false" customHeight="false" outlineLevel="0" collapsed="false"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R338" s="220"/>
      <c r="S338" s="220"/>
      <c r="T338" s="220"/>
      <c r="W338" s="220"/>
      <c r="X338" s="220"/>
      <c r="Y338" s="220"/>
      <c r="AB338" s="220"/>
      <c r="AC338" s="220"/>
      <c r="AD338" s="220"/>
      <c r="AG338" s="220"/>
      <c r="AH338" s="220"/>
      <c r="AI338" s="220"/>
    </row>
    <row r="339" customFormat="false" ht="12.75" hidden="false" customHeight="false" outlineLevel="0" collapsed="false"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R339" s="220"/>
      <c r="S339" s="220"/>
      <c r="T339" s="220"/>
      <c r="W339" s="220"/>
      <c r="X339" s="220"/>
      <c r="Y339" s="220"/>
      <c r="AB339" s="220"/>
      <c r="AC339" s="220"/>
      <c r="AD339" s="220"/>
      <c r="AG339" s="220"/>
      <c r="AH339" s="220"/>
      <c r="AI339" s="220"/>
    </row>
    <row r="340" customFormat="false" ht="12.75" hidden="false" customHeight="false" outlineLevel="0" collapsed="false"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R340" s="220"/>
      <c r="S340" s="220"/>
      <c r="T340" s="220"/>
      <c r="W340" s="220"/>
      <c r="X340" s="220"/>
      <c r="Y340" s="220"/>
      <c r="AB340" s="220"/>
      <c r="AC340" s="220"/>
      <c r="AD340" s="220"/>
      <c r="AG340" s="220"/>
      <c r="AH340" s="220"/>
      <c r="AI340" s="220"/>
    </row>
    <row r="341" customFormat="false" ht="12.75" hidden="false" customHeight="false" outlineLevel="0" collapsed="false"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R341" s="220"/>
      <c r="S341" s="220"/>
      <c r="T341" s="220"/>
      <c r="W341" s="220"/>
      <c r="X341" s="220"/>
      <c r="Y341" s="220"/>
      <c r="AB341" s="220"/>
      <c r="AC341" s="220"/>
      <c r="AD341" s="220"/>
      <c r="AG341" s="220"/>
      <c r="AH341" s="220"/>
      <c r="AI341" s="220"/>
    </row>
    <row r="342" customFormat="false" ht="12.75" hidden="false" customHeight="false" outlineLevel="0" collapsed="false"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R342" s="220"/>
      <c r="S342" s="220"/>
      <c r="T342" s="220"/>
      <c r="W342" s="220"/>
      <c r="X342" s="220"/>
      <c r="Y342" s="220"/>
      <c r="AB342" s="220"/>
      <c r="AC342" s="220"/>
      <c r="AD342" s="220"/>
      <c r="AG342" s="220"/>
      <c r="AH342" s="220"/>
      <c r="AI342" s="220"/>
    </row>
    <row r="343" customFormat="false" ht="12.75" hidden="false" customHeight="false" outlineLevel="0" collapsed="false"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R343" s="220"/>
      <c r="S343" s="220"/>
      <c r="T343" s="220"/>
      <c r="W343" s="220"/>
      <c r="X343" s="220"/>
      <c r="Y343" s="220"/>
      <c r="AB343" s="220"/>
      <c r="AC343" s="220"/>
      <c r="AD343" s="220"/>
      <c r="AG343" s="220"/>
      <c r="AH343" s="220"/>
      <c r="AI343" s="220"/>
    </row>
    <row r="344" customFormat="false" ht="12.75" hidden="false" customHeight="false" outlineLevel="0" collapsed="false"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R344" s="220"/>
      <c r="S344" s="220"/>
      <c r="T344" s="220"/>
      <c r="W344" s="220"/>
      <c r="X344" s="220"/>
      <c r="Y344" s="220"/>
      <c r="AB344" s="220"/>
      <c r="AC344" s="220"/>
      <c r="AD344" s="220"/>
      <c r="AG344" s="220"/>
      <c r="AH344" s="220"/>
      <c r="AI344" s="220"/>
    </row>
    <row r="345" customFormat="false" ht="12.75" hidden="false" customHeight="false" outlineLevel="0" collapsed="false"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R345" s="220"/>
      <c r="S345" s="220"/>
      <c r="T345" s="220"/>
      <c r="W345" s="220"/>
      <c r="X345" s="220"/>
      <c r="Y345" s="220"/>
      <c r="AB345" s="220"/>
      <c r="AC345" s="220"/>
      <c r="AD345" s="220"/>
      <c r="AG345" s="220"/>
      <c r="AH345" s="220"/>
      <c r="AI345" s="220"/>
    </row>
    <row r="346" customFormat="false" ht="12.75" hidden="false" customHeight="false" outlineLevel="0" collapsed="false"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R346" s="220"/>
      <c r="S346" s="220"/>
      <c r="T346" s="220"/>
      <c r="W346" s="220"/>
      <c r="X346" s="220"/>
      <c r="Y346" s="220"/>
      <c r="AB346" s="220"/>
      <c r="AC346" s="220"/>
      <c r="AD346" s="220"/>
      <c r="AG346" s="220"/>
      <c r="AH346" s="220"/>
      <c r="AI346" s="220"/>
    </row>
    <row r="347" customFormat="false" ht="12.75" hidden="false" customHeight="false" outlineLevel="0" collapsed="false"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R347" s="220"/>
      <c r="S347" s="220"/>
      <c r="T347" s="220"/>
      <c r="W347" s="220"/>
      <c r="X347" s="220"/>
      <c r="Y347" s="220"/>
      <c r="AB347" s="220"/>
      <c r="AC347" s="220"/>
      <c r="AD347" s="220"/>
      <c r="AG347" s="220"/>
      <c r="AH347" s="220"/>
      <c r="AI347" s="220"/>
    </row>
    <row r="348" customFormat="false" ht="12.75" hidden="false" customHeight="false" outlineLevel="0" collapsed="false"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R348" s="220"/>
      <c r="S348" s="220"/>
      <c r="T348" s="220"/>
      <c r="W348" s="220"/>
      <c r="X348" s="220"/>
      <c r="Y348" s="220"/>
      <c r="AB348" s="220"/>
      <c r="AC348" s="220"/>
      <c r="AD348" s="220"/>
      <c r="AG348" s="220"/>
      <c r="AH348" s="220"/>
      <c r="AI348" s="220"/>
    </row>
    <row r="349" customFormat="false" ht="12.75" hidden="false" customHeight="false" outlineLevel="0" collapsed="false"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R349" s="220"/>
      <c r="S349" s="220"/>
      <c r="T349" s="220"/>
      <c r="W349" s="220"/>
      <c r="X349" s="220"/>
      <c r="Y349" s="220"/>
      <c r="AB349" s="220"/>
      <c r="AC349" s="220"/>
      <c r="AD349" s="220"/>
      <c r="AG349" s="220"/>
      <c r="AH349" s="220"/>
      <c r="AI349" s="220"/>
    </row>
    <row r="350" customFormat="false" ht="12.75" hidden="false" customHeight="false" outlineLevel="0" collapsed="false"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R350" s="220"/>
      <c r="S350" s="220"/>
      <c r="T350" s="220"/>
      <c r="W350" s="220"/>
      <c r="X350" s="220"/>
      <c r="Y350" s="220"/>
      <c r="AB350" s="220"/>
      <c r="AC350" s="220"/>
      <c r="AD350" s="220"/>
      <c r="AG350" s="220"/>
      <c r="AH350" s="220"/>
      <c r="AI350" s="220"/>
    </row>
    <row r="351" customFormat="false" ht="12.75" hidden="false" customHeight="false" outlineLevel="0" collapsed="false"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R351" s="220"/>
      <c r="S351" s="220"/>
      <c r="T351" s="220"/>
      <c r="W351" s="220"/>
      <c r="X351" s="220"/>
      <c r="Y351" s="220"/>
      <c r="AB351" s="220"/>
      <c r="AC351" s="220"/>
      <c r="AD351" s="220"/>
      <c r="AG351" s="220"/>
      <c r="AH351" s="220"/>
      <c r="AI351" s="220"/>
    </row>
    <row r="352" customFormat="false" ht="12.75" hidden="false" customHeight="false" outlineLevel="0" collapsed="false"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R352" s="220"/>
      <c r="S352" s="220"/>
      <c r="T352" s="220"/>
      <c r="W352" s="220"/>
      <c r="X352" s="220"/>
      <c r="Y352" s="220"/>
      <c r="AB352" s="220"/>
      <c r="AC352" s="220"/>
      <c r="AD352" s="220"/>
      <c r="AG352" s="220"/>
      <c r="AH352" s="220"/>
      <c r="AI352" s="220"/>
    </row>
    <row r="353" customFormat="false" ht="12.75" hidden="false" customHeight="false" outlineLevel="0" collapsed="false"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R353" s="220"/>
      <c r="S353" s="220"/>
      <c r="T353" s="220"/>
      <c r="W353" s="220"/>
      <c r="X353" s="220"/>
      <c r="Y353" s="220"/>
      <c r="AB353" s="220"/>
      <c r="AC353" s="220"/>
      <c r="AD353" s="220"/>
      <c r="AG353" s="220"/>
      <c r="AH353" s="220"/>
      <c r="AI353" s="220"/>
    </row>
    <row r="354" customFormat="false" ht="12.75" hidden="false" customHeight="false" outlineLevel="0" collapsed="false"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R354" s="220"/>
      <c r="S354" s="220"/>
      <c r="T354" s="220"/>
      <c r="W354" s="220"/>
      <c r="X354" s="220"/>
      <c r="Y354" s="220"/>
      <c r="AB354" s="220"/>
      <c r="AC354" s="220"/>
      <c r="AD354" s="220"/>
      <c r="AG354" s="220"/>
      <c r="AH354" s="220"/>
      <c r="AI354" s="220"/>
    </row>
    <row r="355" customFormat="false" ht="12.75" hidden="false" customHeight="false" outlineLevel="0" collapsed="false"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R355" s="220"/>
      <c r="S355" s="220"/>
      <c r="T355" s="220"/>
      <c r="W355" s="220"/>
      <c r="X355" s="220"/>
      <c r="Y355" s="220"/>
      <c r="AB355" s="220"/>
      <c r="AC355" s="220"/>
      <c r="AD355" s="220"/>
      <c r="AG355" s="220"/>
      <c r="AH355" s="220"/>
      <c r="AI355" s="220"/>
    </row>
    <row r="356" customFormat="false" ht="12.75" hidden="false" customHeight="false" outlineLevel="0" collapsed="false"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R356" s="220"/>
      <c r="S356" s="220"/>
      <c r="T356" s="220"/>
      <c r="W356" s="220"/>
      <c r="X356" s="220"/>
      <c r="Y356" s="220"/>
      <c r="AB356" s="220"/>
      <c r="AC356" s="220"/>
      <c r="AD356" s="220"/>
      <c r="AG356" s="220"/>
      <c r="AH356" s="220"/>
      <c r="AI356" s="220"/>
    </row>
    <row r="357" customFormat="false" ht="12.75" hidden="false" customHeight="false" outlineLevel="0" collapsed="false"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R357" s="220"/>
      <c r="S357" s="220"/>
      <c r="T357" s="220"/>
      <c r="W357" s="220"/>
      <c r="X357" s="220"/>
      <c r="Y357" s="220"/>
      <c r="AB357" s="220"/>
      <c r="AC357" s="220"/>
      <c r="AD357" s="220"/>
      <c r="AG357" s="220"/>
      <c r="AH357" s="220"/>
      <c r="AI357" s="220"/>
    </row>
    <row r="358" customFormat="false" ht="12.75" hidden="false" customHeight="false" outlineLevel="0" collapsed="false"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R358" s="220"/>
      <c r="S358" s="220"/>
      <c r="T358" s="220"/>
      <c r="W358" s="220"/>
      <c r="X358" s="220"/>
      <c r="Y358" s="220"/>
      <c r="AB358" s="220"/>
      <c r="AC358" s="220"/>
      <c r="AD358" s="220"/>
      <c r="AG358" s="220"/>
      <c r="AH358" s="220"/>
      <c r="AI358" s="220"/>
    </row>
    <row r="359" customFormat="false" ht="12.75" hidden="false" customHeight="false" outlineLevel="0" collapsed="false"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R359" s="220"/>
      <c r="S359" s="220"/>
      <c r="T359" s="220"/>
      <c r="W359" s="220"/>
      <c r="X359" s="220"/>
      <c r="Y359" s="220"/>
      <c r="AB359" s="220"/>
      <c r="AC359" s="220"/>
      <c r="AD359" s="220"/>
      <c r="AG359" s="220"/>
      <c r="AH359" s="220"/>
      <c r="AI359" s="220"/>
    </row>
    <row r="360" customFormat="false" ht="12.75" hidden="false" customHeight="false" outlineLevel="0" collapsed="false"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R360" s="220"/>
      <c r="S360" s="220"/>
      <c r="T360" s="220"/>
      <c r="W360" s="220"/>
      <c r="X360" s="220"/>
      <c r="Y360" s="220"/>
      <c r="AB360" s="220"/>
      <c r="AC360" s="220"/>
      <c r="AD360" s="220"/>
      <c r="AG360" s="220"/>
      <c r="AH360" s="220"/>
      <c r="AI360" s="220"/>
    </row>
    <row r="361" customFormat="false" ht="12.75" hidden="false" customHeight="false" outlineLevel="0" collapsed="false"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R361" s="220"/>
      <c r="S361" s="220"/>
      <c r="T361" s="220"/>
      <c r="W361" s="220"/>
      <c r="X361" s="220"/>
      <c r="Y361" s="220"/>
      <c r="AB361" s="220"/>
      <c r="AC361" s="220"/>
      <c r="AD361" s="220"/>
      <c r="AG361" s="220"/>
      <c r="AH361" s="220"/>
      <c r="AI361" s="220"/>
    </row>
    <row r="362" customFormat="false" ht="12.75" hidden="false" customHeight="false" outlineLevel="0" collapsed="false"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R362" s="220"/>
      <c r="S362" s="220"/>
      <c r="T362" s="220"/>
      <c r="W362" s="220"/>
      <c r="X362" s="220"/>
      <c r="Y362" s="220"/>
      <c r="AB362" s="220"/>
      <c r="AC362" s="220"/>
      <c r="AD362" s="220"/>
      <c r="AG362" s="220"/>
      <c r="AH362" s="220"/>
      <c r="AI362" s="220"/>
    </row>
    <row r="363" customFormat="false" ht="12.75" hidden="false" customHeight="false" outlineLevel="0" collapsed="false"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R363" s="220"/>
      <c r="S363" s="220"/>
      <c r="T363" s="220"/>
      <c r="W363" s="220"/>
      <c r="X363" s="220"/>
      <c r="Y363" s="220"/>
      <c r="AB363" s="220"/>
      <c r="AC363" s="220"/>
      <c r="AD363" s="220"/>
      <c r="AG363" s="220"/>
      <c r="AH363" s="220"/>
      <c r="AI363" s="220"/>
    </row>
    <row r="364" customFormat="false" ht="12.75" hidden="false" customHeight="false" outlineLevel="0" collapsed="false"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R364" s="220"/>
      <c r="S364" s="220"/>
      <c r="T364" s="220"/>
      <c r="W364" s="220"/>
      <c r="X364" s="220"/>
      <c r="Y364" s="220"/>
      <c r="AB364" s="220"/>
      <c r="AC364" s="220"/>
      <c r="AD364" s="220"/>
      <c r="AG364" s="220"/>
      <c r="AH364" s="220"/>
      <c r="AI364" s="220"/>
    </row>
    <row r="365" customFormat="false" ht="12.75" hidden="false" customHeight="false" outlineLevel="0" collapsed="false"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R365" s="220"/>
      <c r="S365" s="220"/>
      <c r="T365" s="220"/>
      <c r="W365" s="220"/>
      <c r="X365" s="220"/>
      <c r="Y365" s="220"/>
      <c r="AB365" s="220"/>
      <c r="AC365" s="220"/>
      <c r="AD365" s="220"/>
      <c r="AG365" s="220"/>
      <c r="AH365" s="220"/>
      <c r="AI365" s="220"/>
    </row>
    <row r="366" customFormat="false" ht="12.75" hidden="false" customHeight="false" outlineLevel="0" collapsed="false"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R366" s="220"/>
      <c r="S366" s="220"/>
      <c r="T366" s="220"/>
      <c r="W366" s="220"/>
      <c r="X366" s="220"/>
      <c r="Y366" s="220"/>
      <c r="AB366" s="220"/>
      <c r="AC366" s="220"/>
      <c r="AD366" s="220"/>
      <c r="AG366" s="220"/>
      <c r="AH366" s="220"/>
      <c r="AI366" s="220"/>
    </row>
    <row r="367" customFormat="false" ht="12.75" hidden="false" customHeight="false" outlineLevel="0" collapsed="false"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R367" s="220"/>
      <c r="S367" s="220"/>
      <c r="T367" s="220"/>
      <c r="W367" s="220"/>
      <c r="X367" s="220"/>
      <c r="Y367" s="220"/>
      <c r="AB367" s="220"/>
      <c r="AC367" s="220"/>
      <c r="AD367" s="220"/>
      <c r="AG367" s="220"/>
      <c r="AH367" s="220"/>
      <c r="AI367" s="220"/>
    </row>
    <row r="368" customFormat="false" ht="12.75" hidden="false" customHeight="false" outlineLevel="0" collapsed="false"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R368" s="220"/>
      <c r="S368" s="220"/>
      <c r="T368" s="220"/>
      <c r="W368" s="220"/>
      <c r="X368" s="220"/>
      <c r="Y368" s="220"/>
      <c r="AB368" s="220"/>
      <c r="AC368" s="220"/>
      <c r="AD368" s="220"/>
      <c r="AG368" s="220"/>
      <c r="AH368" s="220"/>
      <c r="AI368" s="220"/>
    </row>
    <row r="369" customFormat="false" ht="12.75" hidden="false" customHeight="false" outlineLevel="0" collapsed="false"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R369" s="220"/>
      <c r="S369" s="220"/>
      <c r="T369" s="220"/>
      <c r="W369" s="220"/>
      <c r="X369" s="220"/>
      <c r="Y369" s="220"/>
      <c r="AB369" s="220"/>
      <c r="AC369" s="220"/>
      <c r="AD369" s="220"/>
      <c r="AG369" s="220"/>
      <c r="AH369" s="220"/>
      <c r="AI369" s="220"/>
    </row>
    <row r="370" customFormat="false" ht="12.75" hidden="false" customHeight="false" outlineLevel="0" collapsed="false"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R370" s="220"/>
      <c r="S370" s="220"/>
      <c r="T370" s="220"/>
      <c r="W370" s="220"/>
      <c r="X370" s="220"/>
      <c r="Y370" s="220"/>
      <c r="AB370" s="220"/>
      <c r="AC370" s="220"/>
      <c r="AD370" s="220"/>
      <c r="AG370" s="220"/>
      <c r="AH370" s="220"/>
      <c r="AI370" s="220"/>
    </row>
    <row r="371" customFormat="false" ht="12.75" hidden="false" customHeight="false" outlineLevel="0" collapsed="false"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R371" s="220"/>
      <c r="S371" s="220"/>
      <c r="T371" s="220"/>
      <c r="W371" s="220"/>
      <c r="X371" s="220"/>
      <c r="Y371" s="220"/>
      <c r="AB371" s="220"/>
      <c r="AC371" s="220"/>
      <c r="AD371" s="220"/>
      <c r="AG371" s="220"/>
      <c r="AH371" s="220"/>
      <c r="AI371" s="220"/>
    </row>
    <row r="372" customFormat="false" ht="12.75" hidden="false" customHeight="false" outlineLevel="0" collapsed="false"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R372" s="220"/>
      <c r="S372" s="220"/>
      <c r="T372" s="220"/>
      <c r="W372" s="220"/>
      <c r="X372" s="220"/>
      <c r="Y372" s="220"/>
      <c r="AB372" s="220"/>
      <c r="AC372" s="220"/>
      <c r="AD372" s="220"/>
      <c r="AG372" s="220"/>
      <c r="AH372" s="220"/>
      <c r="AI372" s="220"/>
    </row>
    <row r="373" customFormat="false" ht="12.75" hidden="false" customHeight="false" outlineLevel="0" collapsed="false"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R373" s="220"/>
      <c r="S373" s="220"/>
      <c r="T373" s="220"/>
      <c r="W373" s="220"/>
      <c r="X373" s="220"/>
      <c r="Y373" s="220"/>
      <c r="AB373" s="220"/>
      <c r="AC373" s="220"/>
      <c r="AD373" s="220"/>
      <c r="AG373" s="220"/>
      <c r="AH373" s="220"/>
      <c r="AI373" s="220"/>
    </row>
    <row r="374" customFormat="false" ht="12.75" hidden="false" customHeight="false" outlineLevel="0" collapsed="false"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R374" s="220"/>
      <c r="S374" s="220"/>
      <c r="T374" s="220"/>
      <c r="W374" s="220"/>
      <c r="X374" s="220"/>
      <c r="Y374" s="220"/>
      <c r="AB374" s="220"/>
      <c r="AC374" s="220"/>
      <c r="AD374" s="220"/>
      <c r="AG374" s="220"/>
      <c r="AH374" s="220"/>
      <c r="AI374" s="220"/>
    </row>
    <row r="375" customFormat="false" ht="12.75" hidden="false" customHeight="false" outlineLevel="0" collapsed="false"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R375" s="220"/>
      <c r="S375" s="220"/>
      <c r="T375" s="220"/>
      <c r="W375" s="220"/>
      <c r="X375" s="220"/>
      <c r="Y375" s="220"/>
      <c r="AB375" s="220"/>
      <c r="AC375" s="220"/>
      <c r="AD375" s="220"/>
      <c r="AG375" s="220"/>
      <c r="AH375" s="220"/>
      <c r="AI375" s="220"/>
    </row>
    <row r="376" customFormat="false" ht="12.75" hidden="false" customHeight="false" outlineLevel="0" collapsed="false"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R376" s="220"/>
      <c r="S376" s="220"/>
      <c r="T376" s="220"/>
      <c r="W376" s="220"/>
      <c r="X376" s="220"/>
      <c r="Y376" s="220"/>
      <c r="AB376" s="220"/>
      <c r="AC376" s="220"/>
      <c r="AD376" s="220"/>
      <c r="AG376" s="220"/>
      <c r="AH376" s="220"/>
      <c r="AI376" s="220"/>
    </row>
    <row r="377" customFormat="false" ht="12.75" hidden="false" customHeight="false" outlineLevel="0" collapsed="false"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R377" s="220"/>
      <c r="S377" s="220"/>
      <c r="T377" s="220"/>
      <c r="W377" s="220"/>
      <c r="X377" s="220"/>
      <c r="Y377" s="220"/>
      <c r="AB377" s="220"/>
      <c r="AC377" s="220"/>
      <c r="AD377" s="220"/>
      <c r="AG377" s="220"/>
      <c r="AH377" s="220"/>
      <c r="AI377" s="220"/>
    </row>
    <row r="378" customFormat="false" ht="12.75" hidden="false" customHeight="false" outlineLevel="0" collapsed="false"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R378" s="220"/>
      <c r="S378" s="220"/>
      <c r="T378" s="220"/>
      <c r="W378" s="220"/>
      <c r="X378" s="220"/>
      <c r="Y378" s="220"/>
      <c r="AB378" s="220"/>
      <c r="AC378" s="220"/>
      <c r="AD378" s="220"/>
      <c r="AG378" s="220"/>
      <c r="AH378" s="220"/>
      <c r="AI378" s="220"/>
    </row>
    <row r="379" customFormat="false" ht="12.75" hidden="false" customHeight="false" outlineLevel="0" collapsed="false"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R379" s="220"/>
      <c r="S379" s="220"/>
      <c r="T379" s="220"/>
      <c r="W379" s="220"/>
      <c r="X379" s="220"/>
      <c r="Y379" s="220"/>
      <c r="AB379" s="220"/>
      <c r="AC379" s="220"/>
      <c r="AD379" s="220"/>
      <c r="AG379" s="220"/>
      <c r="AH379" s="220"/>
      <c r="AI379" s="220"/>
    </row>
    <row r="380" customFormat="false" ht="12.75" hidden="false" customHeight="false" outlineLevel="0" collapsed="false"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R380" s="220"/>
      <c r="S380" s="220"/>
      <c r="T380" s="220"/>
      <c r="W380" s="220"/>
      <c r="X380" s="220"/>
      <c r="Y380" s="220"/>
      <c r="AB380" s="220"/>
      <c r="AC380" s="220"/>
      <c r="AD380" s="220"/>
      <c r="AG380" s="220"/>
      <c r="AH380" s="220"/>
      <c r="AI380" s="220"/>
    </row>
    <row r="381" customFormat="false" ht="12.75" hidden="false" customHeight="false" outlineLevel="0" collapsed="false"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R381" s="220"/>
      <c r="S381" s="220"/>
      <c r="T381" s="220"/>
      <c r="W381" s="220"/>
      <c r="X381" s="220"/>
      <c r="Y381" s="220"/>
      <c r="AB381" s="220"/>
      <c r="AC381" s="220"/>
      <c r="AD381" s="220"/>
      <c r="AG381" s="220"/>
      <c r="AH381" s="220"/>
      <c r="AI381" s="220"/>
    </row>
    <row r="382" customFormat="false" ht="12.75" hidden="false" customHeight="false" outlineLevel="0" collapsed="false"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R382" s="220"/>
      <c r="S382" s="220"/>
      <c r="T382" s="220"/>
      <c r="W382" s="220"/>
      <c r="X382" s="220"/>
      <c r="Y382" s="220"/>
      <c r="AB382" s="220"/>
      <c r="AC382" s="220"/>
      <c r="AD382" s="220"/>
      <c r="AG382" s="220"/>
      <c r="AH382" s="220"/>
      <c r="AI382" s="220"/>
    </row>
    <row r="383" customFormat="false" ht="12.75" hidden="false" customHeight="false" outlineLevel="0" collapsed="false"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R383" s="220"/>
      <c r="S383" s="220"/>
      <c r="T383" s="220"/>
      <c r="W383" s="220"/>
      <c r="X383" s="220"/>
      <c r="Y383" s="220"/>
      <c r="AB383" s="220"/>
      <c r="AC383" s="220"/>
      <c r="AD383" s="220"/>
      <c r="AG383" s="220"/>
      <c r="AH383" s="220"/>
      <c r="AI383" s="220"/>
    </row>
    <row r="384" customFormat="false" ht="12.75" hidden="false" customHeight="false" outlineLevel="0" collapsed="false"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R384" s="220"/>
      <c r="S384" s="220"/>
      <c r="T384" s="220"/>
      <c r="W384" s="220"/>
      <c r="X384" s="220"/>
      <c r="Y384" s="220"/>
      <c r="AB384" s="220"/>
      <c r="AC384" s="220"/>
      <c r="AD384" s="220"/>
      <c r="AG384" s="220"/>
      <c r="AH384" s="220"/>
      <c r="AI384" s="220"/>
    </row>
    <row r="385" customFormat="false" ht="12.75" hidden="false" customHeight="false" outlineLevel="0" collapsed="false"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R385" s="220"/>
      <c r="S385" s="220"/>
      <c r="T385" s="220"/>
      <c r="W385" s="220"/>
      <c r="X385" s="220"/>
      <c r="Y385" s="220"/>
      <c r="AB385" s="220"/>
      <c r="AC385" s="220"/>
      <c r="AD385" s="220"/>
      <c r="AG385" s="220"/>
      <c r="AH385" s="220"/>
      <c r="AI385" s="220"/>
    </row>
    <row r="386" customFormat="false" ht="12.75" hidden="false" customHeight="false" outlineLevel="0" collapsed="false"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R386" s="220"/>
      <c r="S386" s="220"/>
      <c r="T386" s="220"/>
      <c r="W386" s="220"/>
      <c r="X386" s="220"/>
      <c r="Y386" s="220"/>
      <c r="AB386" s="220"/>
      <c r="AC386" s="220"/>
      <c r="AD386" s="220"/>
      <c r="AG386" s="220"/>
      <c r="AH386" s="220"/>
      <c r="AI386" s="220"/>
    </row>
    <row r="387" customFormat="false" ht="12.75" hidden="false" customHeight="false" outlineLevel="0" collapsed="false"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R387" s="220"/>
      <c r="S387" s="220"/>
      <c r="T387" s="220"/>
      <c r="W387" s="220"/>
      <c r="X387" s="220"/>
      <c r="Y387" s="220"/>
      <c r="AB387" s="220"/>
      <c r="AC387" s="220"/>
      <c r="AD387" s="220"/>
      <c r="AG387" s="220"/>
      <c r="AH387" s="220"/>
      <c r="AI387" s="220"/>
    </row>
    <row r="388" customFormat="false" ht="12.75" hidden="false" customHeight="false" outlineLevel="0" collapsed="false"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R388" s="220"/>
      <c r="S388" s="220"/>
      <c r="T388" s="220"/>
      <c r="W388" s="220"/>
      <c r="X388" s="220"/>
      <c r="Y388" s="220"/>
      <c r="AB388" s="220"/>
      <c r="AC388" s="220"/>
      <c r="AD388" s="220"/>
      <c r="AG388" s="220"/>
      <c r="AH388" s="220"/>
      <c r="AI388" s="220"/>
    </row>
    <row r="389" customFormat="false" ht="12.75" hidden="false" customHeight="false" outlineLevel="0" collapsed="false"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R389" s="220"/>
      <c r="S389" s="220"/>
      <c r="T389" s="220"/>
      <c r="W389" s="220"/>
      <c r="X389" s="220"/>
      <c r="Y389" s="220"/>
      <c r="AB389" s="220"/>
      <c r="AC389" s="220"/>
      <c r="AD389" s="220"/>
      <c r="AG389" s="220"/>
      <c r="AH389" s="220"/>
      <c r="AI389" s="220"/>
    </row>
    <row r="390" customFormat="false" ht="12.75" hidden="false" customHeight="false" outlineLevel="0" collapsed="false"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R390" s="220"/>
      <c r="S390" s="220"/>
      <c r="T390" s="220"/>
      <c r="W390" s="220"/>
      <c r="X390" s="220"/>
      <c r="Y390" s="220"/>
      <c r="AB390" s="220"/>
      <c r="AC390" s="220"/>
      <c r="AD390" s="220"/>
      <c r="AG390" s="220"/>
      <c r="AH390" s="220"/>
      <c r="AI390" s="220"/>
    </row>
    <row r="391" customFormat="false" ht="12.75" hidden="false" customHeight="false" outlineLevel="0" collapsed="false"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R391" s="220"/>
      <c r="S391" s="220"/>
      <c r="T391" s="220"/>
      <c r="W391" s="220"/>
      <c r="X391" s="220"/>
      <c r="Y391" s="220"/>
      <c r="AB391" s="220"/>
      <c r="AC391" s="220"/>
      <c r="AD391" s="220"/>
      <c r="AG391" s="220"/>
      <c r="AH391" s="220"/>
      <c r="AI391" s="220"/>
    </row>
    <row r="392" customFormat="false" ht="12.75" hidden="false" customHeight="false" outlineLevel="0" collapsed="false"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R392" s="220"/>
      <c r="S392" s="220"/>
      <c r="T392" s="220"/>
      <c r="W392" s="220"/>
      <c r="X392" s="220"/>
      <c r="Y392" s="220"/>
      <c r="AB392" s="220"/>
      <c r="AC392" s="220"/>
      <c r="AD392" s="220"/>
      <c r="AG392" s="220"/>
      <c r="AH392" s="220"/>
      <c r="AI392" s="220"/>
    </row>
    <row r="393" customFormat="false" ht="12.75" hidden="false" customHeight="false" outlineLevel="0" collapsed="false"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R393" s="220"/>
      <c r="S393" s="220"/>
      <c r="T393" s="220"/>
      <c r="W393" s="220"/>
      <c r="X393" s="220"/>
      <c r="Y393" s="220"/>
      <c r="AB393" s="220"/>
      <c r="AC393" s="220"/>
      <c r="AD393" s="220"/>
      <c r="AG393" s="220"/>
      <c r="AH393" s="220"/>
      <c r="AI393" s="220"/>
    </row>
    <row r="394" customFormat="false" ht="12.75" hidden="false" customHeight="false" outlineLevel="0" collapsed="false"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R394" s="220"/>
      <c r="S394" s="220"/>
      <c r="T394" s="220"/>
      <c r="W394" s="220"/>
      <c r="X394" s="220"/>
      <c r="Y394" s="220"/>
      <c r="AB394" s="220"/>
      <c r="AC394" s="220"/>
      <c r="AD394" s="220"/>
      <c r="AG394" s="220"/>
      <c r="AH394" s="220"/>
      <c r="AI394" s="220"/>
    </row>
    <row r="395" customFormat="false" ht="12.75" hidden="false" customHeight="false" outlineLevel="0" collapsed="false"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R395" s="220"/>
      <c r="S395" s="220"/>
      <c r="T395" s="220"/>
      <c r="W395" s="220"/>
      <c r="X395" s="220"/>
      <c r="Y395" s="220"/>
      <c r="AB395" s="220"/>
      <c r="AC395" s="220"/>
      <c r="AD395" s="220"/>
      <c r="AG395" s="220"/>
      <c r="AH395" s="220"/>
      <c r="AI395" s="220"/>
    </row>
    <row r="396" customFormat="false" ht="12.75" hidden="false" customHeight="false" outlineLevel="0" collapsed="false"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R396" s="220"/>
      <c r="S396" s="220"/>
      <c r="T396" s="220"/>
      <c r="W396" s="220"/>
      <c r="X396" s="220"/>
      <c r="Y396" s="220"/>
      <c r="AB396" s="220"/>
      <c r="AC396" s="220"/>
      <c r="AD396" s="220"/>
      <c r="AG396" s="220"/>
      <c r="AH396" s="220"/>
      <c r="AI396" s="220"/>
    </row>
    <row r="397" customFormat="false" ht="12.75" hidden="false" customHeight="false" outlineLevel="0" collapsed="false"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R397" s="220"/>
      <c r="S397" s="220"/>
      <c r="T397" s="220"/>
      <c r="W397" s="220"/>
      <c r="X397" s="220"/>
      <c r="Y397" s="220"/>
      <c r="AB397" s="220"/>
      <c r="AC397" s="220"/>
      <c r="AD397" s="220"/>
      <c r="AG397" s="220"/>
      <c r="AH397" s="220"/>
      <c r="AI397" s="220"/>
    </row>
    <row r="398" customFormat="false" ht="12.75" hidden="false" customHeight="false" outlineLevel="0" collapsed="false"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R398" s="220"/>
      <c r="S398" s="220"/>
      <c r="T398" s="220"/>
      <c r="W398" s="220"/>
      <c r="X398" s="220"/>
      <c r="Y398" s="220"/>
      <c r="AB398" s="220"/>
      <c r="AC398" s="220"/>
      <c r="AD398" s="220"/>
      <c r="AG398" s="220"/>
      <c r="AH398" s="220"/>
      <c r="AI398" s="220"/>
    </row>
    <row r="399" customFormat="false" ht="12.75" hidden="false" customHeight="false" outlineLevel="0" collapsed="false"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R399" s="220"/>
      <c r="S399" s="220"/>
      <c r="T399" s="220"/>
      <c r="W399" s="220"/>
      <c r="X399" s="220"/>
      <c r="Y399" s="220"/>
      <c r="AB399" s="220"/>
      <c r="AC399" s="220"/>
      <c r="AD399" s="220"/>
      <c r="AG399" s="220"/>
      <c r="AH399" s="220"/>
      <c r="AI399" s="220"/>
    </row>
    <row r="400" customFormat="false" ht="12.75" hidden="false" customHeight="false" outlineLevel="0" collapsed="false"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R400" s="220"/>
      <c r="S400" s="220"/>
      <c r="T400" s="220"/>
      <c r="W400" s="220"/>
      <c r="X400" s="220"/>
      <c r="Y400" s="220"/>
      <c r="AB400" s="220"/>
      <c r="AC400" s="220"/>
      <c r="AD400" s="220"/>
      <c r="AG400" s="220"/>
      <c r="AH400" s="220"/>
      <c r="AI400" s="220"/>
    </row>
    <row r="401" customFormat="false" ht="12.75" hidden="false" customHeight="false" outlineLevel="0" collapsed="false"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R401" s="220"/>
      <c r="S401" s="220"/>
      <c r="T401" s="220"/>
      <c r="W401" s="220"/>
      <c r="X401" s="220"/>
      <c r="Y401" s="220"/>
      <c r="AB401" s="220"/>
      <c r="AC401" s="220"/>
      <c r="AD401" s="220"/>
      <c r="AG401" s="220"/>
      <c r="AH401" s="220"/>
      <c r="AI401" s="220"/>
    </row>
    <row r="402" customFormat="false" ht="12.75" hidden="false" customHeight="false" outlineLevel="0" collapsed="false"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R402" s="220"/>
      <c r="S402" s="220"/>
      <c r="T402" s="220"/>
      <c r="W402" s="220"/>
      <c r="X402" s="220"/>
      <c r="Y402" s="220"/>
      <c r="AB402" s="220"/>
      <c r="AC402" s="220"/>
      <c r="AD402" s="220"/>
      <c r="AG402" s="220"/>
      <c r="AH402" s="220"/>
      <c r="AI402" s="220"/>
    </row>
    <row r="403" customFormat="false" ht="12.75" hidden="false" customHeight="false" outlineLevel="0" collapsed="false"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R403" s="220"/>
      <c r="S403" s="220"/>
      <c r="T403" s="220"/>
      <c r="W403" s="220"/>
      <c r="X403" s="220"/>
      <c r="Y403" s="220"/>
      <c r="AB403" s="220"/>
      <c r="AC403" s="220"/>
      <c r="AD403" s="220"/>
      <c r="AG403" s="220"/>
      <c r="AH403" s="220"/>
      <c r="AI403" s="220"/>
    </row>
    <row r="404" customFormat="false" ht="12.75" hidden="false" customHeight="false" outlineLevel="0" collapsed="false"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R404" s="220"/>
      <c r="S404" s="220"/>
      <c r="T404" s="220"/>
      <c r="W404" s="220"/>
      <c r="X404" s="220"/>
      <c r="Y404" s="220"/>
      <c r="AB404" s="220"/>
      <c r="AC404" s="220"/>
      <c r="AD404" s="220"/>
      <c r="AG404" s="220"/>
      <c r="AH404" s="220"/>
      <c r="AI404" s="220"/>
    </row>
    <row r="405" customFormat="false" ht="12.75" hidden="false" customHeight="false" outlineLevel="0" collapsed="false"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R405" s="220"/>
      <c r="S405" s="220"/>
      <c r="T405" s="220"/>
      <c r="W405" s="220"/>
      <c r="X405" s="220"/>
      <c r="Y405" s="220"/>
      <c r="AB405" s="220"/>
      <c r="AC405" s="220"/>
      <c r="AD405" s="220"/>
      <c r="AG405" s="220"/>
      <c r="AH405" s="220"/>
      <c r="AI405" s="220"/>
    </row>
    <row r="406" customFormat="false" ht="12.75" hidden="false" customHeight="false" outlineLevel="0" collapsed="false"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R406" s="220"/>
      <c r="S406" s="220"/>
      <c r="T406" s="220"/>
      <c r="W406" s="220"/>
      <c r="X406" s="220"/>
      <c r="Y406" s="220"/>
      <c r="AB406" s="220"/>
      <c r="AC406" s="220"/>
      <c r="AD406" s="220"/>
      <c r="AG406" s="220"/>
      <c r="AH406" s="220"/>
      <c r="AI406" s="220"/>
    </row>
    <row r="407" customFormat="false" ht="12.75" hidden="false" customHeight="false" outlineLevel="0" collapsed="false"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R407" s="220"/>
      <c r="S407" s="220"/>
      <c r="T407" s="220"/>
      <c r="W407" s="220"/>
      <c r="X407" s="220"/>
      <c r="Y407" s="220"/>
      <c r="AB407" s="220"/>
      <c r="AC407" s="220"/>
      <c r="AD407" s="220"/>
      <c r="AG407" s="220"/>
      <c r="AH407" s="220"/>
      <c r="AI407" s="220"/>
    </row>
    <row r="408" customFormat="false" ht="12.75" hidden="false" customHeight="false" outlineLevel="0" collapsed="false"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R408" s="220"/>
      <c r="S408" s="220"/>
      <c r="T408" s="220"/>
      <c r="W408" s="220"/>
      <c r="X408" s="220"/>
      <c r="Y408" s="220"/>
      <c r="AB408" s="220"/>
      <c r="AC408" s="220"/>
      <c r="AD408" s="220"/>
      <c r="AG408" s="220"/>
      <c r="AH408" s="220"/>
      <c r="AI408" s="220"/>
    </row>
    <row r="409" customFormat="false" ht="12.75" hidden="false" customHeight="false" outlineLevel="0" collapsed="false"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R409" s="220"/>
      <c r="S409" s="220"/>
      <c r="T409" s="220"/>
      <c r="W409" s="220"/>
      <c r="X409" s="220"/>
      <c r="Y409" s="220"/>
      <c r="AB409" s="220"/>
      <c r="AC409" s="220"/>
      <c r="AD409" s="220"/>
      <c r="AG409" s="220"/>
      <c r="AH409" s="220"/>
      <c r="AI409" s="220"/>
    </row>
    <row r="410" customFormat="false" ht="12.75" hidden="false" customHeight="false" outlineLevel="0" collapsed="false"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R410" s="220"/>
      <c r="S410" s="220"/>
      <c r="T410" s="220"/>
      <c r="W410" s="220"/>
      <c r="X410" s="220"/>
      <c r="Y410" s="220"/>
      <c r="AB410" s="220"/>
      <c r="AC410" s="220"/>
      <c r="AD410" s="220"/>
      <c r="AG410" s="220"/>
      <c r="AH410" s="220"/>
      <c r="AI410" s="220"/>
    </row>
    <row r="411" customFormat="false" ht="12.75" hidden="false" customHeight="false" outlineLevel="0" collapsed="false"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R411" s="220"/>
      <c r="S411" s="220"/>
      <c r="T411" s="220"/>
      <c r="W411" s="220"/>
      <c r="X411" s="220"/>
      <c r="Y411" s="220"/>
      <c r="AB411" s="220"/>
      <c r="AC411" s="220"/>
      <c r="AD411" s="220"/>
      <c r="AG411" s="220"/>
      <c r="AH411" s="220"/>
      <c r="AI411" s="220"/>
    </row>
    <row r="412" customFormat="false" ht="12.75" hidden="false" customHeight="false" outlineLevel="0" collapsed="false"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R412" s="220"/>
      <c r="S412" s="220"/>
      <c r="T412" s="220"/>
      <c r="W412" s="220"/>
      <c r="X412" s="220"/>
      <c r="Y412" s="220"/>
      <c r="AB412" s="220"/>
      <c r="AC412" s="220"/>
      <c r="AD412" s="220"/>
      <c r="AG412" s="220"/>
      <c r="AH412" s="220"/>
      <c r="AI412" s="220"/>
    </row>
    <row r="413" customFormat="false" ht="12.75" hidden="false" customHeight="false" outlineLevel="0" collapsed="false"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R413" s="220"/>
      <c r="S413" s="220"/>
      <c r="T413" s="220"/>
      <c r="W413" s="220"/>
      <c r="X413" s="220"/>
      <c r="Y413" s="220"/>
      <c r="AB413" s="220"/>
      <c r="AC413" s="220"/>
      <c r="AD413" s="220"/>
      <c r="AG413" s="220"/>
      <c r="AH413" s="220"/>
      <c r="AI413" s="220"/>
    </row>
    <row r="414" customFormat="false" ht="12.75" hidden="false" customHeight="false" outlineLevel="0" collapsed="false"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R414" s="220"/>
      <c r="S414" s="220"/>
      <c r="T414" s="220"/>
      <c r="W414" s="220"/>
      <c r="X414" s="220"/>
      <c r="Y414" s="220"/>
      <c r="AB414" s="220"/>
      <c r="AC414" s="220"/>
      <c r="AD414" s="220"/>
      <c r="AG414" s="220"/>
      <c r="AH414" s="220"/>
      <c r="AI414" s="220"/>
    </row>
    <row r="415" customFormat="false" ht="12.75" hidden="false" customHeight="false" outlineLevel="0" collapsed="false"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R415" s="220"/>
      <c r="S415" s="220"/>
      <c r="T415" s="220"/>
      <c r="W415" s="220"/>
      <c r="X415" s="220"/>
      <c r="Y415" s="220"/>
      <c r="AB415" s="220"/>
      <c r="AC415" s="220"/>
      <c r="AD415" s="220"/>
      <c r="AG415" s="220"/>
      <c r="AH415" s="220"/>
      <c r="AI415" s="220"/>
    </row>
    <row r="416" customFormat="false" ht="12.75" hidden="false" customHeight="false" outlineLevel="0" collapsed="false"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R416" s="220"/>
      <c r="S416" s="220"/>
      <c r="T416" s="220"/>
      <c r="W416" s="220"/>
      <c r="X416" s="220"/>
      <c r="Y416" s="220"/>
      <c r="AB416" s="220"/>
      <c r="AC416" s="220"/>
      <c r="AD416" s="220"/>
      <c r="AG416" s="220"/>
      <c r="AH416" s="220"/>
      <c r="AI416" s="220"/>
    </row>
    <row r="417" customFormat="false" ht="12.75" hidden="false" customHeight="false" outlineLevel="0" collapsed="false"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R417" s="220"/>
      <c r="S417" s="220"/>
      <c r="T417" s="220"/>
      <c r="W417" s="220"/>
      <c r="X417" s="220"/>
      <c r="Y417" s="220"/>
      <c r="AB417" s="220"/>
      <c r="AC417" s="220"/>
      <c r="AD417" s="220"/>
      <c r="AG417" s="220"/>
      <c r="AH417" s="220"/>
      <c r="AI417" s="220"/>
    </row>
    <row r="418" customFormat="false" ht="12.75" hidden="false" customHeight="false" outlineLevel="0" collapsed="false"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R418" s="220"/>
      <c r="S418" s="220"/>
      <c r="T418" s="220"/>
      <c r="W418" s="220"/>
      <c r="X418" s="220"/>
      <c r="Y418" s="220"/>
      <c r="AB418" s="220"/>
      <c r="AC418" s="220"/>
      <c r="AD418" s="220"/>
      <c r="AG418" s="220"/>
      <c r="AH418" s="220"/>
      <c r="AI418" s="220"/>
    </row>
    <row r="419" customFormat="false" ht="12.75" hidden="false" customHeight="false" outlineLevel="0" collapsed="false"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R419" s="220"/>
      <c r="S419" s="220"/>
      <c r="T419" s="220"/>
      <c r="W419" s="220"/>
      <c r="X419" s="220"/>
      <c r="Y419" s="220"/>
      <c r="AB419" s="220"/>
      <c r="AC419" s="220"/>
      <c r="AD419" s="220"/>
      <c r="AG419" s="220"/>
      <c r="AH419" s="220"/>
      <c r="AI419" s="220"/>
    </row>
    <row r="420" customFormat="false" ht="12.75" hidden="false" customHeight="false" outlineLevel="0" collapsed="false"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R420" s="220"/>
      <c r="S420" s="220"/>
      <c r="T420" s="220"/>
      <c r="W420" s="220"/>
      <c r="X420" s="220"/>
      <c r="Y420" s="220"/>
      <c r="AB420" s="220"/>
      <c r="AC420" s="220"/>
      <c r="AD420" s="220"/>
      <c r="AG420" s="220"/>
      <c r="AH420" s="220"/>
      <c r="AI420" s="220"/>
    </row>
    <row r="421" customFormat="false" ht="12.75" hidden="false" customHeight="false" outlineLevel="0" collapsed="false"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R421" s="220"/>
      <c r="S421" s="220"/>
      <c r="T421" s="220"/>
      <c r="W421" s="220"/>
      <c r="X421" s="220"/>
      <c r="Y421" s="220"/>
      <c r="AB421" s="220"/>
      <c r="AC421" s="220"/>
      <c r="AD421" s="220"/>
      <c r="AG421" s="220"/>
      <c r="AH421" s="220"/>
      <c r="AI421" s="220"/>
    </row>
    <row r="422" customFormat="false" ht="12.75" hidden="false" customHeight="false" outlineLevel="0" collapsed="false"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R422" s="220"/>
      <c r="S422" s="220"/>
      <c r="T422" s="220"/>
      <c r="W422" s="220"/>
      <c r="X422" s="220"/>
      <c r="Y422" s="220"/>
      <c r="AB422" s="220"/>
      <c r="AC422" s="220"/>
      <c r="AD422" s="220"/>
      <c r="AG422" s="220"/>
      <c r="AH422" s="220"/>
      <c r="AI422" s="220"/>
    </row>
    <row r="423" customFormat="false" ht="12.75" hidden="false" customHeight="false" outlineLevel="0" collapsed="false"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R423" s="220"/>
      <c r="S423" s="220"/>
      <c r="T423" s="220"/>
      <c r="W423" s="220"/>
      <c r="X423" s="220"/>
      <c r="Y423" s="220"/>
      <c r="AB423" s="220"/>
      <c r="AC423" s="220"/>
      <c r="AD423" s="220"/>
      <c r="AG423" s="220"/>
      <c r="AH423" s="220"/>
      <c r="AI423" s="220"/>
    </row>
    <row r="424" customFormat="false" ht="12.75" hidden="false" customHeight="false" outlineLevel="0" collapsed="false"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R424" s="220"/>
      <c r="S424" s="220"/>
      <c r="T424" s="220"/>
      <c r="W424" s="220"/>
      <c r="X424" s="220"/>
      <c r="Y424" s="220"/>
      <c r="AB424" s="220"/>
      <c r="AC424" s="220"/>
      <c r="AD424" s="220"/>
      <c r="AG424" s="220"/>
      <c r="AH424" s="220"/>
      <c r="AI424" s="220"/>
    </row>
    <row r="425" customFormat="false" ht="12.75" hidden="false" customHeight="false" outlineLevel="0" collapsed="false"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R425" s="220"/>
      <c r="S425" s="220"/>
      <c r="T425" s="220"/>
      <c r="W425" s="220"/>
      <c r="X425" s="220"/>
      <c r="Y425" s="220"/>
      <c r="AB425" s="220"/>
      <c r="AC425" s="220"/>
      <c r="AD425" s="220"/>
      <c r="AG425" s="220"/>
      <c r="AH425" s="220"/>
      <c r="AI425" s="220"/>
    </row>
    <row r="426" customFormat="false" ht="12.75" hidden="false" customHeight="false" outlineLevel="0" collapsed="false"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R426" s="220"/>
      <c r="S426" s="220"/>
      <c r="T426" s="220"/>
      <c r="W426" s="220"/>
      <c r="X426" s="220"/>
      <c r="Y426" s="220"/>
      <c r="AB426" s="220"/>
      <c r="AC426" s="220"/>
      <c r="AD426" s="220"/>
      <c r="AG426" s="220"/>
      <c r="AH426" s="220"/>
      <c r="AI426" s="220"/>
    </row>
    <row r="427" customFormat="false" ht="12.75" hidden="false" customHeight="false" outlineLevel="0" collapsed="false"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R427" s="220"/>
      <c r="S427" s="220"/>
      <c r="T427" s="220"/>
      <c r="W427" s="220"/>
      <c r="X427" s="220"/>
      <c r="Y427" s="220"/>
      <c r="AB427" s="220"/>
      <c r="AC427" s="220"/>
      <c r="AD427" s="220"/>
      <c r="AG427" s="220"/>
      <c r="AH427" s="220"/>
      <c r="AI427" s="220"/>
    </row>
    <row r="428" customFormat="false" ht="12.75" hidden="false" customHeight="false" outlineLevel="0" collapsed="false"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R428" s="220"/>
      <c r="S428" s="220"/>
      <c r="T428" s="220"/>
      <c r="W428" s="220"/>
      <c r="X428" s="220"/>
      <c r="Y428" s="220"/>
      <c r="AB428" s="220"/>
      <c r="AC428" s="220"/>
      <c r="AD428" s="220"/>
      <c r="AG428" s="220"/>
      <c r="AH428" s="220"/>
      <c r="AI428" s="220"/>
    </row>
    <row r="429" customFormat="false" ht="12.75" hidden="false" customHeight="false" outlineLevel="0" collapsed="false"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R429" s="220"/>
      <c r="S429" s="220"/>
      <c r="T429" s="220"/>
      <c r="W429" s="220"/>
      <c r="X429" s="220"/>
      <c r="Y429" s="220"/>
      <c r="AB429" s="220"/>
      <c r="AC429" s="220"/>
      <c r="AD429" s="220"/>
      <c r="AG429" s="220"/>
      <c r="AH429" s="220"/>
      <c r="AI429" s="220"/>
    </row>
    <row r="430" customFormat="false" ht="12.75" hidden="false" customHeight="false" outlineLevel="0" collapsed="false"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R430" s="220"/>
      <c r="S430" s="220"/>
      <c r="T430" s="220"/>
      <c r="W430" s="220"/>
      <c r="X430" s="220"/>
      <c r="Y430" s="220"/>
      <c r="AB430" s="220"/>
      <c r="AC430" s="220"/>
      <c r="AD430" s="220"/>
      <c r="AG430" s="220"/>
      <c r="AH430" s="220"/>
      <c r="AI430" s="220"/>
    </row>
    <row r="431" customFormat="false" ht="12.75" hidden="false" customHeight="false" outlineLevel="0" collapsed="false"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R431" s="220"/>
      <c r="S431" s="220"/>
      <c r="T431" s="220"/>
      <c r="W431" s="220"/>
      <c r="X431" s="220"/>
      <c r="Y431" s="220"/>
      <c r="AB431" s="220"/>
      <c r="AC431" s="220"/>
      <c r="AD431" s="220"/>
      <c r="AG431" s="220"/>
      <c r="AH431" s="220"/>
      <c r="AI431" s="220"/>
    </row>
    <row r="432" customFormat="false" ht="12.75" hidden="false" customHeight="false" outlineLevel="0" collapsed="false"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R432" s="220"/>
      <c r="S432" s="220"/>
      <c r="T432" s="220"/>
      <c r="W432" s="220"/>
      <c r="X432" s="220"/>
      <c r="Y432" s="220"/>
      <c r="AB432" s="220"/>
      <c r="AC432" s="220"/>
      <c r="AD432" s="220"/>
      <c r="AG432" s="220"/>
      <c r="AH432" s="220"/>
      <c r="AI432" s="220"/>
    </row>
    <row r="433" customFormat="false" ht="12.75" hidden="false" customHeight="false" outlineLevel="0" collapsed="false"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R433" s="220"/>
      <c r="S433" s="220"/>
      <c r="T433" s="220"/>
      <c r="W433" s="220"/>
      <c r="X433" s="220"/>
      <c r="Y433" s="220"/>
      <c r="AB433" s="220"/>
      <c r="AC433" s="220"/>
      <c r="AD433" s="220"/>
      <c r="AG433" s="220"/>
      <c r="AH433" s="220"/>
      <c r="AI433" s="220"/>
    </row>
    <row r="434" customFormat="false" ht="12.75" hidden="false" customHeight="false" outlineLevel="0" collapsed="false"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R434" s="220"/>
      <c r="S434" s="220"/>
      <c r="T434" s="220"/>
      <c r="W434" s="220"/>
      <c r="X434" s="220"/>
      <c r="Y434" s="220"/>
      <c r="AB434" s="220"/>
      <c r="AC434" s="220"/>
      <c r="AD434" s="220"/>
      <c r="AG434" s="220"/>
      <c r="AH434" s="220"/>
      <c r="AI434" s="220"/>
    </row>
    <row r="435" customFormat="false" ht="12.75" hidden="false" customHeight="false" outlineLevel="0" collapsed="false"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R435" s="220"/>
      <c r="S435" s="220"/>
      <c r="T435" s="220"/>
      <c r="W435" s="220"/>
      <c r="X435" s="220"/>
      <c r="Y435" s="220"/>
      <c r="AB435" s="220"/>
      <c r="AC435" s="220"/>
      <c r="AD435" s="220"/>
      <c r="AG435" s="220"/>
      <c r="AH435" s="220"/>
      <c r="AI435" s="220"/>
    </row>
    <row r="436" customFormat="false" ht="12.75" hidden="false" customHeight="false" outlineLevel="0" collapsed="false"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R436" s="220"/>
      <c r="S436" s="220"/>
      <c r="T436" s="220"/>
      <c r="W436" s="220"/>
      <c r="X436" s="220"/>
      <c r="Y436" s="220"/>
      <c r="AB436" s="220"/>
      <c r="AC436" s="220"/>
      <c r="AD436" s="220"/>
      <c r="AG436" s="220"/>
      <c r="AH436" s="220"/>
      <c r="AI436" s="220"/>
    </row>
    <row r="437" customFormat="false" ht="12.75" hidden="false" customHeight="false" outlineLevel="0" collapsed="false"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R437" s="220"/>
      <c r="S437" s="220"/>
      <c r="T437" s="220"/>
      <c r="W437" s="220"/>
      <c r="X437" s="220"/>
      <c r="Y437" s="220"/>
      <c r="AB437" s="220"/>
      <c r="AC437" s="220"/>
      <c r="AD437" s="220"/>
      <c r="AG437" s="220"/>
      <c r="AH437" s="220"/>
      <c r="AI437" s="220"/>
    </row>
    <row r="438" customFormat="false" ht="12.75" hidden="false" customHeight="false" outlineLevel="0" collapsed="false"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R438" s="220"/>
      <c r="S438" s="220"/>
      <c r="T438" s="220"/>
      <c r="W438" s="220"/>
      <c r="X438" s="220"/>
      <c r="Y438" s="220"/>
      <c r="AB438" s="220"/>
      <c r="AC438" s="220"/>
      <c r="AD438" s="220"/>
      <c r="AG438" s="220"/>
      <c r="AH438" s="220"/>
      <c r="AI438" s="220"/>
    </row>
    <row r="439" customFormat="false" ht="12.75" hidden="false" customHeight="false" outlineLevel="0" collapsed="false"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R439" s="220"/>
      <c r="S439" s="220"/>
      <c r="T439" s="220"/>
      <c r="W439" s="220"/>
      <c r="X439" s="220"/>
      <c r="Y439" s="220"/>
      <c r="AB439" s="220"/>
      <c r="AC439" s="220"/>
      <c r="AD439" s="220"/>
      <c r="AG439" s="220"/>
      <c r="AH439" s="220"/>
      <c r="AI439" s="220"/>
    </row>
    <row r="440" customFormat="false" ht="12.75" hidden="false" customHeight="false" outlineLevel="0" collapsed="false"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R440" s="220"/>
      <c r="S440" s="220"/>
      <c r="T440" s="220"/>
      <c r="W440" s="220"/>
      <c r="X440" s="220"/>
      <c r="Y440" s="220"/>
      <c r="AB440" s="220"/>
      <c r="AC440" s="220"/>
      <c r="AD440" s="220"/>
      <c r="AG440" s="220"/>
      <c r="AH440" s="220"/>
      <c r="AI440" s="220"/>
    </row>
    <row r="441" customFormat="false" ht="12.75" hidden="false" customHeight="false" outlineLevel="0" collapsed="false"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R441" s="220"/>
      <c r="S441" s="220"/>
      <c r="T441" s="220"/>
      <c r="W441" s="220"/>
      <c r="X441" s="220"/>
      <c r="Y441" s="220"/>
      <c r="AB441" s="220"/>
      <c r="AC441" s="220"/>
      <c r="AD441" s="220"/>
      <c r="AG441" s="220"/>
      <c r="AH441" s="220"/>
      <c r="AI441" s="220"/>
    </row>
    <row r="442" customFormat="false" ht="12.75" hidden="false" customHeight="false" outlineLevel="0" collapsed="false"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R442" s="220"/>
      <c r="S442" s="220"/>
      <c r="T442" s="220"/>
      <c r="W442" s="220"/>
      <c r="X442" s="220"/>
      <c r="Y442" s="220"/>
      <c r="AB442" s="220"/>
      <c r="AC442" s="220"/>
      <c r="AD442" s="220"/>
      <c r="AG442" s="220"/>
      <c r="AH442" s="220"/>
      <c r="AI442" s="220"/>
    </row>
    <row r="443" customFormat="false" ht="12.75" hidden="false" customHeight="false" outlineLevel="0" collapsed="false"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R443" s="220"/>
      <c r="S443" s="220"/>
      <c r="T443" s="220"/>
      <c r="W443" s="220"/>
      <c r="X443" s="220"/>
      <c r="Y443" s="220"/>
      <c r="AB443" s="220"/>
      <c r="AC443" s="220"/>
      <c r="AD443" s="220"/>
      <c r="AG443" s="220"/>
      <c r="AH443" s="220"/>
      <c r="AI443" s="220"/>
    </row>
    <row r="444" customFormat="false" ht="12.75" hidden="false" customHeight="false" outlineLevel="0" collapsed="false"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R444" s="220"/>
      <c r="S444" s="220"/>
      <c r="T444" s="220"/>
      <c r="W444" s="220"/>
      <c r="X444" s="220"/>
      <c r="Y444" s="220"/>
      <c r="AB444" s="220"/>
      <c r="AC444" s="220"/>
      <c r="AD444" s="220"/>
      <c r="AG444" s="220"/>
      <c r="AH444" s="220"/>
      <c r="AI444" s="220"/>
    </row>
    <row r="445" customFormat="false" ht="12.75" hidden="false" customHeight="false" outlineLevel="0" collapsed="false"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R445" s="220"/>
      <c r="S445" s="220"/>
      <c r="T445" s="220"/>
      <c r="W445" s="220"/>
      <c r="X445" s="220"/>
      <c r="Y445" s="220"/>
      <c r="AB445" s="220"/>
      <c r="AC445" s="220"/>
      <c r="AD445" s="220"/>
      <c r="AG445" s="220"/>
      <c r="AH445" s="220"/>
      <c r="AI445" s="220"/>
    </row>
    <row r="446" customFormat="false" ht="12.75" hidden="false" customHeight="false" outlineLevel="0" collapsed="false"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R446" s="220"/>
      <c r="S446" s="220"/>
      <c r="T446" s="220"/>
      <c r="W446" s="220"/>
      <c r="X446" s="220"/>
      <c r="Y446" s="220"/>
      <c r="AB446" s="220"/>
      <c r="AC446" s="220"/>
      <c r="AD446" s="220"/>
      <c r="AG446" s="220"/>
      <c r="AH446" s="220"/>
      <c r="AI446" s="220"/>
    </row>
    <row r="447" customFormat="false" ht="12.75" hidden="false" customHeight="false" outlineLevel="0" collapsed="false"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R447" s="220"/>
      <c r="S447" s="220"/>
      <c r="T447" s="220"/>
      <c r="W447" s="220"/>
      <c r="X447" s="220"/>
      <c r="Y447" s="220"/>
      <c r="AB447" s="220"/>
      <c r="AC447" s="220"/>
      <c r="AD447" s="220"/>
      <c r="AG447" s="220"/>
      <c r="AH447" s="220"/>
      <c r="AI447" s="220"/>
    </row>
    <row r="448" customFormat="false" ht="12.75" hidden="false" customHeight="false" outlineLevel="0" collapsed="false"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R448" s="220"/>
      <c r="S448" s="220"/>
      <c r="T448" s="220"/>
      <c r="W448" s="220"/>
      <c r="X448" s="220"/>
      <c r="Y448" s="220"/>
      <c r="AB448" s="220"/>
      <c r="AC448" s="220"/>
      <c r="AD448" s="220"/>
      <c r="AG448" s="220"/>
      <c r="AH448" s="220"/>
      <c r="AI448" s="220"/>
    </row>
    <row r="449" customFormat="false" ht="12.75" hidden="false" customHeight="false" outlineLevel="0" collapsed="false"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R449" s="220"/>
      <c r="S449" s="220"/>
      <c r="T449" s="220"/>
      <c r="W449" s="220"/>
      <c r="X449" s="220"/>
      <c r="Y449" s="220"/>
      <c r="AB449" s="220"/>
      <c r="AC449" s="220"/>
      <c r="AD449" s="220"/>
      <c r="AG449" s="220"/>
      <c r="AH449" s="220"/>
      <c r="AI449" s="220"/>
    </row>
    <row r="450" customFormat="false" ht="12.75" hidden="false" customHeight="false" outlineLevel="0" collapsed="false"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R450" s="220"/>
      <c r="S450" s="220"/>
      <c r="T450" s="220"/>
      <c r="W450" s="220"/>
      <c r="X450" s="220"/>
      <c r="Y450" s="220"/>
      <c r="AB450" s="220"/>
      <c r="AC450" s="220"/>
      <c r="AD450" s="220"/>
      <c r="AG450" s="220"/>
      <c r="AH450" s="220"/>
      <c r="AI450" s="220"/>
    </row>
    <row r="451" customFormat="false" ht="12.75" hidden="false" customHeight="false" outlineLevel="0" collapsed="false"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R451" s="220"/>
      <c r="S451" s="220"/>
      <c r="T451" s="220"/>
      <c r="W451" s="220"/>
      <c r="X451" s="220"/>
      <c r="Y451" s="220"/>
      <c r="AB451" s="220"/>
      <c r="AC451" s="220"/>
      <c r="AD451" s="220"/>
      <c r="AG451" s="220"/>
      <c r="AH451" s="220"/>
      <c r="AI451" s="220"/>
    </row>
    <row r="452" customFormat="false" ht="12.75" hidden="false" customHeight="false" outlineLevel="0" collapsed="false"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R452" s="220"/>
      <c r="S452" s="220"/>
      <c r="T452" s="220"/>
      <c r="W452" s="220"/>
      <c r="X452" s="220"/>
      <c r="Y452" s="220"/>
      <c r="AB452" s="220"/>
      <c r="AC452" s="220"/>
      <c r="AD452" s="220"/>
      <c r="AG452" s="220"/>
      <c r="AH452" s="220"/>
      <c r="AI452" s="220"/>
    </row>
    <row r="453" customFormat="false" ht="12.75" hidden="false" customHeight="false" outlineLevel="0" collapsed="false"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R453" s="220"/>
      <c r="S453" s="220"/>
      <c r="T453" s="220"/>
      <c r="W453" s="220"/>
      <c r="X453" s="220"/>
      <c r="Y453" s="220"/>
      <c r="AB453" s="220"/>
      <c r="AC453" s="220"/>
      <c r="AD453" s="220"/>
      <c r="AG453" s="220"/>
      <c r="AH453" s="220"/>
      <c r="AI453" s="220"/>
    </row>
    <row r="454" customFormat="false" ht="12.75" hidden="false" customHeight="false" outlineLevel="0" collapsed="false"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R454" s="220"/>
      <c r="S454" s="220"/>
      <c r="T454" s="220"/>
      <c r="W454" s="220"/>
      <c r="X454" s="220"/>
      <c r="Y454" s="220"/>
      <c r="AB454" s="220"/>
      <c r="AC454" s="220"/>
      <c r="AD454" s="220"/>
      <c r="AG454" s="220"/>
      <c r="AH454" s="220"/>
      <c r="AI454" s="220"/>
    </row>
    <row r="455" customFormat="false" ht="12.75" hidden="false" customHeight="false" outlineLevel="0" collapsed="false"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R455" s="220"/>
      <c r="S455" s="220"/>
      <c r="T455" s="220"/>
      <c r="W455" s="220"/>
      <c r="X455" s="220"/>
      <c r="Y455" s="220"/>
      <c r="AB455" s="220"/>
      <c r="AC455" s="220"/>
      <c r="AD455" s="220"/>
      <c r="AG455" s="220"/>
      <c r="AH455" s="220"/>
      <c r="AI455" s="220"/>
    </row>
    <row r="456" customFormat="false" ht="12.75" hidden="false" customHeight="false" outlineLevel="0" collapsed="false"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R456" s="220"/>
      <c r="S456" s="220"/>
      <c r="T456" s="220"/>
      <c r="W456" s="220"/>
      <c r="X456" s="220"/>
      <c r="Y456" s="220"/>
      <c r="AB456" s="220"/>
      <c r="AC456" s="220"/>
      <c r="AD456" s="220"/>
      <c r="AG456" s="220"/>
      <c r="AH456" s="220"/>
      <c r="AI456" s="220"/>
    </row>
    <row r="457" customFormat="false" ht="12.75" hidden="false" customHeight="false" outlineLevel="0" collapsed="false"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R457" s="220"/>
      <c r="S457" s="220"/>
      <c r="T457" s="220"/>
      <c r="W457" s="220"/>
      <c r="X457" s="220"/>
      <c r="Y457" s="220"/>
      <c r="AB457" s="220"/>
      <c r="AC457" s="220"/>
      <c r="AD457" s="220"/>
      <c r="AG457" s="220"/>
      <c r="AH457" s="220"/>
      <c r="AI457" s="220"/>
    </row>
    <row r="458" customFormat="false" ht="12.75" hidden="false" customHeight="false" outlineLevel="0" collapsed="false"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R458" s="220"/>
      <c r="S458" s="220"/>
      <c r="T458" s="220"/>
      <c r="W458" s="220"/>
      <c r="X458" s="220"/>
      <c r="Y458" s="220"/>
      <c r="AB458" s="220"/>
      <c r="AC458" s="220"/>
      <c r="AD458" s="220"/>
      <c r="AG458" s="220"/>
      <c r="AH458" s="220"/>
      <c r="AI458" s="220"/>
    </row>
    <row r="459" customFormat="false" ht="12.75" hidden="false" customHeight="false" outlineLevel="0" collapsed="false"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R459" s="220"/>
      <c r="S459" s="220"/>
      <c r="T459" s="220"/>
      <c r="W459" s="220"/>
      <c r="X459" s="220"/>
      <c r="Y459" s="220"/>
      <c r="AB459" s="220"/>
      <c r="AC459" s="220"/>
      <c r="AD459" s="220"/>
      <c r="AG459" s="220"/>
      <c r="AH459" s="220"/>
      <c r="AI459" s="220"/>
    </row>
    <row r="460" customFormat="false" ht="12.75" hidden="false" customHeight="false" outlineLevel="0" collapsed="false"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R460" s="220"/>
      <c r="S460" s="220"/>
      <c r="T460" s="220"/>
      <c r="W460" s="220"/>
      <c r="X460" s="220"/>
      <c r="Y460" s="220"/>
      <c r="AB460" s="220"/>
      <c r="AC460" s="220"/>
      <c r="AD460" s="220"/>
      <c r="AG460" s="220"/>
      <c r="AH460" s="220"/>
      <c r="AI460" s="220"/>
    </row>
    <row r="461" customFormat="false" ht="12.75" hidden="false" customHeight="false" outlineLevel="0" collapsed="false"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R461" s="220"/>
      <c r="S461" s="220"/>
      <c r="T461" s="220"/>
      <c r="W461" s="220"/>
      <c r="X461" s="220"/>
      <c r="Y461" s="220"/>
      <c r="AB461" s="220"/>
      <c r="AC461" s="220"/>
      <c r="AD461" s="220"/>
      <c r="AG461" s="220"/>
      <c r="AH461" s="220"/>
      <c r="AI461" s="220"/>
    </row>
    <row r="462" customFormat="false" ht="12.75" hidden="false" customHeight="false" outlineLevel="0" collapsed="false"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AG462" s="220"/>
      <c r="AH462" s="220"/>
      <c r="AI462" s="220"/>
    </row>
    <row r="463" customFormat="false" ht="12.75" hidden="false" customHeight="false" outlineLevel="0" collapsed="false"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</row>
    <row r="464" customFormat="false" ht="12.75" hidden="false" customHeight="false" outlineLevel="0" collapsed="false"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</row>
    <row r="465" customFormat="false" ht="12.75" hidden="false" customHeight="false" outlineLevel="0" collapsed="false"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</row>
    <row r="466" customFormat="false" ht="12.75" hidden="false" customHeight="false" outlineLevel="0" collapsed="false"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</row>
    <row r="467" customFormat="false" ht="12.75" hidden="false" customHeight="false" outlineLevel="0" collapsed="false"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</row>
    <row r="468" customFormat="false" ht="12.75" hidden="false" customHeight="false" outlineLevel="0" collapsed="false"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</row>
    <row r="469" customFormat="false" ht="12.75" hidden="false" customHeight="false" outlineLevel="0" collapsed="false"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</row>
    <row r="470" customFormat="false" ht="12.75" hidden="false" customHeight="false" outlineLevel="0" collapsed="false"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</row>
    <row r="471" customFormat="false" ht="12.75" hidden="false" customHeight="false" outlineLevel="0" collapsed="false"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</row>
    <row r="472" customFormat="false" ht="12.75" hidden="false" customHeight="false" outlineLevel="0" collapsed="false"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</row>
    <row r="473" customFormat="false" ht="12.75" hidden="false" customHeight="false" outlineLevel="0" collapsed="false"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</row>
    <row r="474" customFormat="false" ht="12.75" hidden="false" customHeight="false" outlineLevel="0" collapsed="false"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</row>
    <row r="475" customFormat="false" ht="12.75" hidden="false" customHeight="false" outlineLevel="0" collapsed="false"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</row>
    <row r="476" customFormat="false" ht="12.75" hidden="false" customHeight="false" outlineLevel="0" collapsed="false"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</row>
    <row r="477" customFormat="false" ht="12.75" hidden="false" customHeight="false" outlineLevel="0" collapsed="false"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</row>
    <row r="478" customFormat="false" ht="12.75" hidden="false" customHeight="false" outlineLevel="0" collapsed="false"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</row>
    <row r="479" customFormat="false" ht="12.75" hidden="false" customHeight="false" outlineLevel="0" collapsed="false"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</row>
    <row r="480" customFormat="false" ht="12.75" hidden="false" customHeight="false" outlineLevel="0" collapsed="false"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</row>
    <row r="481" customFormat="false" ht="12.75" hidden="false" customHeight="false" outlineLevel="0" collapsed="false"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</row>
    <row r="482" customFormat="false" ht="12.75" hidden="false" customHeight="false" outlineLevel="0" collapsed="false"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</row>
    <row r="483" customFormat="false" ht="12.75" hidden="false" customHeight="false" outlineLevel="0" collapsed="false"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</row>
    <row r="484" customFormat="false" ht="12.75" hidden="false" customHeight="false" outlineLevel="0" collapsed="false"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</row>
    <row r="485" customFormat="false" ht="12.75" hidden="false" customHeight="false" outlineLevel="0" collapsed="false"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</row>
    <row r="486" customFormat="false" ht="12.75" hidden="false" customHeight="false" outlineLevel="0" collapsed="false"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</row>
    <row r="487" customFormat="false" ht="12.75" hidden="false" customHeight="false" outlineLevel="0" collapsed="false"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</row>
    <row r="488" customFormat="false" ht="12.75" hidden="false" customHeight="false" outlineLevel="0" collapsed="false"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</row>
    <row r="489" customFormat="false" ht="12.75" hidden="false" customHeight="false" outlineLevel="0" collapsed="false"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</row>
    <row r="490" customFormat="false" ht="12.75" hidden="false" customHeight="false" outlineLevel="0" collapsed="false"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</row>
    <row r="491" customFormat="false" ht="12.75" hidden="false" customHeight="false" outlineLevel="0" collapsed="false"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</row>
    <row r="492" customFormat="false" ht="12.75" hidden="false" customHeight="false" outlineLevel="0" collapsed="false"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</row>
    <row r="493" customFormat="false" ht="12.75" hidden="false" customHeight="false" outlineLevel="0" collapsed="false"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</row>
    <row r="494" customFormat="false" ht="12.75" hidden="false" customHeight="false" outlineLevel="0" collapsed="false"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</row>
    <row r="495" customFormat="false" ht="12.75" hidden="false" customHeight="false" outlineLevel="0" collapsed="false"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</row>
    <row r="496" customFormat="false" ht="12.75" hidden="false" customHeight="false" outlineLevel="0" collapsed="false"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</row>
    <row r="497" customFormat="false" ht="12.75" hidden="false" customHeight="false" outlineLevel="0" collapsed="false"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</row>
    <row r="498" customFormat="false" ht="12.75" hidden="false" customHeight="false" outlineLevel="0" collapsed="false"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</row>
    <row r="499" customFormat="false" ht="12.75" hidden="false" customHeight="false" outlineLevel="0" collapsed="false"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</row>
    <row r="500" customFormat="false" ht="12.75" hidden="false" customHeight="false" outlineLevel="0" collapsed="false"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</row>
    <row r="501" customFormat="false" ht="12.75" hidden="false" customHeight="false" outlineLevel="0" collapsed="false"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</row>
    <row r="502" customFormat="false" ht="12.75" hidden="false" customHeight="false" outlineLevel="0" collapsed="false"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</row>
    <row r="503" customFormat="false" ht="12.75" hidden="false" customHeight="false" outlineLevel="0" collapsed="false"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</row>
    <row r="504" customFormat="false" ht="12.75" hidden="false" customHeight="false" outlineLevel="0" collapsed="false"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</row>
    <row r="505" customFormat="false" ht="12.75" hidden="false" customHeight="false" outlineLevel="0" collapsed="false"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</row>
    <row r="506" customFormat="false" ht="12.75" hidden="false" customHeight="false" outlineLevel="0" collapsed="false"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</row>
    <row r="507" customFormat="false" ht="12.75" hidden="false" customHeight="false" outlineLevel="0" collapsed="false"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</row>
    <row r="508" customFormat="false" ht="12.75" hidden="false" customHeight="false" outlineLevel="0" collapsed="false"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</row>
    <row r="509" customFormat="false" ht="12.75" hidden="false" customHeight="false" outlineLevel="0" collapsed="false"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</row>
    <row r="510" customFormat="false" ht="12.75" hidden="false" customHeight="false" outlineLevel="0" collapsed="false"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</row>
    <row r="511" customFormat="false" ht="12.75" hidden="false" customHeight="false" outlineLevel="0" collapsed="false"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</row>
    <row r="512" customFormat="false" ht="12.75" hidden="false" customHeight="false" outlineLevel="0" collapsed="false"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</row>
    <row r="513" customFormat="false" ht="12.75" hidden="false" customHeight="false" outlineLevel="0" collapsed="false"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</row>
    <row r="514" customFormat="false" ht="12.75" hidden="false" customHeight="false" outlineLevel="0" collapsed="false"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</row>
    <row r="515" customFormat="false" ht="12.75" hidden="false" customHeight="false" outlineLevel="0" collapsed="false"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</row>
    <row r="516" customFormat="false" ht="12.75" hidden="false" customHeight="false" outlineLevel="0" collapsed="false"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</row>
    <row r="517" customFormat="false" ht="12.75" hidden="false" customHeight="false" outlineLevel="0" collapsed="false"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</row>
    <row r="518" customFormat="false" ht="12.75" hidden="false" customHeight="false" outlineLevel="0" collapsed="false"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</row>
    <row r="519" customFormat="false" ht="12.75" hidden="false" customHeight="false" outlineLevel="0" collapsed="false"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</row>
    <row r="520" customFormat="false" ht="12.75" hidden="false" customHeight="false" outlineLevel="0" collapsed="false"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</row>
    <row r="521" customFormat="false" ht="12.75" hidden="false" customHeight="false" outlineLevel="0" collapsed="false"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</row>
    <row r="522" customFormat="false" ht="12.75" hidden="false" customHeight="false" outlineLevel="0" collapsed="false"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</row>
    <row r="523" customFormat="false" ht="12.75" hidden="false" customHeight="false" outlineLevel="0" collapsed="false"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</row>
    <row r="524" customFormat="false" ht="12.75" hidden="false" customHeight="false" outlineLevel="0" collapsed="false"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</row>
    <row r="525" customFormat="false" ht="12.75" hidden="false" customHeight="false" outlineLevel="0" collapsed="false"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</row>
    <row r="526" customFormat="false" ht="12.75" hidden="false" customHeight="false" outlineLevel="0" collapsed="false"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</row>
    <row r="527" customFormat="false" ht="12.75" hidden="false" customHeight="false" outlineLevel="0" collapsed="false"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</row>
    <row r="528" customFormat="false" ht="12.75" hidden="false" customHeight="false" outlineLevel="0" collapsed="false"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</row>
    <row r="529" customFormat="false" ht="12.75" hidden="false" customHeight="false" outlineLevel="0" collapsed="false"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</row>
    <row r="530" customFormat="false" ht="12.75" hidden="false" customHeight="false" outlineLevel="0" collapsed="false"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</row>
    <row r="531" customFormat="false" ht="12.75" hidden="false" customHeight="false" outlineLevel="0" collapsed="false"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</row>
    <row r="532" customFormat="false" ht="12.75" hidden="false" customHeight="false" outlineLevel="0" collapsed="false"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</row>
    <row r="533" customFormat="false" ht="12.75" hidden="false" customHeight="false" outlineLevel="0" collapsed="false"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</row>
    <row r="534" customFormat="false" ht="12.75" hidden="false" customHeight="false" outlineLevel="0" collapsed="false"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</row>
    <row r="535" customFormat="false" ht="12.75" hidden="false" customHeight="false" outlineLevel="0" collapsed="false"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</row>
    <row r="536" customFormat="false" ht="12.75" hidden="false" customHeight="false" outlineLevel="0" collapsed="false"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</row>
    <row r="537" customFormat="false" ht="12.75" hidden="false" customHeight="false" outlineLevel="0" collapsed="false"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</row>
    <row r="538" customFormat="false" ht="12.75" hidden="false" customHeight="false" outlineLevel="0" collapsed="false"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</row>
    <row r="539" customFormat="false" ht="12.75" hidden="false" customHeight="false" outlineLevel="0" collapsed="false"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</row>
    <row r="540" customFormat="false" ht="12.75" hidden="false" customHeight="false" outlineLevel="0" collapsed="false"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</row>
    <row r="541" customFormat="false" ht="12.75" hidden="false" customHeight="false" outlineLevel="0" collapsed="false"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</row>
    <row r="542" customFormat="false" ht="12.75" hidden="false" customHeight="false" outlineLevel="0" collapsed="false"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</row>
    <row r="543" customFormat="false" ht="12.75" hidden="false" customHeight="false" outlineLevel="0" collapsed="false"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</row>
    <row r="544" customFormat="false" ht="12.75" hidden="false" customHeight="false" outlineLevel="0" collapsed="false"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</row>
    <row r="545" customFormat="false" ht="12.75" hidden="false" customHeight="false" outlineLevel="0" collapsed="false"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</row>
    <row r="546" customFormat="false" ht="12.75" hidden="false" customHeight="false" outlineLevel="0" collapsed="false"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</row>
    <row r="547" customFormat="false" ht="12.75" hidden="false" customHeight="false" outlineLevel="0" collapsed="false"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</row>
    <row r="548" customFormat="false" ht="12.75" hidden="false" customHeight="false" outlineLevel="0" collapsed="false"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</row>
    <row r="549" customFormat="false" ht="12.75" hidden="false" customHeight="false" outlineLevel="0" collapsed="false"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</row>
    <row r="550" customFormat="false" ht="12.75" hidden="false" customHeight="false" outlineLevel="0" collapsed="false"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</row>
    <row r="551" customFormat="false" ht="12.75" hidden="false" customHeight="false" outlineLevel="0" collapsed="false"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</row>
    <row r="552" customFormat="false" ht="12.75" hidden="false" customHeight="false" outlineLevel="0" collapsed="false"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</row>
    <row r="553" customFormat="false" ht="12.75" hidden="false" customHeight="false" outlineLevel="0" collapsed="false"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</row>
    <row r="554" customFormat="false" ht="12.75" hidden="false" customHeight="false" outlineLevel="0" collapsed="false"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</row>
    <row r="555" customFormat="false" ht="12.75" hidden="false" customHeight="false" outlineLevel="0" collapsed="false"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</row>
    <row r="556" customFormat="false" ht="12.75" hidden="false" customHeight="false" outlineLevel="0" collapsed="false"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</row>
    <row r="557" customFormat="false" ht="12.75" hidden="false" customHeight="false" outlineLevel="0" collapsed="false"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</row>
    <row r="558" customFormat="false" ht="12.75" hidden="false" customHeight="false" outlineLevel="0" collapsed="false"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</row>
    <row r="559" customFormat="false" ht="12.75" hidden="false" customHeight="false" outlineLevel="0" collapsed="false"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</row>
    <row r="560" customFormat="false" ht="12.75" hidden="false" customHeight="false" outlineLevel="0" collapsed="false"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</row>
    <row r="561" customFormat="false" ht="12.75" hidden="false" customHeight="false" outlineLevel="0" collapsed="false"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</row>
    <row r="562" customFormat="false" ht="12.75" hidden="false" customHeight="false" outlineLevel="0" collapsed="false"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</row>
    <row r="563" customFormat="false" ht="12.75" hidden="false" customHeight="false" outlineLevel="0" collapsed="false"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</row>
    <row r="564" customFormat="false" ht="12.75" hidden="false" customHeight="false" outlineLevel="0" collapsed="false"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</row>
    <row r="565" customFormat="false" ht="12.75" hidden="false" customHeight="false" outlineLevel="0" collapsed="false"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</row>
    <row r="566" customFormat="false" ht="12.75" hidden="false" customHeight="false" outlineLevel="0" collapsed="false"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</row>
    <row r="567" customFormat="false" ht="12.75" hidden="false" customHeight="false" outlineLevel="0" collapsed="false"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</row>
    <row r="568" customFormat="false" ht="12.75" hidden="false" customHeight="false" outlineLevel="0" collapsed="false"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</row>
    <row r="569" customFormat="false" ht="12.75" hidden="false" customHeight="false" outlineLevel="0" collapsed="false"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</row>
    <row r="570" customFormat="false" ht="12.75" hidden="false" customHeight="false" outlineLevel="0" collapsed="false"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</row>
    <row r="571" customFormat="false" ht="12.75" hidden="false" customHeight="false" outlineLevel="0" collapsed="false"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</row>
    <row r="572" customFormat="false" ht="12.75" hidden="false" customHeight="false" outlineLevel="0" collapsed="false"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</row>
    <row r="573" customFormat="false" ht="12.75" hidden="false" customHeight="false" outlineLevel="0" collapsed="false"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</row>
    <row r="574" customFormat="false" ht="12.75" hidden="false" customHeight="false" outlineLevel="0" collapsed="false"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</row>
    <row r="575" customFormat="false" ht="12.75" hidden="false" customHeight="false" outlineLevel="0" collapsed="false"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</row>
    <row r="576" customFormat="false" ht="12.75" hidden="false" customHeight="false" outlineLevel="0" collapsed="false"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</row>
    <row r="577" customFormat="false" ht="12.75" hidden="false" customHeight="false" outlineLevel="0" collapsed="false"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</row>
    <row r="578" customFormat="false" ht="12.75" hidden="false" customHeight="false" outlineLevel="0" collapsed="false"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</row>
    <row r="579" customFormat="false" ht="12.75" hidden="false" customHeight="false" outlineLevel="0" collapsed="false"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</row>
    <row r="580" customFormat="false" ht="12.75" hidden="false" customHeight="false" outlineLevel="0" collapsed="false"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</row>
    <row r="581" customFormat="false" ht="12.75" hidden="false" customHeight="false" outlineLevel="0" collapsed="false"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</row>
    <row r="582" customFormat="false" ht="12.75" hidden="false" customHeight="false" outlineLevel="0" collapsed="false"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</row>
    <row r="583" customFormat="false" ht="12.75" hidden="false" customHeight="false" outlineLevel="0" collapsed="false"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</row>
    <row r="584" customFormat="false" ht="12.75" hidden="false" customHeight="false" outlineLevel="0" collapsed="false"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</row>
    <row r="585" customFormat="false" ht="12.75" hidden="false" customHeight="false" outlineLevel="0" collapsed="false"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</row>
    <row r="586" customFormat="false" ht="12.75" hidden="false" customHeight="false" outlineLevel="0" collapsed="false"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</row>
    <row r="587" customFormat="false" ht="12.75" hidden="false" customHeight="false" outlineLevel="0" collapsed="false"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</row>
    <row r="588" customFormat="false" ht="12.75" hidden="false" customHeight="false" outlineLevel="0" collapsed="false"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</row>
    <row r="589" customFormat="false" ht="12.75" hidden="false" customHeight="false" outlineLevel="0" collapsed="false"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</row>
    <row r="590" customFormat="false" ht="12.75" hidden="false" customHeight="false" outlineLevel="0" collapsed="false"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</row>
    <row r="591" customFormat="false" ht="12.75" hidden="false" customHeight="false" outlineLevel="0" collapsed="false"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</row>
    <row r="592" customFormat="false" ht="12.75" hidden="false" customHeight="false" outlineLevel="0" collapsed="false"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</row>
    <row r="593" customFormat="false" ht="12.75" hidden="false" customHeight="false" outlineLevel="0" collapsed="false"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</row>
    <row r="594" customFormat="false" ht="12.75" hidden="false" customHeight="false" outlineLevel="0" collapsed="false"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</row>
    <row r="595" customFormat="false" ht="12.75" hidden="false" customHeight="false" outlineLevel="0" collapsed="false"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</row>
    <row r="596" customFormat="false" ht="12.75" hidden="false" customHeight="false" outlineLevel="0" collapsed="false"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</row>
    <row r="597" customFormat="false" ht="12.75" hidden="false" customHeight="false" outlineLevel="0" collapsed="false"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</row>
    <row r="598" customFormat="false" ht="12.75" hidden="false" customHeight="false" outlineLevel="0" collapsed="false"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</row>
    <row r="599" customFormat="false" ht="12.75" hidden="false" customHeight="false" outlineLevel="0" collapsed="false"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</row>
    <row r="600" customFormat="false" ht="12.75" hidden="false" customHeight="false" outlineLevel="0" collapsed="false"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</row>
    <row r="601" customFormat="false" ht="12.75" hidden="false" customHeight="false" outlineLevel="0" collapsed="false"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</row>
    <row r="602" customFormat="false" ht="12.75" hidden="false" customHeight="false" outlineLevel="0" collapsed="false"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</row>
    <row r="603" customFormat="false" ht="12.75" hidden="false" customHeight="false" outlineLevel="0" collapsed="false"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</row>
    <row r="604" customFormat="false" ht="12.75" hidden="false" customHeight="false" outlineLevel="0" collapsed="false"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</row>
    <row r="605" customFormat="false" ht="12.75" hidden="false" customHeight="false" outlineLevel="0" collapsed="false"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</row>
    <row r="606" customFormat="false" ht="12.75" hidden="false" customHeight="false" outlineLevel="0" collapsed="false"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</row>
    <row r="607" customFormat="false" ht="12.75" hidden="false" customHeight="false" outlineLevel="0" collapsed="false"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</row>
    <row r="608" customFormat="false" ht="12.75" hidden="false" customHeight="false" outlineLevel="0" collapsed="false"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</row>
    <row r="609" customFormat="false" ht="12.75" hidden="false" customHeight="false" outlineLevel="0" collapsed="false"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</row>
    <row r="610" customFormat="false" ht="12.75" hidden="false" customHeight="false" outlineLevel="0" collapsed="false"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</row>
    <row r="611" customFormat="false" ht="12.75" hidden="false" customHeight="false" outlineLevel="0" collapsed="false"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</row>
    <row r="612" customFormat="false" ht="12.75" hidden="false" customHeight="false" outlineLevel="0" collapsed="false"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</row>
    <row r="613" customFormat="false" ht="12.75" hidden="false" customHeight="false" outlineLevel="0" collapsed="false"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</row>
    <row r="614" customFormat="false" ht="12.75" hidden="false" customHeight="false" outlineLevel="0" collapsed="false"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</row>
    <row r="615" customFormat="false" ht="12.75" hidden="false" customHeight="false" outlineLevel="0" collapsed="false"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</row>
    <row r="616" customFormat="false" ht="12.75" hidden="false" customHeight="false" outlineLevel="0" collapsed="false"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</row>
    <row r="617" customFormat="false" ht="12.75" hidden="false" customHeight="false" outlineLevel="0" collapsed="false"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</row>
    <row r="618" customFormat="false" ht="12.75" hidden="false" customHeight="false" outlineLevel="0" collapsed="false"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</row>
    <row r="619" customFormat="false" ht="12.75" hidden="false" customHeight="false" outlineLevel="0" collapsed="false"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</row>
    <row r="620" customFormat="false" ht="12.75" hidden="false" customHeight="false" outlineLevel="0" collapsed="false"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</row>
    <row r="621" customFormat="false" ht="12.75" hidden="false" customHeight="false" outlineLevel="0" collapsed="false"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</row>
    <row r="622" customFormat="false" ht="12.75" hidden="false" customHeight="false" outlineLevel="0" collapsed="false"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</row>
    <row r="623" customFormat="false" ht="12.75" hidden="false" customHeight="false" outlineLevel="0" collapsed="false"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</row>
    <row r="624" customFormat="false" ht="12.75" hidden="false" customHeight="false" outlineLevel="0" collapsed="false"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</row>
    <row r="625" customFormat="false" ht="12.75" hidden="false" customHeight="false" outlineLevel="0" collapsed="false"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</row>
    <row r="626" customFormat="false" ht="12.75" hidden="false" customHeight="false" outlineLevel="0" collapsed="false"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</row>
    <row r="627" customFormat="false" ht="12.75" hidden="false" customHeight="false" outlineLevel="0" collapsed="false"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</row>
    <row r="628" customFormat="false" ht="12.75" hidden="false" customHeight="false" outlineLevel="0" collapsed="false"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</row>
    <row r="629" customFormat="false" ht="12.75" hidden="false" customHeight="false" outlineLevel="0" collapsed="false"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</row>
    <row r="630" customFormat="false" ht="12.75" hidden="false" customHeight="false" outlineLevel="0" collapsed="false"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</row>
    <row r="631" customFormat="false" ht="12.75" hidden="false" customHeight="false" outlineLevel="0" collapsed="false"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</row>
    <row r="632" customFormat="false" ht="12.75" hidden="false" customHeight="false" outlineLevel="0" collapsed="false"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</row>
    <row r="633" customFormat="false" ht="12.75" hidden="false" customHeight="false" outlineLevel="0" collapsed="false"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</row>
    <row r="634" customFormat="false" ht="12.75" hidden="false" customHeight="false" outlineLevel="0" collapsed="false"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</row>
    <row r="635" customFormat="false" ht="12.75" hidden="false" customHeight="false" outlineLevel="0" collapsed="false"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</row>
    <row r="636" customFormat="false" ht="12.75" hidden="false" customHeight="false" outlineLevel="0" collapsed="false"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</row>
    <row r="637" customFormat="false" ht="12.75" hidden="false" customHeight="false" outlineLevel="0" collapsed="false"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</row>
    <row r="638" customFormat="false" ht="12.75" hidden="false" customHeight="false" outlineLevel="0" collapsed="false"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</row>
    <row r="639" customFormat="false" ht="12.75" hidden="false" customHeight="false" outlineLevel="0" collapsed="false"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</row>
    <row r="640" customFormat="false" ht="12.75" hidden="false" customHeight="false" outlineLevel="0" collapsed="false"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</row>
    <row r="641" customFormat="false" ht="12.75" hidden="false" customHeight="false" outlineLevel="0" collapsed="false"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</row>
    <row r="642" customFormat="false" ht="12.75" hidden="false" customHeight="false" outlineLevel="0" collapsed="false"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</row>
    <row r="643" customFormat="false" ht="12.75" hidden="false" customHeight="false" outlineLevel="0" collapsed="false"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</row>
    <row r="644" customFormat="false" ht="12.75" hidden="false" customHeight="false" outlineLevel="0" collapsed="false"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</row>
    <row r="645" customFormat="false" ht="12.75" hidden="false" customHeight="false" outlineLevel="0" collapsed="false"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</row>
    <row r="646" customFormat="false" ht="12.75" hidden="false" customHeight="false" outlineLevel="0" collapsed="false"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</row>
    <row r="647" customFormat="false" ht="12.75" hidden="false" customHeight="false" outlineLevel="0" collapsed="false"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</row>
    <row r="648" customFormat="false" ht="12.75" hidden="false" customHeight="false" outlineLevel="0" collapsed="false"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</row>
    <row r="649" customFormat="false" ht="12.75" hidden="false" customHeight="false" outlineLevel="0" collapsed="false"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</row>
    <row r="650" customFormat="false" ht="12.75" hidden="false" customHeight="false" outlineLevel="0" collapsed="false"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</row>
    <row r="651" customFormat="false" ht="12.75" hidden="false" customHeight="false" outlineLevel="0" collapsed="false"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</row>
    <row r="652" customFormat="false" ht="12.75" hidden="false" customHeight="false" outlineLevel="0" collapsed="false"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</row>
    <row r="653" customFormat="false" ht="12.75" hidden="false" customHeight="false" outlineLevel="0" collapsed="false"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</row>
    <row r="654" customFormat="false" ht="12.75" hidden="false" customHeight="false" outlineLevel="0" collapsed="false"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</row>
    <row r="655" customFormat="false" ht="12.75" hidden="false" customHeight="false" outlineLevel="0" collapsed="false"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</row>
    <row r="656" customFormat="false" ht="12.75" hidden="false" customHeight="false" outlineLevel="0" collapsed="false"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</row>
    <row r="657" customFormat="false" ht="12.75" hidden="false" customHeight="false" outlineLevel="0" collapsed="false"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</row>
    <row r="658" customFormat="false" ht="12.75" hidden="false" customHeight="false" outlineLevel="0" collapsed="false"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</row>
    <row r="659" customFormat="false" ht="12.75" hidden="false" customHeight="false" outlineLevel="0" collapsed="false"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</row>
    <row r="660" customFormat="false" ht="12.75" hidden="false" customHeight="false" outlineLevel="0" collapsed="false"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</row>
    <row r="661" customFormat="false" ht="12.75" hidden="false" customHeight="false" outlineLevel="0" collapsed="false"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</row>
    <row r="662" customFormat="false" ht="12.75" hidden="false" customHeight="false" outlineLevel="0" collapsed="false"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</row>
    <row r="663" customFormat="false" ht="12.75" hidden="false" customHeight="false" outlineLevel="0" collapsed="false"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</row>
    <row r="664" customFormat="false" ht="12.75" hidden="false" customHeight="false" outlineLevel="0" collapsed="false"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</row>
    <row r="665" customFormat="false" ht="12.75" hidden="false" customHeight="false" outlineLevel="0" collapsed="false"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</row>
    <row r="666" customFormat="false" ht="12.75" hidden="false" customHeight="false" outlineLevel="0" collapsed="false"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</row>
    <row r="667" customFormat="false" ht="12.75" hidden="false" customHeight="false" outlineLevel="0" collapsed="false"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</row>
    <row r="668" customFormat="false" ht="12.75" hidden="false" customHeight="false" outlineLevel="0" collapsed="false"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</row>
    <row r="669" customFormat="false" ht="12.75" hidden="false" customHeight="false" outlineLevel="0" collapsed="false"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</row>
    <row r="670" customFormat="false" ht="12.75" hidden="false" customHeight="false" outlineLevel="0" collapsed="false"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</row>
    <row r="671" customFormat="false" ht="12.75" hidden="false" customHeight="false" outlineLevel="0" collapsed="false"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</row>
    <row r="672" customFormat="false" ht="12.75" hidden="false" customHeight="false" outlineLevel="0" collapsed="false"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</row>
    <row r="673" customFormat="false" ht="12.75" hidden="false" customHeight="false" outlineLevel="0" collapsed="false"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</row>
    <row r="674" customFormat="false" ht="12.75" hidden="false" customHeight="false" outlineLevel="0" collapsed="false"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</row>
    <row r="675" customFormat="false" ht="12.75" hidden="false" customHeight="false" outlineLevel="0" collapsed="false"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</row>
    <row r="676" customFormat="false" ht="12.75" hidden="false" customHeight="false" outlineLevel="0" collapsed="false"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</row>
    <row r="677" customFormat="false" ht="12.75" hidden="false" customHeight="false" outlineLevel="0" collapsed="false"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</row>
    <row r="678" customFormat="false" ht="12.75" hidden="false" customHeight="false" outlineLevel="0" collapsed="false"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</row>
    <row r="679" customFormat="false" ht="12.75" hidden="false" customHeight="false" outlineLevel="0" collapsed="false"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</row>
    <row r="680" customFormat="false" ht="12.75" hidden="false" customHeight="false" outlineLevel="0" collapsed="false"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</row>
    <row r="681" customFormat="false" ht="12.75" hidden="false" customHeight="false" outlineLevel="0" collapsed="false"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</row>
    <row r="682" customFormat="false" ht="12.75" hidden="false" customHeight="false" outlineLevel="0" collapsed="false"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</row>
    <row r="683" customFormat="false" ht="12.75" hidden="false" customHeight="false" outlineLevel="0" collapsed="false"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</row>
    <row r="684" customFormat="false" ht="12.75" hidden="false" customHeight="false" outlineLevel="0" collapsed="false"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</row>
    <row r="685" customFormat="false" ht="12.75" hidden="false" customHeight="false" outlineLevel="0" collapsed="false"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</row>
    <row r="686" customFormat="false" ht="12.75" hidden="false" customHeight="false" outlineLevel="0" collapsed="false"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</row>
    <row r="687" customFormat="false" ht="12.75" hidden="false" customHeight="false" outlineLevel="0" collapsed="false"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</row>
    <row r="688" customFormat="false" ht="12.75" hidden="false" customHeight="false" outlineLevel="0" collapsed="false"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</row>
    <row r="689" customFormat="false" ht="12.75" hidden="false" customHeight="false" outlineLevel="0" collapsed="false"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</row>
    <row r="690" customFormat="false" ht="12.75" hidden="false" customHeight="false" outlineLevel="0" collapsed="false"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</row>
    <row r="691" customFormat="false" ht="12.75" hidden="false" customHeight="false" outlineLevel="0" collapsed="false"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</row>
    <row r="692" customFormat="false" ht="12.75" hidden="false" customHeight="false" outlineLevel="0" collapsed="false"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</row>
    <row r="693" customFormat="false" ht="12.75" hidden="false" customHeight="false" outlineLevel="0" collapsed="false"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</row>
    <row r="694" customFormat="false" ht="12.75" hidden="false" customHeight="false" outlineLevel="0" collapsed="false"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</row>
    <row r="695" customFormat="false" ht="12.75" hidden="false" customHeight="false" outlineLevel="0" collapsed="false"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</row>
    <row r="696" customFormat="false" ht="12.75" hidden="false" customHeight="false" outlineLevel="0" collapsed="false"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</row>
    <row r="697" customFormat="false" ht="12.75" hidden="false" customHeight="false" outlineLevel="0" collapsed="false"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</row>
    <row r="698" customFormat="false" ht="12.75" hidden="false" customHeight="false" outlineLevel="0" collapsed="false"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</row>
    <row r="699" customFormat="false" ht="12.75" hidden="false" customHeight="false" outlineLevel="0" collapsed="false"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</row>
    <row r="700" customFormat="false" ht="12.75" hidden="false" customHeight="false" outlineLevel="0" collapsed="false"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</row>
    <row r="701" customFormat="false" ht="12.75" hidden="false" customHeight="false" outlineLevel="0" collapsed="false"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</row>
    <row r="702" customFormat="false" ht="12.75" hidden="false" customHeight="false" outlineLevel="0" collapsed="false"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</row>
    <row r="703" customFormat="false" ht="12.75" hidden="false" customHeight="false" outlineLevel="0" collapsed="false"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</row>
    <row r="704" customFormat="false" ht="12.75" hidden="false" customHeight="false" outlineLevel="0" collapsed="false"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</row>
    <row r="705" customFormat="false" ht="12.75" hidden="false" customHeight="false" outlineLevel="0" collapsed="false"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</row>
    <row r="706" customFormat="false" ht="12.75" hidden="false" customHeight="false" outlineLevel="0" collapsed="false"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</row>
    <row r="707" customFormat="false" ht="12.75" hidden="false" customHeight="false" outlineLevel="0" collapsed="false"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</row>
    <row r="708" customFormat="false" ht="12.75" hidden="false" customHeight="false" outlineLevel="0" collapsed="false"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</row>
    <row r="709" customFormat="false" ht="12.75" hidden="false" customHeight="false" outlineLevel="0" collapsed="false"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</row>
    <row r="710" customFormat="false" ht="12.75" hidden="false" customHeight="false" outlineLevel="0" collapsed="false"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</row>
    <row r="711" customFormat="false" ht="12.75" hidden="false" customHeight="false" outlineLevel="0" collapsed="false"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</row>
    <row r="712" customFormat="false" ht="12.75" hidden="false" customHeight="false" outlineLevel="0" collapsed="false"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</row>
    <row r="713" customFormat="false" ht="12.75" hidden="false" customHeight="false" outlineLevel="0" collapsed="false"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</row>
    <row r="714" customFormat="false" ht="12.75" hidden="false" customHeight="false" outlineLevel="0" collapsed="false"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</row>
    <row r="715" customFormat="false" ht="12.75" hidden="false" customHeight="false" outlineLevel="0" collapsed="false"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</row>
    <row r="716" customFormat="false" ht="12.75" hidden="false" customHeight="false" outlineLevel="0" collapsed="false"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</row>
    <row r="717" customFormat="false" ht="12.75" hidden="false" customHeight="false" outlineLevel="0" collapsed="false"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</row>
    <row r="718" customFormat="false" ht="12.75" hidden="false" customHeight="false" outlineLevel="0" collapsed="false"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</row>
    <row r="719" customFormat="false" ht="12.75" hidden="false" customHeight="false" outlineLevel="0" collapsed="false"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</row>
    <row r="720" customFormat="false" ht="12.75" hidden="false" customHeight="false" outlineLevel="0" collapsed="false"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</row>
    <row r="721" customFormat="false" ht="12.75" hidden="false" customHeight="false" outlineLevel="0" collapsed="false"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</row>
    <row r="722" customFormat="false" ht="12.75" hidden="false" customHeight="false" outlineLevel="0" collapsed="false"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</row>
    <row r="723" customFormat="false" ht="12.75" hidden="false" customHeight="false" outlineLevel="0" collapsed="false"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</row>
    <row r="724" customFormat="false" ht="12.75" hidden="false" customHeight="false" outlineLevel="0" collapsed="false"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</row>
    <row r="725" customFormat="false" ht="12.75" hidden="false" customHeight="false" outlineLevel="0" collapsed="false"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</row>
    <row r="726" customFormat="false" ht="12.75" hidden="false" customHeight="false" outlineLevel="0" collapsed="false"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</row>
    <row r="727" customFormat="false" ht="12.75" hidden="false" customHeight="false" outlineLevel="0" collapsed="false"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</row>
    <row r="728" customFormat="false" ht="12.75" hidden="false" customHeight="false" outlineLevel="0" collapsed="false"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</row>
    <row r="729" customFormat="false" ht="12.75" hidden="false" customHeight="false" outlineLevel="0" collapsed="false"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</row>
    <row r="730" customFormat="false" ht="12.75" hidden="false" customHeight="false" outlineLevel="0" collapsed="false"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</row>
    <row r="731" customFormat="false" ht="12.75" hidden="false" customHeight="false" outlineLevel="0" collapsed="false"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</row>
    <row r="732" customFormat="false" ht="12.75" hidden="false" customHeight="false" outlineLevel="0" collapsed="false"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</row>
    <row r="733" customFormat="false" ht="12.75" hidden="false" customHeight="false" outlineLevel="0" collapsed="false"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</row>
    <row r="734" customFormat="false" ht="12.75" hidden="false" customHeight="false" outlineLevel="0" collapsed="false"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</row>
    <row r="735" customFormat="false" ht="12.75" hidden="false" customHeight="false" outlineLevel="0" collapsed="false"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</row>
    <row r="736" customFormat="false" ht="12.75" hidden="false" customHeight="false" outlineLevel="0" collapsed="false"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</row>
    <row r="737" customFormat="false" ht="12.75" hidden="false" customHeight="false" outlineLevel="0" collapsed="false"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</row>
    <row r="738" customFormat="false" ht="12.75" hidden="false" customHeight="false" outlineLevel="0" collapsed="false"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</row>
    <row r="739" customFormat="false" ht="12.75" hidden="false" customHeight="false" outlineLevel="0" collapsed="false"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</row>
    <row r="740" customFormat="false" ht="12.75" hidden="false" customHeight="false" outlineLevel="0" collapsed="false"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</row>
    <row r="741" customFormat="false" ht="12.75" hidden="false" customHeight="false" outlineLevel="0" collapsed="false"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</row>
    <row r="742" customFormat="false" ht="12.75" hidden="false" customHeight="false" outlineLevel="0" collapsed="false"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</row>
    <row r="743" customFormat="false" ht="12.75" hidden="false" customHeight="false" outlineLevel="0" collapsed="false"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</row>
    <row r="744" customFormat="false" ht="12.75" hidden="false" customHeight="false" outlineLevel="0" collapsed="false"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</row>
    <row r="745" customFormat="false" ht="12.75" hidden="false" customHeight="false" outlineLevel="0" collapsed="false"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</row>
    <row r="746" customFormat="false" ht="12.75" hidden="false" customHeight="false" outlineLevel="0" collapsed="false"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</row>
    <row r="747" customFormat="false" ht="12.75" hidden="false" customHeight="false" outlineLevel="0" collapsed="false"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</row>
    <row r="748" customFormat="false" ht="12.75" hidden="false" customHeight="false" outlineLevel="0" collapsed="false"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</row>
    <row r="749" customFormat="false" ht="12.75" hidden="false" customHeight="false" outlineLevel="0" collapsed="false"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</row>
    <row r="750" customFormat="false" ht="12.75" hidden="false" customHeight="false" outlineLevel="0" collapsed="false"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</row>
    <row r="751" customFormat="false" ht="12.75" hidden="false" customHeight="false" outlineLevel="0" collapsed="false"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</row>
    <row r="752" customFormat="false" ht="12.75" hidden="false" customHeight="false" outlineLevel="0" collapsed="false"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</row>
    <row r="753" customFormat="false" ht="12.75" hidden="false" customHeight="false" outlineLevel="0" collapsed="false"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</row>
    <row r="754" customFormat="false" ht="12.75" hidden="false" customHeight="false" outlineLevel="0" collapsed="false"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</row>
    <row r="755" customFormat="false" ht="12.75" hidden="false" customHeight="false" outlineLevel="0" collapsed="false"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</row>
    <row r="756" customFormat="false" ht="12.75" hidden="false" customHeight="false" outlineLevel="0" collapsed="false"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</row>
    <row r="757" customFormat="false" ht="12.75" hidden="false" customHeight="false" outlineLevel="0" collapsed="false"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</row>
    <row r="758" customFormat="false" ht="12.75" hidden="false" customHeight="false" outlineLevel="0" collapsed="false"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</row>
    <row r="759" customFormat="false" ht="12.75" hidden="false" customHeight="false" outlineLevel="0" collapsed="false"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</row>
    <row r="760" customFormat="false" ht="12.75" hidden="false" customHeight="false" outlineLevel="0" collapsed="false"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</row>
    <row r="761" customFormat="false" ht="12.75" hidden="false" customHeight="false" outlineLevel="0" collapsed="false"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</row>
    <row r="762" customFormat="false" ht="12.75" hidden="false" customHeight="false" outlineLevel="0" collapsed="false"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</row>
    <row r="763" customFormat="false" ht="12.75" hidden="false" customHeight="false" outlineLevel="0" collapsed="false"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</row>
    <row r="764" customFormat="false" ht="12.75" hidden="false" customHeight="false" outlineLevel="0" collapsed="false"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</row>
    <row r="765" customFormat="false" ht="12.75" hidden="false" customHeight="false" outlineLevel="0" collapsed="false"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</row>
    <row r="766" customFormat="false" ht="12.75" hidden="false" customHeight="false" outlineLevel="0" collapsed="false"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</row>
    <row r="767" customFormat="false" ht="12.75" hidden="false" customHeight="false" outlineLevel="0" collapsed="false"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</row>
    <row r="768" customFormat="false" ht="12.75" hidden="false" customHeight="false" outlineLevel="0" collapsed="false"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</row>
    <row r="769" customFormat="false" ht="12.75" hidden="false" customHeight="false" outlineLevel="0" collapsed="false"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</row>
    <row r="770" customFormat="false" ht="12.75" hidden="false" customHeight="false" outlineLevel="0" collapsed="false"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</row>
    <row r="771" customFormat="false" ht="12.75" hidden="false" customHeight="false" outlineLevel="0" collapsed="false"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</row>
    <row r="772" customFormat="false" ht="12.75" hidden="false" customHeight="false" outlineLevel="0" collapsed="false"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</row>
    <row r="773" customFormat="false" ht="12.75" hidden="false" customHeight="false" outlineLevel="0" collapsed="false"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</row>
    <row r="774" customFormat="false" ht="12.75" hidden="false" customHeight="false" outlineLevel="0" collapsed="false"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</row>
    <row r="775" customFormat="false" ht="12.75" hidden="false" customHeight="false" outlineLevel="0" collapsed="false"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</row>
    <row r="776" customFormat="false" ht="12.75" hidden="false" customHeight="false" outlineLevel="0" collapsed="false"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</row>
    <row r="777" customFormat="false" ht="12.75" hidden="false" customHeight="false" outlineLevel="0" collapsed="false"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</row>
    <row r="778" customFormat="false" ht="12.75" hidden="false" customHeight="false" outlineLevel="0" collapsed="false"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</row>
    <row r="779" customFormat="false" ht="12.75" hidden="false" customHeight="false" outlineLevel="0" collapsed="false"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</row>
    <row r="780" customFormat="false" ht="12.75" hidden="false" customHeight="false" outlineLevel="0" collapsed="false"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</row>
    <row r="781" customFormat="false" ht="12.75" hidden="false" customHeight="false" outlineLevel="0" collapsed="false"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</row>
    <row r="782" customFormat="false" ht="12.75" hidden="false" customHeight="false" outlineLevel="0" collapsed="false"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</row>
    <row r="783" customFormat="false" ht="12.75" hidden="false" customHeight="false" outlineLevel="0" collapsed="false"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</row>
    <row r="784" customFormat="false" ht="12.75" hidden="false" customHeight="false" outlineLevel="0" collapsed="false"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</row>
    <row r="785" customFormat="false" ht="12.75" hidden="false" customHeight="false" outlineLevel="0" collapsed="false"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</row>
    <row r="786" customFormat="false" ht="12.75" hidden="false" customHeight="false" outlineLevel="0" collapsed="false"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</row>
    <row r="787" customFormat="false" ht="12.75" hidden="false" customHeight="false" outlineLevel="0" collapsed="false"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</row>
    <row r="788" customFormat="false" ht="12.75" hidden="false" customHeight="false" outlineLevel="0" collapsed="false"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</row>
    <row r="789" customFormat="false" ht="12.75" hidden="false" customHeight="false" outlineLevel="0" collapsed="false"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</row>
    <row r="790" customFormat="false" ht="12.75" hidden="false" customHeight="false" outlineLevel="0" collapsed="false"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</row>
    <row r="791" customFormat="false" ht="12.75" hidden="false" customHeight="false" outlineLevel="0" collapsed="false"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</row>
    <row r="792" customFormat="false" ht="12.75" hidden="false" customHeight="false" outlineLevel="0" collapsed="false"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</row>
    <row r="793" customFormat="false" ht="12.75" hidden="false" customHeight="false" outlineLevel="0" collapsed="false"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</row>
    <row r="794" customFormat="false" ht="12.75" hidden="false" customHeight="false" outlineLevel="0" collapsed="false"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</row>
    <row r="795" customFormat="false" ht="12.75" hidden="false" customHeight="false" outlineLevel="0" collapsed="false"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</row>
    <row r="796" customFormat="false" ht="12.75" hidden="false" customHeight="false" outlineLevel="0" collapsed="false"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</row>
    <row r="797" customFormat="false" ht="12.75" hidden="false" customHeight="false" outlineLevel="0" collapsed="false"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</row>
    <row r="798" customFormat="false" ht="12.75" hidden="false" customHeight="false" outlineLevel="0" collapsed="false"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</row>
    <row r="799" customFormat="false" ht="12.75" hidden="false" customHeight="false" outlineLevel="0" collapsed="false"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</row>
    <row r="800" customFormat="false" ht="12.75" hidden="false" customHeight="false" outlineLevel="0" collapsed="false"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</row>
    <row r="801" customFormat="false" ht="12.75" hidden="false" customHeight="false" outlineLevel="0" collapsed="false"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</row>
    <row r="802" customFormat="false" ht="12.75" hidden="false" customHeight="false" outlineLevel="0" collapsed="false"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</row>
    <row r="803" customFormat="false" ht="12.75" hidden="false" customHeight="false" outlineLevel="0" collapsed="false"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</row>
    <row r="804" customFormat="false" ht="12.75" hidden="false" customHeight="false" outlineLevel="0" collapsed="false"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</row>
    <row r="805" customFormat="false" ht="12.75" hidden="false" customHeight="false" outlineLevel="0" collapsed="false"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</row>
    <row r="806" customFormat="false" ht="12.75" hidden="false" customHeight="false" outlineLevel="0" collapsed="false"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</row>
    <row r="807" customFormat="false" ht="12.75" hidden="false" customHeight="false" outlineLevel="0" collapsed="false"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</row>
    <row r="808" customFormat="false" ht="12.75" hidden="false" customHeight="false" outlineLevel="0" collapsed="false"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</row>
    <row r="809" customFormat="false" ht="12.75" hidden="false" customHeight="false" outlineLevel="0" collapsed="false"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</row>
    <row r="810" customFormat="false" ht="12.75" hidden="false" customHeight="false" outlineLevel="0" collapsed="false"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</row>
    <row r="811" customFormat="false" ht="12.75" hidden="false" customHeight="false" outlineLevel="0" collapsed="false"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</row>
    <row r="812" customFormat="false" ht="12.75" hidden="false" customHeight="false" outlineLevel="0" collapsed="false"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</row>
    <row r="813" customFormat="false" ht="12.75" hidden="false" customHeight="false" outlineLevel="0" collapsed="false"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</row>
    <row r="814" customFormat="false" ht="12.75" hidden="false" customHeight="false" outlineLevel="0" collapsed="false"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</row>
    <row r="815" customFormat="false" ht="12.75" hidden="false" customHeight="false" outlineLevel="0" collapsed="false"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</row>
    <row r="816" customFormat="false" ht="12.75" hidden="false" customHeight="false" outlineLevel="0" collapsed="false"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</row>
    <row r="817" customFormat="false" ht="12.75" hidden="false" customHeight="false" outlineLevel="0" collapsed="false"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</row>
    <row r="818" customFormat="false" ht="12.75" hidden="false" customHeight="false" outlineLevel="0" collapsed="false"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</row>
    <row r="819" customFormat="false" ht="12.75" hidden="false" customHeight="false" outlineLevel="0" collapsed="false"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</row>
    <row r="820" customFormat="false" ht="12.75" hidden="false" customHeight="false" outlineLevel="0" collapsed="false"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</row>
    <row r="821" customFormat="false" ht="12.75" hidden="false" customHeight="false" outlineLevel="0" collapsed="false"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</row>
    <row r="822" customFormat="false" ht="12.75" hidden="false" customHeight="false" outlineLevel="0" collapsed="false"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</row>
    <row r="823" customFormat="false" ht="12.75" hidden="false" customHeight="false" outlineLevel="0" collapsed="false"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</row>
    <row r="824" customFormat="false" ht="12.75" hidden="false" customHeight="false" outlineLevel="0" collapsed="false"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</row>
    <row r="825" customFormat="false" ht="12.75" hidden="false" customHeight="false" outlineLevel="0" collapsed="false"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</row>
    <row r="826" customFormat="false" ht="12.75" hidden="false" customHeight="false" outlineLevel="0" collapsed="false"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</row>
    <row r="827" customFormat="false" ht="12.75" hidden="false" customHeight="false" outlineLevel="0" collapsed="false"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</row>
    <row r="828" customFormat="false" ht="12.75" hidden="false" customHeight="false" outlineLevel="0" collapsed="false"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</row>
    <row r="829" customFormat="false" ht="12.75" hidden="false" customHeight="false" outlineLevel="0" collapsed="false"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</row>
    <row r="830" customFormat="false" ht="12.75" hidden="false" customHeight="false" outlineLevel="0" collapsed="false"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</row>
    <row r="831" customFormat="false" ht="12.75" hidden="false" customHeight="false" outlineLevel="0" collapsed="false"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</row>
    <row r="832" customFormat="false" ht="12.75" hidden="false" customHeight="false" outlineLevel="0" collapsed="false"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</row>
    <row r="833" customFormat="false" ht="12.75" hidden="false" customHeight="false" outlineLevel="0" collapsed="false"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</row>
    <row r="834" customFormat="false" ht="12.75" hidden="false" customHeight="false" outlineLevel="0" collapsed="false"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</row>
    <row r="835" customFormat="false" ht="12.75" hidden="false" customHeight="false" outlineLevel="0" collapsed="false"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</row>
    <row r="836" customFormat="false" ht="12.75" hidden="false" customHeight="false" outlineLevel="0" collapsed="false"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</row>
    <row r="837" customFormat="false" ht="12.75" hidden="false" customHeight="false" outlineLevel="0" collapsed="false"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</row>
    <row r="838" customFormat="false" ht="12.75" hidden="false" customHeight="false" outlineLevel="0" collapsed="false"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</row>
    <row r="839" customFormat="false" ht="12.75" hidden="false" customHeight="false" outlineLevel="0" collapsed="false"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</row>
    <row r="840" customFormat="false" ht="12.75" hidden="false" customHeight="false" outlineLevel="0" collapsed="false"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</row>
    <row r="841" customFormat="false" ht="12.75" hidden="false" customHeight="false" outlineLevel="0" collapsed="false"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</row>
    <row r="842" customFormat="false" ht="12.75" hidden="false" customHeight="false" outlineLevel="0" collapsed="false"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</row>
    <row r="843" customFormat="false" ht="12.75" hidden="false" customHeight="false" outlineLevel="0" collapsed="false"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</row>
    <row r="844" customFormat="false" ht="12.75" hidden="false" customHeight="false" outlineLevel="0" collapsed="false"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</row>
    <row r="845" customFormat="false" ht="12.75" hidden="false" customHeight="false" outlineLevel="0" collapsed="false"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</row>
    <row r="846" customFormat="false" ht="12.75" hidden="false" customHeight="false" outlineLevel="0" collapsed="false"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</row>
    <row r="847" customFormat="false" ht="12.75" hidden="false" customHeight="false" outlineLevel="0" collapsed="false"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</row>
    <row r="848" customFormat="false" ht="12.75" hidden="false" customHeight="false" outlineLevel="0" collapsed="false"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</row>
    <row r="849" customFormat="false" ht="12.75" hidden="false" customHeight="false" outlineLevel="0" collapsed="false"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</row>
    <row r="850" customFormat="false" ht="12.75" hidden="false" customHeight="false" outlineLevel="0" collapsed="false"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</row>
    <row r="851" customFormat="false" ht="12.75" hidden="false" customHeight="false" outlineLevel="0" collapsed="false"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</row>
    <row r="852" customFormat="false" ht="12.75" hidden="false" customHeight="false" outlineLevel="0" collapsed="false"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</row>
    <row r="853" customFormat="false" ht="12.75" hidden="false" customHeight="false" outlineLevel="0" collapsed="false"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</row>
    <row r="854" customFormat="false" ht="12.75" hidden="false" customHeight="false" outlineLevel="0" collapsed="false"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</row>
    <row r="855" customFormat="false" ht="12.75" hidden="false" customHeight="false" outlineLevel="0" collapsed="false"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</row>
    <row r="856" customFormat="false" ht="12.75" hidden="false" customHeight="false" outlineLevel="0" collapsed="false"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</row>
    <row r="857" customFormat="false" ht="12.75" hidden="false" customHeight="false" outlineLevel="0" collapsed="false"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</row>
    <row r="858" customFormat="false" ht="12.75" hidden="false" customHeight="false" outlineLevel="0" collapsed="false"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</row>
    <row r="859" customFormat="false" ht="12.75" hidden="false" customHeight="false" outlineLevel="0" collapsed="false"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</row>
    <row r="860" customFormat="false" ht="12.75" hidden="false" customHeight="false" outlineLevel="0" collapsed="false"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</row>
    <row r="861" customFormat="false" ht="12.75" hidden="false" customHeight="false" outlineLevel="0" collapsed="false"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</row>
    <row r="862" customFormat="false" ht="12.75" hidden="false" customHeight="false" outlineLevel="0" collapsed="false"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</row>
    <row r="863" customFormat="false" ht="12.75" hidden="false" customHeight="false" outlineLevel="0" collapsed="false"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</row>
    <row r="864" customFormat="false" ht="12.75" hidden="false" customHeight="false" outlineLevel="0" collapsed="false"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</row>
    <row r="865" customFormat="false" ht="12.75" hidden="false" customHeight="false" outlineLevel="0" collapsed="false"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</row>
    <row r="866" customFormat="false" ht="12.75" hidden="false" customHeight="false" outlineLevel="0" collapsed="false"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</row>
    <row r="867" customFormat="false" ht="12.75" hidden="false" customHeight="false" outlineLevel="0" collapsed="false"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</row>
    <row r="868" customFormat="false" ht="12.75" hidden="false" customHeight="false" outlineLevel="0" collapsed="false"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</row>
    <row r="869" customFormat="false" ht="12.75" hidden="false" customHeight="false" outlineLevel="0" collapsed="false"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</row>
    <row r="870" customFormat="false" ht="12.75" hidden="false" customHeight="false" outlineLevel="0" collapsed="false"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</row>
    <row r="871" customFormat="false" ht="12.75" hidden="false" customHeight="false" outlineLevel="0" collapsed="false"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</row>
    <row r="872" customFormat="false" ht="12.75" hidden="false" customHeight="false" outlineLevel="0" collapsed="false"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</row>
    <row r="873" customFormat="false" ht="12.75" hidden="false" customHeight="false" outlineLevel="0" collapsed="false"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</row>
    <row r="874" customFormat="false" ht="12.75" hidden="false" customHeight="false" outlineLevel="0" collapsed="false"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</row>
    <row r="875" customFormat="false" ht="12.75" hidden="false" customHeight="false" outlineLevel="0" collapsed="false"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</row>
    <row r="876" customFormat="false" ht="12.75" hidden="false" customHeight="false" outlineLevel="0" collapsed="false"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</row>
    <row r="877" customFormat="false" ht="12.75" hidden="false" customHeight="false" outlineLevel="0" collapsed="false"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</row>
    <row r="878" customFormat="false" ht="12.75" hidden="false" customHeight="false" outlineLevel="0" collapsed="false"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</row>
    <row r="879" customFormat="false" ht="12.75" hidden="false" customHeight="false" outlineLevel="0" collapsed="false"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</row>
    <row r="880" customFormat="false" ht="12.75" hidden="false" customHeight="false" outlineLevel="0" collapsed="false"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</row>
    <row r="881" customFormat="false" ht="12.75" hidden="false" customHeight="false" outlineLevel="0" collapsed="false"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</row>
    <row r="882" customFormat="false" ht="12.75" hidden="false" customHeight="false" outlineLevel="0" collapsed="false"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</row>
    <row r="883" customFormat="false" ht="12.75" hidden="false" customHeight="false" outlineLevel="0" collapsed="false"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</row>
    <row r="884" customFormat="false" ht="12.75" hidden="false" customHeight="false" outlineLevel="0" collapsed="false"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</row>
    <row r="885" customFormat="false" ht="12.75" hidden="false" customHeight="false" outlineLevel="0" collapsed="false"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</row>
    <row r="886" customFormat="false" ht="12.75" hidden="false" customHeight="false" outlineLevel="0" collapsed="false"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</row>
    <row r="887" customFormat="false" ht="12.75" hidden="false" customHeight="false" outlineLevel="0" collapsed="false"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</row>
    <row r="888" customFormat="false" ht="12.75" hidden="false" customHeight="false" outlineLevel="0" collapsed="false"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</row>
    <row r="889" customFormat="false" ht="12.75" hidden="false" customHeight="false" outlineLevel="0" collapsed="false"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</row>
    <row r="890" customFormat="false" ht="12.75" hidden="false" customHeight="false" outlineLevel="0" collapsed="false"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</row>
    <row r="891" customFormat="false" ht="12.75" hidden="false" customHeight="false" outlineLevel="0" collapsed="false"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</row>
    <row r="892" customFormat="false" ht="12.75" hidden="false" customHeight="false" outlineLevel="0" collapsed="false"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</row>
    <row r="893" customFormat="false" ht="12.75" hidden="false" customHeight="false" outlineLevel="0" collapsed="false"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</row>
    <row r="894" customFormat="false" ht="12.75" hidden="false" customHeight="false" outlineLevel="0" collapsed="false"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</row>
    <row r="895" customFormat="false" ht="12.75" hidden="false" customHeight="false" outlineLevel="0" collapsed="false"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</row>
    <row r="896" customFormat="false" ht="12.75" hidden="false" customHeight="false" outlineLevel="0" collapsed="false"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</row>
    <row r="897" customFormat="false" ht="12.75" hidden="false" customHeight="false" outlineLevel="0" collapsed="false"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</row>
    <row r="898" customFormat="false" ht="12.75" hidden="false" customHeight="false" outlineLevel="0" collapsed="false"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</row>
    <row r="899" customFormat="false" ht="12.75" hidden="false" customHeight="false" outlineLevel="0" collapsed="false"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</row>
    <row r="900" customFormat="false" ht="12.75" hidden="false" customHeight="false" outlineLevel="0" collapsed="false"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</row>
    <row r="901" customFormat="false" ht="12.75" hidden="false" customHeight="false" outlineLevel="0" collapsed="false"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</row>
    <row r="902" customFormat="false" ht="12.75" hidden="false" customHeight="false" outlineLevel="0" collapsed="false"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</row>
    <row r="903" customFormat="false" ht="12.75" hidden="false" customHeight="false" outlineLevel="0" collapsed="false"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</row>
    <row r="904" customFormat="false" ht="12.75" hidden="false" customHeight="false" outlineLevel="0" collapsed="false"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</row>
    <row r="905" customFormat="false" ht="12.75" hidden="false" customHeight="false" outlineLevel="0" collapsed="false"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</row>
    <row r="906" customFormat="false" ht="12.75" hidden="false" customHeight="false" outlineLevel="0" collapsed="false"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</row>
    <row r="907" customFormat="false" ht="12.75" hidden="false" customHeight="false" outlineLevel="0" collapsed="false"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</row>
    <row r="908" customFormat="false" ht="12.75" hidden="false" customHeight="false" outlineLevel="0" collapsed="false"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</row>
    <row r="909" customFormat="false" ht="12.75" hidden="false" customHeight="false" outlineLevel="0" collapsed="false"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</row>
    <row r="910" customFormat="false" ht="12.75" hidden="false" customHeight="false" outlineLevel="0" collapsed="false"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</row>
    <row r="911" customFormat="false" ht="12.75" hidden="false" customHeight="false" outlineLevel="0" collapsed="false"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</row>
    <row r="912" customFormat="false" ht="12.75" hidden="false" customHeight="false" outlineLevel="0" collapsed="false"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</row>
    <row r="913" customFormat="false" ht="12.75" hidden="false" customHeight="false" outlineLevel="0" collapsed="false"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</row>
    <row r="914" customFormat="false" ht="12.75" hidden="false" customHeight="false" outlineLevel="0" collapsed="false"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</row>
    <row r="915" customFormat="false" ht="12.75" hidden="false" customHeight="false" outlineLevel="0" collapsed="false"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</row>
    <row r="916" customFormat="false" ht="12.75" hidden="false" customHeight="false" outlineLevel="0" collapsed="false"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</row>
    <row r="917" customFormat="false" ht="12.75" hidden="false" customHeight="false" outlineLevel="0" collapsed="false"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</row>
    <row r="918" customFormat="false" ht="12.75" hidden="false" customHeight="false" outlineLevel="0" collapsed="false"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</row>
    <row r="919" customFormat="false" ht="12.75" hidden="false" customHeight="false" outlineLevel="0" collapsed="false"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</row>
    <row r="920" customFormat="false" ht="12.75" hidden="false" customHeight="false" outlineLevel="0" collapsed="false"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</row>
    <row r="921" customFormat="false" ht="12.75" hidden="false" customHeight="false" outlineLevel="0" collapsed="false"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</row>
    <row r="922" customFormat="false" ht="12.75" hidden="false" customHeight="false" outlineLevel="0" collapsed="false"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</row>
    <row r="923" customFormat="false" ht="12.75" hidden="false" customHeight="false" outlineLevel="0" collapsed="false"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</row>
    <row r="924" customFormat="false" ht="12.75" hidden="false" customHeight="false" outlineLevel="0" collapsed="false"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</row>
    <row r="925" customFormat="false" ht="12.75" hidden="false" customHeight="false" outlineLevel="0" collapsed="false"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</row>
    <row r="926" customFormat="false" ht="12.75" hidden="false" customHeight="false" outlineLevel="0" collapsed="false"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</row>
    <row r="927" customFormat="false" ht="12.75" hidden="false" customHeight="false" outlineLevel="0" collapsed="false"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</row>
    <row r="928" customFormat="false" ht="12.75" hidden="false" customHeight="false" outlineLevel="0" collapsed="false"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</row>
    <row r="929" customFormat="false" ht="12.75" hidden="false" customHeight="false" outlineLevel="0" collapsed="false"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</row>
    <row r="930" customFormat="false" ht="12.75" hidden="false" customHeight="false" outlineLevel="0" collapsed="false"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</row>
    <row r="931" customFormat="false" ht="12.75" hidden="false" customHeight="false" outlineLevel="0" collapsed="false"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</row>
    <row r="932" customFormat="false" ht="12.75" hidden="false" customHeight="false" outlineLevel="0" collapsed="false"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</row>
    <row r="933" customFormat="false" ht="12.75" hidden="false" customHeight="false" outlineLevel="0" collapsed="false"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</row>
    <row r="934" customFormat="false" ht="12.75" hidden="false" customHeight="false" outlineLevel="0" collapsed="false"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</row>
    <row r="935" customFormat="false" ht="12.75" hidden="false" customHeight="false" outlineLevel="0" collapsed="false"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</row>
  </sheetData>
  <sheetProtection algorithmName="SHA-512" hashValue="e6qaAW8oTIDM3m+BnDqWUdQaJbcLvpYEFOdrG/yRbzJMl8/Y8oPEFWVBN0pZg85kzhFdBrAqs63gZ2RNYLDv/g==" saltValue="Lq4GzHk9dP2a7FwwjxzEdQ==" spinCount="100000" sheet="true" selectLockedCells="true"/>
  <mergeCells count="4">
    <mergeCell ref="A1:Q1"/>
    <mergeCell ref="O3:P3"/>
    <mergeCell ref="F77:H77"/>
    <mergeCell ref="F86:G86"/>
  </mergeCells>
  <conditionalFormatting sqref="D60">
    <cfRule type="expression" priority="2" aboveAverage="0" equalAverage="0" bottom="0" percent="0" rank="0" text="" dxfId="0">
      <formula>DITHER=2</formula>
    </cfRule>
  </conditionalFormatting>
  <conditionalFormatting sqref="D61">
    <cfRule type="expression" priority="3" aboveAverage="0" equalAverage="0" bottom="0" percent="0" rank="0" text="" dxfId="1">
      <formula>DITHER=2</formula>
    </cfRule>
  </conditionalFormatting>
  <conditionalFormatting sqref="E60">
    <cfRule type="expression" priority="4" aboveAverage="0" equalAverage="0" bottom="0" percent="0" rank="0" text="" dxfId="2">
      <formula>DITHER=2</formula>
    </cfRule>
  </conditionalFormatting>
  <conditionalFormatting sqref="E7">
    <cfRule type="cellIs" priority="5" operator="notBetween" aboveAverage="0" equalAverage="0" bottom="0" percent="0" rank="0" text="" dxfId="3">
      <formula>$E$6</formula>
      <formula>$E$8</formula>
    </cfRule>
  </conditionalFormatting>
  <conditionalFormatting sqref="E58">
    <cfRule type="cellIs" priority="6" operator="lessThanOrEqual" aboveAverage="0" equalAverage="0" bottom="0" percent="0" rank="0" text="" dxfId="4">
      <formula>1.28</formula>
    </cfRule>
  </conditionalFormatting>
  <conditionalFormatting sqref="E62">
    <cfRule type="cellIs" priority="7" operator="notBetween" aboveAverage="0" equalAverage="0" bottom="0" percent="0" rank="0" text="" dxfId="5">
      <formula>55</formula>
      <formula>4</formula>
    </cfRule>
  </conditionalFormatting>
  <conditionalFormatting sqref="E53">
    <cfRule type="cellIs" priority="8" operator="greaterThan" aboveAverage="0" equalAverage="0" bottom="0" percent="0" rank="0" text="" dxfId="6">
      <formula>$E$52</formula>
    </cfRule>
    <cfRule type="cellIs" priority="9" operator="equal" aboveAverage="0" equalAverage="0" bottom="0" percent="0" rank="0" text="" dxfId="7">
      <formula>0</formula>
    </cfRule>
  </conditionalFormatting>
  <conditionalFormatting sqref="E51">
    <cfRule type="cellIs" priority="10" operator="lessThan" aboveAverage="0" equalAverage="0" bottom="0" percent="0" rank="0" text="" dxfId="8">
      <formula>$E$50</formula>
    </cfRule>
  </conditionalFormatting>
  <conditionalFormatting sqref="E49">
    <cfRule type="cellIs" priority="11" operator="equal" aboveAverage="0" equalAverage="0" bottom="0" percent="0" rank="0" text="" dxfId="9">
      <formula>0</formula>
    </cfRule>
  </conditionalFormatting>
  <conditionalFormatting sqref="E44">
    <cfRule type="cellIs" priority="12" operator="greaterThan" aboveAverage="0" equalAverage="0" bottom="0" percent="0" rank="0" text="" dxfId="10">
      <formula>$E$43</formula>
    </cfRule>
  </conditionalFormatting>
  <conditionalFormatting sqref="E42">
    <cfRule type="cellIs" priority="13" operator="lessThan" aboveAverage="0" equalAverage="0" bottom="0" percent="0" rank="0" text="" dxfId="11">
      <formula>$E$41</formula>
    </cfRule>
  </conditionalFormatting>
  <conditionalFormatting sqref="E40">
    <cfRule type="cellIs" priority="14" operator="lessThanOrEqual" aboveAverage="0" equalAverage="0" bottom="0" percent="0" rank="0" text="" dxfId="12">
      <formula>0</formula>
    </cfRule>
  </conditionalFormatting>
  <conditionalFormatting sqref="E9">
    <cfRule type="cellIs" priority="15" operator="notBetween" aboveAverage="0" equalAverage="0" bottom="0" percent="0" rank="0" text="" dxfId="13">
      <formula>0.8</formula>
      <formula>55</formula>
    </cfRule>
  </conditionalFormatting>
  <conditionalFormatting sqref="E6 E8">
    <cfRule type="cellIs" priority="16" operator="notBetween" aboveAverage="0" equalAverage="0" bottom="0" percent="0" rank="0" text="" dxfId="14">
      <formula>4</formula>
      <formula>55</formula>
    </cfRule>
  </conditionalFormatting>
  <conditionalFormatting sqref="E11">
    <cfRule type="cellIs" priority="17" operator="notBetween" aboveAverage="0" equalAverage="0" bottom="0" percent="0" rank="0" text="" dxfId="15">
      <formula>600</formula>
      <formula>100</formula>
    </cfRule>
  </conditionalFormatting>
  <hyperlinks>
    <hyperlink ref="O2" r:id="rId2" display="http://www.ti.com/product/lm5176"/>
    <hyperlink ref="C3" r:id="rId3" display="xx"/>
    <hyperlink ref="O3" location="Licenses!A1" display="TERMS OF USE"/>
  </hyperlinks>
  <printOptions headings="false" gridLines="false" gridLinesSet="true" horizontalCentered="true" verticalCentered="true"/>
  <pageMargins left="0.1" right="0.1" top="0.1" bottom="0.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114" man="true" max="16383" min="0"/>
  </row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6" name="Button 520">
              <controlPr defaultSize="0" print="false" autoFill="0" autoPict="0" macro="Module5.FIXValues">
                <anchor moveWithCells="true" sizeWithCells="false">
                  <from>
                    <xdr:col>2</xdr:col>
                    <xdr:colOff>314280</xdr:colOff>
                    <xdr:row>77</xdr:row>
                    <xdr:rowOff>158400</xdr:rowOff>
                  </from>
                  <to>
                    <xdr:col>3</xdr:col>
                    <xdr:colOff>-60840</xdr:colOff>
                    <xdr:row>80</xdr:row>
                    <xdr:rowOff>129600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7" name="Button 492">
              <controlPr defaultSize="0" print="false" autoFill="0" autoPict="0" macro="Module5.RESETvalues">
                <anchor moveWithCells="true" sizeWithCells="false">
                  <from>
                    <xdr:col>2</xdr:col>
                    <xdr:colOff>314280</xdr:colOff>
                    <xdr:row>77</xdr:row>
                    <xdr:rowOff>158400</xdr:rowOff>
                  </from>
                  <to>
                    <xdr:col>3</xdr:col>
                    <xdr:colOff>-60840</xdr:colOff>
                    <xdr:row>80</xdr:row>
                    <xdr:rowOff>129600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4:L81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K68" activeCellId="0" sqref="K68"/>
    </sheetView>
  </sheetViews>
  <sheetFormatPr defaultColWidth="9.1484375" defaultRowHeight="12.75" zeroHeight="false" outlineLevelRow="0" outlineLevelCol="0"/>
  <cols>
    <col collapsed="false" customWidth="true" hidden="false" outlineLevel="0" max="1" min="1" style="221" width="9.57"/>
    <col collapsed="false" customWidth="true" hidden="false" outlineLevel="0" max="2" min="2" style="221" width="20.29"/>
    <col collapsed="false" customWidth="true" hidden="false" outlineLevel="0" max="3" min="3" style="221" width="16.14"/>
    <col collapsed="false" customWidth="true" hidden="false" outlineLevel="0" max="4" min="4" style="221" width="20.14"/>
    <col collapsed="false" customWidth="true" hidden="false" outlineLevel="0" max="5" min="5" style="221" width="17.29"/>
    <col collapsed="false" customWidth="true" hidden="false" outlineLevel="0" max="6" min="6" style="221" width="20.57"/>
    <col collapsed="false" customWidth="true" hidden="false" outlineLevel="0" max="7" min="7" style="221" width="9.71"/>
    <col collapsed="false" customWidth="true" hidden="false" outlineLevel="0" max="8" min="8" style="221" width="16.14"/>
    <col collapsed="false" customWidth="true" hidden="false" outlineLevel="0" max="9" min="9" style="221" width="14.71"/>
    <col collapsed="false" customWidth="true" hidden="false" outlineLevel="0" max="10" min="10" style="221" width="18.42"/>
    <col collapsed="false" customWidth="true" hidden="false" outlineLevel="0" max="11" min="11" style="221" width="26.42"/>
    <col collapsed="false" customWidth="false" hidden="false" outlineLevel="0" max="12" min="12" style="221" width="9.14"/>
    <col collapsed="false" customWidth="false" hidden="false" outlineLevel="0" max="13" min="13" style="222" width="9.14"/>
    <col collapsed="false" customWidth="false" hidden="false" outlineLevel="0" max="256" min="14" style="221" width="9.14"/>
    <col collapsed="false" customWidth="true" hidden="false" outlineLevel="0" max="257" min="257" style="221" width="8.71"/>
    <col collapsed="false" customWidth="true" hidden="false" outlineLevel="0" max="258" min="258" style="221" width="13.29"/>
    <col collapsed="false" customWidth="true" hidden="false" outlineLevel="0" max="259" min="259" style="221" width="16.14"/>
    <col collapsed="false" customWidth="true" hidden="false" outlineLevel="0" max="260" min="260" style="221" width="23.57"/>
    <col collapsed="false" customWidth="true" hidden="false" outlineLevel="0" max="261" min="261" style="221" width="17.29"/>
    <col collapsed="false" customWidth="true" hidden="false" outlineLevel="0" max="262" min="262" style="221" width="20.57"/>
    <col collapsed="false" customWidth="true" hidden="false" outlineLevel="0" max="263" min="263" style="221" width="17.15"/>
    <col collapsed="false" customWidth="true" hidden="false" outlineLevel="0" max="264" min="264" style="221" width="21.85"/>
    <col collapsed="false" customWidth="true" hidden="false" outlineLevel="0" max="265" min="265" style="221" width="17.15"/>
    <col collapsed="false" customWidth="true" hidden="false" outlineLevel="0" max="266" min="266" style="221" width="18.14"/>
    <col collapsed="false" customWidth="true" hidden="false" outlineLevel="0" max="267" min="267" style="221" width="26.42"/>
    <col collapsed="false" customWidth="false" hidden="false" outlineLevel="0" max="512" min="268" style="221" width="9.14"/>
    <col collapsed="false" customWidth="true" hidden="false" outlineLevel="0" max="513" min="513" style="221" width="8.71"/>
    <col collapsed="false" customWidth="true" hidden="false" outlineLevel="0" max="514" min="514" style="221" width="13.29"/>
    <col collapsed="false" customWidth="true" hidden="false" outlineLevel="0" max="515" min="515" style="221" width="16.14"/>
    <col collapsed="false" customWidth="true" hidden="false" outlineLevel="0" max="516" min="516" style="221" width="23.57"/>
    <col collapsed="false" customWidth="true" hidden="false" outlineLevel="0" max="517" min="517" style="221" width="17.29"/>
    <col collapsed="false" customWidth="true" hidden="false" outlineLevel="0" max="518" min="518" style="221" width="20.57"/>
    <col collapsed="false" customWidth="true" hidden="false" outlineLevel="0" max="519" min="519" style="221" width="17.15"/>
    <col collapsed="false" customWidth="true" hidden="false" outlineLevel="0" max="520" min="520" style="221" width="21.85"/>
    <col collapsed="false" customWidth="true" hidden="false" outlineLevel="0" max="521" min="521" style="221" width="17.15"/>
    <col collapsed="false" customWidth="true" hidden="false" outlineLevel="0" max="522" min="522" style="221" width="18.14"/>
    <col collapsed="false" customWidth="true" hidden="false" outlineLevel="0" max="523" min="523" style="221" width="26.42"/>
    <col collapsed="false" customWidth="false" hidden="false" outlineLevel="0" max="768" min="524" style="221" width="9.14"/>
    <col collapsed="false" customWidth="true" hidden="false" outlineLevel="0" max="769" min="769" style="221" width="8.71"/>
    <col collapsed="false" customWidth="true" hidden="false" outlineLevel="0" max="770" min="770" style="221" width="13.29"/>
    <col collapsed="false" customWidth="true" hidden="false" outlineLevel="0" max="771" min="771" style="221" width="16.14"/>
    <col collapsed="false" customWidth="true" hidden="false" outlineLevel="0" max="772" min="772" style="221" width="23.57"/>
    <col collapsed="false" customWidth="true" hidden="false" outlineLevel="0" max="773" min="773" style="221" width="17.29"/>
    <col collapsed="false" customWidth="true" hidden="false" outlineLevel="0" max="774" min="774" style="221" width="20.57"/>
    <col collapsed="false" customWidth="true" hidden="false" outlineLevel="0" max="775" min="775" style="221" width="17.15"/>
    <col collapsed="false" customWidth="true" hidden="false" outlineLevel="0" max="776" min="776" style="221" width="21.85"/>
    <col collapsed="false" customWidth="true" hidden="false" outlineLevel="0" max="777" min="777" style="221" width="17.15"/>
    <col collapsed="false" customWidth="true" hidden="false" outlineLevel="0" max="778" min="778" style="221" width="18.14"/>
    <col collapsed="false" customWidth="true" hidden="false" outlineLevel="0" max="779" min="779" style="221" width="26.42"/>
    <col collapsed="false" customWidth="false" hidden="false" outlineLevel="0" max="1024" min="780" style="221" width="9.14"/>
    <col collapsed="false" customWidth="true" hidden="false" outlineLevel="0" max="1025" min="1025" style="221" width="8.71"/>
    <col collapsed="false" customWidth="true" hidden="false" outlineLevel="0" max="1026" min="1026" style="221" width="13.29"/>
    <col collapsed="false" customWidth="true" hidden="false" outlineLevel="0" max="1027" min="1027" style="221" width="16.14"/>
    <col collapsed="false" customWidth="true" hidden="false" outlineLevel="0" max="1028" min="1028" style="221" width="23.57"/>
    <col collapsed="false" customWidth="true" hidden="false" outlineLevel="0" max="1029" min="1029" style="221" width="17.29"/>
    <col collapsed="false" customWidth="true" hidden="false" outlineLevel="0" max="1030" min="1030" style="221" width="20.57"/>
    <col collapsed="false" customWidth="true" hidden="false" outlineLevel="0" max="1031" min="1031" style="221" width="17.15"/>
    <col collapsed="false" customWidth="true" hidden="false" outlineLevel="0" max="1032" min="1032" style="221" width="21.85"/>
    <col collapsed="false" customWidth="true" hidden="false" outlineLevel="0" max="1033" min="1033" style="221" width="17.15"/>
    <col collapsed="false" customWidth="true" hidden="false" outlineLevel="0" max="1034" min="1034" style="221" width="18.14"/>
    <col collapsed="false" customWidth="true" hidden="false" outlineLevel="0" max="1035" min="1035" style="221" width="26.42"/>
    <col collapsed="false" customWidth="false" hidden="false" outlineLevel="0" max="1280" min="1036" style="221" width="9.14"/>
    <col collapsed="false" customWidth="true" hidden="false" outlineLevel="0" max="1281" min="1281" style="221" width="8.71"/>
    <col collapsed="false" customWidth="true" hidden="false" outlineLevel="0" max="1282" min="1282" style="221" width="13.29"/>
    <col collapsed="false" customWidth="true" hidden="false" outlineLevel="0" max="1283" min="1283" style="221" width="16.14"/>
    <col collapsed="false" customWidth="true" hidden="false" outlineLevel="0" max="1284" min="1284" style="221" width="23.57"/>
    <col collapsed="false" customWidth="true" hidden="false" outlineLevel="0" max="1285" min="1285" style="221" width="17.29"/>
    <col collapsed="false" customWidth="true" hidden="false" outlineLevel="0" max="1286" min="1286" style="221" width="20.57"/>
    <col collapsed="false" customWidth="true" hidden="false" outlineLevel="0" max="1287" min="1287" style="221" width="17.15"/>
    <col collapsed="false" customWidth="true" hidden="false" outlineLevel="0" max="1288" min="1288" style="221" width="21.85"/>
    <col collapsed="false" customWidth="true" hidden="false" outlineLevel="0" max="1289" min="1289" style="221" width="17.15"/>
    <col collapsed="false" customWidth="true" hidden="false" outlineLevel="0" max="1290" min="1290" style="221" width="18.14"/>
    <col collapsed="false" customWidth="true" hidden="false" outlineLevel="0" max="1291" min="1291" style="221" width="26.42"/>
    <col collapsed="false" customWidth="false" hidden="false" outlineLevel="0" max="1536" min="1292" style="221" width="9.14"/>
    <col collapsed="false" customWidth="true" hidden="false" outlineLevel="0" max="1537" min="1537" style="221" width="8.71"/>
    <col collapsed="false" customWidth="true" hidden="false" outlineLevel="0" max="1538" min="1538" style="221" width="13.29"/>
    <col collapsed="false" customWidth="true" hidden="false" outlineLevel="0" max="1539" min="1539" style="221" width="16.14"/>
    <col collapsed="false" customWidth="true" hidden="false" outlineLevel="0" max="1540" min="1540" style="221" width="23.57"/>
    <col collapsed="false" customWidth="true" hidden="false" outlineLevel="0" max="1541" min="1541" style="221" width="17.29"/>
    <col collapsed="false" customWidth="true" hidden="false" outlineLevel="0" max="1542" min="1542" style="221" width="20.57"/>
    <col collapsed="false" customWidth="true" hidden="false" outlineLevel="0" max="1543" min="1543" style="221" width="17.15"/>
    <col collapsed="false" customWidth="true" hidden="false" outlineLevel="0" max="1544" min="1544" style="221" width="21.85"/>
    <col collapsed="false" customWidth="true" hidden="false" outlineLevel="0" max="1545" min="1545" style="221" width="17.15"/>
    <col collapsed="false" customWidth="true" hidden="false" outlineLevel="0" max="1546" min="1546" style="221" width="18.14"/>
    <col collapsed="false" customWidth="true" hidden="false" outlineLevel="0" max="1547" min="1547" style="221" width="26.42"/>
    <col collapsed="false" customWidth="false" hidden="false" outlineLevel="0" max="1792" min="1548" style="221" width="9.14"/>
    <col collapsed="false" customWidth="true" hidden="false" outlineLevel="0" max="1793" min="1793" style="221" width="8.71"/>
    <col collapsed="false" customWidth="true" hidden="false" outlineLevel="0" max="1794" min="1794" style="221" width="13.29"/>
    <col collapsed="false" customWidth="true" hidden="false" outlineLevel="0" max="1795" min="1795" style="221" width="16.14"/>
    <col collapsed="false" customWidth="true" hidden="false" outlineLevel="0" max="1796" min="1796" style="221" width="23.57"/>
    <col collapsed="false" customWidth="true" hidden="false" outlineLevel="0" max="1797" min="1797" style="221" width="17.29"/>
    <col collapsed="false" customWidth="true" hidden="false" outlineLevel="0" max="1798" min="1798" style="221" width="20.57"/>
    <col collapsed="false" customWidth="true" hidden="false" outlineLevel="0" max="1799" min="1799" style="221" width="17.15"/>
    <col collapsed="false" customWidth="true" hidden="false" outlineLevel="0" max="1800" min="1800" style="221" width="21.85"/>
    <col collapsed="false" customWidth="true" hidden="false" outlineLevel="0" max="1801" min="1801" style="221" width="17.15"/>
    <col collapsed="false" customWidth="true" hidden="false" outlineLevel="0" max="1802" min="1802" style="221" width="18.14"/>
    <col collapsed="false" customWidth="true" hidden="false" outlineLevel="0" max="1803" min="1803" style="221" width="26.42"/>
    <col collapsed="false" customWidth="false" hidden="false" outlineLevel="0" max="2048" min="1804" style="221" width="9.14"/>
    <col collapsed="false" customWidth="true" hidden="false" outlineLevel="0" max="2049" min="2049" style="221" width="8.71"/>
    <col collapsed="false" customWidth="true" hidden="false" outlineLevel="0" max="2050" min="2050" style="221" width="13.29"/>
    <col collapsed="false" customWidth="true" hidden="false" outlineLevel="0" max="2051" min="2051" style="221" width="16.14"/>
    <col collapsed="false" customWidth="true" hidden="false" outlineLevel="0" max="2052" min="2052" style="221" width="23.57"/>
    <col collapsed="false" customWidth="true" hidden="false" outlineLevel="0" max="2053" min="2053" style="221" width="17.29"/>
    <col collapsed="false" customWidth="true" hidden="false" outlineLevel="0" max="2054" min="2054" style="221" width="20.57"/>
    <col collapsed="false" customWidth="true" hidden="false" outlineLevel="0" max="2055" min="2055" style="221" width="17.15"/>
    <col collapsed="false" customWidth="true" hidden="false" outlineLevel="0" max="2056" min="2056" style="221" width="21.85"/>
    <col collapsed="false" customWidth="true" hidden="false" outlineLevel="0" max="2057" min="2057" style="221" width="17.15"/>
    <col collapsed="false" customWidth="true" hidden="false" outlineLevel="0" max="2058" min="2058" style="221" width="18.14"/>
    <col collapsed="false" customWidth="true" hidden="false" outlineLevel="0" max="2059" min="2059" style="221" width="26.42"/>
    <col collapsed="false" customWidth="false" hidden="false" outlineLevel="0" max="2304" min="2060" style="221" width="9.14"/>
    <col collapsed="false" customWidth="true" hidden="false" outlineLevel="0" max="2305" min="2305" style="221" width="8.71"/>
    <col collapsed="false" customWidth="true" hidden="false" outlineLevel="0" max="2306" min="2306" style="221" width="13.29"/>
    <col collapsed="false" customWidth="true" hidden="false" outlineLevel="0" max="2307" min="2307" style="221" width="16.14"/>
    <col collapsed="false" customWidth="true" hidden="false" outlineLevel="0" max="2308" min="2308" style="221" width="23.57"/>
    <col collapsed="false" customWidth="true" hidden="false" outlineLevel="0" max="2309" min="2309" style="221" width="17.29"/>
    <col collapsed="false" customWidth="true" hidden="false" outlineLevel="0" max="2310" min="2310" style="221" width="20.57"/>
    <col collapsed="false" customWidth="true" hidden="false" outlineLevel="0" max="2311" min="2311" style="221" width="17.15"/>
    <col collapsed="false" customWidth="true" hidden="false" outlineLevel="0" max="2312" min="2312" style="221" width="21.85"/>
    <col collapsed="false" customWidth="true" hidden="false" outlineLevel="0" max="2313" min="2313" style="221" width="17.15"/>
    <col collapsed="false" customWidth="true" hidden="false" outlineLevel="0" max="2314" min="2314" style="221" width="18.14"/>
    <col collapsed="false" customWidth="true" hidden="false" outlineLevel="0" max="2315" min="2315" style="221" width="26.42"/>
    <col collapsed="false" customWidth="false" hidden="false" outlineLevel="0" max="2560" min="2316" style="221" width="9.14"/>
    <col collapsed="false" customWidth="true" hidden="false" outlineLevel="0" max="2561" min="2561" style="221" width="8.71"/>
    <col collapsed="false" customWidth="true" hidden="false" outlineLevel="0" max="2562" min="2562" style="221" width="13.29"/>
    <col collapsed="false" customWidth="true" hidden="false" outlineLevel="0" max="2563" min="2563" style="221" width="16.14"/>
    <col collapsed="false" customWidth="true" hidden="false" outlineLevel="0" max="2564" min="2564" style="221" width="23.57"/>
    <col collapsed="false" customWidth="true" hidden="false" outlineLevel="0" max="2565" min="2565" style="221" width="17.29"/>
    <col collapsed="false" customWidth="true" hidden="false" outlineLevel="0" max="2566" min="2566" style="221" width="20.57"/>
    <col collapsed="false" customWidth="true" hidden="false" outlineLevel="0" max="2567" min="2567" style="221" width="17.15"/>
    <col collapsed="false" customWidth="true" hidden="false" outlineLevel="0" max="2568" min="2568" style="221" width="21.85"/>
    <col collapsed="false" customWidth="true" hidden="false" outlineLevel="0" max="2569" min="2569" style="221" width="17.15"/>
    <col collapsed="false" customWidth="true" hidden="false" outlineLevel="0" max="2570" min="2570" style="221" width="18.14"/>
    <col collapsed="false" customWidth="true" hidden="false" outlineLevel="0" max="2571" min="2571" style="221" width="26.42"/>
    <col collapsed="false" customWidth="false" hidden="false" outlineLevel="0" max="2816" min="2572" style="221" width="9.14"/>
    <col collapsed="false" customWidth="true" hidden="false" outlineLevel="0" max="2817" min="2817" style="221" width="8.71"/>
    <col collapsed="false" customWidth="true" hidden="false" outlineLevel="0" max="2818" min="2818" style="221" width="13.29"/>
    <col collapsed="false" customWidth="true" hidden="false" outlineLevel="0" max="2819" min="2819" style="221" width="16.14"/>
    <col collapsed="false" customWidth="true" hidden="false" outlineLevel="0" max="2820" min="2820" style="221" width="23.57"/>
    <col collapsed="false" customWidth="true" hidden="false" outlineLevel="0" max="2821" min="2821" style="221" width="17.29"/>
    <col collapsed="false" customWidth="true" hidden="false" outlineLevel="0" max="2822" min="2822" style="221" width="20.57"/>
    <col collapsed="false" customWidth="true" hidden="false" outlineLevel="0" max="2823" min="2823" style="221" width="17.15"/>
    <col collapsed="false" customWidth="true" hidden="false" outlineLevel="0" max="2824" min="2824" style="221" width="21.85"/>
    <col collapsed="false" customWidth="true" hidden="false" outlineLevel="0" max="2825" min="2825" style="221" width="17.15"/>
    <col collapsed="false" customWidth="true" hidden="false" outlineLevel="0" max="2826" min="2826" style="221" width="18.14"/>
    <col collapsed="false" customWidth="true" hidden="false" outlineLevel="0" max="2827" min="2827" style="221" width="26.42"/>
    <col collapsed="false" customWidth="false" hidden="false" outlineLevel="0" max="3072" min="2828" style="221" width="9.14"/>
    <col collapsed="false" customWidth="true" hidden="false" outlineLevel="0" max="3073" min="3073" style="221" width="8.71"/>
    <col collapsed="false" customWidth="true" hidden="false" outlineLevel="0" max="3074" min="3074" style="221" width="13.29"/>
    <col collapsed="false" customWidth="true" hidden="false" outlineLevel="0" max="3075" min="3075" style="221" width="16.14"/>
    <col collapsed="false" customWidth="true" hidden="false" outlineLevel="0" max="3076" min="3076" style="221" width="23.57"/>
    <col collapsed="false" customWidth="true" hidden="false" outlineLevel="0" max="3077" min="3077" style="221" width="17.29"/>
    <col collapsed="false" customWidth="true" hidden="false" outlineLevel="0" max="3078" min="3078" style="221" width="20.57"/>
    <col collapsed="false" customWidth="true" hidden="false" outlineLevel="0" max="3079" min="3079" style="221" width="17.15"/>
    <col collapsed="false" customWidth="true" hidden="false" outlineLevel="0" max="3080" min="3080" style="221" width="21.85"/>
    <col collapsed="false" customWidth="true" hidden="false" outlineLevel="0" max="3081" min="3081" style="221" width="17.15"/>
    <col collapsed="false" customWidth="true" hidden="false" outlineLevel="0" max="3082" min="3082" style="221" width="18.14"/>
    <col collapsed="false" customWidth="true" hidden="false" outlineLevel="0" max="3083" min="3083" style="221" width="26.42"/>
    <col collapsed="false" customWidth="false" hidden="false" outlineLevel="0" max="3328" min="3084" style="221" width="9.14"/>
    <col collapsed="false" customWidth="true" hidden="false" outlineLevel="0" max="3329" min="3329" style="221" width="8.71"/>
    <col collapsed="false" customWidth="true" hidden="false" outlineLevel="0" max="3330" min="3330" style="221" width="13.29"/>
    <col collapsed="false" customWidth="true" hidden="false" outlineLevel="0" max="3331" min="3331" style="221" width="16.14"/>
    <col collapsed="false" customWidth="true" hidden="false" outlineLevel="0" max="3332" min="3332" style="221" width="23.57"/>
    <col collapsed="false" customWidth="true" hidden="false" outlineLevel="0" max="3333" min="3333" style="221" width="17.29"/>
    <col collapsed="false" customWidth="true" hidden="false" outlineLevel="0" max="3334" min="3334" style="221" width="20.57"/>
    <col collapsed="false" customWidth="true" hidden="false" outlineLevel="0" max="3335" min="3335" style="221" width="17.15"/>
    <col collapsed="false" customWidth="true" hidden="false" outlineLevel="0" max="3336" min="3336" style="221" width="21.85"/>
    <col collapsed="false" customWidth="true" hidden="false" outlineLevel="0" max="3337" min="3337" style="221" width="17.15"/>
    <col collapsed="false" customWidth="true" hidden="false" outlineLevel="0" max="3338" min="3338" style="221" width="18.14"/>
    <col collapsed="false" customWidth="true" hidden="false" outlineLevel="0" max="3339" min="3339" style="221" width="26.42"/>
    <col collapsed="false" customWidth="false" hidden="false" outlineLevel="0" max="3584" min="3340" style="221" width="9.14"/>
    <col collapsed="false" customWidth="true" hidden="false" outlineLevel="0" max="3585" min="3585" style="221" width="8.71"/>
    <col collapsed="false" customWidth="true" hidden="false" outlineLevel="0" max="3586" min="3586" style="221" width="13.29"/>
    <col collapsed="false" customWidth="true" hidden="false" outlineLevel="0" max="3587" min="3587" style="221" width="16.14"/>
    <col collapsed="false" customWidth="true" hidden="false" outlineLevel="0" max="3588" min="3588" style="221" width="23.57"/>
    <col collapsed="false" customWidth="true" hidden="false" outlineLevel="0" max="3589" min="3589" style="221" width="17.29"/>
    <col collapsed="false" customWidth="true" hidden="false" outlineLevel="0" max="3590" min="3590" style="221" width="20.57"/>
    <col collapsed="false" customWidth="true" hidden="false" outlineLevel="0" max="3591" min="3591" style="221" width="17.15"/>
    <col collapsed="false" customWidth="true" hidden="false" outlineLevel="0" max="3592" min="3592" style="221" width="21.85"/>
    <col collapsed="false" customWidth="true" hidden="false" outlineLevel="0" max="3593" min="3593" style="221" width="17.15"/>
    <col collapsed="false" customWidth="true" hidden="false" outlineLevel="0" max="3594" min="3594" style="221" width="18.14"/>
    <col collapsed="false" customWidth="true" hidden="false" outlineLevel="0" max="3595" min="3595" style="221" width="26.42"/>
    <col collapsed="false" customWidth="false" hidden="false" outlineLevel="0" max="3840" min="3596" style="221" width="9.14"/>
    <col collapsed="false" customWidth="true" hidden="false" outlineLevel="0" max="3841" min="3841" style="221" width="8.71"/>
    <col collapsed="false" customWidth="true" hidden="false" outlineLevel="0" max="3842" min="3842" style="221" width="13.29"/>
    <col collapsed="false" customWidth="true" hidden="false" outlineLevel="0" max="3843" min="3843" style="221" width="16.14"/>
    <col collapsed="false" customWidth="true" hidden="false" outlineLevel="0" max="3844" min="3844" style="221" width="23.57"/>
    <col collapsed="false" customWidth="true" hidden="false" outlineLevel="0" max="3845" min="3845" style="221" width="17.29"/>
    <col collapsed="false" customWidth="true" hidden="false" outlineLevel="0" max="3846" min="3846" style="221" width="20.57"/>
    <col collapsed="false" customWidth="true" hidden="false" outlineLevel="0" max="3847" min="3847" style="221" width="17.15"/>
    <col collapsed="false" customWidth="true" hidden="false" outlineLevel="0" max="3848" min="3848" style="221" width="21.85"/>
    <col collapsed="false" customWidth="true" hidden="false" outlineLevel="0" max="3849" min="3849" style="221" width="17.15"/>
    <col collapsed="false" customWidth="true" hidden="false" outlineLevel="0" max="3850" min="3850" style="221" width="18.14"/>
    <col collapsed="false" customWidth="true" hidden="false" outlineLevel="0" max="3851" min="3851" style="221" width="26.42"/>
    <col collapsed="false" customWidth="false" hidden="false" outlineLevel="0" max="4096" min="3852" style="221" width="9.14"/>
    <col collapsed="false" customWidth="true" hidden="false" outlineLevel="0" max="4097" min="4097" style="221" width="8.71"/>
    <col collapsed="false" customWidth="true" hidden="false" outlineLevel="0" max="4098" min="4098" style="221" width="13.29"/>
    <col collapsed="false" customWidth="true" hidden="false" outlineLevel="0" max="4099" min="4099" style="221" width="16.14"/>
    <col collapsed="false" customWidth="true" hidden="false" outlineLevel="0" max="4100" min="4100" style="221" width="23.57"/>
    <col collapsed="false" customWidth="true" hidden="false" outlineLevel="0" max="4101" min="4101" style="221" width="17.29"/>
    <col collapsed="false" customWidth="true" hidden="false" outlineLevel="0" max="4102" min="4102" style="221" width="20.57"/>
    <col collapsed="false" customWidth="true" hidden="false" outlineLevel="0" max="4103" min="4103" style="221" width="17.15"/>
    <col collapsed="false" customWidth="true" hidden="false" outlineLevel="0" max="4104" min="4104" style="221" width="21.85"/>
    <col collapsed="false" customWidth="true" hidden="false" outlineLevel="0" max="4105" min="4105" style="221" width="17.15"/>
    <col collapsed="false" customWidth="true" hidden="false" outlineLevel="0" max="4106" min="4106" style="221" width="18.14"/>
    <col collapsed="false" customWidth="true" hidden="false" outlineLevel="0" max="4107" min="4107" style="221" width="26.42"/>
    <col collapsed="false" customWidth="false" hidden="false" outlineLevel="0" max="4352" min="4108" style="221" width="9.14"/>
    <col collapsed="false" customWidth="true" hidden="false" outlineLevel="0" max="4353" min="4353" style="221" width="8.71"/>
    <col collapsed="false" customWidth="true" hidden="false" outlineLevel="0" max="4354" min="4354" style="221" width="13.29"/>
    <col collapsed="false" customWidth="true" hidden="false" outlineLevel="0" max="4355" min="4355" style="221" width="16.14"/>
    <col collapsed="false" customWidth="true" hidden="false" outlineLevel="0" max="4356" min="4356" style="221" width="23.57"/>
    <col collapsed="false" customWidth="true" hidden="false" outlineLevel="0" max="4357" min="4357" style="221" width="17.29"/>
    <col collapsed="false" customWidth="true" hidden="false" outlineLevel="0" max="4358" min="4358" style="221" width="20.57"/>
    <col collapsed="false" customWidth="true" hidden="false" outlineLevel="0" max="4359" min="4359" style="221" width="17.15"/>
    <col collapsed="false" customWidth="true" hidden="false" outlineLevel="0" max="4360" min="4360" style="221" width="21.85"/>
    <col collapsed="false" customWidth="true" hidden="false" outlineLevel="0" max="4361" min="4361" style="221" width="17.15"/>
    <col collapsed="false" customWidth="true" hidden="false" outlineLevel="0" max="4362" min="4362" style="221" width="18.14"/>
    <col collapsed="false" customWidth="true" hidden="false" outlineLevel="0" max="4363" min="4363" style="221" width="26.42"/>
    <col collapsed="false" customWidth="false" hidden="false" outlineLevel="0" max="4608" min="4364" style="221" width="9.14"/>
    <col collapsed="false" customWidth="true" hidden="false" outlineLevel="0" max="4609" min="4609" style="221" width="8.71"/>
    <col collapsed="false" customWidth="true" hidden="false" outlineLevel="0" max="4610" min="4610" style="221" width="13.29"/>
    <col collapsed="false" customWidth="true" hidden="false" outlineLevel="0" max="4611" min="4611" style="221" width="16.14"/>
    <col collapsed="false" customWidth="true" hidden="false" outlineLevel="0" max="4612" min="4612" style="221" width="23.57"/>
    <col collapsed="false" customWidth="true" hidden="false" outlineLevel="0" max="4613" min="4613" style="221" width="17.29"/>
    <col collapsed="false" customWidth="true" hidden="false" outlineLevel="0" max="4614" min="4614" style="221" width="20.57"/>
    <col collapsed="false" customWidth="true" hidden="false" outlineLevel="0" max="4615" min="4615" style="221" width="17.15"/>
    <col collapsed="false" customWidth="true" hidden="false" outlineLevel="0" max="4616" min="4616" style="221" width="21.85"/>
    <col collapsed="false" customWidth="true" hidden="false" outlineLevel="0" max="4617" min="4617" style="221" width="17.15"/>
    <col collapsed="false" customWidth="true" hidden="false" outlineLevel="0" max="4618" min="4618" style="221" width="18.14"/>
    <col collapsed="false" customWidth="true" hidden="false" outlineLevel="0" max="4619" min="4619" style="221" width="26.42"/>
    <col collapsed="false" customWidth="false" hidden="false" outlineLevel="0" max="4864" min="4620" style="221" width="9.14"/>
    <col collapsed="false" customWidth="true" hidden="false" outlineLevel="0" max="4865" min="4865" style="221" width="8.71"/>
    <col collapsed="false" customWidth="true" hidden="false" outlineLevel="0" max="4866" min="4866" style="221" width="13.29"/>
    <col collapsed="false" customWidth="true" hidden="false" outlineLevel="0" max="4867" min="4867" style="221" width="16.14"/>
    <col collapsed="false" customWidth="true" hidden="false" outlineLevel="0" max="4868" min="4868" style="221" width="23.57"/>
    <col collapsed="false" customWidth="true" hidden="false" outlineLevel="0" max="4869" min="4869" style="221" width="17.29"/>
    <col collapsed="false" customWidth="true" hidden="false" outlineLevel="0" max="4870" min="4870" style="221" width="20.57"/>
    <col collapsed="false" customWidth="true" hidden="false" outlineLevel="0" max="4871" min="4871" style="221" width="17.15"/>
    <col collapsed="false" customWidth="true" hidden="false" outlineLevel="0" max="4872" min="4872" style="221" width="21.85"/>
    <col collapsed="false" customWidth="true" hidden="false" outlineLevel="0" max="4873" min="4873" style="221" width="17.15"/>
    <col collapsed="false" customWidth="true" hidden="false" outlineLevel="0" max="4874" min="4874" style="221" width="18.14"/>
    <col collapsed="false" customWidth="true" hidden="false" outlineLevel="0" max="4875" min="4875" style="221" width="26.42"/>
    <col collapsed="false" customWidth="false" hidden="false" outlineLevel="0" max="5120" min="4876" style="221" width="9.14"/>
    <col collapsed="false" customWidth="true" hidden="false" outlineLevel="0" max="5121" min="5121" style="221" width="8.71"/>
    <col collapsed="false" customWidth="true" hidden="false" outlineLevel="0" max="5122" min="5122" style="221" width="13.29"/>
    <col collapsed="false" customWidth="true" hidden="false" outlineLevel="0" max="5123" min="5123" style="221" width="16.14"/>
    <col collapsed="false" customWidth="true" hidden="false" outlineLevel="0" max="5124" min="5124" style="221" width="23.57"/>
    <col collapsed="false" customWidth="true" hidden="false" outlineLevel="0" max="5125" min="5125" style="221" width="17.29"/>
    <col collapsed="false" customWidth="true" hidden="false" outlineLevel="0" max="5126" min="5126" style="221" width="20.57"/>
    <col collapsed="false" customWidth="true" hidden="false" outlineLevel="0" max="5127" min="5127" style="221" width="17.15"/>
    <col collapsed="false" customWidth="true" hidden="false" outlineLevel="0" max="5128" min="5128" style="221" width="21.85"/>
    <col collapsed="false" customWidth="true" hidden="false" outlineLevel="0" max="5129" min="5129" style="221" width="17.15"/>
    <col collapsed="false" customWidth="true" hidden="false" outlineLevel="0" max="5130" min="5130" style="221" width="18.14"/>
    <col collapsed="false" customWidth="true" hidden="false" outlineLevel="0" max="5131" min="5131" style="221" width="26.42"/>
    <col collapsed="false" customWidth="false" hidden="false" outlineLevel="0" max="5376" min="5132" style="221" width="9.14"/>
    <col collapsed="false" customWidth="true" hidden="false" outlineLevel="0" max="5377" min="5377" style="221" width="8.71"/>
    <col collapsed="false" customWidth="true" hidden="false" outlineLevel="0" max="5378" min="5378" style="221" width="13.29"/>
    <col collapsed="false" customWidth="true" hidden="false" outlineLevel="0" max="5379" min="5379" style="221" width="16.14"/>
    <col collapsed="false" customWidth="true" hidden="false" outlineLevel="0" max="5380" min="5380" style="221" width="23.57"/>
    <col collapsed="false" customWidth="true" hidden="false" outlineLevel="0" max="5381" min="5381" style="221" width="17.29"/>
    <col collapsed="false" customWidth="true" hidden="false" outlineLevel="0" max="5382" min="5382" style="221" width="20.57"/>
    <col collapsed="false" customWidth="true" hidden="false" outlineLevel="0" max="5383" min="5383" style="221" width="17.15"/>
    <col collapsed="false" customWidth="true" hidden="false" outlineLevel="0" max="5384" min="5384" style="221" width="21.85"/>
    <col collapsed="false" customWidth="true" hidden="false" outlineLevel="0" max="5385" min="5385" style="221" width="17.15"/>
    <col collapsed="false" customWidth="true" hidden="false" outlineLevel="0" max="5386" min="5386" style="221" width="18.14"/>
    <col collapsed="false" customWidth="true" hidden="false" outlineLevel="0" max="5387" min="5387" style="221" width="26.42"/>
    <col collapsed="false" customWidth="false" hidden="false" outlineLevel="0" max="5632" min="5388" style="221" width="9.14"/>
    <col collapsed="false" customWidth="true" hidden="false" outlineLevel="0" max="5633" min="5633" style="221" width="8.71"/>
    <col collapsed="false" customWidth="true" hidden="false" outlineLevel="0" max="5634" min="5634" style="221" width="13.29"/>
    <col collapsed="false" customWidth="true" hidden="false" outlineLevel="0" max="5635" min="5635" style="221" width="16.14"/>
    <col collapsed="false" customWidth="true" hidden="false" outlineLevel="0" max="5636" min="5636" style="221" width="23.57"/>
    <col collapsed="false" customWidth="true" hidden="false" outlineLevel="0" max="5637" min="5637" style="221" width="17.29"/>
    <col collapsed="false" customWidth="true" hidden="false" outlineLevel="0" max="5638" min="5638" style="221" width="20.57"/>
    <col collapsed="false" customWidth="true" hidden="false" outlineLevel="0" max="5639" min="5639" style="221" width="17.15"/>
    <col collapsed="false" customWidth="true" hidden="false" outlineLevel="0" max="5640" min="5640" style="221" width="21.85"/>
    <col collapsed="false" customWidth="true" hidden="false" outlineLevel="0" max="5641" min="5641" style="221" width="17.15"/>
    <col collapsed="false" customWidth="true" hidden="false" outlineLevel="0" max="5642" min="5642" style="221" width="18.14"/>
    <col collapsed="false" customWidth="true" hidden="false" outlineLevel="0" max="5643" min="5643" style="221" width="26.42"/>
    <col collapsed="false" customWidth="false" hidden="false" outlineLevel="0" max="5888" min="5644" style="221" width="9.14"/>
    <col collapsed="false" customWidth="true" hidden="false" outlineLevel="0" max="5889" min="5889" style="221" width="8.71"/>
    <col collapsed="false" customWidth="true" hidden="false" outlineLevel="0" max="5890" min="5890" style="221" width="13.29"/>
    <col collapsed="false" customWidth="true" hidden="false" outlineLevel="0" max="5891" min="5891" style="221" width="16.14"/>
    <col collapsed="false" customWidth="true" hidden="false" outlineLevel="0" max="5892" min="5892" style="221" width="23.57"/>
    <col collapsed="false" customWidth="true" hidden="false" outlineLevel="0" max="5893" min="5893" style="221" width="17.29"/>
    <col collapsed="false" customWidth="true" hidden="false" outlineLevel="0" max="5894" min="5894" style="221" width="20.57"/>
    <col collapsed="false" customWidth="true" hidden="false" outlineLevel="0" max="5895" min="5895" style="221" width="17.15"/>
    <col collapsed="false" customWidth="true" hidden="false" outlineLevel="0" max="5896" min="5896" style="221" width="21.85"/>
    <col collapsed="false" customWidth="true" hidden="false" outlineLevel="0" max="5897" min="5897" style="221" width="17.15"/>
    <col collapsed="false" customWidth="true" hidden="false" outlineLevel="0" max="5898" min="5898" style="221" width="18.14"/>
    <col collapsed="false" customWidth="true" hidden="false" outlineLevel="0" max="5899" min="5899" style="221" width="26.42"/>
    <col collapsed="false" customWidth="false" hidden="false" outlineLevel="0" max="6144" min="5900" style="221" width="9.14"/>
    <col collapsed="false" customWidth="true" hidden="false" outlineLevel="0" max="6145" min="6145" style="221" width="8.71"/>
    <col collapsed="false" customWidth="true" hidden="false" outlineLevel="0" max="6146" min="6146" style="221" width="13.29"/>
    <col collapsed="false" customWidth="true" hidden="false" outlineLevel="0" max="6147" min="6147" style="221" width="16.14"/>
    <col collapsed="false" customWidth="true" hidden="false" outlineLevel="0" max="6148" min="6148" style="221" width="23.57"/>
    <col collapsed="false" customWidth="true" hidden="false" outlineLevel="0" max="6149" min="6149" style="221" width="17.29"/>
    <col collapsed="false" customWidth="true" hidden="false" outlineLevel="0" max="6150" min="6150" style="221" width="20.57"/>
    <col collapsed="false" customWidth="true" hidden="false" outlineLevel="0" max="6151" min="6151" style="221" width="17.15"/>
    <col collapsed="false" customWidth="true" hidden="false" outlineLevel="0" max="6152" min="6152" style="221" width="21.85"/>
    <col collapsed="false" customWidth="true" hidden="false" outlineLevel="0" max="6153" min="6153" style="221" width="17.15"/>
    <col collapsed="false" customWidth="true" hidden="false" outlineLevel="0" max="6154" min="6154" style="221" width="18.14"/>
    <col collapsed="false" customWidth="true" hidden="false" outlineLevel="0" max="6155" min="6155" style="221" width="26.42"/>
    <col collapsed="false" customWidth="false" hidden="false" outlineLevel="0" max="6400" min="6156" style="221" width="9.14"/>
    <col collapsed="false" customWidth="true" hidden="false" outlineLevel="0" max="6401" min="6401" style="221" width="8.71"/>
    <col collapsed="false" customWidth="true" hidden="false" outlineLevel="0" max="6402" min="6402" style="221" width="13.29"/>
    <col collapsed="false" customWidth="true" hidden="false" outlineLevel="0" max="6403" min="6403" style="221" width="16.14"/>
    <col collapsed="false" customWidth="true" hidden="false" outlineLevel="0" max="6404" min="6404" style="221" width="23.57"/>
    <col collapsed="false" customWidth="true" hidden="false" outlineLevel="0" max="6405" min="6405" style="221" width="17.29"/>
    <col collapsed="false" customWidth="true" hidden="false" outlineLevel="0" max="6406" min="6406" style="221" width="20.57"/>
    <col collapsed="false" customWidth="true" hidden="false" outlineLevel="0" max="6407" min="6407" style="221" width="17.15"/>
    <col collapsed="false" customWidth="true" hidden="false" outlineLevel="0" max="6408" min="6408" style="221" width="21.85"/>
    <col collapsed="false" customWidth="true" hidden="false" outlineLevel="0" max="6409" min="6409" style="221" width="17.15"/>
    <col collapsed="false" customWidth="true" hidden="false" outlineLevel="0" max="6410" min="6410" style="221" width="18.14"/>
    <col collapsed="false" customWidth="true" hidden="false" outlineLevel="0" max="6411" min="6411" style="221" width="26.42"/>
    <col collapsed="false" customWidth="false" hidden="false" outlineLevel="0" max="6656" min="6412" style="221" width="9.14"/>
    <col collapsed="false" customWidth="true" hidden="false" outlineLevel="0" max="6657" min="6657" style="221" width="8.71"/>
    <col collapsed="false" customWidth="true" hidden="false" outlineLevel="0" max="6658" min="6658" style="221" width="13.29"/>
    <col collapsed="false" customWidth="true" hidden="false" outlineLevel="0" max="6659" min="6659" style="221" width="16.14"/>
    <col collapsed="false" customWidth="true" hidden="false" outlineLevel="0" max="6660" min="6660" style="221" width="23.57"/>
    <col collapsed="false" customWidth="true" hidden="false" outlineLevel="0" max="6661" min="6661" style="221" width="17.29"/>
    <col collapsed="false" customWidth="true" hidden="false" outlineLevel="0" max="6662" min="6662" style="221" width="20.57"/>
    <col collapsed="false" customWidth="true" hidden="false" outlineLevel="0" max="6663" min="6663" style="221" width="17.15"/>
    <col collapsed="false" customWidth="true" hidden="false" outlineLevel="0" max="6664" min="6664" style="221" width="21.85"/>
    <col collapsed="false" customWidth="true" hidden="false" outlineLevel="0" max="6665" min="6665" style="221" width="17.15"/>
    <col collapsed="false" customWidth="true" hidden="false" outlineLevel="0" max="6666" min="6666" style="221" width="18.14"/>
    <col collapsed="false" customWidth="true" hidden="false" outlineLevel="0" max="6667" min="6667" style="221" width="26.42"/>
    <col collapsed="false" customWidth="false" hidden="false" outlineLevel="0" max="6912" min="6668" style="221" width="9.14"/>
    <col collapsed="false" customWidth="true" hidden="false" outlineLevel="0" max="6913" min="6913" style="221" width="8.71"/>
    <col collapsed="false" customWidth="true" hidden="false" outlineLevel="0" max="6914" min="6914" style="221" width="13.29"/>
    <col collapsed="false" customWidth="true" hidden="false" outlineLevel="0" max="6915" min="6915" style="221" width="16.14"/>
    <col collapsed="false" customWidth="true" hidden="false" outlineLevel="0" max="6916" min="6916" style="221" width="23.57"/>
    <col collapsed="false" customWidth="true" hidden="false" outlineLevel="0" max="6917" min="6917" style="221" width="17.29"/>
    <col collapsed="false" customWidth="true" hidden="false" outlineLevel="0" max="6918" min="6918" style="221" width="20.57"/>
    <col collapsed="false" customWidth="true" hidden="false" outlineLevel="0" max="6919" min="6919" style="221" width="17.15"/>
    <col collapsed="false" customWidth="true" hidden="false" outlineLevel="0" max="6920" min="6920" style="221" width="21.85"/>
    <col collapsed="false" customWidth="true" hidden="false" outlineLevel="0" max="6921" min="6921" style="221" width="17.15"/>
    <col collapsed="false" customWidth="true" hidden="false" outlineLevel="0" max="6922" min="6922" style="221" width="18.14"/>
    <col collapsed="false" customWidth="true" hidden="false" outlineLevel="0" max="6923" min="6923" style="221" width="26.42"/>
    <col collapsed="false" customWidth="false" hidden="false" outlineLevel="0" max="7168" min="6924" style="221" width="9.14"/>
    <col collapsed="false" customWidth="true" hidden="false" outlineLevel="0" max="7169" min="7169" style="221" width="8.71"/>
    <col collapsed="false" customWidth="true" hidden="false" outlineLevel="0" max="7170" min="7170" style="221" width="13.29"/>
    <col collapsed="false" customWidth="true" hidden="false" outlineLevel="0" max="7171" min="7171" style="221" width="16.14"/>
    <col collapsed="false" customWidth="true" hidden="false" outlineLevel="0" max="7172" min="7172" style="221" width="23.57"/>
    <col collapsed="false" customWidth="true" hidden="false" outlineLevel="0" max="7173" min="7173" style="221" width="17.29"/>
    <col collapsed="false" customWidth="true" hidden="false" outlineLevel="0" max="7174" min="7174" style="221" width="20.57"/>
    <col collapsed="false" customWidth="true" hidden="false" outlineLevel="0" max="7175" min="7175" style="221" width="17.15"/>
    <col collapsed="false" customWidth="true" hidden="false" outlineLevel="0" max="7176" min="7176" style="221" width="21.85"/>
    <col collapsed="false" customWidth="true" hidden="false" outlineLevel="0" max="7177" min="7177" style="221" width="17.15"/>
    <col collapsed="false" customWidth="true" hidden="false" outlineLevel="0" max="7178" min="7178" style="221" width="18.14"/>
    <col collapsed="false" customWidth="true" hidden="false" outlineLevel="0" max="7179" min="7179" style="221" width="26.42"/>
    <col collapsed="false" customWidth="false" hidden="false" outlineLevel="0" max="7424" min="7180" style="221" width="9.14"/>
    <col collapsed="false" customWidth="true" hidden="false" outlineLevel="0" max="7425" min="7425" style="221" width="8.71"/>
    <col collapsed="false" customWidth="true" hidden="false" outlineLevel="0" max="7426" min="7426" style="221" width="13.29"/>
    <col collapsed="false" customWidth="true" hidden="false" outlineLevel="0" max="7427" min="7427" style="221" width="16.14"/>
    <col collapsed="false" customWidth="true" hidden="false" outlineLevel="0" max="7428" min="7428" style="221" width="23.57"/>
    <col collapsed="false" customWidth="true" hidden="false" outlineLevel="0" max="7429" min="7429" style="221" width="17.29"/>
    <col collapsed="false" customWidth="true" hidden="false" outlineLevel="0" max="7430" min="7430" style="221" width="20.57"/>
    <col collapsed="false" customWidth="true" hidden="false" outlineLevel="0" max="7431" min="7431" style="221" width="17.15"/>
    <col collapsed="false" customWidth="true" hidden="false" outlineLevel="0" max="7432" min="7432" style="221" width="21.85"/>
    <col collapsed="false" customWidth="true" hidden="false" outlineLevel="0" max="7433" min="7433" style="221" width="17.15"/>
    <col collapsed="false" customWidth="true" hidden="false" outlineLevel="0" max="7434" min="7434" style="221" width="18.14"/>
    <col collapsed="false" customWidth="true" hidden="false" outlineLevel="0" max="7435" min="7435" style="221" width="26.42"/>
    <col collapsed="false" customWidth="false" hidden="false" outlineLevel="0" max="7680" min="7436" style="221" width="9.14"/>
    <col collapsed="false" customWidth="true" hidden="false" outlineLevel="0" max="7681" min="7681" style="221" width="8.71"/>
    <col collapsed="false" customWidth="true" hidden="false" outlineLevel="0" max="7682" min="7682" style="221" width="13.29"/>
    <col collapsed="false" customWidth="true" hidden="false" outlineLevel="0" max="7683" min="7683" style="221" width="16.14"/>
    <col collapsed="false" customWidth="true" hidden="false" outlineLevel="0" max="7684" min="7684" style="221" width="23.57"/>
    <col collapsed="false" customWidth="true" hidden="false" outlineLevel="0" max="7685" min="7685" style="221" width="17.29"/>
    <col collapsed="false" customWidth="true" hidden="false" outlineLevel="0" max="7686" min="7686" style="221" width="20.57"/>
    <col collapsed="false" customWidth="true" hidden="false" outlineLevel="0" max="7687" min="7687" style="221" width="17.15"/>
    <col collapsed="false" customWidth="true" hidden="false" outlineLevel="0" max="7688" min="7688" style="221" width="21.85"/>
    <col collapsed="false" customWidth="true" hidden="false" outlineLevel="0" max="7689" min="7689" style="221" width="17.15"/>
    <col collapsed="false" customWidth="true" hidden="false" outlineLevel="0" max="7690" min="7690" style="221" width="18.14"/>
    <col collapsed="false" customWidth="true" hidden="false" outlineLevel="0" max="7691" min="7691" style="221" width="26.42"/>
    <col collapsed="false" customWidth="false" hidden="false" outlineLevel="0" max="7936" min="7692" style="221" width="9.14"/>
    <col collapsed="false" customWidth="true" hidden="false" outlineLevel="0" max="7937" min="7937" style="221" width="8.71"/>
    <col collapsed="false" customWidth="true" hidden="false" outlineLevel="0" max="7938" min="7938" style="221" width="13.29"/>
    <col collapsed="false" customWidth="true" hidden="false" outlineLevel="0" max="7939" min="7939" style="221" width="16.14"/>
    <col collapsed="false" customWidth="true" hidden="false" outlineLevel="0" max="7940" min="7940" style="221" width="23.57"/>
    <col collapsed="false" customWidth="true" hidden="false" outlineLevel="0" max="7941" min="7941" style="221" width="17.29"/>
    <col collapsed="false" customWidth="true" hidden="false" outlineLevel="0" max="7942" min="7942" style="221" width="20.57"/>
    <col collapsed="false" customWidth="true" hidden="false" outlineLevel="0" max="7943" min="7943" style="221" width="17.15"/>
    <col collapsed="false" customWidth="true" hidden="false" outlineLevel="0" max="7944" min="7944" style="221" width="21.85"/>
    <col collapsed="false" customWidth="true" hidden="false" outlineLevel="0" max="7945" min="7945" style="221" width="17.15"/>
    <col collapsed="false" customWidth="true" hidden="false" outlineLevel="0" max="7946" min="7946" style="221" width="18.14"/>
    <col collapsed="false" customWidth="true" hidden="false" outlineLevel="0" max="7947" min="7947" style="221" width="26.42"/>
    <col collapsed="false" customWidth="false" hidden="false" outlineLevel="0" max="8192" min="7948" style="221" width="9.14"/>
    <col collapsed="false" customWidth="true" hidden="false" outlineLevel="0" max="8193" min="8193" style="221" width="8.71"/>
    <col collapsed="false" customWidth="true" hidden="false" outlineLevel="0" max="8194" min="8194" style="221" width="13.29"/>
    <col collapsed="false" customWidth="true" hidden="false" outlineLevel="0" max="8195" min="8195" style="221" width="16.14"/>
    <col collapsed="false" customWidth="true" hidden="false" outlineLevel="0" max="8196" min="8196" style="221" width="23.57"/>
    <col collapsed="false" customWidth="true" hidden="false" outlineLevel="0" max="8197" min="8197" style="221" width="17.29"/>
    <col collapsed="false" customWidth="true" hidden="false" outlineLevel="0" max="8198" min="8198" style="221" width="20.57"/>
    <col collapsed="false" customWidth="true" hidden="false" outlineLevel="0" max="8199" min="8199" style="221" width="17.15"/>
    <col collapsed="false" customWidth="true" hidden="false" outlineLevel="0" max="8200" min="8200" style="221" width="21.85"/>
    <col collapsed="false" customWidth="true" hidden="false" outlineLevel="0" max="8201" min="8201" style="221" width="17.15"/>
    <col collapsed="false" customWidth="true" hidden="false" outlineLevel="0" max="8202" min="8202" style="221" width="18.14"/>
    <col collapsed="false" customWidth="true" hidden="false" outlineLevel="0" max="8203" min="8203" style="221" width="26.42"/>
    <col collapsed="false" customWidth="false" hidden="false" outlineLevel="0" max="8448" min="8204" style="221" width="9.14"/>
    <col collapsed="false" customWidth="true" hidden="false" outlineLevel="0" max="8449" min="8449" style="221" width="8.71"/>
    <col collapsed="false" customWidth="true" hidden="false" outlineLevel="0" max="8450" min="8450" style="221" width="13.29"/>
    <col collapsed="false" customWidth="true" hidden="false" outlineLevel="0" max="8451" min="8451" style="221" width="16.14"/>
    <col collapsed="false" customWidth="true" hidden="false" outlineLevel="0" max="8452" min="8452" style="221" width="23.57"/>
    <col collapsed="false" customWidth="true" hidden="false" outlineLevel="0" max="8453" min="8453" style="221" width="17.29"/>
    <col collapsed="false" customWidth="true" hidden="false" outlineLevel="0" max="8454" min="8454" style="221" width="20.57"/>
    <col collapsed="false" customWidth="true" hidden="false" outlineLevel="0" max="8455" min="8455" style="221" width="17.15"/>
    <col collapsed="false" customWidth="true" hidden="false" outlineLevel="0" max="8456" min="8456" style="221" width="21.85"/>
    <col collapsed="false" customWidth="true" hidden="false" outlineLevel="0" max="8457" min="8457" style="221" width="17.15"/>
    <col collapsed="false" customWidth="true" hidden="false" outlineLevel="0" max="8458" min="8458" style="221" width="18.14"/>
    <col collapsed="false" customWidth="true" hidden="false" outlineLevel="0" max="8459" min="8459" style="221" width="26.42"/>
    <col collapsed="false" customWidth="false" hidden="false" outlineLevel="0" max="8704" min="8460" style="221" width="9.14"/>
    <col collapsed="false" customWidth="true" hidden="false" outlineLevel="0" max="8705" min="8705" style="221" width="8.71"/>
    <col collapsed="false" customWidth="true" hidden="false" outlineLevel="0" max="8706" min="8706" style="221" width="13.29"/>
    <col collapsed="false" customWidth="true" hidden="false" outlineLevel="0" max="8707" min="8707" style="221" width="16.14"/>
    <col collapsed="false" customWidth="true" hidden="false" outlineLevel="0" max="8708" min="8708" style="221" width="23.57"/>
    <col collapsed="false" customWidth="true" hidden="false" outlineLevel="0" max="8709" min="8709" style="221" width="17.29"/>
    <col collapsed="false" customWidth="true" hidden="false" outlineLevel="0" max="8710" min="8710" style="221" width="20.57"/>
    <col collapsed="false" customWidth="true" hidden="false" outlineLevel="0" max="8711" min="8711" style="221" width="17.15"/>
    <col collapsed="false" customWidth="true" hidden="false" outlineLevel="0" max="8712" min="8712" style="221" width="21.85"/>
    <col collapsed="false" customWidth="true" hidden="false" outlineLevel="0" max="8713" min="8713" style="221" width="17.15"/>
    <col collapsed="false" customWidth="true" hidden="false" outlineLevel="0" max="8714" min="8714" style="221" width="18.14"/>
    <col collapsed="false" customWidth="true" hidden="false" outlineLevel="0" max="8715" min="8715" style="221" width="26.42"/>
    <col collapsed="false" customWidth="false" hidden="false" outlineLevel="0" max="8960" min="8716" style="221" width="9.14"/>
    <col collapsed="false" customWidth="true" hidden="false" outlineLevel="0" max="8961" min="8961" style="221" width="8.71"/>
    <col collapsed="false" customWidth="true" hidden="false" outlineLevel="0" max="8962" min="8962" style="221" width="13.29"/>
    <col collapsed="false" customWidth="true" hidden="false" outlineLevel="0" max="8963" min="8963" style="221" width="16.14"/>
    <col collapsed="false" customWidth="true" hidden="false" outlineLevel="0" max="8964" min="8964" style="221" width="23.57"/>
    <col collapsed="false" customWidth="true" hidden="false" outlineLevel="0" max="8965" min="8965" style="221" width="17.29"/>
    <col collapsed="false" customWidth="true" hidden="false" outlineLevel="0" max="8966" min="8966" style="221" width="20.57"/>
    <col collapsed="false" customWidth="true" hidden="false" outlineLevel="0" max="8967" min="8967" style="221" width="17.15"/>
    <col collapsed="false" customWidth="true" hidden="false" outlineLevel="0" max="8968" min="8968" style="221" width="21.85"/>
    <col collapsed="false" customWidth="true" hidden="false" outlineLevel="0" max="8969" min="8969" style="221" width="17.15"/>
    <col collapsed="false" customWidth="true" hidden="false" outlineLevel="0" max="8970" min="8970" style="221" width="18.14"/>
    <col collapsed="false" customWidth="true" hidden="false" outlineLevel="0" max="8971" min="8971" style="221" width="26.42"/>
    <col collapsed="false" customWidth="false" hidden="false" outlineLevel="0" max="9216" min="8972" style="221" width="9.14"/>
    <col collapsed="false" customWidth="true" hidden="false" outlineLevel="0" max="9217" min="9217" style="221" width="8.71"/>
    <col collapsed="false" customWidth="true" hidden="false" outlineLevel="0" max="9218" min="9218" style="221" width="13.29"/>
    <col collapsed="false" customWidth="true" hidden="false" outlineLevel="0" max="9219" min="9219" style="221" width="16.14"/>
    <col collapsed="false" customWidth="true" hidden="false" outlineLevel="0" max="9220" min="9220" style="221" width="23.57"/>
    <col collapsed="false" customWidth="true" hidden="false" outlineLevel="0" max="9221" min="9221" style="221" width="17.29"/>
    <col collapsed="false" customWidth="true" hidden="false" outlineLevel="0" max="9222" min="9222" style="221" width="20.57"/>
    <col collapsed="false" customWidth="true" hidden="false" outlineLevel="0" max="9223" min="9223" style="221" width="17.15"/>
    <col collapsed="false" customWidth="true" hidden="false" outlineLevel="0" max="9224" min="9224" style="221" width="21.85"/>
    <col collapsed="false" customWidth="true" hidden="false" outlineLevel="0" max="9225" min="9225" style="221" width="17.15"/>
    <col collapsed="false" customWidth="true" hidden="false" outlineLevel="0" max="9226" min="9226" style="221" width="18.14"/>
    <col collapsed="false" customWidth="true" hidden="false" outlineLevel="0" max="9227" min="9227" style="221" width="26.42"/>
    <col collapsed="false" customWidth="false" hidden="false" outlineLevel="0" max="9472" min="9228" style="221" width="9.14"/>
    <col collapsed="false" customWidth="true" hidden="false" outlineLevel="0" max="9473" min="9473" style="221" width="8.71"/>
    <col collapsed="false" customWidth="true" hidden="false" outlineLevel="0" max="9474" min="9474" style="221" width="13.29"/>
    <col collapsed="false" customWidth="true" hidden="false" outlineLevel="0" max="9475" min="9475" style="221" width="16.14"/>
    <col collapsed="false" customWidth="true" hidden="false" outlineLevel="0" max="9476" min="9476" style="221" width="23.57"/>
    <col collapsed="false" customWidth="true" hidden="false" outlineLevel="0" max="9477" min="9477" style="221" width="17.29"/>
    <col collapsed="false" customWidth="true" hidden="false" outlineLevel="0" max="9478" min="9478" style="221" width="20.57"/>
    <col collapsed="false" customWidth="true" hidden="false" outlineLevel="0" max="9479" min="9479" style="221" width="17.15"/>
    <col collapsed="false" customWidth="true" hidden="false" outlineLevel="0" max="9480" min="9480" style="221" width="21.85"/>
    <col collapsed="false" customWidth="true" hidden="false" outlineLevel="0" max="9481" min="9481" style="221" width="17.15"/>
    <col collapsed="false" customWidth="true" hidden="false" outlineLevel="0" max="9482" min="9482" style="221" width="18.14"/>
    <col collapsed="false" customWidth="true" hidden="false" outlineLevel="0" max="9483" min="9483" style="221" width="26.42"/>
    <col collapsed="false" customWidth="false" hidden="false" outlineLevel="0" max="9728" min="9484" style="221" width="9.14"/>
    <col collapsed="false" customWidth="true" hidden="false" outlineLevel="0" max="9729" min="9729" style="221" width="8.71"/>
    <col collapsed="false" customWidth="true" hidden="false" outlineLevel="0" max="9730" min="9730" style="221" width="13.29"/>
    <col collapsed="false" customWidth="true" hidden="false" outlineLevel="0" max="9731" min="9731" style="221" width="16.14"/>
    <col collapsed="false" customWidth="true" hidden="false" outlineLevel="0" max="9732" min="9732" style="221" width="23.57"/>
    <col collapsed="false" customWidth="true" hidden="false" outlineLevel="0" max="9733" min="9733" style="221" width="17.29"/>
    <col collapsed="false" customWidth="true" hidden="false" outlineLevel="0" max="9734" min="9734" style="221" width="20.57"/>
    <col collapsed="false" customWidth="true" hidden="false" outlineLevel="0" max="9735" min="9735" style="221" width="17.15"/>
    <col collapsed="false" customWidth="true" hidden="false" outlineLevel="0" max="9736" min="9736" style="221" width="21.85"/>
    <col collapsed="false" customWidth="true" hidden="false" outlineLevel="0" max="9737" min="9737" style="221" width="17.15"/>
    <col collapsed="false" customWidth="true" hidden="false" outlineLevel="0" max="9738" min="9738" style="221" width="18.14"/>
    <col collapsed="false" customWidth="true" hidden="false" outlineLevel="0" max="9739" min="9739" style="221" width="26.42"/>
    <col collapsed="false" customWidth="false" hidden="false" outlineLevel="0" max="9984" min="9740" style="221" width="9.14"/>
    <col collapsed="false" customWidth="true" hidden="false" outlineLevel="0" max="9985" min="9985" style="221" width="8.71"/>
    <col collapsed="false" customWidth="true" hidden="false" outlineLevel="0" max="9986" min="9986" style="221" width="13.29"/>
    <col collapsed="false" customWidth="true" hidden="false" outlineLevel="0" max="9987" min="9987" style="221" width="16.14"/>
    <col collapsed="false" customWidth="true" hidden="false" outlineLevel="0" max="9988" min="9988" style="221" width="23.57"/>
    <col collapsed="false" customWidth="true" hidden="false" outlineLevel="0" max="9989" min="9989" style="221" width="17.29"/>
    <col collapsed="false" customWidth="true" hidden="false" outlineLevel="0" max="9990" min="9990" style="221" width="20.57"/>
    <col collapsed="false" customWidth="true" hidden="false" outlineLevel="0" max="9991" min="9991" style="221" width="17.15"/>
    <col collapsed="false" customWidth="true" hidden="false" outlineLevel="0" max="9992" min="9992" style="221" width="21.85"/>
    <col collapsed="false" customWidth="true" hidden="false" outlineLevel="0" max="9993" min="9993" style="221" width="17.15"/>
    <col collapsed="false" customWidth="true" hidden="false" outlineLevel="0" max="9994" min="9994" style="221" width="18.14"/>
    <col collapsed="false" customWidth="true" hidden="false" outlineLevel="0" max="9995" min="9995" style="221" width="26.42"/>
    <col collapsed="false" customWidth="false" hidden="false" outlineLevel="0" max="10240" min="9996" style="221" width="9.14"/>
    <col collapsed="false" customWidth="true" hidden="false" outlineLevel="0" max="10241" min="10241" style="221" width="8.71"/>
    <col collapsed="false" customWidth="true" hidden="false" outlineLevel="0" max="10242" min="10242" style="221" width="13.29"/>
    <col collapsed="false" customWidth="true" hidden="false" outlineLevel="0" max="10243" min="10243" style="221" width="16.14"/>
    <col collapsed="false" customWidth="true" hidden="false" outlineLevel="0" max="10244" min="10244" style="221" width="23.57"/>
    <col collapsed="false" customWidth="true" hidden="false" outlineLevel="0" max="10245" min="10245" style="221" width="17.29"/>
    <col collapsed="false" customWidth="true" hidden="false" outlineLevel="0" max="10246" min="10246" style="221" width="20.57"/>
    <col collapsed="false" customWidth="true" hidden="false" outlineLevel="0" max="10247" min="10247" style="221" width="17.15"/>
    <col collapsed="false" customWidth="true" hidden="false" outlineLevel="0" max="10248" min="10248" style="221" width="21.85"/>
    <col collapsed="false" customWidth="true" hidden="false" outlineLevel="0" max="10249" min="10249" style="221" width="17.15"/>
    <col collapsed="false" customWidth="true" hidden="false" outlineLevel="0" max="10250" min="10250" style="221" width="18.14"/>
    <col collapsed="false" customWidth="true" hidden="false" outlineLevel="0" max="10251" min="10251" style="221" width="26.42"/>
    <col collapsed="false" customWidth="false" hidden="false" outlineLevel="0" max="10496" min="10252" style="221" width="9.14"/>
    <col collapsed="false" customWidth="true" hidden="false" outlineLevel="0" max="10497" min="10497" style="221" width="8.71"/>
    <col collapsed="false" customWidth="true" hidden="false" outlineLevel="0" max="10498" min="10498" style="221" width="13.29"/>
    <col collapsed="false" customWidth="true" hidden="false" outlineLevel="0" max="10499" min="10499" style="221" width="16.14"/>
    <col collapsed="false" customWidth="true" hidden="false" outlineLevel="0" max="10500" min="10500" style="221" width="23.57"/>
    <col collapsed="false" customWidth="true" hidden="false" outlineLevel="0" max="10501" min="10501" style="221" width="17.29"/>
    <col collapsed="false" customWidth="true" hidden="false" outlineLevel="0" max="10502" min="10502" style="221" width="20.57"/>
    <col collapsed="false" customWidth="true" hidden="false" outlineLevel="0" max="10503" min="10503" style="221" width="17.15"/>
    <col collapsed="false" customWidth="true" hidden="false" outlineLevel="0" max="10504" min="10504" style="221" width="21.85"/>
    <col collapsed="false" customWidth="true" hidden="false" outlineLevel="0" max="10505" min="10505" style="221" width="17.15"/>
    <col collapsed="false" customWidth="true" hidden="false" outlineLevel="0" max="10506" min="10506" style="221" width="18.14"/>
    <col collapsed="false" customWidth="true" hidden="false" outlineLevel="0" max="10507" min="10507" style="221" width="26.42"/>
    <col collapsed="false" customWidth="false" hidden="false" outlineLevel="0" max="10752" min="10508" style="221" width="9.14"/>
    <col collapsed="false" customWidth="true" hidden="false" outlineLevel="0" max="10753" min="10753" style="221" width="8.71"/>
    <col collapsed="false" customWidth="true" hidden="false" outlineLevel="0" max="10754" min="10754" style="221" width="13.29"/>
    <col collapsed="false" customWidth="true" hidden="false" outlineLevel="0" max="10755" min="10755" style="221" width="16.14"/>
    <col collapsed="false" customWidth="true" hidden="false" outlineLevel="0" max="10756" min="10756" style="221" width="23.57"/>
    <col collapsed="false" customWidth="true" hidden="false" outlineLevel="0" max="10757" min="10757" style="221" width="17.29"/>
    <col collapsed="false" customWidth="true" hidden="false" outlineLevel="0" max="10758" min="10758" style="221" width="20.57"/>
    <col collapsed="false" customWidth="true" hidden="false" outlineLevel="0" max="10759" min="10759" style="221" width="17.15"/>
    <col collapsed="false" customWidth="true" hidden="false" outlineLevel="0" max="10760" min="10760" style="221" width="21.85"/>
    <col collapsed="false" customWidth="true" hidden="false" outlineLevel="0" max="10761" min="10761" style="221" width="17.15"/>
    <col collapsed="false" customWidth="true" hidden="false" outlineLevel="0" max="10762" min="10762" style="221" width="18.14"/>
    <col collapsed="false" customWidth="true" hidden="false" outlineLevel="0" max="10763" min="10763" style="221" width="26.42"/>
    <col collapsed="false" customWidth="false" hidden="false" outlineLevel="0" max="11008" min="10764" style="221" width="9.14"/>
    <col collapsed="false" customWidth="true" hidden="false" outlineLevel="0" max="11009" min="11009" style="221" width="8.71"/>
    <col collapsed="false" customWidth="true" hidden="false" outlineLevel="0" max="11010" min="11010" style="221" width="13.29"/>
    <col collapsed="false" customWidth="true" hidden="false" outlineLevel="0" max="11011" min="11011" style="221" width="16.14"/>
    <col collapsed="false" customWidth="true" hidden="false" outlineLevel="0" max="11012" min="11012" style="221" width="23.57"/>
    <col collapsed="false" customWidth="true" hidden="false" outlineLevel="0" max="11013" min="11013" style="221" width="17.29"/>
    <col collapsed="false" customWidth="true" hidden="false" outlineLevel="0" max="11014" min="11014" style="221" width="20.57"/>
    <col collapsed="false" customWidth="true" hidden="false" outlineLevel="0" max="11015" min="11015" style="221" width="17.15"/>
    <col collapsed="false" customWidth="true" hidden="false" outlineLevel="0" max="11016" min="11016" style="221" width="21.85"/>
    <col collapsed="false" customWidth="true" hidden="false" outlineLevel="0" max="11017" min="11017" style="221" width="17.15"/>
    <col collapsed="false" customWidth="true" hidden="false" outlineLevel="0" max="11018" min="11018" style="221" width="18.14"/>
    <col collapsed="false" customWidth="true" hidden="false" outlineLevel="0" max="11019" min="11019" style="221" width="26.42"/>
    <col collapsed="false" customWidth="false" hidden="false" outlineLevel="0" max="11264" min="11020" style="221" width="9.14"/>
    <col collapsed="false" customWidth="true" hidden="false" outlineLevel="0" max="11265" min="11265" style="221" width="8.71"/>
    <col collapsed="false" customWidth="true" hidden="false" outlineLevel="0" max="11266" min="11266" style="221" width="13.29"/>
    <col collapsed="false" customWidth="true" hidden="false" outlineLevel="0" max="11267" min="11267" style="221" width="16.14"/>
    <col collapsed="false" customWidth="true" hidden="false" outlineLevel="0" max="11268" min="11268" style="221" width="23.57"/>
    <col collapsed="false" customWidth="true" hidden="false" outlineLevel="0" max="11269" min="11269" style="221" width="17.29"/>
    <col collapsed="false" customWidth="true" hidden="false" outlineLevel="0" max="11270" min="11270" style="221" width="20.57"/>
    <col collapsed="false" customWidth="true" hidden="false" outlineLevel="0" max="11271" min="11271" style="221" width="17.15"/>
    <col collapsed="false" customWidth="true" hidden="false" outlineLevel="0" max="11272" min="11272" style="221" width="21.85"/>
    <col collapsed="false" customWidth="true" hidden="false" outlineLevel="0" max="11273" min="11273" style="221" width="17.15"/>
    <col collapsed="false" customWidth="true" hidden="false" outlineLevel="0" max="11274" min="11274" style="221" width="18.14"/>
    <col collapsed="false" customWidth="true" hidden="false" outlineLevel="0" max="11275" min="11275" style="221" width="26.42"/>
    <col collapsed="false" customWidth="false" hidden="false" outlineLevel="0" max="11520" min="11276" style="221" width="9.14"/>
    <col collapsed="false" customWidth="true" hidden="false" outlineLevel="0" max="11521" min="11521" style="221" width="8.71"/>
    <col collapsed="false" customWidth="true" hidden="false" outlineLevel="0" max="11522" min="11522" style="221" width="13.29"/>
    <col collapsed="false" customWidth="true" hidden="false" outlineLevel="0" max="11523" min="11523" style="221" width="16.14"/>
    <col collapsed="false" customWidth="true" hidden="false" outlineLevel="0" max="11524" min="11524" style="221" width="23.57"/>
    <col collapsed="false" customWidth="true" hidden="false" outlineLevel="0" max="11525" min="11525" style="221" width="17.29"/>
    <col collapsed="false" customWidth="true" hidden="false" outlineLevel="0" max="11526" min="11526" style="221" width="20.57"/>
    <col collapsed="false" customWidth="true" hidden="false" outlineLevel="0" max="11527" min="11527" style="221" width="17.15"/>
    <col collapsed="false" customWidth="true" hidden="false" outlineLevel="0" max="11528" min="11528" style="221" width="21.85"/>
    <col collapsed="false" customWidth="true" hidden="false" outlineLevel="0" max="11529" min="11529" style="221" width="17.15"/>
    <col collapsed="false" customWidth="true" hidden="false" outlineLevel="0" max="11530" min="11530" style="221" width="18.14"/>
    <col collapsed="false" customWidth="true" hidden="false" outlineLevel="0" max="11531" min="11531" style="221" width="26.42"/>
    <col collapsed="false" customWidth="false" hidden="false" outlineLevel="0" max="11776" min="11532" style="221" width="9.14"/>
    <col collapsed="false" customWidth="true" hidden="false" outlineLevel="0" max="11777" min="11777" style="221" width="8.71"/>
    <col collapsed="false" customWidth="true" hidden="false" outlineLevel="0" max="11778" min="11778" style="221" width="13.29"/>
    <col collapsed="false" customWidth="true" hidden="false" outlineLevel="0" max="11779" min="11779" style="221" width="16.14"/>
    <col collapsed="false" customWidth="true" hidden="false" outlineLevel="0" max="11780" min="11780" style="221" width="23.57"/>
    <col collapsed="false" customWidth="true" hidden="false" outlineLevel="0" max="11781" min="11781" style="221" width="17.29"/>
    <col collapsed="false" customWidth="true" hidden="false" outlineLevel="0" max="11782" min="11782" style="221" width="20.57"/>
    <col collapsed="false" customWidth="true" hidden="false" outlineLevel="0" max="11783" min="11783" style="221" width="17.15"/>
    <col collapsed="false" customWidth="true" hidden="false" outlineLevel="0" max="11784" min="11784" style="221" width="21.85"/>
    <col collapsed="false" customWidth="true" hidden="false" outlineLevel="0" max="11785" min="11785" style="221" width="17.15"/>
    <col collapsed="false" customWidth="true" hidden="false" outlineLevel="0" max="11786" min="11786" style="221" width="18.14"/>
    <col collapsed="false" customWidth="true" hidden="false" outlineLevel="0" max="11787" min="11787" style="221" width="26.42"/>
    <col collapsed="false" customWidth="false" hidden="false" outlineLevel="0" max="12032" min="11788" style="221" width="9.14"/>
    <col collapsed="false" customWidth="true" hidden="false" outlineLevel="0" max="12033" min="12033" style="221" width="8.71"/>
    <col collapsed="false" customWidth="true" hidden="false" outlineLevel="0" max="12034" min="12034" style="221" width="13.29"/>
    <col collapsed="false" customWidth="true" hidden="false" outlineLevel="0" max="12035" min="12035" style="221" width="16.14"/>
    <col collapsed="false" customWidth="true" hidden="false" outlineLevel="0" max="12036" min="12036" style="221" width="23.57"/>
    <col collapsed="false" customWidth="true" hidden="false" outlineLevel="0" max="12037" min="12037" style="221" width="17.29"/>
    <col collapsed="false" customWidth="true" hidden="false" outlineLevel="0" max="12038" min="12038" style="221" width="20.57"/>
    <col collapsed="false" customWidth="true" hidden="false" outlineLevel="0" max="12039" min="12039" style="221" width="17.15"/>
    <col collapsed="false" customWidth="true" hidden="false" outlineLevel="0" max="12040" min="12040" style="221" width="21.85"/>
    <col collapsed="false" customWidth="true" hidden="false" outlineLevel="0" max="12041" min="12041" style="221" width="17.15"/>
    <col collapsed="false" customWidth="true" hidden="false" outlineLevel="0" max="12042" min="12042" style="221" width="18.14"/>
    <col collapsed="false" customWidth="true" hidden="false" outlineLevel="0" max="12043" min="12043" style="221" width="26.42"/>
    <col collapsed="false" customWidth="false" hidden="false" outlineLevel="0" max="12288" min="12044" style="221" width="9.14"/>
    <col collapsed="false" customWidth="true" hidden="false" outlineLevel="0" max="12289" min="12289" style="221" width="8.71"/>
    <col collapsed="false" customWidth="true" hidden="false" outlineLevel="0" max="12290" min="12290" style="221" width="13.29"/>
    <col collapsed="false" customWidth="true" hidden="false" outlineLevel="0" max="12291" min="12291" style="221" width="16.14"/>
    <col collapsed="false" customWidth="true" hidden="false" outlineLevel="0" max="12292" min="12292" style="221" width="23.57"/>
    <col collapsed="false" customWidth="true" hidden="false" outlineLevel="0" max="12293" min="12293" style="221" width="17.29"/>
    <col collapsed="false" customWidth="true" hidden="false" outlineLevel="0" max="12294" min="12294" style="221" width="20.57"/>
    <col collapsed="false" customWidth="true" hidden="false" outlineLevel="0" max="12295" min="12295" style="221" width="17.15"/>
    <col collapsed="false" customWidth="true" hidden="false" outlineLevel="0" max="12296" min="12296" style="221" width="21.85"/>
    <col collapsed="false" customWidth="true" hidden="false" outlineLevel="0" max="12297" min="12297" style="221" width="17.15"/>
    <col collapsed="false" customWidth="true" hidden="false" outlineLevel="0" max="12298" min="12298" style="221" width="18.14"/>
    <col collapsed="false" customWidth="true" hidden="false" outlineLevel="0" max="12299" min="12299" style="221" width="26.42"/>
    <col collapsed="false" customWidth="false" hidden="false" outlineLevel="0" max="12544" min="12300" style="221" width="9.14"/>
    <col collapsed="false" customWidth="true" hidden="false" outlineLevel="0" max="12545" min="12545" style="221" width="8.71"/>
    <col collapsed="false" customWidth="true" hidden="false" outlineLevel="0" max="12546" min="12546" style="221" width="13.29"/>
    <col collapsed="false" customWidth="true" hidden="false" outlineLevel="0" max="12547" min="12547" style="221" width="16.14"/>
    <col collapsed="false" customWidth="true" hidden="false" outlineLevel="0" max="12548" min="12548" style="221" width="23.57"/>
    <col collapsed="false" customWidth="true" hidden="false" outlineLevel="0" max="12549" min="12549" style="221" width="17.29"/>
    <col collapsed="false" customWidth="true" hidden="false" outlineLevel="0" max="12550" min="12550" style="221" width="20.57"/>
    <col collapsed="false" customWidth="true" hidden="false" outlineLevel="0" max="12551" min="12551" style="221" width="17.15"/>
    <col collapsed="false" customWidth="true" hidden="false" outlineLevel="0" max="12552" min="12552" style="221" width="21.85"/>
    <col collapsed="false" customWidth="true" hidden="false" outlineLevel="0" max="12553" min="12553" style="221" width="17.15"/>
    <col collapsed="false" customWidth="true" hidden="false" outlineLevel="0" max="12554" min="12554" style="221" width="18.14"/>
    <col collapsed="false" customWidth="true" hidden="false" outlineLevel="0" max="12555" min="12555" style="221" width="26.42"/>
    <col collapsed="false" customWidth="false" hidden="false" outlineLevel="0" max="12800" min="12556" style="221" width="9.14"/>
    <col collapsed="false" customWidth="true" hidden="false" outlineLevel="0" max="12801" min="12801" style="221" width="8.71"/>
    <col collapsed="false" customWidth="true" hidden="false" outlineLevel="0" max="12802" min="12802" style="221" width="13.29"/>
    <col collapsed="false" customWidth="true" hidden="false" outlineLevel="0" max="12803" min="12803" style="221" width="16.14"/>
    <col collapsed="false" customWidth="true" hidden="false" outlineLevel="0" max="12804" min="12804" style="221" width="23.57"/>
    <col collapsed="false" customWidth="true" hidden="false" outlineLevel="0" max="12805" min="12805" style="221" width="17.29"/>
    <col collapsed="false" customWidth="true" hidden="false" outlineLevel="0" max="12806" min="12806" style="221" width="20.57"/>
    <col collapsed="false" customWidth="true" hidden="false" outlineLevel="0" max="12807" min="12807" style="221" width="17.15"/>
    <col collapsed="false" customWidth="true" hidden="false" outlineLevel="0" max="12808" min="12808" style="221" width="21.85"/>
    <col collapsed="false" customWidth="true" hidden="false" outlineLevel="0" max="12809" min="12809" style="221" width="17.15"/>
    <col collapsed="false" customWidth="true" hidden="false" outlineLevel="0" max="12810" min="12810" style="221" width="18.14"/>
    <col collapsed="false" customWidth="true" hidden="false" outlineLevel="0" max="12811" min="12811" style="221" width="26.42"/>
    <col collapsed="false" customWidth="false" hidden="false" outlineLevel="0" max="13056" min="12812" style="221" width="9.14"/>
    <col collapsed="false" customWidth="true" hidden="false" outlineLevel="0" max="13057" min="13057" style="221" width="8.71"/>
    <col collapsed="false" customWidth="true" hidden="false" outlineLevel="0" max="13058" min="13058" style="221" width="13.29"/>
    <col collapsed="false" customWidth="true" hidden="false" outlineLevel="0" max="13059" min="13059" style="221" width="16.14"/>
    <col collapsed="false" customWidth="true" hidden="false" outlineLevel="0" max="13060" min="13060" style="221" width="23.57"/>
    <col collapsed="false" customWidth="true" hidden="false" outlineLevel="0" max="13061" min="13061" style="221" width="17.29"/>
    <col collapsed="false" customWidth="true" hidden="false" outlineLevel="0" max="13062" min="13062" style="221" width="20.57"/>
    <col collapsed="false" customWidth="true" hidden="false" outlineLevel="0" max="13063" min="13063" style="221" width="17.15"/>
    <col collapsed="false" customWidth="true" hidden="false" outlineLevel="0" max="13064" min="13064" style="221" width="21.85"/>
    <col collapsed="false" customWidth="true" hidden="false" outlineLevel="0" max="13065" min="13065" style="221" width="17.15"/>
    <col collapsed="false" customWidth="true" hidden="false" outlineLevel="0" max="13066" min="13066" style="221" width="18.14"/>
    <col collapsed="false" customWidth="true" hidden="false" outlineLevel="0" max="13067" min="13067" style="221" width="26.42"/>
    <col collapsed="false" customWidth="false" hidden="false" outlineLevel="0" max="13312" min="13068" style="221" width="9.14"/>
    <col collapsed="false" customWidth="true" hidden="false" outlineLevel="0" max="13313" min="13313" style="221" width="8.71"/>
    <col collapsed="false" customWidth="true" hidden="false" outlineLevel="0" max="13314" min="13314" style="221" width="13.29"/>
    <col collapsed="false" customWidth="true" hidden="false" outlineLevel="0" max="13315" min="13315" style="221" width="16.14"/>
    <col collapsed="false" customWidth="true" hidden="false" outlineLevel="0" max="13316" min="13316" style="221" width="23.57"/>
    <col collapsed="false" customWidth="true" hidden="false" outlineLevel="0" max="13317" min="13317" style="221" width="17.29"/>
    <col collapsed="false" customWidth="true" hidden="false" outlineLevel="0" max="13318" min="13318" style="221" width="20.57"/>
    <col collapsed="false" customWidth="true" hidden="false" outlineLevel="0" max="13319" min="13319" style="221" width="17.15"/>
    <col collapsed="false" customWidth="true" hidden="false" outlineLevel="0" max="13320" min="13320" style="221" width="21.85"/>
    <col collapsed="false" customWidth="true" hidden="false" outlineLevel="0" max="13321" min="13321" style="221" width="17.15"/>
    <col collapsed="false" customWidth="true" hidden="false" outlineLevel="0" max="13322" min="13322" style="221" width="18.14"/>
    <col collapsed="false" customWidth="true" hidden="false" outlineLevel="0" max="13323" min="13323" style="221" width="26.42"/>
    <col collapsed="false" customWidth="false" hidden="false" outlineLevel="0" max="13568" min="13324" style="221" width="9.14"/>
    <col collapsed="false" customWidth="true" hidden="false" outlineLevel="0" max="13569" min="13569" style="221" width="8.71"/>
    <col collapsed="false" customWidth="true" hidden="false" outlineLevel="0" max="13570" min="13570" style="221" width="13.29"/>
    <col collapsed="false" customWidth="true" hidden="false" outlineLevel="0" max="13571" min="13571" style="221" width="16.14"/>
    <col collapsed="false" customWidth="true" hidden="false" outlineLevel="0" max="13572" min="13572" style="221" width="23.57"/>
    <col collapsed="false" customWidth="true" hidden="false" outlineLevel="0" max="13573" min="13573" style="221" width="17.29"/>
    <col collapsed="false" customWidth="true" hidden="false" outlineLevel="0" max="13574" min="13574" style="221" width="20.57"/>
    <col collapsed="false" customWidth="true" hidden="false" outlineLevel="0" max="13575" min="13575" style="221" width="17.15"/>
    <col collapsed="false" customWidth="true" hidden="false" outlineLevel="0" max="13576" min="13576" style="221" width="21.85"/>
    <col collapsed="false" customWidth="true" hidden="false" outlineLevel="0" max="13577" min="13577" style="221" width="17.15"/>
    <col collapsed="false" customWidth="true" hidden="false" outlineLevel="0" max="13578" min="13578" style="221" width="18.14"/>
    <col collapsed="false" customWidth="true" hidden="false" outlineLevel="0" max="13579" min="13579" style="221" width="26.42"/>
    <col collapsed="false" customWidth="false" hidden="false" outlineLevel="0" max="13824" min="13580" style="221" width="9.14"/>
    <col collapsed="false" customWidth="true" hidden="false" outlineLevel="0" max="13825" min="13825" style="221" width="8.71"/>
    <col collapsed="false" customWidth="true" hidden="false" outlineLevel="0" max="13826" min="13826" style="221" width="13.29"/>
    <col collapsed="false" customWidth="true" hidden="false" outlineLevel="0" max="13827" min="13827" style="221" width="16.14"/>
    <col collapsed="false" customWidth="true" hidden="false" outlineLevel="0" max="13828" min="13828" style="221" width="23.57"/>
    <col collapsed="false" customWidth="true" hidden="false" outlineLevel="0" max="13829" min="13829" style="221" width="17.29"/>
    <col collapsed="false" customWidth="true" hidden="false" outlineLevel="0" max="13830" min="13830" style="221" width="20.57"/>
    <col collapsed="false" customWidth="true" hidden="false" outlineLevel="0" max="13831" min="13831" style="221" width="17.15"/>
    <col collapsed="false" customWidth="true" hidden="false" outlineLevel="0" max="13832" min="13832" style="221" width="21.85"/>
    <col collapsed="false" customWidth="true" hidden="false" outlineLevel="0" max="13833" min="13833" style="221" width="17.15"/>
    <col collapsed="false" customWidth="true" hidden="false" outlineLevel="0" max="13834" min="13834" style="221" width="18.14"/>
    <col collapsed="false" customWidth="true" hidden="false" outlineLevel="0" max="13835" min="13835" style="221" width="26.42"/>
    <col collapsed="false" customWidth="false" hidden="false" outlineLevel="0" max="14080" min="13836" style="221" width="9.14"/>
    <col collapsed="false" customWidth="true" hidden="false" outlineLevel="0" max="14081" min="14081" style="221" width="8.71"/>
    <col collapsed="false" customWidth="true" hidden="false" outlineLevel="0" max="14082" min="14082" style="221" width="13.29"/>
    <col collapsed="false" customWidth="true" hidden="false" outlineLevel="0" max="14083" min="14083" style="221" width="16.14"/>
    <col collapsed="false" customWidth="true" hidden="false" outlineLevel="0" max="14084" min="14084" style="221" width="23.57"/>
    <col collapsed="false" customWidth="true" hidden="false" outlineLevel="0" max="14085" min="14085" style="221" width="17.29"/>
    <col collapsed="false" customWidth="true" hidden="false" outlineLevel="0" max="14086" min="14086" style="221" width="20.57"/>
    <col collapsed="false" customWidth="true" hidden="false" outlineLevel="0" max="14087" min="14087" style="221" width="17.15"/>
    <col collapsed="false" customWidth="true" hidden="false" outlineLevel="0" max="14088" min="14088" style="221" width="21.85"/>
    <col collapsed="false" customWidth="true" hidden="false" outlineLevel="0" max="14089" min="14089" style="221" width="17.15"/>
    <col collapsed="false" customWidth="true" hidden="false" outlineLevel="0" max="14090" min="14090" style="221" width="18.14"/>
    <col collapsed="false" customWidth="true" hidden="false" outlineLevel="0" max="14091" min="14091" style="221" width="26.42"/>
    <col collapsed="false" customWidth="false" hidden="false" outlineLevel="0" max="14336" min="14092" style="221" width="9.14"/>
    <col collapsed="false" customWidth="true" hidden="false" outlineLevel="0" max="14337" min="14337" style="221" width="8.71"/>
    <col collapsed="false" customWidth="true" hidden="false" outlineLevel="0" max="14338" min="14338" style="221" width="13.29"/>
    <col collapsed="false" customWidth="true" hidden="false" outlineLevel="0" max="14339" min="14339" style="221" width="16.14"/>
    <col collapsed="false" customWidth="true" hidden="false" outlineLevel="0" max="14340" min="14340" style="221" width="23.57"/>
    <col collapsed="false" customWidth="true" hidden="false" outlineLevel="0" max="14341" min="14341" style="221" width="17.29"/>
    <col collapsed="false" customWidth="true" hidden="false" outlineLevel="0" max="14342" min="14342" style="221" width="20.57"/>
    <col collapsed="false" customWidth="true" hidden="false" outlineLevel="0" max="14343" min="14343" style="221" width="17.15"/>
    <col collapsed="false" customWidth="true" hidden="false" outlineLevel="0" max="14344" min="14344" style="221" width="21.85"/>
    <col collapsed="false" customWidth="true" hidden="false" outlineLevel="0" max="14345" min="14345" style="221" width="17.15"/>
    <col collapsed="false" customWidth="true" hidden="false" outlineLevel="0" max="14346" min="14346" style="221" width="18.14"/>
    <col collapsed="false" customWidth="true" hidden="false" outlineLevel="0" max="14347" min="14347" style="221" width="26.42"/>
    <col collapsed="false" customWidth="false" hidden="false" outlineLevel="0" max="14592" min="14348" style="221" width="9.14"/>
    <col collapsed="false" customWidth="true" hidden="false" outlineLevel="0" max="14593" min="14593" style="221" width="8.71"/>
    <col collapsed="false" customWidth="true" hidden="false" outlineLevel="0" max="14594" min="14594" style="221" width="13.29"/>
    <col collapsed="false" customWidth="true" hidden="false" outlineLevel="0" max="14595" min="14595" style="221" width="16.14"/>
    <col collapsed="false" customWidth="true" hidden="false" outlineLevel="0" max="14596" min="14596" style="221" width="23.57"/>
    <col collapsed="false" customWidth="true" hidden="false" outlineLevel="0" max="14597" min="14597" style="221" width="17.29"/>
    <col collapsed="false" customWidth="true" hidden="false" outlineLevel="0" max="14598" min="14598" style="221" width="20.57"/>
    <col collapsed="false" customWidth="true" hidden="false" outlineLevel="0" max="14599" min="14599" style="221" width="17.15"/>
    <col collapsed="false" customWidth="true" hidden="false" outlineLevel="0" max="14600" min="14600" style="221" width="21.85"/>
    <col collapsed="false" customWidth="true" hidden="false" outlineLevel="0" max="14601" min="14601" style="221" width="17.15"/>
    <col collapsed="false" customWidth="true" hidden="false" outlineLevel="0" max="14602" min="14602" style="221" width="18.14"/>
    <col collapsed="false" customWidth="true" hidden="false" outlineLevel="0" max="14603" min="14603" style="221" width="26.42"/>
    <col collapsed="false" customWidth="false" hidden="false" outlineLevel="0" max="14848" min="14604" style="221" width="9.14"/>
    <col collapsed="false" customWidth="true" hidden="false" outlineLevel="0" max="14849" min="14849" style="221" width="8.71"/>
    <col collapsed="false" customWidth="true" hidden="false" outlineLevel="0" max="14850" min="14850" style="221" width="13.29"/>
    <col collapsed="false" customWidth="true" hidden="false" outlineLevel="0" max="14851" min="14851" style="221" width="16.14"/>
    <col collapsed="false" customWidth="true" hidden="false" outlineLevel="0" max="14852" min="14852" style="221" width="23.57"/>
    <col collapsed="false" customWidth="true" hidden="false" outlineLevel="0" max="14853" min="14853" style="221" width="17.29"/>
    <col collapsed="false" customWidth="true" hidden="false" outlineLevel="0" max="14854" min="14854" style="221" width="20.57"/>
    <col collapsed="false" customWidth="true" hidden="false" outlineLevel="0" max="14855" min="14855" style="221" width="17.15"/>
    <col collapsed="false" customWidth="true" hidden="false" outlineLevel="0" max="14856" min="14856" style="221" width="21.85"/>
    <col collapsed="false" customWidth="true" hidden="false" outlineLevel="0" max="14857" min="14857" style="221" width="17.15"/>
    <col collapsed="false" customWidth="true" hidden="false" outlineLevel="0" max="14858" min="14858" style="221" width="18.14"/>
    <col collapsed="false" customWidth="true" hidden="false" outlineLevel="0" max="14859" min="14859" style="221" width="26.42"/>
    <col collapsed="false" customWidth="false" hidden="false" outlineLevel="0" max="15104" min="14860" style="221" width="9.14"/>
    <col collapsed="false" customWidth="true" hidden="false" outlineLevel="0" max="15105" min="15105" style="221" width="8.71"/>
    <col collapsed="false" customWidth="true" hidden="false" outlineLevel="0" max="15106" min="15106" style="221" width="13.29"/>
    <col collapsed="false" customWidth="true" hidden="false" outlineLevel="0" max="15107" min="15107" style="221" width="16.14"/>
    <col collapsed="false" customWidth="true" hidden="false" outlineLevel="0" max="15108" min="15108" style="221" width="23.57"/>
    <col collapsed="false" customWidth="true" hidden="false" outlineLevel="0" max="15109" min="15109" style="221" width="17.29"/>
    <col collapsed="false" customWidth="true" hidden="false" outlineLevel="0" max="15110" min="15110" style="221" width="20.57"/>
    <col collapsed="false" customWidth="true" hidden="false" outlineLevel="0" max="15111" min="15111" style="221" width="17.15"/>
    <col collapsed="false" customWidth="true" hidden="false" outlineLevel="0" max="15112" min="15112" style="221" width="21.85"/>
    <col collapsed="false" customWidth="true" hidden="false" outlineLevel="0" max="15113" min="15113" style="221" width="17.15"/>
    <col collapsed="false" customWidth="true" hidden="false" outlineLevel="0" max="15114" min="15114" style="221" width="18.14"/>
    <col collapsed="false" customWidth="true" hidden="false" outlineLevel="0" max="15115" min="15115" style="221" width="26.42"/>
    <col collapsed="false" customWidth="false" hidden="false" outlineLevel="0" max="15360" min="15116" style="221" width="9.14"/>
    <col collapsed="false" customWidth="true" hidden="false" outlineLevel="0" max="15361" min="15361" style="221" width="8.71"/>
    <col collapsed="false" customWidth="true" hidden="false" outlineLevel="0" max="15362" min="15362" style="221" width="13.29"/>
    <col collapsed="false" customWidth="true" hidden="false" outlineLevel="0" max="15363" min="15363" style="221" width="16.14"/>
    <col collapsed="false" customWidth="true" hidden="false" outlineLevel="0" max="15364" min="15364" style="221" width="23.57"/>
    <col collapsed="false" customWidth="true" hidden="false" outlineLevel="0" max="15365" min="15365" style="221" width="17.29"/>
    <col collapsed="false" customWidth="true" hidden="false" outlineLevel="0" max="15366" min="15366" style="221" width="20.57"/>
    <col collapsed="false" customWidth="true" hidden="false" outlineLevel="0" max="15367" min="15367" style="221" width="17.15"/>
    <col collapsed="false" customWidth="true" hidden="false" outlineLevel="0" max="15368" min="15368" style="221" width="21.85"/>
    <col collapsed="false" customWidth="true" hidden="false" outlineLevel="0" max="15369" min="15369" style="221" width="17.15"/>
    <col collapsed="false" customWidth="true" hidden="false" outlineLevel="0" max="15370" min="15370" style="221" width="18.14"/>
    <col collapsed="false" customWidth="true" hidden="false" outlineLevel="0" max="15371" min="15371" style="221" width="26.42"/>
    <col collapsed="false" customWidth="false" hidden="false" outlineLevel="0" max="15616" min="15372" style="221" width="9.14"/>
    <col collapsed="false" customWidth="true" hidden="false" outlineLevel="0" max="15617" min="15617" style="221" width="8.71"/>
    <col collapsed="false" customWidth="true" hidden="false" outlineLevel="0" max="15618" min="15618" style="221" width="13.29"/>
    <col collapsed="false" customWidth="true" hidden="false" outlineLevel="0" max="15619" min="15619" style="221" width="16.14"/>
    <col collapsed="false" customWidth="true" hidden="false" outlineLevel="0" max="15620" min="15620" style="221" width="23.57"/>
    <col collapsed="false" customWidth="true" hidden="false" outlineLevel="0" max="15621" min="15621" style="221" width="17.29"/>
    <col collapsed="false" customWidth="true" hidden="false" outlineLevel="0" max="15622" min="15622" style="221" width="20.57"/>
    <col collapsed="false" customWidth="true" hidden="false" outlineLevel="0" max="15623" min="15623" style="221" width="17.15"/>
    <col collapsed="false" customWidth="true" hidden="false" outlineLevel="0" max="15624" min="15624" style="221" width="21.85"/>
    <col collapsed="false" customWidth="true" hidden="false" outlineLevel="0" max="15625" min="15625" style="221" width="17.15"/>
    <col collapsed="false" customWidth="true" hidden="false" outlineLevel="0" max="15626" min="15626" style="221" width="18.14"/>
    <col collapsed="false" customWidth="true" hidden="false" outlineLevel="0" max="15627" min="15627" style="221" width="26.42"/>
    <col collapsed="false" customWidth="false" hidden="false" outlineLevel="0" max="15872" min="15628" style="221" width="9.14"/>
    <col collapsed="false" customWidth="true" hidden="false" outlineLevel="0" max="15873" min="15873" style="221" width="8.71"/>
    <col collapsed="false" customWidth="true" hidden="false" outlineLevel="0" max="15874" min="15874" style="221" width="13.29"/>
    <col collapsed="false" customWidth="true" hidden="false" outlineLevel="0" max="15875" min="15875" style="221" width="16.14"/>
    <col collapsed="false" customWidth="true" hidden="false" outlineLevel="0" max="15876" min="15876" style="221" width="23.57"/>
    <col collapsed="false" customWidth="true" hidden="false" outlineLevel="0" max="15877" min="15877" style="221" width="17.29"/>
    <col collapsed="false" customWidth="true" hidden="false" outlineLevel="0" max="15878" min="15878" style="221" width="20.57"/>
    <col collapsed="false" customWidth="true" hidden="false" outlineLevel="0" max="15879" min="15879" style="221" width="17.15"/>
    <col collapsed="false" customWidth="true" hidden="false" outlineLevel="0" max="15880" min="15880" style="221" width="21.85"/>
    <col collapsed="false" customWidth="true" hidden="false" outlineLevel="0" max="15881" min="15881" style="221" width="17.15"/>
    <col collapsed="false" customWidth="true" hidden="false" outlineLevel="0" max="15882" min="15882" style="221" width="18.14"/>
    <col collapsed="false" customWidth="true" hidden="false" outlineLevel="0" max="15883" min="15883" style="221" width="26.42"/>
    <col collapsed="false" customWidth="false" hidden="false" outlineLevel="0" max="16128" min="15884" style="221" width="9.14"/>
    <col collapsed="false" customWidth="true" hidden="false" outlineLevel="0" max="16129" min="16129" style="221" width="8.71"/>
    <col collapsed="false" customWidth="true" hidden="false" outlineLevel="0" max="16130" min="16130" style="221" width="13.29"/>
    <col collapsed="false" customWidth="true" hidden="false" outlineLevel="0" max="16131" min="16131" style="221" width="16.14"/>
    <col collapsed="false" customWidth="true" hidden="false" outlineLevel="0" max="16132" min="16132" style="221" width="23.57"/>
    <col collapsed="false" customWidth="true" hidden="false" outlineLevel="0" max="16133" min="16133" style="221" width="17.29"/>
    <col collapsed="false" customWidth="true" hidden="false" outlineLevel="0" max="16134" min="16134" style="221" width="20.57"/>
    <col collapsed="false" customWidth="true" hidden="false" outlineLevel="0" max="16135" min="16135" style="221" width="17.15"/>
    <col collapsed="false" customWidth="true" hidden="false" outlineLevel="0" max="16136" min="16136" style="221" width="21.85"/>
    <col collapsed="false" customWidth="true" hidden="false" outlineLevel="0" max="16137" min="16137" style="221" width="17.15"/>
    <col collapsed="false" customWidth="true" hidden="false" outlineLevel="0" max="16138" min="16138" style="221" width="18.14"/>
    <col collapsed="false" customWidth="true" hidden="false" outlineLevel="0" max="16139" min="16139" style="221" width="26.42"/>
    <col collapsed="false" customWidth="false" hidden="false" outlineLevel="0" max="16384" min="16140" style="221" width="9.14"/>
  </cols>
  <sheetData>
    <row r="44" s="221" customFormat="true" ht="15.75" hidden="false" customHeight="true" outlineLevel="0" collapsed="false"/>
    <row r="45" s="221" customFormat="true" ht="23.25" hidden="false" customHeight="true" outlineLevel="0" collapsed="false">
      <c r="B45" s="221" t="s">
        <v>129</v>
      </c>
    </row>
    <row r="46" s="221" customFormat="true" ht="24.75" hidden="false" customHeight="true" outlineLevel="0" collapsed="false">
      <c r="A46" s="223" t="str">
        <f aca="false">"VIN = "&amp;VIN_min&amp;" V to "&amp;VIN_max&amp;" V, VOUT = "&amp; Vout &amp;" V, IOUT = " &amp;Iout &amp; " A,  Fsw = " &amp; Fsw/1000 &amp;" kHz, Current Limit = "&amp;ROUNDUP(Ilimit_DC,0)&amp;" A"</f>
        <v>VIN = 6 V to 50 V, VOUT = 12 V, IOUT = 6 A,  Fsw = 300 kHz, Current Limit = 12 A</v>
      </c>
    </row>
    <row r="47" customFormat="false" ht="24.75" hidden="false" customHeight="true" outlineLevel="0" collapsed="false">
      <c r="A47" s="224" t="s">
        <v>130</v>
      </c>
    </row>
    <row r="48" s="221" customFormat="true" ht="18" hidden="false" customHeight="true" outlineLevel="0" collapsed="false">
      <c r="A48" s="225" t="s">
        <v>131</v>
      </c>
      <c r="B48" s="226" t="s">
        <v>132</v>
      </c>
      <c r="C48" s="226" t="s">
        <v>133</v>
      </c>
      <c r="D48" s="227" t="s">
        <v>134</v>
      </c>
      <c r="E48" s="227"/>
      <c r="F48" s="227"/>
      <c r="G48" s="227"/>
      <c r="H48" s="227" t="s">
        <v>135</v>
      </c>
      <c r="I48" s="227" t="s">
        <v>136</v>
      </c>
      <c r="J48" s="227" t="s">
        <v>137</v>
      </c>
      <c r="L48" s="222"/>
    </row>
    <row r="49" s="235" customFormat="true" ht="15.75" hidden="false" customHeight="true" outlineLevel="0" collapsed="false">
      <c r="A49" s="228" t="n">
        <v>2</v>
      </c>
      <c r="B49" s="229" t="s">
        <v>138</v>
      </c>
      <c r="C49" s="230" t="n">
        <v>0.1</v>
      </c>
      <c r="D49" s="231" t="n">
        <f aca="false">C49</f>
        <v>0.1</v>
      </c>
      <c r="E49" s="231"/>
      <c r="F49" s="231"/>
      <c r="G49" s="232"/>
      <c r="H49" s="233" t="s">
        <v>139</v>
      </c>
      <c r="I49" s="234" t="s">
        <v>140</v>
      </c>
      <c r="J49" s="234" t="s">
        <v>140</v>
      </c>
      <c r="L49" s="236"/>
    </row>
    <row r="50" s="235" customFormat="true" ht="12.75" hidden="false" customHeight="false" outlineLevel="0" collapsed="false">
      <c r="A50" s="237" t="n">
        <v>1</v>
      </c>
      <c r="B50" s="238" t="s">
        <v>141</v>
      </c>
      <c r="C50" s="239" t="n">
        <f aca="false">'Design Converter'!D79</f>
        <v>33</v>
      </c>
      <c r="D50" s="240" t="n">
        <f aca="false">C50</f>
        <v>33</v>
      </c>
      <c r="E50" s="240"/>
      <c r="F50" s="240"/>
      <c r="G50" s="241"/>
      <c r="H50" s="242" t="s">
        <v>139</v>
      </c>
      <c r="I50" s="242" t="s">
        <v>140</v>
      </c>
      <c r="J50" s="242" t="s">
        <v>140</v>
      </c>
      <c r="L50" s="236"/>
    </row>
    <row r="51" s="235" customFormat="true" ht="12.75" hidden="false" customHeight="false" outlineLevel="0" collapsed="false">
      <c r="A51" s="237" t="n">
        <v>1</v>
      </c>
      <c r="B51" s="238" t="s">
        <v>142</v>
      </c>
      <c r="C51" s="243" t="n">
        <f aca="false">'Design Converter'!D80</f>
        <v>1000</v>
      </c>
      <c r="D51" s="244" t="n">
        <f aca="false">C51</f>
        <v>1000</v>
      </c>
      <c r="E51" s="244"/>
      <c r="F51" s="244"/>
      <c r="G51" s="241"/>
      <c r="H51" s="242" t="s">
        <v>139</v>
      </c>
      <c r="I51" s="242" t="s">
        <v>140</v>
      </c>
      <c r="J51" s="242" t="s">
        <v>140</v>
      </c>
      <c r="L51" s="236"/>
    </row>
    <row r="52" s="235" customFormat="true" ht="12.75" hidden="false" customHeight="false" outlineLevel="0" collapsed="false">
      <c r="A52" s="237" t="n">
        <v>1</v>
      </c>
      <c r="B52" s="238" t="s">
        <v>143</v>
      </c>
      <c r="C52" s="243" t="n">
        <f aca="false">Cslope</f>
        <v>235</v>
      </c>
      <c r="D52" s="244" t="n">
        <f aca="false">C52</f>
        <v>235</v>
      </c>
      <c r="E52" s="244"/>
      <c r="F52" s="244"/>
      <c r="G52" s="241"/>
      <c r="H52" s="242" t="s">
        <v>139</v>
      </c>
      <c r="I52" s="242" t="s">
        <v>140</v>
      </c>
      <c r="J52" s="242" t="s">
        <v>140</v>
      </c>
      <c r="L52" s="236"/>
    </row>
    <row r="53" s="235" customFormat="true" ht="12.75" hidden="false" customHeight="false" outlineLevel="0" collapsed="false">
      <c r="A53" s="228" t="n">
        <v>1</v>
      </c>
      <c r="B53" s="229" t="s">
        <v>144</v>
      </c>
      <c r="C53" s="245" t="n">
        <v>100</v>
      </c>
      <c r="D53" s="246" t="n">
        <f aca="false">C53</f>
        <v>100</v>
      </c>
      <c r="E53" s="246"/>
      <c r="F53" s="246"/>
      <c r="G53" s="232"/>
      <c r="H53" s="234" t="s">
        <v>139</v>
      </c>
      <c r="I53" s="234" t="s">
        <v>140</v>
      </c>
      <c r="J53" s="234" t="s">
        <v>140</v>
      </c>
      <c r="L53" s="236"/>
    </row>
    <row r="54" s="235" customFormat="true" ht="12.75" hidden="false" customHeight="false" outlineLevel="0" collapsed="false">
      <c r="A54" s="237" t="n">
        <v>1</v>
      </c>
      <c r="B54" s="238" t="s">
        <v>145</v>
      </c>
      <c r="C54" s="239" t="n">
        <f aca="false">Cdither*1000000000</f>
        <v>39</v>
      </c>
      <c r="D54" s="240" t="n">
        <f aca="false">C54</f>
        <v>39</v>
      </c>
      <c r="E54" s="240"/>
      <c r="F54" s="240"/>
      <c r="G54" s="241"/>
      <c r="H54" s="242" t="s">
        <v>139</v>
      </c>
      <c r="I54" s="242" t="s">
        <v>140</v>
      </c>
      <c r="J54" s="242" t="s">
        <v>140</v>
      </c>
      <c r="L54" s="236"/>
    </row>
    <row r="55" s="235" customFormat="true" ht="12.75" hidden="false" customHeight="false" outlineLevel="0" collapsed="false">
      <c r="A55" s="237" t="n">
        <f aca="false">ROUNDUP('Design Converter'!E51/10,0)</f>
        <v>7</v>
      </c>
      <c r="B55" s="238" t="s">
        <v>146</v>
      </c>
      <c r="C55" s="247" t="n">
        <v>10</v>
      </c>
      <c r="D55" s="248" t="n">
        <f aca="false">C55</f>
        <v>10</v>
      </c>
      <c r="E55" s="248"/>
      <c r="F55" s="248"/>
      <c r="G55" s="241"/>
      <c r="H55" s="242" t="n">
        <v>1210</v>
      </c>
      <c r="I55" s="242" t="s">
        <v>140</v>
      </c>
      <c r="J55" s="242" t="s">
        <v>140</v>
      </c>
      <c r="L55" s="236"/>
    </row>
    <row r="56" s="235" customFormat="true" ht="12.75" hidden="false" customHeight="false" outlineLevel="0" collapsed="false">
      <c r="A56" s="237" t="n">
        <f aca="false">ROUNDUP('Design Converter'!E42/22,0)</f>
        <v>19</v>
      </c>
      <c r="B56" s="238" t="s">
        <v>147</v>
      </c>
      <c r="C56" s="247" t="n">
        <v>22</v>
      </c>
      <c r="D56" s="249" t="n">
        <f aca="false">C56</f>
        <v>22</v>
      </c>
      <c r="E56" s="249"/>
      <c r="F56" s="249"/>
      <c r="G56" s="241"/>
      <c r="H56" s="242" t="n">
        <v>1210</v>
      </c>
      <c r="I56" s="242" t="s">
        <v>140</v>
      </c>
      <c r="J56" s="242" t="s">
        <v>140</v>
      </c>
      <c r="L56" s="236"/>
    </row>
    <row r="57" s="235" customFormat="true" ht="12.75" hidden="false" customHeight="false" outlineLevel="0" collapsed="false">
      <c r="A57" s="237" t="n">
        <v>1</v>
      </c>
      <c r="B57" s="238" t="s">
        <v>148</v>
      </c>
      <c r="C57" s="239" t="n">
        <f aca="false">'Design Converter'!E59</f>
        <v>100</v>
      </c>
      <c r="D57" s="240" t="n">
        <f aca="false">C57</f>
        <v>100</v>
      </c>
      <c r="E57" s="240"/>
      <c r="F57" s="240"/>
      <c r="G57" s="241"/>
      <c r="H57" s="242" t="s">
        <v>139</v>
      </c>
      <c r="I57" s="242" t="s">
        <v>140</v>
      </c>
      <c r="J57" s="242" t="s">
        <v>140</v>
      </c>
      <c r="L57" s="236"/>
    </row>
    <row r="58" s="235" customFormat="true" ht="12.75" hidden="false" customHeight="false" outlineLevel="0" collapsed="false">
      <c r="A58" s="228" t="n">
        <v>1</v>
      </c>
      <c r="B58" s="229" t="s">
        <v>149</v>
      </c>
      <c r="C58" s="230" t="n">
        <v>1</v>
      </c>
      <c r="D58" s="250" t="n">
        <f aca="false">C58</f>
        <v>1</v>
      </c>
      <c r="E58" s="250"/>
      <c r="F58" s="250"/>
      <c r="G58" s="232"/>
      <c r="H58" s="234" t="s">
        <v>139</v>
      </c>
      <c r="I58" s="234" t="s">
        <v>140</v>
      </c>
      <c r="J58" s="234" t="s">
        <v>140</v>
      </c>
      <c r="L58" s="236"/>
    </row>
    <row r="59" s="235" customFormat="true" ht="12.75" hidden="false" customHeight="false" outlineLevel="0" collapsed="false">
      <c r="A59" s="228" t="n">
        <v>1</v>
      </c>
      <c r="B59" s="229" t="s">
        <v>150</v>
      </c>
      <c r="C59" s="230" t="n">
        <v>0.1</v>
      </c>
      <c r="D59" s="251" t="n">
        <f aca="false">C59</f>
        <v>0.1</v>
      </c>
      <c r="E59" s="251"/>
      <c r="F59" s="251"/>
      <c r="G59" s="232"/>
      <c r="H59" s="234" t="s">
        <v>139</v>
      </c>
      <c r="I59" s="234" t="s">
        <v>140</v>
      </c>
      <c r="J59" s="234" t="s">
        <v>140</v>
      </c>
      <c r="L59" s="236"/>
    </row>
    <row r="60" s="235" customFormat="true" ht="15.75" hidden="false" customHeight="true" outlineLevel="0" collapsed="false">
      <c r="A60" s="228" t="n">
        <v>3</v>
      </c>
      <c r="B60" s="229" t="s">
        <v>151</v>
      </c>
      <c r="C60" s="252" t="s">
        <v>152</v>
      </c>
      <c r="D60" s="253" t="s">
        <v>153</v>
      </c>
      <c r="E60" s="253"/>
      <c r="F60" s="253"/>
      <c r="G60" s="232"/>
      <c r="H60" s="233" t="s">
        <v>154</v>
      </c>
      <c r="I60" s="234" t="s">
        <v>154</v>
      </c>
      <c r="J60" s="234" t="s">
        <v>155</v>
      </c>
      <c r="L60" s="236"/>
    </row>
    <row r="61" s="235" customFormat="true" ht="12.75" hidden="false" customHeight="false" outlineLevel="0" collapsed="false">
      <c r="A61" s="237" t="n">
        <v>1</v>
      </c>
      <c r="B61" s="238" t="s">
        <v>156</v>
      </c>
      <c r="C61" s="254" t="n">
        <f aca="false">'Design Converter'!E16</f>
        <v>4.7</v>
      </c>
      <c r="D61" s="255" t="str">
        <f aca="false">"Inductor, "&amp;Lf*1000000&amp;"µH, "&amp;Rdcr*1000&amp;"mΩ, &gt;"&amp;ROUNDUP(IL_peak_OCP*1.1,0)&amp;"A"</f>
        <v>Inductor, 4.7µH, 3.35mΩ, &gt;19A</v>
      </c>
      <c r="E61" s="255"/>
      <c r="F61" s="255"/>
      <c r="G61" s="255"/>
      <c r="H61" s="242" t="s">
        <v>154</v>
      </c>
      <c r="I61" s="242" t="s">
        <v>154</v>
      </c>
      <c r="J61" s="242" t="s">
        <v>155</v>
      </c>
      <c r="L61" s="236"/>
    </row>
    <row r="62" s="235" customFormat="true" ht="12.75" hidden="false" customHeight="false" outlineLevel="0" collapsed="false">
      <c r="A62" s="228" t="n">
        <v>2</v>
      </c>
      <c r="B62" s="229" t="s">
        <v>157</v>
      </c>
      <c r="C62" s="252" t="s">
        <v>152</v>
      </c>
      <c r="D62" s="256" t="n">
        <f aca="false">'Design Converter'!E87</f>
        <v>5.7</v>
      </c>
      <c r="E62" s="256"/>
      <c r="F62" s="256"/>
      <c r="G62" s="256"/>
      <c r="H62" s="234" t="s">
        <v>140</v>
      </c>
      <c r="I62" s="234" t="str">
        <f aca="false">'Design Converter'!E85</f>
        <v>CSD18563Q5A</v>
      </c>
      <c r="J62" s="234" t="s">
        <v>154</v>
      </c>
      <c r="L62" s="236"/>
    </row>
    <row r="63" s="235" customFormat="true" ht="12.75" hidden="false" customHeight="false" outlineLevel="0" collapsed="false">
      <c r="A63" s="228" t="n">
        <v>2</v>
      </c>
      <c r="B63" s="229" t="s">
        <v>158</v>
      </c>
      <c r="C63" s="252" t="s">
        <v>152</v>
      </c>
      <c r="D63" s="256" t="n">
        <f aca="false">'Design Converter'!E100</f>
        <v>1.9</v>
      </c>
      <c r="E63" s="256"/>
      <c r="F63" s="256"/>
      <c r="G63" s="256"/>
      <c r="H63" s="234" t="s">
        <v>140</v>
      </c>
      <c r="I63" s="234" t="str">
        <f aca="false">'Design Converter'!E98</f>
        <v>CSD16321Q5</v>
      </c>
      <c r="J63" s="234" t="s">
        <v>154</v>
      </c>
      <c r="L63" s="236"/>
    </row>
    <row r="64" s="235" customFormat="true" ht="12.75" hidden="false" customHeight="false" outlineLevel="0" collapsed="false">
      <c r="A64" s="237" t="n">
        <v>1</v>
      </c>
      <c r="B64" s="238" t="s">
        <v>159</v>
      </c>
      <c r="C64" s="257" t="n">
        <f aca="false">'Design Converter'!D78</f>
        <v>6.19</v>
      </c>
      <c r="D64" s="258" t="n">
        <f aca="false">C64</f>
        <v>6.19</v>
      </c>
      <c r="E64" s="258"/>
      <c r="F64" s="258"/>
      <c r="G64" s="258"/>
      <c r="H64" s="242" t="s">
        <v>139</v>
      </c>
      <c r="I64" s="242" t="s">
        <v>140</v>
      </c>
      <c r="J64" s="242" t="s">
        <v>140</v>
      </c>
      <c r="L64" s="236"/>
    </row>
    <row r="65" s="235" customFormat="true" ht="12.75" hidden="false" customHeight="false" outlineLevel="0" collapsed="false">
      <c r="A65" s="237" t="n">
        <v>1</v>
      </c>
      <c r="B65" s="238" t="s">
        <v>160</v>
      </c>
      <c r="C65" s="259" t="n">
        <f aca="false">Rs*1000</f>
        <v>8</v>
      </c>
      <c r="D65" s="260" t="n">
        <f aca="false">C65</f>
        <v>8</v>
      </c>
      <c r="E65" s="260"/>
      <c r="F65" s="260"/>
      <c r="G65" s="260"/>
      <c r="H65" s="242" t="n">
        <v>2512</v>
      </c>
      <c r="I65" s="242" t="s">
        <v>140</v>
      </c>
      <c r="J65" s="242" t="s">
        <v>140</v>
      </c>
      <c r="L65" s="236"/>
    </row>
    <row r="66" s="235" customFormat="true" ht="12.75" hidden="false" customHeight="false" outlineLevel="0" collapsed="false">
      <c r="A66" s="237" t="n">
        <v>1</v>
      </c>
      <c r="B66" s="238" t="s">
        <v>161</v>
      </c>
      <c r="C66" s="259" t="n">
        <f aca="false">'Standard Value Calculator'!O21</f>
        <v>4.12</v>
      </c>
      <c r="D66" s="260" t="n">
        <f aca="false">C66</f>
        <v>4.12</v>
      </c>
      <c r="E66" s="260"/>
      <c r="F66" s="260"/>
      <c r="G66" s="260"/>
      <c r="H66" s="242" t="n">
        <v>2512</v>
      </c>
      <c r="I66" s="242" t="s">
        <v>140</v>
      </c>
      <c r="J66" s="242" t="s">
        <v>140</v>
      </c>
      <c r="L66" s="236"/>
    </row>
    <row r="67" s="235" customFormat="true" ht="12.75" hidden="false" customHeight="false" outlineLevel="0" collapsed="false">
      <c r="A67" s="237" t="n">
        <v>1</v>
      </c>
      <c r="B67" s="238" t="s">
        <v>162</v>
      </c>
      <c r="C67" s="257" t="n">
        <f aca="false">'Design Converter'!E12</f>
        <v>27.4</v>
      </c>
      <c r="D67" s="258" t="n">
        <f aca="false">C67</f>
        <v>27.4</v>
      </c>
      <c r="E67" s="258"/>
      <c r="F67" s="258"/>
      <c r="G67" s="258"/>
      <c r="H67" s="242" t="s">
        <v>139</v>
      </c>
      <c r="I67" s="242" t="s">
        <v>140</v>
      </c>
      <c r="J67" s="242" t="s">
        <v>140</v>
      </c>
      <c r="L67" s="236"/>
    </row>
    <row r="68" s="235" customFormat="true" ht="12.75" hidden="false" customHeight="false" outlineLevel="0" collapsed="false">
      <c r="A68" s="237" t="n">
        <v>1</v>
      </c>
      <c r="B68" s="238" t="s">
        <v>163</v>
      </c>
      <c r="C68" s="257" t="n">
        <f aca="false">'Design Converter'!E73</f>
        <v>280</v>
      </c>
      <c r="D68" s="258" t="n">
        <f aca="false">C68</f>
        <v>280</v>
      </c>
      <c r="E68" s="258"/>
      <c r="F68" s="258"/>
      <c r="G68" s="258"/>
      <c r="H68" s="242" t="s">
        <v>139</v>
      </c>
      <c r="I68" s="242" t="s">
        <v>140</v>
      </c>
      <c r="J68" s="242" t="s">
        <v>140</v>
      </c>
      <c r="L68" s="236"/>
    </row>
    <row r="69" s="235" customFormat="true" ht="12.75" hidden="false" customHeight="false" outlineLevel="0" collapsed="false">
      <c r="A69" s="237" t="n">
        <v>1</v>
      </c>
      <c r="B69" s="238" t="s">
        <v>164</v>
      </c>
      <c r="C69" s="257" t="n">
        <f aca="false">'Design Converter'!E74</f>
        <v>20</v>
      </c>
      <c r="D69" s="258" t="n">
        <f aca="false">C69</f>
        <v>20</v>
      </c>
      <c r="E69" s="258"/>
      <c r="F69" s="258"/>
      <c r="G69" s="258"/>
      <c r="H69" s="242" t="s">
        <v>139</v>
      </c>
      <c r="I69" s="242" t="s">
        <v>140</v>
      </c>
      <c r="J69" s="242" t="s">
        <v>140</v>
      </c>
      <c r="L69" s="236"/>
    </row>
    <row r="70" s="235" customFormat="true" ht="12.75" hidden="false" customHeight="false" outlineLevel="0" collapsed="false">
      <c r="A70" s="228" t="n">
        <v>1</v>
      </c>
      <c r="B70" s="229" t="s">
        <v>165</v>
      </c>
      <c r="C70" s="261" t="n">
        <v>20</v>
      </c>
      <c r="D70" s="262" t="n">
        <f aca="false">C70</f>
        <v>20</v>
      </c>
      <c r="E70" s="262"/>
      <c r="F70" s="262"/>
      <c r="G70" s="262"/>
      <c r="H70" s="234" t="s">
        <v>139</v>
      </c>
      <c r="I70" s="234" t="s">
        <v>140</v>
      </c>
      <c r="J70" s="234" t="s">
        <v>140</v>
      </c>
      <c r="L70" s="236"/>
    </row>
    <row r="71" s="235" customFormat="true" ht="12.75" hidden="false" customHeight="false" outlineLevel="0" collapsed="false">
      <c r="A71" s="228" t="n">
        <v>2</v>
      </c>
      <c r="B71" s="229" t="s">
        <v>166</v>
      </c>
      <c r="C71" s="263" t="n">
        <v>100</v>
      </c>
      <c r="D71" s="264" t="n">
        <f aca="false">C71</f>
        <v>100</v>
      </c>
      <c r="E71" s="264"/>
      <c r="F71" s="264"/>
      <c r="G71" s="264"/>
      <c r="H71" s="234" t="s">
        <v>139</v>
      </c>
      <c r="I71" s="234" t="s">
        <v>140</v>
      </c>
      <c r="J71" s="234" t="s">
        <v>140</v>
      </c>
      <c r="L71" s="236"/>
    </row>
    <row r="72" s="235" customFormat="true" ht="12.75" hidden="false" customHeight="false" outlineLevel="0" collapsed="false">
      <c r="A72" s="237" t="n">
        <v>1</v>
      </c>
      <c r="B72" s="238" t="s">
        <v>167</v>
      </c>
      <c r="C72" s="257" t="n">
        <f aca="false">'Design Converter'!E64</f>
        <v>249</v>
      </c>
      <c r="D72" s="258" t="n">
        <f aca="false">C72</f>
        <v>249</v>
      </c>
      <c r="E72" s="258"/>
      <c r="F72" s="258"/>
      <c r="G72" s="258"/>
      <c r="H72" s="242" t="s">
        <v>139</v>
      </c>
      <c r="I72" s="242" t="s">
        <v>140</v>
      </c>
      <c r="J72" s="242" t="s">
        <v>140</v>
      </c>
      <c r="L72" s="236"/>
    </row>
    <row r="73" s="235" customFormat="true" ht="12.75" hidden="false" customHeight="false" outlineLevel="0" collapsed="false">
      <c r="A73" s="237" t="n">
        <v>1</v>
      </c>
      <c r="B73" s="238" t="s">
        <v>168</v>
      </c>
      <c r="C73" s="257" t="n">
        <f aca="false">'Design Converter'!E65</f>
        <v>57.6</v>
      </c>
      <c r="D73" s="258" t="n">
        <f aca="false">C73</f>
        <v>57.6</v>
      </c>
      <c r="E73" s="258"/>
      <c r="F73" s="258"/>
      <c r="G73" s="258"/>
      <c r="H73" s="242" t="s">
        <v>139</v>
      </c>
      <c r="I73" s="242" t="s">
        <v>140</v>
      </c>
      <c r="J73" s="242" t="s">
        <v>140</v>
      </c>
      <c r="L73" s="236"/>
    </row>
    <row r="74" s="235" customFormat="true" ht="12.75" hidden="false" customHeight="false" outlineLevel="0" collapsed="false">
      <c r="A74" s="228" t="n">
        <v>1</v>
      </c>
      <c r="B74" s="229" t="s">
        <v>169</v>
      </c>
      <c r="C74" s="263" t="n">
        <v>2.2</v>
      </c>
      <c r="D74" s="264" t="n">
        <f aca="false">C74</f>
        <v>2.2</v>
      </c>
      <c r="E74" s="264"/>
      <c r="F74" s="264"/>
      <c r="G74" s="264"/>
      <c r="H74" s="234" t="s">
        <v>139</v>
      </c>
      <c r="I74" s="234" t="s">
        <v>140</v>
      </c>
      <c r="J74" s="234" t="s">
        <v>140</v>
      </c>
      <c r="L74" s="236"/>
    </row>
    <row r="75" s="235" customFormat="true" ht="14.25" hidden="false" customHeight="true" outlineLevel="0" collapsed="false">
      <c r="A75" s="265" t="n">
        <v>1</v>
      </c>
      <c r="B75" s="266" t="s">
        <v>170</v>
      </c>
      <c r="C75" s="267" t="s">
        <v>171</v>
      </c>
      <c r="D75" s="268" t="s">
        <v>172</v>
      </c>
      <c r="E75" s="268"/>
      <c r="F75" s="268"/>
      <c r="G75" s="268"/>
      <c r="H75" s="268" t="s">
        <v>173</v>
      </c>
      <c r="I75" s="268" t="s">
        <v>174</v>
      </c>
      <c r="J75" s="268" t="s">
        <v>175</v>
      </c>
      <c r="L75" s="236"/>
    </row>
    <row r="76" customFormat="false" ht="12.75" hidden="false" customHeight="false" outlineLevel="0" collapsed="false">
      <c r="A76" s="265"/>
      <c r="B76" s="266"/>
      <c r="C76" s="267"/>
      <c r="D76" s="268"/>
      <c r="E76" s="268"/>
      <c r="F76" s="268"/>
      <c r="G76" s="268"/>
      <c r="H76" s="268"/>
      <c r="I76" s="268"/>
      <c r="J76" s="268"/>
    </row>
    <row r="78" customFormat="false" ht="12.75" hidden="false" customHeight="false" outlineLevel="0" collapsed="false">
      <c r="A78" s="269" t="s">
        <v>176</v>
      </c>
    </row>
    <row r="79" customFormat="false" ht="12.75" hidden="false" customHeight="false" outlineLevel="0" collapsed="false">
      <c r="A79" s="38" t="s">
        <v>177</v>
      </c>
      <c r="D79" s="270" t="s">
        <v>178</v>
      </c>
      <c r="E79" s="221" t="s">
        <v>179</v>
      </c>
    </row>
    <row r="80" customFormat="false" ht="12.75" hidden="false" customHeight="false" outlineLevel="0" collapsed="false">
      <c r="A80" s="221" t="s">
        <v>180</v>
      </c>
    </row>
    <row r="81" customFormat="false" ht="12.75" hidden="false" customHeight="false" outlineLevel="0" collapsed="false">
      <c r="A81" s="221" t="s">
        <v>181</v>
      </c>
    </row>
  </sheetData>
  <sheetProtection algorithmName="SHA-512" hashValue="zj1ZOnG5ZLGSkkI2DY+gLCmMrw8P71rfXz4EjDqFTQDrzLYAT9t914azVd1TpbpUEWgsBhQAsjkRT2W6kuKRPg==" saltValue="T/kYANAVyhg7qATEXom6mA==" spinCount="100000" sheet="true" objects="true" selectLockedCells="true" selectUnlockedCells="true"/>
  <mergeCells count="34">
    <mergeCell ref="D48:G48"/>
    <mergeCell ref="D49:F49"/>
    <mergeCell ref="D50:F50"/>
    <mergeCell ref="D51:F51"/>
    <mergeCell ref="D52:F52"/>
    <mergeCell ref="D53:F53"/>
    <mergeCell ref="D54:F54"/>
    <mergeCell ref="D55:F55"/>
    <mergeCell ref="D56:F56"/>
    <mergeCell ref="D57:F57"/>
    <mergeCell ref="D58:F58"/>
    <mergeCell ref="D59:F59"/>
    <mergeCell ref="D60:F60"/>
    <mergeCell ref="D61:G61"/>
    <mergeCell ref="D62:G62"/>
    <mergeCell ref="D63:G63"/>
    <mergeCell ref="D64:G64"/>
    <mergeCell ref="D65:G65"/>
    <mergeCell ref="D66:G66"/>
    <mergeCell ref="D67:G67"/>
    <mergeCell ref="D68:G68"/>
    <mergeCell ref="D69:G69"/>
    <mergeCell ref="D70:G70"/>
    <mergeCell ref="D71:G71"/>
    <mergeCell ref="D72:G72"/>
    <mergeCell ref="D73:G73"/>
    <mergeCell ref="D74:G74"/>
    <mergeCell ref="A75:A76"/>
    <mergeCell ref="B75:B76"/>
    <mergeCell ref="C75:C76"/>
    <mergeCell ref="D75:G76"/>
    <mergeCell ref="H75:H76"/>
    <mergeCell ref="I75:I76"/>
    <mergeCell ref="J75:J76"/>
  </mergeCells>
  <hyperlinks>
    <hyperlink ref="D79" r:id="rId1" display="http://www.ti.com/nexfet"/>
  </hyperlinks>
  <printOptions headings="false" gridLines="false" gridLinesSet="true" horizontalCentered="true" verticalCentered="false"/>
  <pageMargins left="0.229861111111111" right="0.229861111111111" top="0.7" bottom="0.609722222222222" header="0.511811023622047" footer="0.511811023622047"/>
  <pageSetup paperSize="1" scale="46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4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27" activeCellId="0" sqref="M27"/>
    </sheetView>
  </sheetViews>
  <sheetFormatPr defaultColWidth="9.1484375" defaultRowHeight="14.25" zeroHeight="false" outlineLevelRow="0" outlineLevelCol="0"/>
  <cols>
    <col collapsed="false" customWidth="true" hidden="false" outlineLevel="0" max="1" min="1" style="271" width="25.71"/>
    <col collapsed="false" customWidth="true" hidden="false" outlineLevel="0" max="2" min="2" style="272" width="56.57"/>
    <col collapsed="false" customWidth="false" hidden="false" outlineLevel="0" max="11" min="3" style="273" width="9.14"/>
    <col collapsed="false" customWidth="true" hidden="false" outlineLevel="0" max="12" min="12" style="273" width="20.42"/>
    <col collapsed="false" customWidth="false" hidden="false" outlineLevel="0" max="16384" min="13" style="273" width="9.14"/>
  </cols>
  <sheetData>
    <row r="1" customFormat="false" ht="14.25" hidden="false" customHeight="false" outlineLevel="0" collapsed="false">
      <c r="A1" s="274"/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</row>
    <row r="2" customFormat="false" ht="14.25" hidden="false" customHeight="false" outlineLevel="0" collapsed="false">
      <c r="A2" s="274"/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</row>
    <row r="3" customFormat="false" ht="14.25" hidden="false" customHeight="false" outlineLevel="0" collapsed="false">
      <c r="A3" s="274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</row>
    <row r="4" customFormat="false" ht="12.75" hidden="false" customHeight="true" outlineLevel="0" collapsed="false">
      <c r="A4" s="275"/>
      <c r="B4" s="275"/>
      <c r="C4" s="275"/>
      <c r="D4" s="275"/>
      <c r="E4" s="275"/>
      <c r="F4" s="275"/>
      <c r="G4" s="275"/>
      <c r="H4" s="275"/>
      <c r="I4" s="275"/>
      <c r="J4" s="275"/>
      <c r="K4" s="275"/>
      <c r="L4" s="275"/>
    </row>
    <row r="5" customFormat="false" ht="14.25" hidden="false" customHeight="false" outlineLevel="0" collapsed="false">
      <c r="A5" s="276" t="s">
        <v>182</v>
      </c>
      <c r="B5" s="277" t="s">
        <v>183</v>
      </c>
      <c r="C5" s="278"/>
      <c r="D5" s="278"/>
      <c r="E5" s="278"/>
      <c r="F5" s="278"/>
      <c r="G5" s="278"/>
      <c r="H5" s="278"/>
      <c r="I5" s="278"/>
      <c r="J5" s="278"/>
      <c r="K5" s="279"/>
      <c r="L5" s="280"/>
    </row>
    <row r="6" customFormat="false" ht="14.25" hidden="false" customHeight="false" outlineLevel="0" collapsed="false">
      <c r="A6" s="276"/>
      <c r="B6" s="277"/>
      <c r="C6" s="278"/>
      <c r="D6" s="278"/>
      <c r="E6" s="278"/>
      <c r="F6" s="278"/>
      <c r="G6" s="278"/>
      <c r="H6" s="278"/>
      <c r="I6" s="278"/>
      <c r="J6" s="280"/>
      <c r="K6" s="280"/>
      <c r="L6" s="280"/>
    </row>
    <row r="33" customFormat="false" ht="14.25" hidden="false" customHeight="false" outlineLevel="0" collapsed="false">
      <c r="B33" s="281"/>
    </row>
    <row r="34" customFormat="false" ht="14.25" hidden="false" customHeight="false" outlineLevel="0" collapsed="false">
      <c r="B34" s="281"/>
    </row>
    <row r="35" customFormat="false" ht="14.25" hidden="false" customHeight="false" outlineLevel="0" collapsed="false">
      <c r="A35" s="282" t="s">
        <v>184</v>
      </c>
      <c r="B35" s="283"/>
      <c r="C35" s="278"/>
      <c r="D35" s="278"/>
      <c r="E35" s="278"/>
      <c r="F35" s="278"/>
      <c r="G35" s="278"/>
      <c r="H35" s="278"/>
      <c r="I35" s="278"/>
      <c r="J35" s="278"/>
      <c r="K35" s="278"/>
    </row>
    <row r="36" customFormat="false" ht="14.25" hidden="false" customHeight="false" outlineLevel="0" collapsed="false">
      <c r="A36" s="284" t="s">
        <v>185</v>
      </c>
      <c r="B36" s="285" t="s">
        <v>186</v>
      </c>
      <c r="C36" s="285"/>
      <c r="D36" s="285"/>
      <c r="E36" s="285"/>
      <c r="F36" s="285"/>
      <c r="G36" s="285"/>
      <c r="H36" s="285"/>
      <c r="I36" s="285"/>
      <c r="J36" s="285"/>
      <c r="K36" s="285"/>
    </row>
    <row r="37" customFormat="false" ht="14.25" hidden="false" customHeight="false" outlineLevel="0" collapsed="false">
      <c r="A37" s="282" t="s">
        <v>187</v>
      </c>
      <c r="B37" s="286" t="s">
        <v>188</v>
      </c>
      <c r="C37" s="286"/>
      <c r="D37" s="286"/>
      <c r="E37" s="286"/>
      <c r="F37" s="286"/>
      <c r="G37" s="286"/>
      <c r="H37" s="286"/>
      <c r="I37" s="286"/>
      <c r="J37" s="286"/>
      <c r="K37" s="286"/>
    </row>
    <row r="38" customFormat="false" ht="14.25" hidden="false" customHeight="true" outlineLevel="0" collapsed="false">
      <c r="A38" s="282" t="s">
        <v>183</v>
      </c>
      <c r="B38" s="287" t="s">
        <v>189</v>
      </c>
      <c r="C38" s="287"/>
      <c r="D38" s="287"/>
      <c r="E38" s="287"/>
      <c r="F38" s="287"/>
      <c r="G38" s="287"/>
      <c r="H38" s="287"/>
      <c r="I38" s="287"/>
      <c r="J38" s="287"/>
      <c r="K38" s="287"/>
    </row>
    <row r="39" customFormat="false" ht="14.25" hidden="false" customHeight="true" outlineLevel="0" collapsed="false">
      <c r="A39" s="282"/>
      <c r="B39" s="287"/>
      <c r="C39" s="287"/>
      <c r="D39" s="287"/>
      <c r="E39" s="287"/>
      <c r="F39" s="287"/>
      <c r="G39" s="287"/>
      <c r="H39" s="287"/>
      <c r="I39" s="287"/>
      <c r="J39" s="287"/>
      <c r="K39" s="287"/>
    </row>
    <row r="40" customFormat="false" ht="14.25" hidden="false" customHeight="true" outlineLevel="0" collapsed="false">
      <c r="A40" s="282"/>
      <c r="B40" s="287"/>
      <c r="C40" s="287"/>
      <c r="D40" s="287"/>
      <c r="E40" s="287"/>
      <c r="F40" s="287"/>
      <c r="G40" s="287"/>
      <c r="H40" s="287"/>
      <c r="I40" s="287"/>
      <c r="J40" s="287"/>
      <c r="K40" s="287"/>
    </row>
    <row r="41" customFormat="false" ht="14.25" hidden="false" customHeight="true" outlineLevel="0" collapsed="false">
      <c r="A41" s="282"/>
      <c r="B41" s="287"/>
      <c r="C41" s="287"/>
      <c r="D41" s="287"/>
      <c r="E41" s="287"/>
      <c r="F41" s="287"/>
      <c r="G41" s="287"/>
      <c r="H41" s="287"/>
      <c r="I41" s="287"/>
      <c r="J41" s="287"/>
      <c r="K41" s="287"/>
    </row>
    <row r="42" customFormat="false" ht="14.25" hidden="false" customHeight="false" outlineLevel="0" collapsed="false">
      <c r="A42" s="282"/>
      <c r="B42" s="287"/>
      <c r="C42" s="287"/>
      <c r="D42" s="287"/>
      <c r="E42" s="287"/>
      <c r="F42" s="287"/>
      <c r="G42" s="287"/>
      <c r="H42" s="287"/>
      <c r="I42" s="287"/>
      <c r="J42" s="287"/>
      <c r="K42" s="287"/>
    </row>
    <row r="43" customFormat="false" ht="14.25" hidden="false" customHeight="false" outlineLevel="0" collapsed="false">
      <c r="A43" s="282"/>
      <c r="B43" s="287"/>
      <c r="C43" s="287"/>
      <c r="D43" s="287"/>
      <c r="E43" s="287"/>
      <c r="F43" s="287"/>
      <c r="G43" s="287"/>
      <c r="H43" s="287"/>
      <c r="I43" s="287"/>
      <c r="J43" s="287"/>
      <c r="K43" s="287"/>
    </row>
    <row r="44" s="289" customFormat="true" ht="15" hidden="false" customHeight="false" outlineLevel="0" collapsed="false">
      <c r="A44" s="282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8"/>
      <c r="AD44" s="288"/>
      <c r="AE44" s="288"/>
      <c r="AF44" s="288"/>
      <c r="AG44" s="288"/>
      <c r="AH44" s="288"/>
      <c r="AI44" s="288"/>
      <c r="AJ44" s="288"/>
      <c r="AK44" s="288"/>
      <c r="AL44" s="288"/>
      <c r="AM44" s="288"/>
    </row>
    <row r="45" customFormat="false" ht="14.25" hidden="false" customHeight="false" outlineLevel="0" collapsed="false">
      <c r="A45" s="282"/>
      <c r="B45" s="287"/>
      <c r="C45" s="287"/>
      <c r="D45" s="287"/>
      <c r="E45" s="287"/>
      <c r="F45" s="287"/>
      <c r="G45" s="287"/>
      <c r="H45" s="287"/>
      <c r="I45" s="287"/>
      <c r="J45" s="287"/>
      <c r="K45" s="287"/>
    </row>
    <row r="46" customFormat="false" ht="14.25" hidden="false" customHeight="false" outlineLevel="0" collapsed="false">
      <c r="A46" s="282"/>
      <c r="B46" s="287"/>
      <c r="C46" s="287"/>
      <c r="D46" s="287"/>
      <c r="E46" s="287"/>
      <c r="F46" s="287"/>
      <c r="G46" s="287"/>
      <c r="H46" s="287"/>
      <c r="I46" s="287"/>
      <c r="J46" s="287"/>
      <c r="K46" s="287"/>
    </row>
    <row r="47" customFormat="false" ht="14.25" hidden="false" customHeight="false" outlineLevel="0" collapsed="false">
      <c r="A47" s="282"/>
      <c r="B47" s="287"/>
      <c r="C47" s="287"/>
      <c r="D47" s="287"/>
      <c r="E47" s="287"/>
      <c r="F47" s="287"/>
      <c r="G47" s="287"/>
      <c r="H47" s="287"/>
      <c r="I47" s="287"/>
      <c r="J47" s="287"/>
      <c r="K47" s="287"/>
    </row>
  </sheetData>
  <sheetProtection algorithmName="SHA-512" hashValue="cfqtYbv5L/P3/EvlO4ZIWUDPNcy1XoRKIFbmzynkTPAfUklDtPiwHs0U8t4otRD/AXw08QtAHLwGeN91s7MqPg==" saltValue="yZicFNltpoIGlnl26ZwJ1g==" spinCount="100000" sheet="true" objects="true" selectLockedCells="true" selectUnlockedCells="true"/>
  <mergeCells count="14">
    <mergeCell ref="A1:L3"/>
    <mergeCell ref="A4:L4"/>
    <mergeCell ref="B36:K36"/>
    <mergeCell ref="B37:K37"/>
    <mergeCell ref="B38:K38"/>
    <mergeCell ref="B39:K39"/>
    <mergeCell ref="B40:K40"/>
    <mergeCell ref="B41:K41"/>
    <mergeCell ref="B42:K42"/>
    <mergeCell ref="B43:K43"/>
    <mergeCell ref="B44:K44"/>
    <mergeCell ref="B45:K45"/>
    <mergeCell ref="B46:K46"/>
    <mergeCell ref="B47:K4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00FF"/>
    <pageSetUpPr fitToPage="true"/>
  </sheetPr>
  <dimension ref="A1:W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80" workbookViewId="0">
      <selection pane="topLeft" activeCell="L63" activeCellId="0" sqref="L63"/>
    </sheetView>
  </sheetViews>
  <sheetFormatPr defaultColWidth="9.1484375" defaultRowHeight="12.75" zeroHeight="false" outlineLevelRow="0" outlineLevelCol="0"/>
  <cols>
    <col collapsed="false" customWidth="false" hidden="false" outlineLevel="0" max="13" min="1" style="194" width="9.14"/>
    <col collapsed="false" customWidth="true" hidden="false" outlineLevel="0" max="14" min="14" style="194" width="11.85"/>
    <col collapsed="false" customWidth="false" hidden="false" outlineLevel="0" max="16" min="15" style="194" width="9.14"/>
    <col collapsed="false" customWidth="true" hidden="false" outlineLevel="0" max="17" min="17" style="194" width="15.71"/>
    <col collapsed="false" customWidth="false" hidden="false" outlineLevel="0" max="16384" min="18" style="194" width="9.14"/>
  </cols>
  <sheetData>
    <row r="1" s="114" customFormat="true" ht="47.25" hidden="false" customHeight="true" outlineLevel="0" collapsed="false">
      <c r="A1" s="290" t="s">
        <v>190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7"/>
    </row>
    <row r="6" customFormat="false" ht="19.7" hidden="false" customHeight="false" outlineLevel="0" collapsed="false">
      <c r="B6" s="291" t="s">
        <v>191</v>
      </c>
      <c r="M6" s="291" t="s">
        <v>192</v>
      </c>
      <c r="W6" s="291" t="s">
        <v>193</v>
      </c>
    </row>
  </sheetData>
  <mergeCells count="1">
    <mergeCell ref="A1:Q1"/>
  </mergeCells>
  <printOptions headings="false" gridLines="false" gridLinesSet="true" horizontalCentered="false" verticalCentered="false"/>
  <pageMargins left="0.190277777777778" right="0.2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33" activePane="bottomLeft" state="frozen"/>
      <selection pane="topLeft" activeCell="A1" activeCellId="0" sqref="A1"/>
      <selection pane="bottomLeft" activeCell="D65" activeCellId="0" sqref="D65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38.86"/>
    <col collapsed="false" customWidth="true" hidden="false" outlineLevel="0" max="2" min="2" style="0" width="12"/>
    <col collapsed="false" customWidth="true" hidden="false" outlineLevel="0" max="3" min="3" style="292" width="10"/>
    <col collapsed="false" customWidth="true" hidden="false" outlineLevel="0" max="4" min="4" style="0" width="13.42"/>
    <col collapsed="false" customWidth="true" hidden="false" outlineLevel="0" max="5" min="5" style="0" width="11.57"/>
    <col collapsed="false" customWidth="true" hidden="false" outlineLevel="0" max="7" min="7" style="0" width="12.42"/>
    <col collapsed="false" customWidth="true" hidden="false" outlineLevel="0" max="8" min="8" style="0" width="34.71"/>
    <col collapsed="false" customWidth="true" hidden="false" outlineLevel="0" max="10" min="10" style="0" width="12.42"/>
    <col collapsed="false" customWidth="true" hidden="false" outlineLevel="0" max="11" min="11" style="0" width="15.14"/>
    <col collapsed="false" customWidth="true" hidden="false" outlineLevel="0" max="12" min="12" style="0" width="13.29"/>
    <col collapsed="false" customWidth="true" hidden="false" outlineLevel="0" max="14" min="14" style="0" width="7.86"/>
    <col collapsed="false" customWidth="true" hidden="false" outlineLevel="0" max="16" min="16" style="0" width="8.29"/>
  </cols>
  <sheetData>
    <row r="1" customFormat="false" ht="30.75" hidden="false" customHeight="true" outlineLevel="0" collapsed="false">
      <c r="A1" s="293" t="s">
        <v>194</v>
      </c>
      <c r="B1" s="293"/>
      <c r="C1" s="293"/>
      <c r="D1" s="293"/>
      <c r="E1" s="293"/>
      <c r="F1" s="293"/>
      <c r="G1" s="293"/>
      <c r="H1" s="293"/>
      <c r="I1" s="293"/>
    </row>
    <row r="2" customFormat="false" ht="12" hidden="false" customHeight="true" outlineLevel="0" collapsed="false">
      <c r="A2" s="294"/>
      <c r="B2" s="294" t="s">
        <v>195</v>
      </c>
      <c r="C2" s="295"/>
      <c r="E2" s="294"/>
      <c r="F2" s="294"/>
      <c r="G2" s="294"/>
      <c r="H2" s="294"/>
      <c r="I2" s="294"/>
    </row>
    <row r="3" customFormat="false" ht="11.25" hidden="false" customHeight="true" outlineLevel="0" collapsed="false">
      <c r="A3" s="294"/>
      <c r="B3" s="294" t="s">
        <v>196</v>
      </c>
      <c r="C3" s="296"/>
      <c r="E3" s="294"/>
      <c r="F3" s="294"/>
      <c r="G3" s="294"/>
      <c r="H3" s="294"/>
      <c r="I3" s="294"/>
    </row>
    <row r="4" customFormat="false" ht="11.25" hidden="false" customHeight="true" outlineLevel="0" collapsed="false">
      <c r="A4" s="294"/>
      <c r="B4" s="294" t="s">
        <v>197</v>
      </c>
      <c r="C4" s="297"/>
      <c r="E4" s="294"/>
      <c r="F4" s="294"/>
      <c r="G4" s="294"/>
      <c r="H4" s="294"/>
      <c r="I4" s="294"/>
    </row>
    <row r="5" customFormat="false" ht="12.75" hidden="false" customHeight="false" outlineLevel="0" collapsed="false">
      <c r="A5" s="292" t="s">
        <v>198</v>
      </c>
      <c r="B5" s="292" t="s">
        <v>133</v>
      </c>
      <c r="C5" s="292" t="s">
        <v>199</v>
      </c>
      <c r="E5" s="298" t="s">
        <v>200</v>
      </c>
      <c r="F5" s="298"/>
      <c r="G5" s="298"/>
      <c r="H5" s="298"/>
      <c r="I5" s="292" t="s">
        <v>201</v>
      </c>
    </row>
    <row r="6" customFormat="false" ht="15" hidden="false" customHeight="false" outlineLevel="0" collapsed="false">
      <c r="A6" s="299" t="s">
        <v>202</v>
      </c>
      <c r="B6" s="300"/>
      <c r="C6" s="300"/>
      <c r="D6" s="300"/>
      <c r="E6" s="298"/>
      <c r="F6" s="298"/>
      <c r="G6" s="298"/>
      <c r="H6" s="298"/>
      <c r="I6" s="300"/>
    </row>
    <row r="7" customFormat="false" ht="12.75" hidden="false" customHeight="false" outlineLevel="0" collapsed="false">
      <c r="A7" s="301" t="s">
        <v>203</v>
      </c>
      <c r="B7" s="302" t="n">
        <f aca="false">'Design Converter'!E6</f>
        <v>6</v>
      </c>
      <c r="C7" s="303" t="s">
        <v>11</v>
      </c>
      <c r="D7" s="304" t="s">
        <v>204</v>
      </c>
      <c r="E7" s="303"/>
      <c r="F7" s="303"/>
      <c r="G7" s="303"/>
      <c r="H7" s="303"/>
      <c r="I7" s="305" t="n">
        <v>1</v>
      </c>
    </row>
    <row r="8" customFormat="false" ht="12.75" hidden="false" customHeight="false" outlineLevel="0" collapsed="false">
      <c r="A8" s="306"/>
      <c r="B8" s="307" t="n">
        <f aca="false">'Design Converter'!E7</f>
        <v>12</v>
      </c>
      <c r="C8" s="308" t="s">
        <v>11</v>
      </c>
      <c r="D8" s="308" t="s">
        <v>205</v>
      </c>
      <c r="F8" s="308"/>
      <c r="G8" s="308"/>
      <c r="H8" s="308"/>
      <c r="I8" s="309"/>
      <c r="K8" s="310" t="s">
        <v>206</v>
      </c>
      <c r="L8" s="311" t="n">
        <v>1</v>
      </c>
      <c r="M8" s="312" t="s">
        <v>207</v>
      </c>
      <c r="O8" s="313" t="n">
        <v>1</v>
      </c>
    </row>
    <row r="9" customFormat="false" ht="12.75" hidden="false" customHeight="false" outlineLevel="0" collapsed="false">
      <c r="A9" s="306" t="s">
        <v>208</v>
      </c>
      <c r="B9" s="307" t="n">
        <f aca="false">'Design Converter'!E8</f>
        <v>50</v>
      </c>
      <c r="C9" s="308" t="s">
        <v>11</v>
      </c>
      <c r="D9" s="312" t="s">
        <v>209</v>
      </c>
      <c r="F9" s="308"/>
      <c r="G9" s="308"/>
      <c r="H9" s="308"/>
      <c r="I9" s="309"/>
      <c r="K9" s="310" t="s">
        <v>210</v>
      </c>
      <c r="L9" s="311" t="n">
        <v>2</v>
      </c>
      <c r="M9" s="312" t="s">
        <v>211</v>
      </c>
      <c r="O9" s="313" t="n">
        <v>2</v>
      </c>
    </row>
    <row r="10" customFormat="false" ht="12.75" hidden="false" customHeight="false" outlineLevel="0" collapsed="false">
      <c r="A10" s="306" t="s">
        <v>212</v>
      </c>
      <c r="B10" s="314" t="n">
        <f aca="false">B40</f>
        <v>10.303664921466</v>
      </c>
      <c r="C10" s="315" t="s">
        <v>11</v>
      </c>
      <c r="D10" s="312"/>
      <c r="F10" s="308"/>
      <c r="G10" s="308"/>
      <c r="H10" s="308"/>
      <c r="I10" s="309"/>
      <c r="K10" s="316" t="s">
        <v>213</v>
      </c>
      <c r="L10" s="317" t="n">
        <v>1</v>
      </c>
      <c r="M10" s="318" t="s">
        <v>214</v>
      </c>
      <c r="O10" s="319" t="s">
        <v>211</v>
      </c>
      <c r="P10" s="320" t="s">
        <v>215</v>
      </c>
    </row>
    <row r="11" customFormat="false" ht="12.75" hidden="false" customHeight="false" outlineLevel="0" collapsed="false">
      <c r="A11" s="306"/>
      <c r="B11" s="321"/>
      <c r="C11" s="315"/>
      <c r="D11" s="312"/>
      <c r="F11" s="308"/>
      <c r="G11" s="308"/>
      <c r="H11" s="308"/>
      <c r="I11" s="309"/>
    </row>
    <row r="12" customFormat="false" ht="12.75" hidden="false" customHeight="false" outlineLevel="0" collapsed="false">
      <c r="A12" s="322" t="s">
        <v>216</v>
      </c>
      <c r="B12" s="307" t="n">
        <f aca="false">'Design Converter'!E9</f>
        <v>12</v>
      </c>
      <c r="C12" s="308" t="s">
        <v>11</v>
      </c>
      <c r="D12" s="308" t="s">
        <v>217</v>
      </c>
      <c r="F12" s="308"/>
      <c r="G12" s="308"/>
      <c r="H12" s="308"/>
      <c r="I12" s="309" t="n">
        <v>1</v>
      </c>
    </row>
    <row r="13" customFormat="false" ht="12.75" hidden="false" customHeight="false" outlineLevel="0" collapsed="false">
      <c r="A13" s="322" t="s">
        <v>218</v>
      </c>
      <c r="B13" s="307" t="n">
        <f aca="false">'Design Converter'!E10</f>
        <v>6</v>
      </c>
      <c r="C13" s="308" t="s">
        <v>16</v>
      </c>
      <c r="D13" s="312" t="s">
        <v>219</v>
      </c>
      <c r="F13" s="308"/>
      <c r="G13" s="308"/>
      <c r="H13" s="308"/>
      <c r="I13" s="309" t="n">
        <v>1</v>
      </c>
    </row>
    <row r="14" customFormat="false" ht="12.75" hidden="false" customHeight="false" outlineLevel="0" collapsed="false">
      <c r="A14" s="306" t="s">
        <v>220</v>
      </c>
      <c r="B14" s="323" t="n">
        <f aca="false">Vout/Iout</f>
        <v>2</v>
      </c>
      <c r="C14" s="324" t="s">
        <v>40</v>
      </c>
      <c r="D14" s="325" t="s">
        <v>221</v>
      </c>
      <c r="F14" s="308"/>
      <c r="G14" s="308"/>
      <c r="H14" s="308"/>
      <c r="I14" s="309"/>
    </row>
    <row r="15" customFormat="false" ht="12.75" hidden="false" customHeight="false" outlineLevel="0" collapsed="false">
      <c r="A15" s="306" t="s">
        <v>222</v>
      </c>
      <c r="B15" s="323" t="n">
        <f aca="false">Vout*Iout</f>
        <v>72</v>
      </c>
      <c r="C15" s="315" t="s">
        <v>40</v>
      </c>
      <c r="D15" s="325" t="s">
        <v>223</v>
      </c>
      <c r="F15" s="308"/>
      <c r="G15" s="308"/>
      <c r="H15" s="308"/>
      <c r="I15" s="309"/>
    </row>
    <row r="16" customFormat="false" ht="12.75" hidden="false" customHeight="false" outlineLevel="0" collapsed="false">
      <c r="A16" s="306" t="s">
        <v>224</v>
      </c>
      <c r="B16" s="326" t="n">
        <v>0.9</v>
      </c>
      <c r="C16" s="315"/>
      <c r="D16" s="327" t="s">
        <v>225</v>
      </c>
      <c r="F16" s="308"/>
      <c r="G16" s="308"/>
      <c r="H16" s="308"/>
      <c r="I16" s="309"/>
    </row>
    <row r="17" customFormat="false" ht="12.75" hidden="false" customHeight="false" outlineLevel="0" collapsed="false">
      <c r="A17" s="306" t="s">
        <v>226</v>
      </c>
      <c r="B17" s="328" t="n">
        <f aca="false">Pout/Efficiency</f>
        <v>80</v>
      </c>
      <c r="C17" s="315" t="s">
        <v>40</v>
      </c>
      <c r="D17" s="325" t="s">
        <v>227</v>
      </c>
      <c r="F17" s="308"/>
      <c r="G17" s="308"/>
      <c r="H17" s="308"/>
      <c r="I17" s="309"/>
    </row>
    <row r="18" customFormat="false" ht="12.75" hidden="false" customHeight="false" outlineLevel="0" collapsed="false">
      <c r="A18" s="306" t="s">
        <v>228</v>
      </c>
      <c r="B18" s="329" t="n">
        <f aca="false">Pin/VIN_min</f>
        <v>13.3333333333333</v>
      </c>
      <c r="C18" s="315" t="s">
        <v>16</v>
      </c>
      <c r="D18" s="312"/>
      <c r="F18" s="308"/>
      <c r="G18" s="308"/>
      <c r="H18" s="308"/>
      <c r="I18" s="309"/>
    </row>
    <row r="19" customFormat="false" ht="12.75" hidden="false" customHeight="false" outlineLevel="0" collapsed="false">
      <c r="A19" s="306" t="s">
        <v>229</v>
      </c>
      <c r="B19" s="329" t="n">
        <f aca="false">Pin/VIN_nom</f>
        <v>6.66666666666667</v>
      </c>
      <c r="C19" s="315" t="s">
        <v>16</v>
      </c>
      <c r="D19" s="325" t="s">
        <v>230</v>
      </c>
      <c r="F19" s="308"/>
      <c r="G19" s="308"/>
      <c r="H19" s="308"/>
      <c r="I19" s="309"/>
    </row>
    <row r="20" customFormat="false" ht="12.75" hidden="false" customHeight="false" outlineLevel="0" collapsed="false">
      <c r="A20" s="306" t="s">
        <v>231</v>
      </c>
      <c r="B20" s="329" t="n">
        <f aca="false">Pin/VIN_max</f>
        <v>1.6</v>
      </c>
      <c r="C20" s="315" t="s">
        <v>16</v>
      </c>
      <c r="D20" s="312"/>
      <c r="F20" s="308"/>
      <c r="G20" s="308"/>
      <c r="H20" s="308"/>
      <c r="I20" s="309"/>
    </row>
    <row r="21" customFormat="false" ht="12.75" hidden="false" customHeight="false" outlineLevel="0" collapsed="false">
      <c r="A21" s="306"/>
      <c r="B21" s="315"/>
      <c r="C21" s="315"/>
      <c r="D21" s="312"/>
      <c r="F21" s="308"/>
      <c r="G21" s="308"/>
      <c r="H21" s="308"/>
      <c r="I21" s="309"/>
    </row>
    <row r="22" customFormat="false" ht="12.75" hidden="false" customHeight="false" outlineLevel="0" collapsed="false">
      <c r="A22" s="306" t="s">
        <v>232</v>
      </c>
      <c r="B22" s="330" t="n">
        <f aca="false">'Design Converter'!E11*1000</f>
        <v>300000</v>
      </c>
      <c r="C22" s="312" t="s">
        <v>83</v>
      </c>
      <c r="D22" s="312" t="s">
        <v>233</v>
      </c>
      <c r="F22" s="308"/>
      <c r="G22" s="308"/>
      <c r="H22" s="308"/>
      <c r="I22" s="309" t="n">
        <v>1</v>
      </c>
    </row>
    <row r="23" customFormat="false" ht="12.75" hidden="false" customHeight="false" outlineLevel="0" collapsed="false">
      <c r="A23" s="306" t="s">
        <v>234</v>
      </c>
      <c r="B23" s="331" t="n">
        <f aca="false">1/Fsw</f>
        <v>3.33333333333333E-006</v>
      </c>
      <c r="C23" s="325" t="s">
        <v>235</v>
      </c>
      <c r="D23" s="312" t="s">
        <v>236</v>
      </c>
      <c r="F23" s="308"/>
      <c r="G23" s="308"/>
      <c r="H23" s="308"/>
      <c r="I23" s="309"/>
    </row>
    <row r="24" customFormat="false" ht="12.75" hidden="false" customHeight="false" outlineLevel="0" collapsed="false">
      <c r="A24" s="306" t="s">
        <v>237</v>
      </c>
      <c r="B24" s="326" t="n">
        <v>0.8</v>
      </c>
      <c r="C24" s="308" t="s">
        <v>11</v>
      </c>
      <c r="D24" s="308" t="s">
        <v>238</v>
      </c>
      <c r="F24" s="308"/>
      <c r="G24" s="308"/>
      <c r="H24" s="308"/>
      <c r="I24" s="309"/>
    </row>
    <row r="25" customFormat="false" ht="12.75" hidden="false" customHeight="false" outlineLevel="0" collapsed="false">
      <c r="A25" s="306" t="s">
        <v>239</v>
      </c>
      <c r="B25" s="332" t="n">
        <f aca="false">((1/Fsw)-190*10^-9)/(116*10^-12)</f>
        <v>27097.7011494253</v>
      </c>
      <c r="C25" s="324" t="s">
        <v>40</v>
      </c>
      <c r="D25" s="315" t="s">
        <v>240</v>
      </c>
      <c r="F25" s="333" t="s">
        <v>241</v>
      </c>
      <c r="G25" s="308"/>
      <c r="H25" s="308"/>
      <c r="I25" s="309"/>
    </row>
    <row r="26" customFormat="false" ht="12.75" hidden="false" customHeight="false" outlineLevel="0" collapsed="false">
      <c r="A26" s="306"/>
      <c r="B26" s="334"/>
      <c r="C26" s="324"/>
      <c r="D26" s="315"/>
      <c r="F26" s="308"/>
      <c r="G26" s="308"/>
      <c r="H26" s="308"/>
      <c r="I26" s="309"/>
    </row>
    <row r="27" customFormat="false" ht="12.75" hidden="false" customHeight="false" outlineLevel="0" collapsed="false">
      <c r="A27" s="306"/>
      <c r="B27" s="334"/>
      <c r="C27" s="324"/>
      <c r="D27" s="315"/>
      <c r="F27" s="308"/>
      <c r="G27" s="308"/>
      <c r="H27" s="308"/>
      <c r="I27" s="309"/>
    </row>
    <row r="28" customFormat="false" ht="12.75" hidden="false" customHeight="false" outlineLevel="0" collapsed="false">
      <c r="A28" s="325" t="s">
        <v>242</v>
      </c>
      <c r="B28" s="335" t="n">
        <v>3E-007</v>
      </c>
      <c r="C28" s="312" t="s">
        <v>235</v>
      </c>
      <c r="D28" s="312" t="s">
        <v>243</v>
      </c>
      <c r="E28" s="336" t="s">
        <v>244</v>
      </c>
      <c r="F28" s="308"/>
      <c r="G28" s="308"/>
      <c r="H28" s="308"/>
      <c r="I28" s="309"/>
    </row>
    <row r="29" customFormat="false" ht="12.75" hidden="false" customHeight="false" outlineLevel="0" collapsed="false">
      <c r="A29" s="325" t="s">
        <v>245</v>
      </c>
      <c r="B29" s="337" t="n">
        <f aca="false">0.0000003</f>
        <v>3E-007</v>
      </c>
      <c r="C29" s="312" t="s">
        <v>235</v>
      </c>
      <c r="D29" s="312" t="s">
        <v>246</v>
      </c>
      <c r="E29" s="336" t="s">
        <v>247</v>
      </c>
      <c r="F29" s="308"/>
      <c r="G29" s="308"/>
      <c r="H29" s="308"/>
      <c r="I29" s="309"/>
    </row>
    <row r="30" customFormat="false" ht="12.75" hidden="false" customHeight="false" outlineLevel="0" collapsed="false">
      <c r="A30" s="325" t="s">
        <v>248</v>
      </c>
      <c r="B30" s="338" t="n">
        <v>1.2E-006</v>
      </c>
      <c r="C30" s="312" t="s">
        <v>235</v>
      </c>
      <c r="D30" s="308"/>
      <c r="E30" s="300" t="s">
        <v>249</v>
      </c>
      <c r="F30" s="308"/>
      <c r="G30" s="308"/>
      <c r="H30" s="308"/>
      <c r="I30" s="309"/>
    </row>
    <row r="31" customFormat="false" ht="12.75" hidden="false" customHeight="false" outlineLevel="0" collapsed="false">
      <c r="A31" s="325"/>
      <c r="B31" s="338"/>
      <c r="C31" s="312"/>
      <c r="D31" s="308"/>
      <c r="E31" s="312"/>
      <c r="F31" s="308"/>
      <c r="G31" s="308"/>
      <c r="H31" s="308"/>
      <c r="I31" s="309"/>
    </row>
    <row r="32" customFormat="false" ht="12.75" hidden="false" customHeight="false" outlineLevel="0" collapsed="false">
      <c r="A32" s="325" t="s">
        <v>250</v>
      </c>
      <c r="B32" s="339" t="n">
        <f aca="false">Ton_min_boost/Ts</f>
        <v>0.09</v>
      </c>
      <c r="C32" s="308"/>
      <c r="D32" s="308"/>
      <c r="E32" s="312"/>
      <c r="F32" s="308"/>
      <c r="G32" s="308"/>
      <c r="H32" s="308"/>
      <c r="I32" s="309"/>
    </row>
    <row r="33" customFormat="false" ht="12.75" hidden="false" customHeight="false" outlineLevel="0" collapsed="false">
      <c r="A33" s="325" t="s">
        <v>251</v>
      </c>
      <c r="B33" s="339" t="n">
        <f aca="false">B30/(2*Ts)</f>
        <v>0.18</v>
      </c>
      <c r="C33" s="308"/>
      <c r="D33" s="308"/>
      <c r="E33" s="312"/>
      <c r="F33" s="308"/>
      <c r="G33" s="308"/>
      <c r="H33" s="308"/>
      <c r="I33" s="309"/>
    </row>
    <row r="34" customFormat="false" ht="12.75" hidden="false" customHeight="false" outlineLevel="0" collapsed="false">
      <c r="A34" s="325" t="s">
        <v>252</v>
      </c>
      <c r="B34" s="340" t="n">
        <f aca="false">1-B28/(2*Ts)</f>
        <v>0.955</v>
      </c>
      <c r="C34" s="308"/>
      <c r="D34" s="308"/>
      <c r="E34" s="312"/>
      <c r="F34" s="308"/>
      <c r="G34" s="308"/>
      <c r="H34" s="308"/>
      <c r="I34" s="309"/>
    </row>
    <row r="35" customFormat="false" ht="12.75" hidden="false" customHeight="false" outlineLevel="0" collapsed="false">
      <c r="A35" s="306"/>
      <c r="B35" s="341"/>
      <c r="C35" s="324"/>
      <c r="D35" s="315"/>
      <c r="F35" s="308"/>
      <c r="G35" s="308"/>
      <c r="H35" s="308"/>
      <c r="I35" s="309"/>
    </row>
    <row r="36" customFormat="false" ht="12.75" hidden="false" customHeight="false" outlineLevel="0" collapsed="false">
      <c r="A36" s="325" t="s">
        <v>253</v>
      </c>
      <c r="B36" s="340" t="n">
        <f aca="false">Ton_min_boost/(2*Ts)</f>
        <v>0.045</v>
      </c>
      <c r="C36" s="308"/>
      <c r="D36" s="315"/>
      <c r="F36" s="308"/>
      <c r="G36" s="308"/>
      <c r="H36" s="308"/>
      <c r="I36" s="309"/>
    </row>
    <row r="37" customFormat="false" ht="12.75" hidden="false" customHeight="false" outlineLevel="0" collapsed="false">
      <c r="A37" s="325" t="s">
        <v>254</v>
      </c>
      <c r="B37" s="340" t="n">
        <f aca="false">1-B30/(2*Ts)</f>
        <v>0.82</v>
      </c>
      <c r="C37" s="308"/>
      <c r="D37" s="315"/>
      <c r="F37" s="308"/>
      <c r="G37" s="308"/>
      <c r="H37" s="308"/>
      <c r="I37" s="309"/>
    </row>
    <row r="38" customFormat="false" ht="12.75" hidden="false" customHeight="false" outlineLevel="0" collapsed="false">
      <c r="A38" s="325" t="s">
        <v>255</v>
      </c>
      <c r="B38" s="340" t="n">
        <f aca="false">1-Toff_min_buck/Ts</f>
        <v>0.91</v>
      </c>
      <c r="C38" s="308"/>
      <c r="D38" s="315"/>
      <c r="F38" s="308"/>
      <c r="G38" s="308"/>
      <c r="H38" s="308"/>
      <c r="I38" s="309"/>
    </row>
    <row r="39" customFormat="false" ht="12.75" hidden="false" customHeight="false" outlineLevel="0" collapsed="false">
      <c r="D39" s="315"/>
      <c r="F39" s="308"/>
      <c r="G39" s="308"/>
      <c r="H39" s="308"/>
      <c r="I39" s="309"/>
    </row>
    <row r="40" customFormat="false" ht="12.75" hidden="false" customHeight="false" outlineLevel="0" collapsed="false">
      <c r="A40" s="325" t="s">
        <v>256</v>
      </c>
      <c r="B40" s="342" t="n">
        <f aca="false">Vout*(1-B33)/B34</f>
        <v>10.303664921466</v>
      </c>
      <c r="C40" s="312" t="s">
        <v>11</v>
      </c>
      <c r="D40" s="315"/>
      <c r="F40" s="308"/>
      <c r="G40" s="308"/>
      <c r="H40" s="308"/>
      <c r="I40" s="309"/>
    </row>
    <row r="41" customFormat="false" ht="12.75" hidden="false" customHeight="false" outlineLevel="0" collapsed="false">
      <c r="A41" s="325" t="s">
        <v>257</v>
      </c>
      <c r="B41" s="343" t="n">
        <f aca="false">Vout*(1-B32)</f>
        <v>10.92</v>
      </c>
      <c r="C41" s="312" t="s">
        <v>11</v>
      </c>
      <c r="D41" s="315"/>
      <c r="F41" s="308"/>
      <c r="G41" s="308"/>
      <c r="H41" s="308"/>
      <c r="I41" s="309"/>
    </row>
    <row r="42" customFormat="false" ht="12.75" hidden="false" customHeight="false" outlineLevel="0" collapsed="false">
      <c r="A42" s="325" t="s">
        <v>258</v>
      </c>
      <c r="B42" s="344" t="n">
        <f aca="false">Vout/B38</f>
        <v>13.1868131868132</v>
      </c>
      <c r="C42" s="312" t="s">
        <v>11</v>
      </c>
      <c r="D42" s="315"/>
      <c r="F42" s="308"/>
      <c r="G42" s="308"/>
      <c r="H42" s="308"/>
      <c r="I42" s="309"/>
    </row>
    <row r="43" customFormat="false" ht="12.75" hidden="false" customHeight="false" outlineLevel="0" collapsed="false">
      <c r="A43" s="325" t="s">
        <v>259</v>
      </c>
      <c r="B43" s="344" t="n">
        <f aca="false">Vout/B37*(1-B36)</f>
        <v>13.9756097560976</v>
      </c>
      <c r="C43" s="312" t="s">
        <v>11</v>
      </c>
      <c r="D43" s="315"/>
      <c r="F43" s="308"/>
      <c r="G43" s="308"/>
      <c r="H43" s="308"/>
      <c r="I43" s="309"/>
    </row>
    <row r="44" customFormat="false" ht="12.75" hidden="false" customHeight="false" outlineLevel="0" collapsed="false">
      <c r="A44" s="345"/>
      <c r="B44" s="346"/>
      <c r="C44" s="347"/>
      <c r="D44" s="347"/>
      <c r="E44" s="347"/>
      <c r="F44" s="347"/>
      <c r="G44" s="347"/>
      <c r="H44" s="347"/>
      <c r="I44" s="348"/>
    </row>
    <row r="45" customFormat="false" ht="12.75" hidden="false" customHeight="false" outlineLevel="0" collapsed="false">
      <c r="A45" s="308"/>
      <c r="B45" s="308"/>
      <c r="C45" s="300"/>
      <c r="D45" s="308"/>
      <c r="E45" s="308"/>
      <c r="F45" s="308"/>
      <c r="G45" s="308"/>
      <c r="H45" s="308"/>
      <c r="I45" s="308"/>
    </row>
    <row r="46" customFormat="false" ht="12.75" hidden="false" customHeight="false" outlineLevel="0" collapsed="false">
      <c r="A46" s="308"/>
      <c r="B46" s="308"/>
      <c r="C46" s="300"/>
      <c r="D46" s="308"/>
      <c r="E46" s="308"/>
      <c r="F46" s="308"/>
      <c r="G46" s="308"/>
      <c r="H46" s="308"/>
      <c r="I46" s="308"/>
    </row>
    <row r="47" customFormat="false" ht="15" hidden="false" customHeight="false" outlineLevel="0" collapsed="false">
      <c r="A47" s="299" t="s">
        <v>21</v>
      </c>
      <c r="B47" s="300"/>
      <c r="C47" s="300"/>
      <c r="E47" s="308"/>
      <c r="F47" s="308"/>
      <c r="G47" s="308"/>
      <c r="H47" s="308"/>
      <c r="I47" s="308"/>
    </row>
    <row r="48" customFormat="false" ht="12.75" hidden="false" customHeight="false" outlineLevel="0" collapsed="false">
      <c r="A48" s="301" t="s">
        <v>260</v>
      </c>
      <c r="B48" s="349" t="n">
        <f aca="false">Vout/VIN_nom</f>
        <v>1</v>
      </c>
      <c r="C48" s="350" t="n">
        <f aca="false">(Vout-VIN_nom)/Vout</f>
        <v>0</v>
      </c>
      <c r="D48" s="351"/>
      <c r="E48" s="304" t="s">
        <v>261</v>
      </c>
      <c r="F48" s="303"/>
      <c r="G48" s="303"/>
      <c r="H48" s="303"/>
      <c r="I48" s="305" t="n">
        <v>1</v>
      </c>
    </row>
    <row r="49" customFormat="false" ht="12.75" hidden="false" customHeight="false" outlineLevel="0" collapsed="false">
      <c r="A49" s="306" t="s">
        <v>262</v>
      </c>
      <c r="B49" s="352" t="n">
        <f aca="false">1-48:48</f>
        <v>0</v>
      </c>
      <c r="E49" s="312" t="s">
        <v>263</v>
      </c>
      <c r="F49" s="308"/>
      <c r="G49" s="308"/>
      <c r="H49" s="308"/>
      <c r="I49" s="309" t="n">
        <v>1</v>
      </c>
    </row>
    <row r="50" customFormat="false" ht="12.75" hidden="false" customHeight="false" outlineLevel="0" collapsed="false">
      <c r="A50" s="320"/>
      <c r="E50" s="312"/>
      <c r="F50" s="308"/>
      <c r="G50" s="308"/>
      <c r="H50" s="308"/>
      <c r="I50" s="309"/>
    </row>
    <row r="51" customFormat="false" ht="12.75" hidden="false" customHeight="false" outlineLevel="0" collapsed="false">
      <c r="A51" s="306" t="s">
        <v>264</v>
      </c>
      <c r="B51" s="353" t="n">
        <f aca="false">IF(VIN_min&gt;Vout, Vout/VIN_min, (Vout-VIN_min)/Vout)</f>
        <v>0.5</v>
      </c>
      <c r="C51" s="308" t="str">
        <f aca="false">IF(VIN_min&gt;Vout, "BUCK", "BOOST")</f>
        <v>BOOST</v>
      </c>
      <c r="E51" s="312"/>
      <c r="F51" s="308"/>
      <c r="G51" s="308"/>
      <c r="H51" s="308"/>
      <c r="I51" s="309"/>
    </row>
    <row r="52" customFormat="false" ht="12.75" hidden="false" customHeight="false" outlineLevel="0" collapsed="false">
      <c r="A52" s="306" t="s">
        <v>265</v>
      </c>
      <c r="B52" s="353" t="n">
        <f aca="false">IF(VIN_nom&gt;Vout, Vout/VIN_nom, (Vout-VIN_nom)/Vout)</f>
        <v>0</v>
      </c>
      <c r="C52" s="308" t="str">
        <f aca="false">IF(VIN_nom&gt;Vout, "BUCK", "BOOST")</f>
        <v>BOOST</v>
      </c>
      <c r="F52" s="308"/>
      <c r="G52" s="308"/>
      <c r="H52" s="308"/>
      <c r="I52" s="309"/>
    </row>
    <row r="53" customFormat="false" ht="12.75" hidden="false" customHeight="false" outlineLevel="0" collapsed="false">
      <c r="A53" s="306" t="s">
        <v>266</v>
      </c>
      <c r="B53" s="353" t="n">
        <f aca="false">IF(VIN_max&gt;Vout, Vout/VIN_max, (Vout-VIN_max)/Vout)</f>
        <v>0.24</v>
      </c>
      <c r="C53" s="308" t="str">
        <f aca="false">IF(VIN_max&gt;Vout, "BUCK", "BOOST")</f>
        <v>BUCK</v>
      </c>
      <c r="E53" s="312"/>
      <c r="F53" s="308"/>
      <c r="G53" s="308"/>
      <c r="H53" s="308"/>
      <c r="I53" s="309"/>
    </row>
    <row r="54" customFormat="false" ht="12.75" hidden="false" customHeight="false" outlineLevel="0" collapsed="false">
      <c r="A54" s="325" t="s">
        <v>267</v>
      </c>
      <c r="B54" s="353" t="n">
        <f aca="false">B33</f>
        <v>0.18</v>
      </c>
      <c r="C54" s="312" t="s">
        <v>268</v>
      </c>
      <c r="E54" s="312"/>
      <c r="F54" s="308"/>
      <c r="G54" s="308"/>
      <c r="H54" s="308"/>
      <c r="I54" s="309"/>
    </row>
    <row r="55" customFormat="false" ht="12.75" hidden="false" customHeight="false" outlineLevel="0" collapsed="false">
      <c r="A55" s="320"/>
      <c r="B55" s="308"/>
      <c r="C55" s="308"/>
      <c r="D55" s="308"/>
      <c r="E55" s="312"/>
      <c r="F55" s="308"/>
      <c r="G55" s="308"/>
      <c r="H55" s="308"/>
      <c r="I55" s="309"/>
    </row>
    <row r="56" customFormat="false" ht="12.75" hidden="false" customHeight="false" outlineLevel="0" collapsed="false">
      <c r="A56" s="306" t="s">
        <v>269</v>
      </c>
      <c r="B56" s="354" t="n">
        <f aca="false">(VIN_min-Vout)*Don_Vinmin/(Fsw*Iout*0.3)</f>
        <v>-5.55555555555556E-006</v>
      </c>
      <c r="C56" s="354" t="n">
        <f aca="false">VIN_min/(Iin_Vinmin*0.3*Fsw)*(1-VIN_min/Vout)</f>
        <v>2.5E-006</v>
      </c>
      <c r="D56" s="312" t="s">
        <v>270</v>
      </c>
      <c r="F56" s="308"/>
      <c r="G56" s="308"/>
      <c r="H56" s="308"/>
      <c r="I56" s="309"/>
    </row>
    <row r="57" customFormat="false" ht="12.75" hidden="false" customHeight="false" outlineLevel="0" collapsed="false">
      <c r="A57" s="306" t="s">
        <v>271</v>
      </c>
      <c r="B57" s="354" t="n">
        <f aca="false">(VIN_nom-Vout)*Don_Vinnom/(Fsw*Iout*0.4)</f>
        <v>0</v>
      </c>
      <c r="C57" s="354" t="n">
        <f aca="false">VIN_nom/(Iin_Vinnom*0.4*Fsw)*(1-VIN_nom/Vout)</f>
        <v>0</v>
      </c>
      <c r="D57" s="308" t="s">
        <v>270</v>
      </c>
      <c r="F57" s="308"/>
      <c r="G57" s="308"/>
      <c r="H57" s="308"/>
      <c r="I57" s="309" t="n">
        <v>1</v>
      </c>
    </row>
    <row r="58" customFormat="false" ht="12.75" hidden="false" customHeight="false" outlineLevel="0" collapsed="false">
      <c r="A58" s="306" t="s">
        <v>272</v>
      </c>
      <c r="B58" s="354" t="n">
        <f aca="false">(VIN_max-Vout)*Don_Vinmax/(Fsw*Iout*0.3)</f>
        <v>1.68888888888889E-005</v>
      </c>
      <c r="C58" s="354" t="n">
        <f aca="false">VIN_max/(Iin_Vinmax*0.3*Fsw)*(1-VIN_max/Vout)</f>
        <v>-0.00109953703703704</v>
      </c>
      <c r="D58" s="312" t="s">
        <v>270</v>
      </c>
      <c r="F58" s="308"/>
      <c r="G58" s="308"/>
      <c r="H58" s="308"/>
      <c r="I58" s="309"/>
    </row>
    <row r="59" customFormat="false" ht="12.75" hidden="false" customHeight="false" outlineLevel="0" collapsed="false">
      <c r="A59" s="320"/>
      <c r="I59" s="309"/>
    </row>
    <row r="60" customFormat="false" ht="12.75" hidden="false" customHeight="false" outlineLevel="0" collapsed="false">
      <c r="A60" s="325" t="s">
        <v>273</v>
      </c>
      <c r="B60" s="355" t="n">
        <f aca="false">IF(VIN_min&gt;Vout, (VIN_min-Vout)*Don_Vinmin/(Fsw*Iout*0.3), VIN_min/(Iin_Vinmin*0.3*Fsw)*(1-VIN_min/Vout))</f>
        <v>2.5E-006</v>
      </c>
      <c r="C60" s="312" t="s">
        <v>270</v>
      </c>
      <c r="D60" s="308" t="str">
        <f aca="false">IF(VIN_min&gt;Vout, "BUCK", "BOOST")</f>
        <v>BOOST</v>
      </c>
      <c r="E60" s="312" t="s">
        <v>274</v>
      </c>
      <c r="F60" s="308"/>
      <c r="G60" s="308"/>
      <c r="H60" s="308"/>
      <c r="I60" s="309"/>
    </row>
    <row r="61" customFormat="false" ht="12.75" hidden="false" customHeight="false" outlineLevel="0" collapsed="false">
      <c r="A61" s="325" t="s">
        <v>275</v>
      </c>
      <c r="B61" s="355" t="n">
        <f aca="false">IF(VIN_nom&gt;Vout, (VIN_nom-Vout)*Don_Vinnom/(Fsw*Iout*0.4), VIN_nom/(Iin_Vinnom*0.4*Fsw)*(1-VIN_nom/Vout))</f>
        <v>0</v>
      </c>
      <c r="C61" s="308" t="s">
        <v>270</v>
      </c>
      <c r="D61" s="308" t="str">
        <f aca="false">IF(VIN_nom&gt;Vout, "BUCK", "BOOST")</f>
        <v>BOOST</v>
      </c>
      <c r="E61" s="312" t="s">
        <v>276</v>
      </c>
      <c r="F61" s="308"/>
      <c r="G61" s="308"/>
      <c r="H61" s="308"/>
      <c r="I61" s="309"/>
    </row>
    <row r="62" customFormat="false" ht="12.75" hidden="false" customHeight="false" outlineLevel="0" collapsed="false">
      <c r="A62" s="325" t="s">
        <v>277</v>
      </c>
      <c r="B62" s="355" t="n">
        <f aca="false">IF(VIN_max&gt;Vout, (VIN_max-Vout)*Don_Vinmax/(Fsw*Iout*0.8), VIN_max/(Iin_Vinmax*0.8*Fsw)*(1-VIN_max/Vout))</f>
        <v>6.33333333333333E-006</v>
      </c>
      <c r="C62" s="312" t="s">
        <v>270</v>
      </c>
      <c r="D62" s="308" t="str">
        <f aca="false">IF(VIN_max&gt;Vout, "BUCK", "BOOST")</f>
        <v>BUCK</v>
      </c>
      <c r="E62" s="312" t="s">
        <v>278</v>
      </c>
      <c r="F62" s="308"/>
      <c r="G62" s="308"/>
      <c r="H62" s="308"/>
      <c r="I62" s="309"/>
    </row>
    <row r="63" customFormat="false" ht="12.75" hidden="false" customHeight="false" outlineLevel="0" collapsed="false">
      <c r="A63" s="320"/>
      <c r="B63" s="308"/>
      <c r="C63" s="312"/>
      <c r="D63" s="308"/>
      <c r="E63" s="312"/>
      <c r="F63" s="308"/>
      <c r="G63" s="308"/>
      <c r="H63" s="308"/>
      <c r="I63" s="309"/>
    </row>
    <row r="64" customFormat="false" ht="12.75" hidden="false" customHeight="false" outlineLevel="0" collapsed="false">
      <c r="A64" s="306" t="s">
        <v>279</v>
      </c>
      <c r="B64" s="355" t="n">
        <f aca="false">AVERAGE(B60,B62)</f>
        <v>4.41666666666667E-006</v>
      </c>
      <c r="C64" s="315" t="s">
        <v>270</v>
      </c>
      <c r="D64" s="320" t="s">
        <v>280</v>
      </c>
      <c r="E64" s="312"/>
      <c r="F64" s="308"/>
      <c r="G64" s="308"/>
      <c r="H64" s="308"/>
      <c r="I64" s="309"/>
    </row>
    <row r="65" customFormat="false" ht="12.75" hidden="false" customHeight="false" outlineLevel="0" collapsed="false">
      <c r="A65" s="306"/>
      <c r="B65" s="308"/>
      <c r="C65" s="308"/>
      <c r="E65" s="312"/>
      <c r="F65" s="308"/>
      <c r="G65" s="308"/>
      <c r="H65" s="308"/>
      <c r="I65" s="309"/>
    </row>
    <row r="66" customFormat="false" ht="12.75" hidden="false" customHeight="false" outlineLevel="0" collapsed="false">
      <c r="A66" s="306" t="s">
        <v>281</v>
      </c>
      <c r="B66" s="356" t="n">
        <f aca="false">'Design Converter'!E16/1000000</f>
        <v>4.7E-006</v>
      </c>
      <c r="C66" s="308" t="s">
        <v>270</v>
      </c>
      <c r="E66" s="312" t="s">
        <v>282</v>
      </c>
      <c r="F66" s="308"/>
      <c r="G66" s="308"/>
      <c r="H66" s="308"/>
      <c r="I66" s="309" t="n">
        <v>2</v>
      </c>
    </row>
    <row r="67" customFormat="false" ht="12.75" hidden="false" customHeight="false" outlineLevel="0" collapsed="false">
      <c r="A67" s="306" t="s">
        <v>283</v>
      </c>
      <c r="B67" s="307" t="n">
        <f aca="false">'Design Converter'!E17/1000</f>
        <v>0.00335</v>
      </c>
      <c r="C67" s="324" t="s">
        <v>40</v>
      </c>
      <c r="E67" s="312" t="s">
        <v>284</v>
      </c>
      <c r="F67" s="308"/>
      <c r="G67" s="308"/>
      <c r="H67" s="308"/>
      <c r="I67" s="309" t="n">
        <v>1</v>
      </c>
    </row>
    <row r="68" customFormat="false" ht="12.75" hidden="false" customHeight="false" outlineLevel="0" collapsed="false">
      <c r="A68" s="306"/>
      <c r="B68" s="312"/>
      <c r="C68" s="312"/>
      <c r="D68" s="312"/>
      <c r="E68" s="312"/>
      <c r="F68" s="308"/>
      <c r="G68" s="308"/>
      <c r="H68" s="308"/>
      <c r="I68" s="309"/>
    </row>
    <row r="69" customFormat="false" ht="12.75" hidden="false" customHeight="false" outlineLevel="0" collapsed="false">
      <c r="A69" s="306" t="s">
        <v>285</v>
      </c>
      <c r="B69" s="353" t="n">
        <f aca="false">(Vout+Iout*(Rdcr+Rs))/(Vin+Iout*Rs)</f>
        <v>1.00166832669323</v>
      </c>
      <c r="C69" s="308"/>
      <c r="D69" s="308"/>
      <c r="F69" s="308"/>
      <c r="G69" s="308"/>
      <c r="H69" s="308"/>
      <c r="I69" s="309" t="n">
        <v>2</v>
      </c>
    </row>
    <row r="70" customFormat="false" ht="12.75" hidden="false" customHeight="false" outlineLevel="0" collapsed="false">
      <c r="A70" s="306" t="s">
        <v>286</v>
      </c>
      <c r="B70" s="353" t="n">
        <f aca="false">1-_Don2</f>
        <v>-0.00166832669322714</v>
      </c>
      <c r="C70" s="308"/>
      <c r="D70" s="308"/>
      <c r="E70" s="308"/>
      <c r="F70" s="308"/>
      <c r="G70" s="308"/>
      <c r="H70" s="308"/>
      <c r="I70" s="309" t="n">
        <v>2</v>
      </c>
    </row>
    <row r="71" customFormat="false" ht="12.75" hidden="false" customHeight="false" outlineLevel="0" collapsed="false">
      <c r="A71" s="306"/>
      <c r="B71" s="308"/>
      <c r="C71" s="308"/>
      <c r="D71" s="308"/>
      <c r="E71" s="308"/>
      <c r="F71" s="308"/>
      <c r="G71" s="308"/>
      <c r="H71" s="308"/>
      <c r="I71" s="309"/>
    </row>
    <row r="72" customFormat="false" ht="12.75" hidden="false" customHeight="false" outlineLevel="0" collapsed="false">
      <c r="A72" s="306" t="s">
        <v>287</v>
      </c>
      <c r="B72" s="353" t="n">
        <f aca="false">IF(VIN_min&gt;Vout, (Vout+Iout*(Rdcr+Rs))/(VIN_min+Iout*Rs), (Vout-VIN_min+Iin_Vinmin*(Rdcr))/(Vout-Iin_Vinmin*Rs))</f>
        <v>0.508239910313901</v>
      </c>
      <c r="C72" s="308" t="str">
        <f aca="false">IF(VIN_min&gt;Vout, "BUCK", "BOOST")</f>
        <v>BOOST</v>
      </c>
      <c r="E72" s="312" t="s">
        <v>288</v>
      </c>
      <c r="F72" s="308"/>
      <c r="G72" s="308"/>
      <c r="H72" s="308"/>
      <c r="I72" s="309" t="n">
        <v>2</v>
      </c>
      <c r="J72" s="320" t="s">
        <v>289</v>
      </c>
      <c r="L72" s="357" t="n">
        <f aca="false">(1-VIN_min*90%/Vout)</f>
        <v>0.55</v>
      </c>
    </row>
    <row r="73" customFormat="false" ht="12.75" hidden="false" customHeight="false" outlineLevel="0" collapsed="false">
      <c r="A73" s="306" t="s">
        <v>290</v>
      </c>
      <c r="B73" s="353" t="n">
        <f aca="false">IF(VIN_nom&gt;Vout, (Vout+Iout*(Rdcr+Rs))/(VIN_nom+Iout*Rs), (Vout-VIN_nom+Iin_Vinnom*(Rdcr))/(Vout-Iin_Vinnom*Rs))</f>
        <v>0.00186941964285714</v>
      </c>
      <c r="C73" s="308" t="str">
        <f aca="false">IF(VIN_nom&gt;Vout, "BUCK", "BOOST")</f>
        <v>BOOST</v>
      </c>
      <c r="E73" s="358" t="s">
        <v>291</v>
      </c>
      <c r="F73" s="308"/>
      <c r="G73" s="308"/>
      <c r="H73" s="308"/>
      <c r="I73" s="309"/>
    </row>
    <row r="74" customFormat="false" ht="12.75" hidden="false" customHeight="false" outlineLevel="0" collapsed="false">
      <c r="A74" s="306" t="s">
        <v>292</v>
      </c>
      <c r="B74" s="353" t="n">
        <f aca="false">IF(VIN_max&gt;Vout, (Vout+Iout*(Rdcr+Rs))/(VIN_max+Iout*Rs), (Vout-VIN_max+Iin_Vinmax*(Rdcr))/(Vout-Iin_Vinmax*Rs))</f>
        <v>0.241130514705882</v>
      </c>
      <c r="C74" s="308" t="str">
        <f aca="false">IF(VIN_max&gt;Vout, "BUCK", "BOOST")</f>
        <v>BUCK</v>
      </c>
      <c r="E74" s="308"/>
      <c r="F74" s="308"/>
      <c r="G74" s="308"/>
      <c r="H74" s="308"/>
      <c r="I74" s="309"/>
    </row>
    <row r="75" customFormat="false" ht="12.75" hidden="false" customHeight="false" outlineLevel="0" collapsed="false">
      <c r="A75" s="306"/>
      <c r="B75" s="308"/>
      <c r="C75" s="308"/>
      <c r="D75" s="308"/>
      <c r="E75" s="308"/>
      <c r="F75" s="308"/>
      <c r="G75" s="308"/>
      <c r="H75" s="308"/>
      <c r="I75" s="309"/>
    </row>
    <row r="76" customFormat="false" ht="12.75" hidden="false" customHeight="false" outlineLevel="0" collapsed="false">
      <c r="A76" s="306" t="s">
        <v>293</v>
      </c>
      <c r="B76" s="359" t="n">
        <f aca="false">'Design Converter'!E40/1000</f>
        <v>0.1</v>
      </c>
      <c r="C76" s="308" t="s">
        <v>11</v>
      </c>
      <c r="E76" s="312" t="s">
        <v>294</v>
      </c>
      <c r="F76" s="308"/>
      <c r="G76" s="308"/>
      <c r="H76" s="308"/>
      <c r="I76" s="309" t="n">
        <v>1</v>
      </c>
    </row>
    <row r="77" customFormat="false" ht="12.75" hidden="false" customHeight="false" outlineLevel="0" collapsed="false">
      <c r="A77" s="306"/>
      <c r="B77" s="308"/>
      <c r="C77" s="308"/>
      <c r="D77" s="308"/>
      <c r="E77" s="308"/>
      <c r="F77" s="308"/>
      <c r="G77" s="308"/>
      <c r="H77" s="308"/>
      <c r="I77" s="309"/>
    </row>
    <row r="78" customFormat="false" ht="12.75" hidden="false" customHeight="false" outlineLevel="0" collapsed="false">
      <c r="A78" s="306" t="s">
        <v>295</v>
      </c>
      <c r="B78" s="360" t="n">
        <f aca="false">IF(VIN_min&gt;Vout, (VIN_min-Vout)*Don_Vinmin_2/(Fsw*Lf),VIN_min*Don_Vinmin_2/(Lf*Fsw))</f>
        <v>2.16272302261235</v>
      </c>
      <c r="C78" s="360" t="n">
        <f aca="false">(VIN_min-Vout)*Don_Vinmin_2/(Fsw*Lf)</f>
        <v>-2.16272302261235</v>
      </c>
      <c r="D78" s="312" t="s">
        <v>16</v>
      </c>
      <c r="E78" s="308" t="str">
        <f aca="false">IF(VIN_min&gt;Vout, "BUCK", "BOOST")</f>
        <v>BOOST</v>
      </c>
      <c r="G78" s="335"/>
      <c r="H78" s="308" t="n">
        <f aca="false">VIN_min*Don_Vinmin_2/(Lopt*Fsw)</f>
        <v>2.30146374481767</v>
      </c>
      <c r="I78" s="309"/>
    </row>
    <row r="79" customFormat="false" ht="12.75" hidden="false" customHeight="false" outlineLevel="0" collapsed="false">
      <c r="A79" s="306" t="s">
        <v>296</v>
      </c>
      <c r="B79" s="360" t="n">
        <f aca="false">IF(VIN_nom&gt;Vout, (VIN_nom-Vout)*Don_Vinnom_2/(Fsw*Lf),VIN_nom*Don_Vinnom_2/(Lf*Fsw))</f>
        <v>0.0159099544072948</v>
      </c>
      <c r="C79" s="360" t="n">
        <f aca="false">(VIN_nom-Vout)*Don_Vinnom_2/(Fsw*Lf)</f>
        <v>0</v>
      </c>
      <c r="D79" s="312" t="s">
        <v>16</v>
      </c>
      <c r="E79" s="308" t="str">
        <f aca="false">IF(VIN_nom&gt;Vout, "BUCK", "BOOST")</f>
        <v>BOOST</v>
      </c>
      <c r="G79" s="308"/>
      <c r="H79" s="308"/>
      <c r="I79" s="309"/>
    </row>
    <row r="80" customFormat="false" ht="12.75" hidden="false" customHeight="false" outlineLevel="0" collapsed="false">
      <c r="A80" s="306" t="s">
        <v>297</v>
      </c>
      <c r="B80" s="360" t="n">
        <f aca="false">IF(VIN_max&gt;Vout, (VIN_max-Vout)*Don_Vinmax_2/(Fsw*Lf),VIN_max*Don_Vinmax_2/(Lf*Fsw))</f>
        <v>6.49855287859825</v>
      </c>
      <c r="C80" s="360" t="n">
        <f aca="false">(VIN_max-Vout)*Don_Vinmax_2/(Fsw*Lf)</f>
        <v>6.49855287859825</v>
      </c>
      <c r="D80" s="325" t="s">
        <v>16</v>
      </c>
      <c r="E80" s="308" t="str">
        <f aca="false">IF(VIN_max&gt;Vout, "BUCK", "BOOST")</f>
        <v>BUCK</v>
      </c>
      <c r="G80" s="308"/>
      <c r="H80" s="308"/>
      <c r="I80" s="309"/>
    </row>
    <row r="81" customFormat="false" ht="12.75" hidden="false" customHeight="false" outlineLevel="0" collapsed="false">
      <c r="A81" s="306" t="s">
        <v>298</v>
      </c>
      <c r="B81" s="360" t="n">
        <f aca="false">VIN_edgebuckboost*Don_buckboost/(Lf*Fsw/2)</f>
        <v>2.63072295867216</v>
      </c>
      <c r="C81" s="361"/>
      <c r="D81" s="325" t="s">
        <v>16</v>
      </c>
      <c r="E81" s="312" t="s">
        <v>299</v>
      </c>
      <c r="F81" s="308"/>
      <c r="G81" s="308"/>
      <c r="H81" s="308"/>
      <c r="I81" s="309"/>
    </row>
    <row r="82" customFormat="false" ht="12.75" hidden="false" customHeight="false" outlineLevel="0" collapsed="false">
      <c r="A82" s="306"/>
      <c r="B82" s="325"/>
      <c r="C82" s="325"/>
      <c r="D82" s="325"/>
      <c r="E82" s="308"/>
      <c r="F82" s="308"/>
      <c r="G82" s="308"/>
      <c r="H82" s="308"/>
      <c r="I82" s="309"/>
    </row>
    <row r="83" customFormat="false" ht="12.75" hidden="false" customHeight="false" outlineLevel="0" collapsed="false">
      <c r="A83" s="306" t="s">
        <v>300</v>
      </c>
      <c r="B83" s="362" t="n">
        <f aca="false">IF(VIN_min&gt;Vout, SQRT(1-Don_Vinmin_2)*SQRT(Iout^2+(Iripple_Vinmin^2)/12), SQRT(Don_Vinmin_2)*SQRT(Iin_Vinmin^2+(Iripple_Vinmin^2)/12))</f>
        <v>9.51587431854335</v>
      </c>
      <c r="C83" s="325" t="s">
        <v>16</v>
      </c>
      <c r="E83" s="363" t="n">
        <f aca="false">SQRT(1-Don_Vinmin_2)*SQRT(Iout^2+(Iripple_Vinmin^2)/12)</f>
        <v>4.23025317469464</v>
      </c>
      <c r="F83" s="364" t="n">
        <f aca="false">SQRT(Don_Vinmin_2)*SQRT(Iout^2+(Iripple_Vinmin^2)/12)</f>
        <v>4.3005510093511</v>
      </c>
      <c r="G83" s="308"/>
      <c r="H83" s="308"/>
      <c r="I83" s="309"/>
    </row>
    <row r="84" customFormat="false" ht="12.75" hidden="false" customHeight="false" outlineLevel="0" collapsed="false">
      <c r="A84" s="306" t="s">
        <v>301</v>
      </c>
      <c r="B84" s="362" t="n">
        <f aca="false">IF(VIN_nom&gt;Vout, SQRT(1-Don_Vinnom_2)*SQRT(Iout^2+(Iripple_Vinnom^2)/12), SQRT(Don_Vinnom_2)*SQRT(Iin_Vinnom^2+(Iripple_Vinnom^2)/12))</f>
        <v>0.288245306802461</v>
      </c>
      <c r="C84" s="325" t="s">
        <v>16</v>
      </c>
      <c r="E84" s="363" t="n">
        <f aca="false">SQRT(1-Don_Vinnom_2)*SQRT(Iout^2+(Iripple_Vinnom^2)/12)</f>
        <v>5.99439087375117</v>
      </c>
      <c r="F84" s="364" t="n">
        <f aca="false">SQRT(Don_Vinnom_2)*SQRT(Iout^2+(Iripple_Vinnom^2)/12)</f>
        <v>0.259420790562716</v>
      </c>
      <c r="G84" s="308"/>
      <c r="H84" s="308"/>
      <c r="I84" s="309"/>
    </row>
    <row r="85" customFormat="false" ht="12.75" hidden="false" customHeight="false" outlineLevel="0" collapsed="false">
      <c r="A85" s="306" t="s">
        <v>302</v>
      </c>
      <c r="B85" s="362" t="n">
        <f aca="false">IF(VIN_max&gt;Vout, SQRT(1-Don_Vinmax_2)*SQRT(Iout^2+(Iripple_Vinmax^2)/12), SQRT(Don_Vinmax_2)*SQRT(Iin_Vinmax^2+(Iripple_Vinmax^2)/12))</f>
        <v>5.47630942255196</v>
      </c>
      <c r="C85" s="325" t="s">
        <v>16</v>
      </c>
      <c r="E85" s="363" t="n">
        <f aca="false">SQRT(1-Don_Vinmax_2)*SQRT(Iout^2+(Iripple_Vinmax^2)/12)</f>
        <v>5.47630942255196</v>
      </c>
      <c r="F85" s="364" t="n">
        <f aca="false">SQRT(Don_Vinmax_2)*SQRT(Iout^2+(Iripple_Vinmax^2)/12)</f>
        <v>3.08695657589533</v>
      </c>
      <c r="G85" s="308"/>
      <c r="H85" s="308"/>
      <c r="I85" s="309"/>
    </row>
    <row r="86" customFormat="false" ht="12.75" hidden="false" customHeight="false" outlineLevel="0" collapsed="false">
      <c r="A86" s="306" t="s">
        <v>303</v>
      </c>
      <c r="B86" s="361" t="n">
        <f aca="false">MAX(B83,B85)^2*Rs</f>
        <v>0.724414912370502</v>
      </c>
      <c r="C86" s="325" t="s">
        <v>40</v>
      </c>
      <c r="D86" s="325" t="str">
        <f aca="false">IF(B85&gt;B83, "BUCK", "BOOST")</f>
        <v>BOOST</v>
      </c>
      <c r="E86" s="312"/>
      <c r="F86" s="308"/>
      <c r="G86" s="308"/>
      <c r="H86" s="308"/>
      <c r="I86" s="309"/>
    </row>
    <row r="87" customFormat="false" ht="12.75" hidden="false" customHeight="false" outlineLevel="0" collapsed="false">
      <c r="A87" s="306"/>
      <c r="B87" s="325"/>
      <c r="C87" s="325"/>
      <c r="D87" s="325"/>
      <c r="E87" s="308"/>
      <c r="F87" s="308"/>
      <c r="G87" s="308"/>
      <c r="H87" s="308"/>
      <c r="I87" s="309"/>
    </row>
    <row r="88" customFormat="false" ht="12.75" hidden="false" customHeight="false" outlineLevel="0" collapsed="false">
      <c r="A88" s="306" t="s">
        <v>304</v>
      </c>
      <c r="B88" s="365" t="n">
        <f aca="false">MAX(B78:B80)</f>
        <v>6.49855287859825</v>
      </c>
      <c r="C88" s="325" t="s">
        <v>16</v>
      </c>
      <c r="E88" s="308"/>
      <c r="F88" s="308"/>
      <c r="G88" s="308"/>
      <c r="H88" s="308"/>
      <c r="I88" s="309"/>
    </row>
    <row r="89" customFormat="false" ht="12.75" hidden="false" customHeight="false" outlineLevel="0" collapsed="false">
      <c r="A89" s="306"/>
      <c r="B89" s="325"/>
      <c r="C89" s="325"/>
      <c r="D89" s="325"/>
      <c r="F89" s="312" t="s">
        <v>305</v>
      </c>
      <c r="G89" s="310" t="s">
        <v>306</v>
      </c>
      <c r="H89" s="308"/>
      <c r="I89" s="309"/>
    </row>
    <row r="90" customFormat="false" ht="12.75" hidden="false" customHeight="false" outlineLevel="0" collapsed="false">
      <c r="A90" s="306" t="s">
        <v>307</v>
      </c>
      <c r="B90" s="366" t="n">
        <f aca="false">IF(VIN_min&gt;Vout, B78/Iout, B78/Iin_Vinmin)</f>
        <v>0.162204226695926</v>
      </c>
      <c r="C90" s="308" t="str">
        <f aca="false">IF(VIN_min&gt;Vout, "BUCK", "BOOST")</f>
        <v>BOOST</v>
      </c>
      <c r="F90" s="363" t="n">
        <f aca="false">B78</f>
        <v>2.16272302261235</v>
      </c>
      <c r="G90" s="362" t="n">
        <f aca="false">Iin_Vinmin</f>
        <v>13.3333333333333</v>
      </c>
      <c r="H90" s="308"/>
      <c r="I90" s="309"/>
    </row>
    <row r="91" customFormat="false" ht="12.75" hidden="false" customHeight="false" outlineLevel="0" collapsed="false">
      <c r="A91" s="306"/>
      <c r="B91" s="366" t="n">
        <f aca="false">IF(VIN_nom&gt;Vout, B79/Iout, B79/Iin_Vinnom)</f>
        <v>0.00238649316109422</v>
      </c>
      <c r="C91" s="308" t="str">
        <f aca="false">IF(VIN_nom&gt;Vout, "BUCK", "BOOST")</f>
        <v>BOOST</v>
      </c>
      <c r="F91" s="363" t="n">
        <f aca="false">B79</f>
        <v>0.0159099544072948</v>
      </c>
      <c r="G91" s="362" t="n">
        <f aca="false">Iin_Vinnom</f>
        <v>6.66666666666667</v>
      </c>
      <c r="H91" s="308"/>
      <c r="I91" s="309"/>
    </row>
    <row r="92" customFormat="false" ht="12.75" hidden="false" customHeight="false" outlineLevel="0" collapsed="false">
      <c r="A92" s="306"/>
      <c r="B92" s="366" t="n">
        <f aca="false">IF(VIN_max&gt;Vout, B80/Iout, B80/Iin_Vinmax)</f>
        <v>1.08309214643304</v>
      </c>
      <c r="C92" s="308" t="str">
        <f aca="false">IF(VIN_max&gt;Vout, "BUCK", "BOOST")</f>
        <v>BUCK</v>
      </c>
      <c r="F92" s="363" t="n">
        <f aca="false">B80</f>
        <v>6.49855287859825</v>
      </c>
      <c r="G92" s="362" t="n">
        <f aca="false">Iin_Vinmax</f>
        <v>1.6</v>
      </c>
      <c r="H92" s="308"/>
      <c r="I92" s="309"/>
    </row>
    <row r="93" customFormat="false" ht="12.75" hidden="false" customHeight="false" outlineLevel="0" collapsed="false">
      <c r="A93" s="306"/>
      <c r="B93" s="308"/>
      <c r="C93" s="308"/>
      <c r="D93" s="308"/>
      <c r="E93" s="308"/>
      <c r="F93" s="308"/>
      <c r="G93" s="308"/>
      <c r="H93" s="308"/>
      <c r="I93" s="309"/>
    </row>
    <row r="94" customFormat="false" ht="12.75" hidden="false" customHeight="false" outlineLevel="0" collapsed="false">
      <c r="A94" s="308" t="s">
        <v>308</v>
      </c>
      <c r="B94" s="326" t="n">
        <v>100</v>
      </c>
      <c r="C94" s="308"/>
      <c r="D94" s="312"/>
      <c r="E94" s="308"/>
      <c r="F94" s="308"/>
      <c r="H94" s="308"/>
      <c r="I94" s="309"/>
    </row>
    <row r="95" customFormat="false" ht="12.75" hidden="false" customHeight="false" outlineLevel="0" collapsed="false">
      <c r="A95" s="306" t="s">
        <v>309</v>
      </c>
      <c r="B95" s="367" t="n">
        <f aca="false">Rdcr*(1+0.0039*(B94-25))</f>
        <v>0.004329875</v>
      </c>
      <c r="C95" s="324" t="s">
        <v>40</v>
      </c>
      <c r="D95" s="308"/>
      <c r="H95" s="308"/>
      <c r="I95" s="309"/>
    </row>
    <row r="96" customFormat="false" ht="12.75" hidden="false" customHeight="false" outlineLevel="0" collapsed="false">
      <c r="A96" s="368"/>
      <c r="B96" s="369"/>
      <c r="C96" s="347"/>
      <c r="D96" s="347"/>
      <c r="E96" s="347"/>
      <c r="F96" s="347"/>
      <c r="G96" s="347"/>
      <c r="H96" s="347"/>
      <c r="I96" s="348"/>
    </row>
    <row r="97" customFormat="false" ht="12.75" hidden="false" customHeight="false" outlineLevel="0" collapsed="false">
      <c r="A97" s="300"/>
      <c r="B97" s="370"/>
      <c r="C97" s="370"/>
      <c r="D97" s="308"/>
      <c r="E97" s="308"/>
      <c r="F97" s="308"/>
      <c r="G97" s="308"/>
      <c r="H97" s="308"/>
      <c r="I97" s="308"/>
    </row>
    <row r="98" customFormat="false" ht="15" hidden="false" customHeight="false" outlineLevel="0" collapsed="false">
      <c r="A98" s="299" t="s">
        <v>310</v>
      </c>
      <c r="B98" s="370"/>
      <c r="C98" s="370"/>
      <c r="D98" s="308"/>
      <c r="E98" s="308"/>
      <c r="F98" s="308"/>
      <c r="G98" s="308"/>
      <c r="H98" s="308"/>
      <c r="I98" s="308"/>
    </row>
    <row r="99" customFormat="false" ht="12.75" hidden="false" customHeight="false" outlineLevel="0" collapsed="false">
      <c r="A99" s="371"/>
      <c r="B99" s="303"/>
      <c r="C99" s="303"/>
      <c r="D99" s="303"/>
      <c r="E99" s="303"/>
      <c r="F99" s="303"/>
      <c r="G99" s="303"/>
      <c r="H99" s="303"/>
      <c r="I99" s="305"/>
    </row>
    <row r="100" customFormat="false" ht="12.75" hidden="false" customHeight="false" outlineLevel="0" collapsed="false">
      <c r="A100" s="306" t="s">
        <v>311</v>
      </c>
      <c r="B100" s="307" t="n">
        <f aca="false">'Design Converter'!E26</f>
        <v>12</v>
      </c>
      <c r="C100" s="308" t="s">
        <v>16</v>
      </c>
      <c r="E100" s="312" t="s">
        <v>312</v>
      </c>
      <c r="F100" s="308"/>
      <c r="G100" s="308"/>
      <c r="H100" s="308"/>
      <c r="I100" s="309"/>
      <c r="K100" s="320" t="s">
        <v>313</v>
      </c>
      <c r="N100" s="320" t="s">
        <v>314</v>
      </c>
    </row>
    <row r="101" customFormat="false" ht="12.75" hidden="false" customHeight="false" outlineLevel="0" collapsed="false">
      <c r="A101" s="306"/>
      <c r="B101" s="308"/>
      <c r="C101" s="308"/>
      <c r="E101" s="308"/>
      <c r="F101" s="308"/>
      <c r="G101" s="308"/>
      <c r="H101" s="308"/>
      <c r="I101" s="309"/>
      <c r="K101" s="320" t="s">
        <v>315</v>
      </c>
      <c r="L101" s="320" t="s">
        <v>316</v>
      </c>
    </row>
    <row r="102" customFormat="false" ht="12.75" hidden="false" customHeight="false" outlineLevel="0" collapsed="false">
      <c r="A102" s="306" t="s">
        <v>317</v>
      </c>
      <c r="B102" s="372" t="n">
        <f aca="false">IF(VIN_min&gt;Vout, Ilimit_DC-Iripple_Vinmin/2, Ilimit_DC*Vout/VIN_min/0.9+Iripple_Vinmin/2)</f>
        <v>27.7480281779728</v>
      </c>
      <c r="C102" s="308" t="s">
        <v>16</v>
      </c>
      <c r="D102" s="308" t="str">
        <f aca="false">IF(VIN_min&gt;Vout, "BUCK", "BOOST")</f>
        <v>BOOST</v>
      </c>
      <c r="E102" s="373" t="s">
        <v>318</v>
      </c>
      <c r="F102" s="308"/>
      <c r="G102" s="308"/>
      <c r="H102" s="308"/>
      <c r="I102" s="309"/>
      <c r="K102" s="329" t="n">
        <f aca="false">Ilimit_DC-Iripple_Vinmin/2</f>
        <v>10.9186384886938</v>
      </c>
      <c r="L102" s="329" t="n">
        <f aca="false">Ilimit_DC/(1-Don_Vinmin_2)+Iripple_Vinmin/2</f>
        <v>25.4835044498677</v>
      </c>
      <c r="M102" s="308" t="str">
        <f aca="false">IF(VIN_min&gt;Vout, "BUCK", "BOOST")</f>
        <v>BOOST</v>
      </c>
      <c r="N102" s="374" t="n">
        <f aca="false">IF(VIN_min&gt;Vout, Buck_CS_threshold/K102, Boost_CS_Threshold/L102)</f>
        <v>0.00470892848493697</v>
      </c>
      <c r="P102" s="375" t="n">
        <f aca="false">Boost_CS_Threshold/L102</f>
        <v>0.00470892848493697</v>
      </c>
    </row>
    <row r="103" customFormat="false" ht="12.75" hidden="false" customHeight="false" outlineLevel="0" collapsed="false">
      <c r="A103" s="306" t="s">
        <v>319</v>
      </c>
      <c r="B103" s="372" t="n">
        <f aca="false">IF(VIN_nom&gt;Vout, Ilimit_DC-Iripple_Vinnom/2, Ilimit_DC/(1-Don_Vinnom_2)+Iripple_Vinnom/2)</f>
        <v>12.0304300282198</v>
      </c>
      <c r="C103" s="308" t="s">
        <v>16</v>
      </c>
      <c r="D103" s="308" t="str">
        <f aca="false">IF(VIN_nom&gt;Vout, "BUCK", "BOOST")</f>
        <v>BOOST</v>
      </c>
      <c r="E103" s="320" t="s">
        <v>320</v>
      </c>
      <c r="F103" s="308"/>
      <c r="G103" s="308"/>
      <c r="H103" s="308"/>
      <c r="I103" s="309"/>
      <c r="K103" s="329" t="n">
        <f aca="false">Ilimit_DC-Iripple_Vinnom/2</f>
        <v>11.9920450227964</v>
      </c>
      <c r="L103" s="329" t="n">
        <f aca="false">Ilimit_DC/(1-Don_Vinnom_2)+Iripple_Vinnom/2</f>
        <v>12.0304300282198</v>
      </c>
      <c r="M103" s="308" t="str">
        <f aca="false">IF(VIN_nom&gt;Vout, "BUCK", "BOOST")</f>
        <v>BOOST</v>
      </c>
      <c r="N103" s="374" t="n">
        <f aca="false">IF(VIN_nom&gt;Vout, Buck_CS_threshold/K103, Boost_CS_Threshold/L103)</f>
        <v>0.00997470578512289</v>
      </c>
      <c r="P103" s="375" t="n">
        <f aca="false">Boost_CS_Threshold/L103</f>
        <v>0.00997470578512289</v>
      </c>
    </row>
    <row r="104" customFormat="false" ht="12.75" hidden="false" customHeight="false" outlineLevel="0" collapsed="false">
      <c r="A104" s="306" t="s">
        <v>321</v>
      </c>
      <c r="B104" s="372" t="n">
        <f aca="false">IF(VIN_max&gt;Vout, Ilimit_DC-Iripple_Vinmax/2, Ilimit_DC/(1-Don_Vinmax_2)+Iripple_Vinmax/2)</f>
        <v>8.75072356070088</v>
      </c>
      <c r="C104" s="308" t="s">
        <v>16</v>
      </c>
      <c r="D104" s="308" t="str">
        <f aca="false">IF(VIN_max&gt;Vout, "BUCK", "BOOST")</f>
        <v>BUCK</v>
      </c>
      <c r="E104" s="300" t="s">
        <v>322</v>
      </c>
      <c r="F104" s="308"/>
      <c r="G104" s="308"/>
      <c r="H104" s="308"/>
      <c r="I104" s="309"/>
      <c r="K104" s="329" t="n">
        <f aca="false">Ilimit_DC-Iripple_Vinmax/2</f>
        <v>8.75072356070088</v>
      </c>
      <c r="L104" s="329" t="n">
        <f aca="false">Ilimit_DC/(1-Don_Vinmax_2)+Iripple_Vinmax/2</f>
        <v>19.0622722607731</v>
      </c>
      <c r="M104" s="308" t="str">
        <f aca="false">IF(VIN_max&gt;Vout, "BUCK", "BOOST")</f>
        <v>BUCK</v>
      </c>
      <c r="N104" s="374" t="n">
        <f aca="false">IF(VIN_max&gt;Vout, Buck_CS_threshold/K104, Boost_CS_Threshold/L104)</f>
        <v>0.00914210115827182</v>
      </c>
      <c r="P104" s="375" t="n">
        <f aca="false">Boost_CS_Threshold/L104</f>
        <v>0.00629515717530378</v>
      </c>
    </row>
    <row r="105" customFormat="false" ht="12.75" hidden="false" customHeight="false" outlineLevel="0" collapsed="false">
      <c r="A105" s="376" t="s">
        <v>323</v>
      </c>
      <c r="B105" s="372" t="n">
        <f aca="false">Ilimit_DC/(1-Don_buckboost)+Iripple_edgebuckboost/2</f>
        <v>15.9495078207995</v>
      </c>
      <c r="C105" s="320" t="s">
        <v>16</v>
      </c>
      <c r="D105" s="320" t="s">
        <v>324</v>
      </c>
      <c r="E105" s="308"/>
      <c r="F105" s="308"/>
      <c r="G105" s="308"/>
      <c r="H105" s="308"/>
      <c r="I105" s="309"/>
    </row>
    <row r="106" customFormat="false" ht="12.75" hidden="false" customHeight="false" outlineLevel="0" collapsed="false">
      <c r="E106" s="308"/>
      <c r="F106" s="308"/>
      <c r="G106" s="308"/>
      <c r="H106" s="308"/>
      <c r="I106" s="309"/>
    </row>
    <row r="107" customFormat="false" ht="12.75" hidden="false" customHeight="false" outlineLevel="0" collapsed="false">
      <c r="A107" s="306" t="s">
        <v>325</v>
      </c>
      <c r="B107" s="377" t="n">
        <v>0.068</v>
      </c>
      <c r="C107" s="312" t="s">
        <v>11</v>
      </c>
      <c r="E107" s="308"/>
      <c r="F107" s="308"/>
      <c r="G107" s="308"/>
      <c r="H107" s="308"/>
      <c r="I107" s="309"/>
    </row>
    <row r="108" customFormat="false" ht="12.75" hidden="false" customHeight="false" outlineLevel="0" collapsed="false">
      <c r="A108" s="306" t="s">
        <v>326</v>
      </c>
      <c r="B108" s="378" t="n">
        <v>0.08</v>
      </c>
      <c r="C108" s="312" t="s">
        <v>11</v>
      </c>
      <c r="D108" s="292" t="s">
        <v>327</v>
      </c>
      <c r="E108" s="327" t="s">
        <v>328</v>
      </c>
      <c r="G108" s="308"/>
      <c r="H108" s="308"/>
      <c r="I108" s="309"/>
    </row>
    <row r="109" customFormat="false" ht="12.75" hidden="false" customHeight="false" outlineLevel="0" collapsed="false">
      <c r="A109" s="306" t="s">
        <v>329</v>
      </c>
      <c r="B109" s="377" t="n">
        <v>0.092</v>
      </c>
      <c r="C109" s="312" t="s">
        <v>11</v>
      </c>
      <c r="E109" s="308"/>
      <c r="F109" s="308"/>
      <c r="G109" s="308"/>
      <c r="H109" s="308"/>
      <c r="I109" s="309"/>
    </row>
    <row r="110" customFormat="false" ht="12.75" hidden="false" customHeight="false" outlineLevel="0" collapsed="false">
      <c r="A110" s="306"/>
      <c r="B110" s="379"/>
      <c r="C110" s="312"/>
      <c r="E110" s="308"/>
      <c r="F110" s="308"/>
      <c r="G110" s="308"/>
      <c r="H110" s="308"/>
      <c r="I110" s="309"/>
    </row>
    <row r="111" customFormat="false" ht="12.75" hidden="false" customHeight="false" outlineLevel="0" collapsed="false">
      <c r="A111" s="306" t="s">
        <v>330</v>
      </c>
      <c r="B111" s="377" t="n">
        <v>0.108</v>
      </c>
      <c r="C111" s="312" t="s">
        <v>11</v>
      </c>
      <c r="F111" s="308"/>
      <c r="H111" s="308"/>
      <c r="I111" s="309"/>
    </row>
    <row r="112" customFormat="false" ht="12.75" hidden="false" customHeight="false" outlineLevel="0" collapsed="false">
      <c r="A112" s="306" t="s">
        <v>331</v>
      </c>
      <c r="B112" s="378" t="n">
        <v>0.12</v>
      </c>
      <c r="C112" s="312" t="s">
        <v>11</v>
      </c>
      <c r="D112" s="292" t="s">
        <v>332</v>
      </c>
      <c r="E112" s="327" t="s">
        <v>333</v>
      </c>
      <c r="F112" s="308"/>
      <c r="G112" s="308"/>
      <c r="H112" s="308"/>
      <c r="I112" s="309"/>
    </row>
    <row r="113" customFormat="false" ht="12.75" hidden="false" customHeight="false" outlineLevel="0" collapsed="false">
      <c r="A113" s="306" t="s">
        <v>334</v>
      </c>
      <c r="B113" s="377" t="n">
        <v>0.138</v>
      </c>
      <c r="C113" s="312" t="s">
        <v>11</v>
      </c>
      <c r="E113" s="327" t="s">
        <v>335</v>
      </c>
      <c r="F113" s="308"/>
      <c r="G113" s="308"/>
      <c r="H113" s="308"/>
      <c r="I113" s="309"/>
    </row>
    <row r="114" customFormat="false" ht="12.75" hidden="false" customHeight="false" outlineLevel="0" collapsed="false">
      <c r="E114" s="308"/>
      <c r="F114" s="308"/>
      <c r="G114" s="308"/>
      <c r="H114" s="308"/>
      <c r="I114" s="309"/>
    </row>
    <row r="115" customFormat="false" ht="12.75" hidden="false" customHeight="false" outlineLevel="0" collapsed="false">
      <c r="A115" s="380" t="s">
        <v>336</v>
      </c>
      <c r="B115" s="312"/>
      <c r="C115" s="312"/>
      <c r="E115" s="308"/>
      <c r="F115" s="308"/>
      <c r="G115" s="308"/>
      <c r="H115" s="308"/>
      <c r="I115" s="309"/>
    </row>
    <row r="116" customFormat="false" ht="12.75" hidden="false" customHeight="false" outlineLevel="0" collapsed="false">
      <c r="A116" s="306" t="s">
        <v>337</v>
      </c>
      <c r="B116" s="374" t="n">
        <f aca="false">IF(VIN_min&gt;Vout,Buck_CS_threshold/B102, Boost_CS_Threshold/B102)</f>
        <v>0.00432463161815798</v>
      </c>
      <c r="C116" s="324" t="s">
        <v>40</v>
      </c>
      <c r="D116" s="308" t="str">
        <f aca="false">IF(VIN_min&gt;Vout, "BUCK", "BOOST")</f>
        <v>BOOST</v>
      </c>
      <c r="E116" s="308"/>
      <c r="F116" s="308"/>
      <c r="G116" s="308"/>
      <c r="H116" s="308"/>
      <c r="I116" s="309"/>
    </row>
    <row r="117" customFormat="false" ht="12.75" hidden="false" customHeight="false" outlineLevel="0" collapsed="false">
      <c r="A117" s="306" t="s">
        <v>338</v>
      </c>
      <c r="B117" s="374" t="n">
        <f aca="false">IF(VIN_nom&gt;Vout,Buck_CS_threshold/B103, Boost_CS_Threshold/B103)</f>
        <v>0.00997470578512289</v>
      </c>
      <c r="C117" s="324" t="s">
        <v>40</v>
      </c>
      <c r="D117" s="308" t="str">
        <f aca="false">IF(VIN_nom&gt;Vout, "BUCK", "BOOST")</f>
        <v>BOOST</v>
      </c>
      <c r="E117" s="308"/>
      <c r="F117" s="308"/>
      <c r="G117" s="308"/>
      <c r="H117" s="308"/>
      <c r="I117" s="309"/>
    </row>
    <row r="118" customFormat="false" ht="12.75" hidden="false" customHeight="false" outlineLevel="0" collapsed="false">
      <c r="A118" s="306" t="s">
        <v>339</v>
      </c>
      <c r="B118" s="374" t="n">
        <f aca="false">IF(VIN_max&gt;Vout,Buck_CS_threshold/B104, Boost_CS_Threshold/B104)</f>
        <v>0.00914210115827182</v>
      </c>
      <c r="C118" s="324" t="s">
        <v>40</v>
      </c>
      <c r="D118" s="308" t="str">
        <f aca="false">IF(VIN_max&gt;Vout, "BUCK", "BOOST")</f>
        <v>BUCK</v>
      </c>
      <c r="E118" s="308"/>
      <c r="F118" s="308"/>
      <c r="G118" s="308"/>
      <c r="H118" s="308"/>
      <c r="I118" s="309"/>
    </row>
    <row r="119" customFormat="false" ht="12.75" hidden="false" customHeight="false" outlineLevel="0" collapsed="false">
      <c r="A119" s="306" t="s">
        <v>340</v>
      </c>
      <c r="B119" s="374" t="n">
        <f aca="false">IF(VIN_min&lt;VIN_edgebuckboost,Buck_CS_threshold/B105, 10)</f>
        <v>0.0050158287577798</v>
      </c>
      <c r="C119" s="324" t="s">
        <v>40</v>
      </c>
      <c r="D119" s="312" t="s">
        <v>341</v>
      </c>
      <c r="E119" s="308"/>
      <c r="F119" s="308"/>
      <c r="G119" s="308"/>
      <c r="H119" s="308"/>
      <c r="I119" s="309"/>
    </row>
    <row r="120" customFormat="false" ht="12.75" hidden="false" customHeight="false" outlineLevel="0" collapsed="false">
      <c r="A120" s="376"/>
      <c r="B120" s="381"/>
      <c r="C120" s="324"/>
      <c r="E120" s="308"/>
      <c r="F120" s="308"/>
      <c r="G120" s="308"/>
      <c r="H120" s="308"/>
      <c r="I120" s="309"/>
    </row>
    <row r="121" customFormat="false" ht="12.75" hidden="false" customHeight="false" outlineLevel="0" collapsed="false">
      <c r="A121" s="306" t="s">
        <v>342</v>
      </c>
      <c r="B121" s="382" t="n">
        <f aca="false">MIN(B116:B118)</f>
        <v>0.00432463161815798</v>
      </c>
      <c r="C121" s="324" t="s">
        <v>40</v>
      </c>
      <c r="E121" s="312" t="s">
        <v>343</v>
      </c>
      <c r="F121" s="308"/>
      <c r="G121" s="308"/>
      <c r="H121" s="308"/>
      <c r="I121" s="309"/>
    </row>
    <row r="122" customFormat="false" ht="12.75" hidden="false" customHeight="false" outlineLevel="0" collapsed="false">
      <c r="A122" s="306" t="s">
        <v>344</v>
      </c>
      <c r="B122" s="383" t="n">
        <f aca="false">'Design Converter'!E28/1000</f>
        <v>0.008</v>
      </c>
      <c r="C122" s="324" t="s">
        <v>40</v>
      </c>
      <c r="E122" s="312" t="s">
        <v>345</v>
      </c>
      <c r="F122" s="308"/>
      <c r="G122" s="308"/>
      <c r="H122" s="308"/>
      <c r="I122" s="309"/>
      <c r="K122" s="320"/>
      <c r="L122" s="320"/>
    </row>
    <row r="123" customFormat="false" ht="12.75" hidden="false" customHeight="false" outlineLevel="0" collapsed="false">
      <c r="A123" s="306"/>
      <c r="B123" s="384"/>
      <c r="C123" s="324"/>
      <c r="E123" s="312"/>
      <c r="F123" s="308"/>
      <c r="G123" s="308"/>
      <c r="H123" s="308"/>
      <c r="I123" s="309"/>
      <c r="K123" s="320"/>
      <c r="L123" s="320"/>
    </row>
    <row r="124" customFormat="false" ht="12.75" hidden="false" customHeight="false" outlineLevel="0" collapsed="false">
      <c r="A124" s="306" t="s">
        <v>346</v>
      </c>
      <c r="B124" s="385" t="n">
        <f aca="false">Boost_CS_Threshold/Rs</f>
        <v>15</v>
      </c>
      <c r="C124" s="320" t="s">
        <v>16</v>
      </c>
      <c r="E124" s="300" t="s">
        <v>347</v>
      </c>
      <c r="F124" s="308"/>
      <c r="G124" s="308"/>
      <c r="H124" s="308"/>
      <c r="I124" s="309"/>
    </row>
    <row r="125" customFormat="false" ht="12.75" hidden="false" customHeight="false" outlineLevel="0" collapsed="false">
      <c r="A125" s="306" t="s">
        <v>348</v>
      </c>
      <c r="B125" s="385" t="n">
        <f aca="false">Buck_CS_threshold/Rs</f>
        <v>10</v>
      </c>
      <c r="C125" s="320" t="s">
        <v>16</v>
      </c>
      <c r="E125" s="300" t="s">
        <v>349</v>
      </c>
      <c r="F125" s="308"/>
      <c r="G125" s="308"/>
      <c r="H125" s="308"/>
      <c r="I125" s="309"/>
    </row>
    <row r="126" customFormat="false" ht="12.75" hidden="false" customHeight="false" outlineLevel="0" collapsed="false">
      <c r="A126" s="376"/>
      <c r="E126" s="308"/>
      <c r="F126" s="308"/>
      <c r="G126" s="308"/>
      <c r="H126" s="308"/>
      <c r="I126" s="309"/>
    </row>
    <row r="127" customFormat="false" ht="12.75" hidden="false" customHeight="false" outlineLevel="0" collapsed="false">
      <c r="A127" s="306" t="s">
        <v>350</v>
      </c>
      <c r="B127" s="386" t="n">
        <f aca="false">IF(VIN_min&gt;Vout,Buck_CS_threshold/Rs+Iripple_Vinmin/2, (Boost_CS_Threshold/Rs-Iripple_Vinmin/2)*(1-Don_Vinmin_2))</f>
        <v>6.84463091150846</v>
      </c>
      <c r="C127" s="308" t="s">
        <v>16</v>
      </c>
      <c r="D127" s="308" t="str">
        <f aca="false">IF(VIN_min&gt;Vout, "BUCK", "BOOST")</f>
        <v>BOOST</v>
      </c>
      <c r="E127" s="325" t="s">
        <v>351</v>
      </c>
      <c r="F127" s="308"/>
      <c r="G127" s="308"/>
      <c r="H127" s="308"/>
      <c r="I127" s="309"/>
    </row>
    <row r="128" customFormat="false" ht="12.75" hidden="false" customHeight="false" outlineLevel="0" collapsed="false">
      <c r="A128" s="306" t="s">
        <v>352</v>
      </c>
      <c r="B128" s="386" t="n">
        <f aca="false">IF(VIN_nom&gt;Vout,Buck_CS_threshold/Rs+Iripple_Vinnom/2, IF(VIN_nom&lt;VIN_edgebuckboost,(Boost_CS_Threshold/Rs-Iripple_Vinnom/2)*(1-Don_Vinnom_2),(Buck_CS_threshold/Rs-Iripple_Vinnom/2)*(1-Don_Vinnom_2)))</f>
        <v>9.97336569755843</v>
      </c>
      <c r="C128" s="308" t="s">
        <v>16</v>
      </c>
      <c r="D128" s="308" t="str">
        <f aca="false">IF(VIN_nom&gt;Vout,"BUCK",IF(VIN_nom&lt;VIN_edgebuckboost,"BOOST","BUCK-BOOST"))</f>
        <v>BUCK-BOOST</v>
      </c>
      <c r="E128" s="308"/>
      <c r="F128" s="308"/>
      <c r="G128" s="308"/>
      <c r="H128" s="308"/>
      <c r="I128" s="309"/>
    </row>
    <row r="129" customFormat="false" ht="12.75" hidden="false" customHeight="false" outlineLevel="0" collapsed="false">
      <c r="A129" s="306" t="s">
        <v>353</v>
      </c>
      <c r="B129" s="386" t="n">
        <f aca="false">IF(VIN_max&gt;Vout, Buck_CS_threshold/Rs+Iripple_Vinmax/2, (Boost_CS_Threshold/Rs-Iripple_Vinmax/2)*(1-Don_Vinmax_2))</f>
        <v>13.2492764392991</v>
      </c>
      <c r="C129" s="308" t="s">
        <v>16</v>
      </c>
      <c r="D129" s="308" t="str">
        <f aca="false">IF(VIN_max&gt;Vout, "BUCK", "BOOST")</f>
        <v>BUCK</v>
      </c>
      <c r="E129" s="308"/>
      <c r="F129" s="308"/>
      <c r="G129" s="308"/>
      <c r="H129" s="308"/>
      <c r="I129" s="309"/>
    </row>
    <row r="130" customFormat="false" ht="12.75" hidden="false" customHeight="false" outlineLevel="0" collapsed="false">
      <c r="A130" s="306" t="s">
        <v>354</v>
      </c>
      <c r="B130" s="386" t="n">
        <f aca="false">(Buck_CS_threshold/Rs-Iripple_edgebuckboost/2)*(1-Don_buckboost)</f>
        <v>7.12140358694441</v>
      </c>
      <c r="C130" s="315" t="s">
        <v>16</v>
      </c>
      <c r="D130" s="292" t="s">
        <v>355</v>
      </c>
      <c r="E130" s="308"/>
      <c r="F130" s="308"/>
      <c r="G130" s="308"/>
      <c r="I130" s="309"/>
      <c r="K130" s="320" t="s">
        <v>356</v>
      </c>
      <c r="M130" s="320" t="s">
        <v>357</v>
      </c>
    </row>
    <row r="131" customFormat="false" ht="12.75" hidden="false" customHeight="false" outlineLevel="0" collapsed="false">
      <c r="A131" s="306"/>
      <c r="B131" s="312"/>
      <c r="C131" s="308"/>
      <c r="E131" s="308"/>
      <c r="F131" s="308"/>
      <c r="G131" s="308"/>
      <c r="I131" s="309"/>
      <c r="K131" s="320"/>
      <c r="M131" s="320"/>
    </row>
    <row r="132" customFormat="false" ht="12.75" hidden="false" customHeight="false" outlineLevel="0" collapsed="false">
      <c r="A132" s="306" t="s">
        <v>358</v>
      </c>
      <c r="B132" s="387" t="n">
        <f aca="false">IF(VIN_min&gt;Vout, Buck_CS_threshold/Rs+Iripple_Vinmin, Boost_CS_Threshold/Rs)</f>
        <v>15</v>
      </c>
      <c r="C132" s="308" t="s">
        <v>16</v>
      </c>
      <c r="D132" s="308" t="str">
        <f aca="false">IF(VIN_min&gt;Vout, "BUCK", "BOOST")</f>
        <v>BOOST</v>
      </c>
      <c r="E132" s="312" t="s">
        <v>359</v>
      </c>
      <c r="F132" s="308"/>
      <c r="G132" s="308"/>
      <c r="H132" s="0" t="n">
        <f aca="false">SQRT(Don_Vinmin_2)*SQRT(Iin_Vinmin^2+(Iripple_Vinmin^2)/12)</f>
        <v>9.51587431854335</v>
      </c>
      <c r="I132" s="309"/>
      <c r="K132" s="388" t="n">
        <f aca="false">IF(VIN_min&gt;Vout, SQRT(1-Don_Vinmin_2)*SQRT(Iout_OCP_Vinmin^2+(Iripple_Vinmin^2)/12), SQRT(Don_Vinmin_2)*SQRT(Iin_Vinmin^2+(Iripple_Vinmin^2)/12))</f>
        <v>9.51587431854335</v>
      </c>
      <c r="L132" s="336" t="s">
        <v>16</v>
      </c>
      <c r="M132" s="385" t="n">
        <f aca="false">K132^2*Rs</f>
        <v>0.724414912370502</v>
      </c>
      <c r="N132" s="292" t="s">
        <v>40</v>
      </c>
    </row>
    <row r="133" customFormat="false" ht="12.75" hidden="false" customHeight="false" outlineLevel="0" collapsed="false">
      <c r="A133" s="306" t="s">
        <v>360</v>
      </c>
      <c r="B133" s="387" t="n">
        <f aca="false">IF(VIN_nom&gt;Vout, Buck_CS_threshold/Rs+Iripple_Vinnom, IF(VIN_nom&lt;VIN_edgebuckboost, Boost_CS_Threshold/Rs, Buck_CS_threshold/Rs))</f>
        <v>10</v>
      </c>
      <c r="C133" s="308" t="s">
        <v>16</v>
      </c>
      <c r="D133" s="308" t="str">
        <f aca="false">IF(VIN_nom&gt;Vout,"BUCK",IF(VIN_nom&lt;VIN_edgebuckboost,"BOOST","BUCK-BOOST"))</f>
        <v>BUCK-BOOST</v>
      </c>
      <c r="E133" s="308"/>
      <c r="F133" s="308"/>
      <c r="G133" s="308"/>
      <c r="H133" s="0" t="n">
        <f aca="false">SQRT(1-Don_Vinnom_2)*SQRT(Iout_OCP_Vinnom^2+(Iripple_Vinnom^2)/12)</f>
        <v>9.96404019035584</v>
      </c>
      <c r="I133" s="309"/>
      <c r="K133" s="388" t="n">
        <f aca="false">IF(VIN_nom&gt;Vout, SQRT(1-Don_Vinnom_2)*SQRT(Iout_OCP_Vinnom^2+(Iripple_Vinnom^2)/12), SQRT(Don_Vinnom_2)*SQRT(Iin_Vinnom^2+(Iripple_Vinnom^2)/12))</f>
        <v>0.288245306802461</v>
      </c>
      <c r="L133" s="336" t="s">
        <v>16</v>
      </c>
      <c r="M133" s="385" t="n">
        <f aca="false">K133^2*Rs</f>
        <v>0.00066468285514916</v>
      </c>
      <c r="N133" s="292" t="s">
        <v>40</v>
      </c>
    </row>
    <row r="134" customFormat="false" ht="12.75" hidden="false" customHeight="false" outlineLevel="0" collapsed="false">
      <c r="A134" s="306" t="s">
        <v>361</v>
      </c>
      <c r="B134" s="387" t="n">
        <f aca="false">IF(VIN_max&gt;Vout, Buck_CS_threshold/Rs+Iripple_Vinmax, Boost_CS_Threshold/Rs)</f>
        <v>16.4985528785982</v>
      </c>
      <c r="C134" s="308" t="s">
        <v>16</v>
      </c>
      <c r="D134" s="308" t="str">
        <f aca="false">IF(VIN_max&gt;Vout, "BUCK", "BOOST")</f>
        <v>BUCK</v>
      </c>
      <c r="E134" s="308"/>
      <c r="F134" s="308"/>
      <c r="G134" s="308"/>
      <c r="H134" s="0" t="n">
        <f aca="false">SQRT(1-Don_Vinmax_2)*SQRT(Iout_OCP_Vinmax^2+(Iripple_Vinmax^2)/12)</f>
        <v>11.6569780386929</v>
      </c>
      <c r="I134" s="309"/>
      <c r="K134" s="388" t="n">
        <f aca="false">IF(VIN_max&gt;Vout, SQRT(1-Don_Vinmax_2)*SQRT(Iout_OCP_Vinmax^2+(Iripple_Vinmax^2)/12), SQRT(Don_Vinmax_2)*SQRT(Iin_Vinmax^2+(Iripple_Vinmax^2)/12))</f>
        <v>11.6569780386929</v>
      </c>
      <c r="L134" s="389" t="s">
        <v>16</v>
      </c>
      <c r="M134" s="385" t="n">
        <f aca="false">K134^2*Rs</f>
        <v>1.08708109595655</v>
      </c>
      <c r="N134" s="292" t="s">
        <v>40</v>
      </c>
    </row>
    <row r="135" customFormat="false" ht="12.75" hidden="false" customHeight="false" outlineLevel="0" collapsed="false">
      <c r="A135" s="306" t="s">
        <v>362</v>
      </c>
      <c r="B135" s="390" t="n">
        <f aca="false">MAX(B132:B134)</f>
        <v>16.4985528785982</v>
      </c>
      <c r="C135" s="325" t="s">
        <v>16</v>
      </c>
      <c r="D135" s="308"/>
      <c r="E135" s="308"/>
      <c r="F135" s="308"/>
      <c r="G135" s="308"/>
      <c r="I135" s="309"/>
      <c r="K135" s="391" t="s">
        <v>363</v>
      </c>
      <c r="L135" s="389"/>
      <c r="M135" s="385"/>
      <c r="N135" s="292"/>
    </row>
    <row r="136" customFormat="false" ht="12.75" hidden="false" customHeight="false" outlineLevel="0" collapsed="false">
      <c r="A136" s="306"/>
      <c r="B136" s="392"/>
      <c r="C136" s="308"/>
      <c r="D136" s="308"/>
      <c r="E136" s="308"/>
      <c r="F136" s="308"/>
      <c r="G136" s="308"/>
      <c r="H136" s="308"/>
      <c r="I136" s="309"/>
    </row>
    <row r="137" customFormat="false" ht="12.75" hidden="false" customHeight="false" outlineLevel="0" collapsed="false">
      <c r="A137" s="306" t="s">
        <v>364</v>
      </c>
      <c r="B137" s="393" t="n">
        <f aca="false">MAX(B132:B134)</f>
        <v>16.4985528785982</v>
      </c>
      <c r="C137" s="308" t="s">
        <v>16</v>
      </c>
      <c r="D137" s="308"/>
      <c r="E137" s="308" t="s">
        <v>365</v>
      </c>
      <c r="F137" s="308"/>
      <c r="G137" s="308"/>
      <c r="H137" s="308"/>
      <c r="I137" s="309"/>
    </row>
    <row r="138" customFormat="false" ht="12.75" hidden="false" customHeight="false" outlineLevel="0" collapsed="false">
      <c r="A138" s="306"/>
      <c r="B138" s="385"/>
      <c r="C138" s="320"/>
      <c r="E138" s="308"/>
      <c r="F138" s="308"/>
      <c r="G138" s="308"/>
      <c r="H138" s="308"/>
      <c r="I138" s="309"/>
    </row>
    <row r="139" customFormat="false" ht="12.75" hidden="false" customHeight="false" outlineLevel="0" collapsed="false">
      <c r="A139" s="306" t="s">
        <v>366</v>
      </c>
      <c r="B139" s="332" t="n">
        <f aca="false">Lf/Rs*0.4*10^6</f>
        <v>235</v>
      </c>
      <c r="C139" s="312" t="s">
        <v>42</v>
      </c>
      <c r="E139" s="327" t="s">
        <v>367</v>
      </c>
      <c r="F139" s="308"/>
      <c r="G139" s="308"/>
      <c r="H139" s="308"/>
      <c r="I139" s="309"/>
    </row>
    <row r="140" customFormat="false" ht="12.75" hidden="false" customHeight="false" outlineLevel="0" collapsed="false">
      <c r="A140" s="306" t="s">
        <v>368</v>
      </c>
      <c r="B140" s="394" t="n">
        <f aca="false">'Standard Value Calculator'!O14</f>
        <v>220</v>
      </c>
      <c r="C140" s="312" t="s">
        <v>42</v>
      </c>
      <c r="E140" s="312" t="s">
        <v>369</v>
      </c>
      <c r="F140" s="308"/>
      <c r="G140" s="308"/>
      <c r="H140" s="308"/>
      <c r="I140" s="309"/>
    </row>
    <row r="141" customFormat="false" ht="12.75" hidden="false" customHeight="false" outlineLevel="0" collapsed="false">
      <c r="A141" s="306" t="s">
        <v>370</v>
      </c>
      <c r="B141" s="330" t="n">
        <f aca="false">'Design Converter'!E32</f>
        <v>235</v>
      </c>
      <c r="C141" s="312" t="s">
        <v>42</v>
      </c>
      <c r="E141" s="320" t="s">
        <v>371</v>
      </c>
      <c r="F141" s="308"/>
      <c r="G141" s="308"/>
      <c r="H141" s="308"/>
      <c r="I141" s="309"/>
    </row>
    <row r="142" customFormat="false" ht="12.75" hidden="false" customHeight="false" outlineLevel="0" collapsed="false">
      <c r="A142" s="306"/>
      <c r="B142" s="324"/>
      <c r="C142" s="312"/>
      <c r="E142" s="320"/>
      <c r="F142" s="308"/>
      <c r="G142" s="308"/>
      <c r="H142" s="308"/>
      <c r="I142" s="309"/>
    </row>
    <row r="143" customFormat="false" ht="12.75" hidden="false" customHeight="false" outlineLevel="0" collapsed="false">
      <c r="A143" s="306" t="s">
        <v>372</v>
      </c>
      <c r="B143" s="395" t="n">
        <v>4E-006</v>
      </c>
      <c r="C143" s="312" t="s">
        <v>16</v>
      </c>
      <c r="E143" s="320"/>
      <c r="F143" s="308"/>
      <c r="G143" s="308"/>
      <c r="H143" s="308"/>
      <c r="I143" s="309"/>
    </row>
    <row r="144" customFormat="false" ht="12.75" hidden="false" customHeight="false" outlineLevel="0" collapsed="false">
      <c r="A144" s="306"/>
      <c r="B144" s="385"/>
      <c r="C144" s="324"/>
      <c r="D144" s="312"/>
      <c r="E144" s="308"/>
      <c r="F144" s="308"/>
      <c r="G144" s="396" t="n">
        <f aca="false">Islope_fixed/(Cslope*10^-12)</f>
        <v>17021.2765957447</v>
      </c>
      <c r="H144" s="308"/>
      <c r="I144" s="309"/>
    </row>
    <row r="145" customFormat="false" ht="12.75" hidden="false" customHeight="false" outlineLevel="0" collapsed="false">
      <c r="A145" s="306" t="s">
        <v>373</v>
      </c>
      <c r="B145" s="397" t="n">
        <f aca="false">(ABS((VIN_min-Vout))*2*10^-6 + Islope_fixed)/(Cslope*10^-12)</f>
        <v>68085.1063829787</v>
      </c>
      <c r="C145" s="325" t="s">
        <v>374</v>
      </c>
      <c r="E145" s="315" t="s">
        <v>375</v>
      </c>
      <c r="F145" s="308"/>
      <c r="H145" s="308"/>
      <c r="I145" s="309"/>
    </row>
    <row r="146" customFormat="false" ht="12.75" hidden="false" customHeight="false" outlineLevel="0" collapsed="false">
      <c r="A146" s="306" t="s">
        <v>373</v>
      </c>
      <c r="B146" s="397" t="n">
        <f aca="false">(ABS((VIN_nom-Vout))*2*10^-6 + Islope_fixed)/(Cslope*10^-12)</f>
        <v>17021.2765957447</v>
      </c>
      <c r="C146" s="325" t="s">
        <v>374</v>
      </c>
      <c r="E146" s="325" t="s">
        <v>376</v>
      </c>
      <c r="F146" s="308"/>
      <c r="G146" s="308"/>
      <c r="H146" s="308"/>
      <c r="I146" s="309"/>
    </row>
    <row r="147" customFormat="false" ht="12.75" hidden="false" customHeight="false" outlineLevel="0" collapsed="false">
      <c r="A147" s="306" t="s">
        <v>373</v>
      </c>
      <c r="B147" s="397" t="n">
        <f aca="false">(ABS((VIN_max-Vout))*2*10^-6 + Islope_fixed)/(Cslope*10^-12)</f>
        <v>340425.531914894</v>
      </c>
      <c r="C147" s="325" t="s">
        <v>374</v>
      </c>
      <c r="E147" s="325" t="s">
        <v>377</v>
      </c>
      <c r="I147" s="309"/>
    </row>
    <row r="148" customFormat="false" ht="12.75" hidden="false" customHeight="false" outlineLevel="0" collapsed="false">
      <c r="I148" s="309"/>
      <c r="K148" s="292" t="s">
        <v>378</v>
      </c>
      <c r="L148" s="292" t="s">
        <v>379</v>
      </c>
    </row>
    <row r="149" customFormat="false" ht="12.75" hidden="false" customHeight="false" outlineLevel="0" collapsed="false">
      <c r="A149" s="398" t="s">
        <v>380</v>
      </c>
      <c r="B149" s="399" t="n">
        <f aca="false">IF(D149="BUCK", K149,L149)</f>
        <v>0.115345227872658</v>
      </c>
      <c r="C149" s="325" t="s">
        <v>11</v>
      </c>
      <c r="D149" s="308" t="str">
        <f aca="false">IF(VIN_min&gt;Vout, "BUCK", "BOOST")</f>
        <v>BOOST</v>
      </c>
      <c r="E149" s="315" t="s">
        <v>375</v>
      </c>
      <c r="I149" s="309"/>
      <c r="K149" s="375" t="n">
        <f aca="false">B145*(1-Don_Vinmin_2)/Fsw</f>
        <v>0.111605126737271</v>
      </c>
      <c r="L149" s="375" t="n">
        <f aca="false">B145*Don_Vinmin_2/Fsw</f>
        <v>0.115345227872658</v>
      </c>
      <c r="N149" s="308" t="str">
        <f aca="false">IF(VIN_min&gt;Vout, "BUCK", "BOOST")</f>
        <v>BOOST</v>
      </c>
    </row>
    <row r="150" customFormat="false" ht="12.75" hidden="false" customHeight="false" outlineLevel="0" collapsed="false">
      <c r="A150" s="398" t="s">
        <v>381</v>
      </c>
      <c r="B150" s="399" t="n">
        <f aca="false">IF(D150="BUCK", K150,L150)</f>
        <v>0.000106066362715299</v>
      </c>
      <c r="C150" s="325" t="s">
        <v>11</v>
      </c>
      <c r="D150" s="308" t="str">
        <f aca="false">IF(VIN_nom&gt;Vout,"BUCK",IF(VIN_nom&lt;VIN_edgebuckboost,"BOOST","BUCK-BOOST"))</f>
        <v>BUCK-BOOST</v>
      </c>
      <c r="E150" s="325" t="s">
        <v>376</v>
      </c>
      <c r="F150" s="308"/>
      <c r="G150" s="308"/>
      <c r="H150" s="308"/>
      <c r="I150" s="309"/>
      <c r="K150" s="375" t="n">
        <f aca="false">B146*(1-Don_Vinnom_2)/Fsw</f>
        <v>0.056631522289767</v>
      </c>
      <c r="L150" s="375" t="n">
        <f aca="false">B146*Don_Vinnom_2/Fsw</f>
        <v>0.000106066362715299</v>
      </c>
      <c r="N150" s="308" t="str">
        <f aca="false">IF(VIN_nom&gt;Vout, "BUCK", "BOOST")</f>
        <v>BOOST</v>
      </c>
    </row>
    <row r="151" customFormat="false" ht="12.75" hidden="false" customHeight="false" outlineLevel="0" collapsed="false">
      <c r="A151" s="398" t="s">
        <v>382</v>
      </c>
      <c r="B151" s="399" t="n">
        <f aca="false">IF(D151="BUCK", K151,L151)</f>
        <v>0.861128493950772</v>
      </c>
      <c r="C151" s="325" t="s">
        <v>11</v>
      </c>
      <c r="D151" s="308" t="str">
        <f aca="false">IF(VIN_max&gt;Vout, "BUCK", "BOOST")</f>
        <v>BUCK</v>
      </c>
      <c r="E151" s="325" t="s">
        <v>377</v>
      </c>
      <c r="F151" s="308"/>
      <c r="G151" s="308"/>
      <c r="H151" s="308"/>
      <c r="I151" s="309"/>
      <c r="K151" s="375" t="n">
        <f aca="false">B147*(1-Don_Vinmax_2)/Fsw</f>
        <v>0.861128493950772</v>
      </c>
      <c r="L151" s="375" t="n">
        <f aca="false">B147*Don_Vinmax_2/Fsw</f>
        <v>0.273623279098874</v>
      </c>
      <c r="N151" s="308" t="str">
        <f aca="false">IF(VIN_max&gt;Vout, "BUCK", "BOOST")</f>
        <v>BUCK</v>
      </c>
    </row>
    <row r="152" customFormat="false" ht="12.75" hidden="false" customHeight="false" outlineLevel="0" collapsed="false">
      <c r="A152" s="306"/>
      <c r="C152" s="324"/>
      <c r="D152" s="308"/>
      <c r="E152" s="320"/>
      <c r="F152" s="308"/>
      <c r="G152" s="308"/>
      <c r="H152" s="308"/>
      <c r="I152" s="309"/>
    </row>
    <row r="153" customFormat="false" ht="12.75" hidden="false" customHeight="false" outlineLevel="0" collapsed="false">
      <c r="A153" s="322"/>
      <c r="D153" s="324"/>
      <c r="E153" s="312"/>
      <c r="F153" s="308"/>
      <c r="G153" s="308"/>
      <c r="H153" s="308"/>
      <c r="I153" s="309"/>
    </row>
    <row r="154" customFormat="false" ht="12.75" hidden="false" customHeight="false" outlineLevel="0" collapsed="false">
      <c r="A154" s="306" t="s">
        <v>383</v>
      </c>
      <c r="B154" s="400" t="n">
        <f aca="false">'Design Converter'!E36</f>
        <v>12</v>
      </c>
      <c r="C154" s="320" t="s">
        <v>16</v>
      </c>
      <c r="D154" s="324"/>
      <c r="E154" s="312"/>
      <c r="F154" s="308"/>
      <c r="G154" s="308"/>
      <c r="H154" s="308"/>
      <c r="I154" s="309"/>
    </row>
    <row r="155" customFormat="false" ht="12.75" hidden="false" customHeight="false" outlineLevel="0" collapsed="false">
      <c r="A155" s="306" t="s">
        <v>384</v>
      </c>
      <c r="B155" s="401" t="n">
        <v>50</v>
      </c>
      <c r="C155" s="320" t="s">
        <v>385</v>
      </c>
      <c r="D155" s="308"/>
      <c r="E155" s="327" t="s">
        <v>386</v>
      </c>
      <c r="F155" s="308"/>
      <c r="G155" s="308"/>
      <c r="H155" s="308"/>
      <c r="I155" s="309"/>
    </row>
    <row r="156" customFormat="false" ht="12.75" hidden="false" customHeight="false" outlineLevel="0" collapsed="false">
      <c r="A156" s="306" t="s">
        <v>387</v>
      </c>
      <c r="B156" s="397" t="n">
        <f aca="false">IF(Constant_Current_Loop_Setpoint="N/A", 0, Iout_threshold/Constant_Current_Loop_Setpoint)</f>
        <v>4.16666666666667</v>
      </c>
      <c r="C156" s="402" t="s">
        <v>388</v>
      </c>
      <c r="D156" s="308"/>
      <c r="E156" s="308"/>
      <c r="F156" s="308"/>
      <c r="G156" s="308"/>
      <c r="H156" s="308"/>
      <c r="I156" s="309"/>
    </row>
    <row r="157" customFormat="false" ht="12.75" hidden="false" customHeight="false" outlineLevel="0" collapsed="false">
      <c r="A157" s="345"/>
      <c r="B157" s="347"/>
      <c r="C157" s="347"/>
      <c r="D157" s="347"/>
      <c r="E157" s="403"/>
      <c r="F157" s="347"/>
      <c r="G157" s="347"/>
      <c r="H157" s="347"/>
      <c r="I157" s="348"/>
    </row>
    <row r="159" customFormat="false" ht="15" hidden="false" customHeight="false" outlineLevel="0" collapsed="false">
      <c r="A159" s="404" t="s">
        <v>50</v>
      </c>
      <c r="B159" s="308"/>
      <c r="D159" s="300"/>
      <c r="E159" s="308"/>
      <c r="F159" s="308"/>
      <c r="G159" s="308"/>
      <c r="H159" s="308"/>
      <c r="I159" s="308"/>
    </row>
    <row r="160" customFormat="false" ht="12.75" hidden="false" customHeight="false" outlineLevel="0" collapsed="false">
      <c r="A160" s="301" t="s">
        <v>389</v>
      </c>
      <c r="B160" s="405" t="n">
        <f aca="false">IF(D160="BUCK", Iripple_Vinmin/SQRT(12), Iout*SQRT((Vout-VIN_min)/VIN_min))</f>
        <v>6</v>
      </c>
      <c r="C160" s="406" t="s">
        <v>16</v>
      </c>
      <c r="D160" s="351" t="str">
        <f aca="false">IF(VIN_min&gt;Vout, "BUCK", "BOOST")</f>
        <v>BOOST</v>
      </c>
      <c r="E160" s="304" t="s">
        <v>390</v>
      </c>
      <c r="F160" s="303"/>
      <c r="G160" s="303"/>
      <c r="H160" s="303"/>
      <c r="I160" s="305"/>
      <c r="L160" s="385"/>
    </row>
    <row r="161" customFormat="false" ht="12.75" hidden="false" customHeight="false" outlineLevel="0" collapsed="false">
      <c r="A161" s="306" t="s">
        <v>391</v>
      </c>
      <c r="B161" s="328" t="n">
        <f aca="false">IF(D161="BUCK", Iripple_Vinnom/SQRT(12), Iout*SQRT((Vout-VIN_nom)/VIN_nom))</f>
        <v>0</v>
      </c>
      <c r="C161" s="325" t="s">
        <v>16</v>
      </c>
      <c r="D161" s="308" t="str">
        <f aca="false">IF(VIN_nom&gt;Vout,"BUCK",IF(VIN_nom&lt;VIN_edgebuckboost,"BOOST","BUCK-BOOST"))</f>
        <v>BUCK-BOOST</v>
      </c>
      <c r="E161" s="312"/>
      <c r="F161" s="308"/>
      <c r="G161" s="308"/>
      <c r="H161" s="308"/>
      <c r="I161" s="309"/>
      <c r="L161" s="385"/>
    </row>
    <row r="162" customFormat="false" ht="12.75" hidden="false" customHeight="false" outlineLevel="0" collapsed="false">
      <c r="A162" s="306" t="s">
        <v>392</v>
      </c>
      <c r="B162" s="328" t="n">
        <f aca="false">IF(D162="BUCK", Iripple_Vinmax/SQRT(12), Iout*SQRT((Vout-VIN_max)/VIN_max))</f>
        <v>1.87597062690086</v>
      </c>
      <c r="C162" s="325" t="s">
        <v>16</v>
      </c>
      <c r="D162" s="308" t="str">
        <f aca="false">IF(VIN_max&gt;Vout, "BUCK", "BOOST")</f>
        <v>BUCK</v>
      </c>
      <c r="E162" s="312"/>
      <c r="F162" s="308"/>
      <c r="G162" s="308"/>
      <c r="H162" s="308"/>
      <c r="I162" s="309"/>
      <c r="L162" s="385"/>
    </row>
    <row r="163" customFormat="false" ht="12.75" hidden="false" customHeight="false" outlineLevel="0" collapsed="false">
      <c r="A163" s="306" t="s">
        <v>393</v>
      </c>
      <c r="B163" s="328" t="n">
        <f aca="false">MAX(B160:B162)</f>
        <v>6</v>
      </c>
      <c r="C163" s="325" t="s">
        <v>16</v>
      </c>
      <c r="D163" s="308"/>
      <c r="E163" s="312"/>
      <c r="F163" s="308"/>
      <c r="G163" s="308"/>
      <c r="H163" s="308"/>
      <c r="I163" s="309"/>
      <c r="L163" s="385"/>
    </row>
    <row r="164" customFormat="false" ht="12.75" hidden="false" customHeight="false" outlineLevel="0" collapsed="false">
      <c r="A164" s="306"/>
      <c r="B164" s="407"/>
      <c r="C164" s="325"/>
      <c r="D164" s="308"/>
      <c r="E164" s="312"/>
      <c r="F164" s="308"/>
      <c r="G164" s="308"/>
      <c r="H164" s="308"/>
      <c r="I164" s="309"/>
      <c r="L164" s="385"/>
    </row>
    <row r="165" customFormat="false" ht="12.75" hidden="false" customHeight="false" outlineLevel="0" collapsed="false">
      <c r="A165" s="306" t="s">
        <v>394</v>
      </c>
      <c r="B165" s="408" t="n">
        <f aca="false">Vripple1*1000</f>
        <v>100</v>
      </c>
      <c r="C165" s="325" t="s">
        <v>385</v>
      </c>
      <c r="D165" s="308"/>
      <c r="E165" s="312" t="s">
        <v>395</v>
      </c>
      <c r="F165" s="308"/>
      <c r="G165" s="308"/>
      <c r="H165" s="308"/>
      <c r="I165" s="309"/>
      <c r="L165" s="385"/>
    </row>
    <row r="166" customFormat="false" ht="12.75" hidden="false" customHeight="false" outlineLevel="0" collapsed="false">
      <c r="A166" s="322"/>
      <c r="B166" s="325"/>
      <c r="C166" s="336"/>
      <c r="D166" s="308"/>
      <c r="E166" s="312"/>
      <c r="F166" s="308"/>
      <c r="G166" s="308"/>
      <c r="H166" s="308"/>
      <c r="I166" s="309"/>
    </row>
    <row r="167" customFormat="false" ht="12.75" hidden="false" customHeight="false" outlineLevel="0" collapsed="false">
      <c r="A167" s="409" t="s">
        <v>396</v>
      </c>
      <c r="B167" s="410" t="n">
        <f aca="false">IF(VIN_min&gt;Vout, Iripple_Vinmin/(Fsw*8*Vripple1), Iout*Don_Vinmin_2/(Vripple1*Fsw))</f>
        <v>0.00010164798206278</v>
      </c>
      <c r="C167" s="308" t="s">
        <v>397</v>
      </c>
      <c r="E167" s="308" t="s">
        <v>398</v>
      </c>
      <c r="F167" s="308"/>
      <c r="G167" s="308"/>
      <c r="H167" s="308" t="n">
        <f aca="false">Vripple2</f>
        <v>0.0554119955156951</v>
      </c>
      <c r="I167" s="309" t="n">
        <v>1</v>
      </c>
      <c r="K167" s="411" t="n">
        <f aca="false">Coutmin</f>
        <v>0.00010164798206278</v>
      </c>
    </row>
    <row r="168" customFormat="false" ht="12.75" hidden="false" customHeight="false" outlineLevel="0" collapsed="false">
      <c r="A168" s="306" t="s">
        <v>399</v>
      </c>
      <c r="B168" s="412" t="n">
        <f aca="false">IF(Coutmin*1000000&lt;22, 22,Coutmin*1000000)</f>
        <v>101.64798206278</v>
      </c>
      <c r="C168" s="413" t="s">
        <v>400</v>
      </c>
      <c r="E168" s="308"/>
      <c r="F168" s="308"/>
      <c r="G168" s="308"/>
      <c r="H168" s="308"/>
      <c r="I168" s="309"/>
      <c r="K168" s="411" t="n">
        <f aca="false">Coutmin*1000000</f>
        <v>101.64798206278</v>
      </c>
    </row>
    <row r="169" customFormat="false" ht="12.75" hidden="false" customHeight="false" outlineLevel="0" collapsed="false">
      <c r="A169" s="306" t="s">
        <v>401</v>
      </c>
      <c r="B169" s="414" t="n">
        <f aca="false">'Design Converter'!E42/1000000</f>
        <v>0.0004</v>
      </c>
      <c r="C169" s="308" t="s">
        <v>397</v>
      </c>
      <c r="E169" s="312" t="s">
        <v>402</v>
      </c>
      <c r="F169" s="308"/>
      <c r="G169" s="308"/>
      <c r="H169" s="308"/>
      <c r="I169" s="309" t="n">
        <v>1</v>
      </c>
    </row>
    <row r="170" customFormat="false" ht="12.75" hidden="false" customHeight="false" outlineLevel="0" collapsed="false">
      <c r="A170" s="409" t="s">
        <v>403</v>
      </c>
      <c r="B170" s="415" t="n">
        <f aca="false">IF(VIN_min&gt;Vout, SQRT((Vripple1/Iripple_Vinmin)^2-(1/(Fsw*Cout*8))^2), (Vripple1-Iout*Don_Vinmin_2/(Fsw*Cout))/Iout)</f>
        <v>0.0124313340807175</v>
      </c>
      <c r="C170" s="324" t="s">
        <v>40</v>
      </c>
      <c r="E170" s="312" t="s">
        <v>404</v>
      </c>
      <c r="F170" s="308"/>
      <c r="G170" s="308"/>
      <c r="H170" s="308"/>
      <c r="I170" s="309" t="n">
        <v>1</v>
      </c>
    </row>
    <row r="171" customFormat="false" ht="12.75" hidden="false" customHeight="false" outlineLevel="0" collapsed="false">
      <c r="A171" s="300"/>
      <c r="B171" s="416"/>
      <c r="C171" s="324"/>
      <c r="E171" s="312"/>
      <c r="F171" s="308"/>
      <c r="G171" s="308"/>
      <c r="H171" s="308"/>
      <c r="I171" s="309"/>
    </row>
    <row r="172" customFormat="false" ht="12.75" hidden="false" customHeight="false" outlineLevel="0" collapsed="false">
      <c r="A172" s="417" t="s">
        <v>405</v>
      </c>
      <c r="B172" s="418" t="n">
        <f aca="false">IF(OR(CoutEsrMax&gt;0.3, CoutEsrMax&lt;0, (ISERROR(CoutEsrMax))), "N/A", CoutEsrMax*1000)</f>
        <v>12.4313340807175</v>
      </c>
      <c r="C172" s="402" t="s">
        <v>388</v>
      </c>
      <c r="E172" s="312"/>
      <c r="F172" s="308"/>
      <c r="G172" s="308"/>
      <c r="H172" s="308"/>
      <c r="I172" s="309"/>
    </row>
    <row r="173" customFormat="false" ht="12.75" hidden="false" customHeight="false" outlineLevel="0" collapsed="false">
      <c r="A173" s="306" t="s">
        <v>406</v>
      </c>
      <c r="B173" s="359" t="n">
        <f aca="false">'Design Converter'!E44/1000</f>
        <v>0.005</v>
      </c>
      <c r="C173" s="324" t="s">
        <v>40</v>
      </c>
      <c r="E173" s="312" t="s">
        <v>407</v>
      </c>
      <c r="F173" s="308"/>
      <c r="G173" s="308"/>
      <c r="H173" s="308"/>
      <c r="I173" s="309" t="n">
        <v>1</v>
      </c>
      <c r="K173" s="419" t="b">
        <f aca="false">ISERROR(CoutEsrMax)</f>
        <v>0</v>
      </c>
      <c r="L173" s="419" t="b">
        <f aca="false">ISERROR(B172)</f>
        <v>0</v>
      </c>
    </row>
    <row r="174" customFormat="false" ht="12.75" hidden="false" customHeight="false" outlineLevel="0" collapsed="false">
      <c r="A174" s="420" t="s">
        <v>408</v>
      </c>
      <c r="B174" s="421" t="n">
        <f aca="false">IF(VIN_min&gt;Vout, Iripple_Vinmax*SQRT(CoutEsr^2+(1/(8*Fsw*Cout))^2), CoutEsr*Iout+Iout*Don_Vinmin_2/(Fsw*Cout))</f>
        <v>0.0554119955156951</v>
      </c>
      <c r="C174" s="403" t="s">
        <v>409</v>
      </c>
      <c r="D174" s="347"/>
      <c r="E174" s="347"/>
      <c r="F174" s="347"/>
      <c r="G174" s="347"/>
      <c r="H174" s="347"/>
      <c r="I174" s="348"/>
      <c r="L174" s="419" t="b">
        <f aca="false">OR(CoutEsrMax&gt;0.3,CoutEsrMax&lt;0)</f>
        <v>0</v>
      </c>
    </row>
    <row r="175" customFormat="false" ht="12.75" hidden="false" customHeight="false" outlineLevel="0" collapsed="false">
      <c r="K175" s="419" t="b">
        <f aca="false">OR(TRUE(), FALSE(), TRUE())</f>
        <v>1</v>
      </c>
    </row>
    <row r="176" customFormat="false" ht="15" hidden="false" customHeight="false" outlineLevel="0" collapsed="false">
      <c r="A176" s="404" t="s">
        <v>63</v>
      </c>
      <c r="B176" s="308"/>
      <c r="C176" s="300"/>
      <c r="D176" s="308"/>
      <c r="E176" s="308"/>
      <c r="F176" s="308"/>
      <c r="G176" s="308"/>
      <c r="H176" s="308"/>
      <c r="I176" s="308"/>
    </row>
    <row r="177" customFormat="false" ht="15" hidden="false" customHeight="false" outlineLevel="0" collapsed="false">
      <c r="A177" s="422"/>
      <c r="B177" s="423"/>
      <c r="C177" s="424"/>
      <c r="D177" s="423"/>
      <c r="E177" s="423"/>
      <c r="F177" s="423"/>
      <c r="G177" s="423"/>
      <c r="H177" s="423"/>
      <c r="I177" s="425"/>
    </row>
    <row r="178" customFormat="false" ht="12.75" hidden="false" customHeight="false" outlineLevel="0" collapsed="false">
      <c r="A178" s="306" t="s">
        <v>410</v>
      </c>
      <c r="B178" s="426" t="n">
        <f aca="false">IF(D178="BUCK", Iout*SQRT(Don_Vinmin_2*(1-Don_Vinmax_2)), Iripple_Vinmin/SQRT(12))</f>
        <v>0.62432435964392</v>
      </c>
      <c r="C178" s="413" t="s">
        <v>16</v>
      </c>
      <c r="D178" s="0" t="str">
        <f aca="false">IF(VIN_min&gt;Vout, "BUCK", "BOOST")</f>
        <v>BOOST</v>
      </c>
      <c r="E178" s="308"/>
      <c r="F178" s="427" t="n">
        <f aca="false">Iripple_Vinmin/SQRT(12)</f>
        <v>0.62432435964392</v>
      </c>
      <c r="G178" s="364" t="n">
        <f aca="false">Iout*SQRT(Don_Vinmax_2*(1-Don_Vinmax_2))</f>
        <v>2.56661590913173</v>
      </c>
      <c r="H178" s="311" t="n">
        <f aca="false">Iout*0.25</f>
        <v>1.5</v>
      </c>
      <c r="I178" s="428"/>
    </row>
    <row r="179" customFormat="false" ht="12.75" hidden="false" customHeight="false" outlineLevel="0" collapsed="false">
      <c r="A179" s="306" t="s">
        <v>411</v>
      </c>
      <c r="B179" s="426" t="n">
        <f aca="false">IF(D179="BUCK", Iout*SQRT(Don_Vinnom_2*(1-Don_Vinnom_2)), Iripple_Vinnom/SQRT(12))</f>
        <v>0.00459280822992317</v>
      </c>
      <c r="C179" s="413" t="s">
        <v>16</v>
      </c>
      <c r="D179" s="308" t="str">
        <f aca="false">IF(VIN_nom&gt;Vout,"BUCK",IF(VIN_nom&lt;VIN_edgebuckboost,"BOOST","BUCK-BOOST"))</f>
        <v>BUCK-BOOST</v>
      </c>
      <c r="E179" s="308"/>
      <c r="F179" s="427"/>
      <c r="G179" s="364"/>
      <c r="H179" s="308"/>
      <c r="I179" s="428"/>
    </row>
    <row r="180" customFormat="false" ht="12.75" hidden="false" customHeight="false" outlineLevel="0" collapsed="false">
      <c r="A180" s="306" t="s">
        <v>412</v>
      </c>
      <c r="B180" s="426" t="n">
        <f aca="false">IF(D180="BUCK", Iout*SQRT(Don_Vinmax_2*(1-Don_Vinmax_2)), Iripple_Vinmax/SQRT(12))</f>
        <v>2.56661590913173</v>
      </c>
      <c r="C180" s="413" t="s">
        <v>16</v>
      </c>
      <c r="D180" s="308" t="str">
        <f aca="false">IF(VIN_max&gt;Vout, "BUCK", "BOOST")</f>
        <v>BUCK</v>
      </c>
      <c r="E180" s="308"/>
      <c r="F180" s="427"/>
      <c r="G180" s="364"/>
      <c r="H180" s="308"/>
      <c r="I180" s="428"/>
    </row>
    <row r="181" customFormat="false" ht="12.75" hidden="false" customHeight="false" outlineLevel="0" collapsed="false">
      <c r="A181" s="306" t="s">
        <v>413</v>
      </c>
      <c r="B181" s="426" t="n">
        <f aca="false">MAX(B178:B180)</f>
        <v>2.56661590913173</v>
      </c>
      <c r="C181" s="413" t="s">
        <v>16</v>
      </c>
      <c r="D181" s="312" t="s">
        <v>414</v>
      </c>
      <c r="E181" s="308"/>
      <c r="F181" s="427"/>
      <c r="G181" s="364"/>
      <c r="H181" s="308"/>
      <c r="I181" s="428"/>
    </row>
    <row r="182" customFormat="false" ht="12.75" hidden="false" customHeight="false" outlineLevel="0" collapsed="false">
      <c r="A182" s="312"/>
      <c r="B182" s="429"/>
      <c r="C182" s="413"/>
      <c r="E182" s="308"/>
      <c r="F182" s="427"/>
      <c r="G182" s="364"/>
      <c r="H182" s="308"/>
      <c r="I182" s="428"/>
    </row>
    <row r="183" customFormat="false" ht="12.75" hidden="false" customHeight="false" outlineLevel="0" collapsed="false">
      <c r="A183" s="430" t="s">
        <v>415</v>
      </c>
      <c r="B183" s="307" t="n">
        <f aca="false">'Design Converter'!E49/1000</f>
        <v>0.2</v>
      </c>
      <c r="C183" s="315" t="s">
        <v>409</v>
      </c>
      <c r="D183" s="320" t="s">
        <v>416</v>
      </c>
      <c r="E183" s="308"/>
      <c r="F183" s="308"/>
      <c r="G183" s="308"/>
      <c r="H183" s="308"/>
      <c r="I183" s="428"/>
    </row>
    <row r="184" customFormat="false" ht="12.75" hidden="false" customHeight="false" outlineLevel="0" collapsed="false">
      <c r="A184" s="312"/>
      <c r="B184" s="429"/>
      <c r="C184" s="413"/>
      <c r="E184" s="308"/>
      <c r="F184" s="427"/>
      <c r="G184" s="364"/>
      <c r="H184" s="308"/>
      <c r="I184" s="428"/>
    </row>
    <row r="185" customFormat="false" ht="12.75" hidden="false" customHeight="false" outlineLevel="0" collapsed="false">
      <c r="A185" s="417" t="s">
        <v>417</v>
      </c>
      <c r="B185" s="431" t="n">
        <f aca="false">IF(VIN_max&gt;Vout, Iout*Don_Vinmax_2*(1-Don_Vinmax_2)/(Vinripple1*Fsw), Iripple_Vinmax/(Fsw*8*Vinripple1))</f>
        <v>1.82986589583559E-005</v>
      </c>
      <c r="C185" s="413" t="s">
        <v>397</v>
      </c>
      <c r="D185" s="320" t="s">
        <v>418</v>
      </c>
      <c r="E185" s="308"/>
      <c r="F185" s="308"/>
      <c r="H185" s="308"/>
      <c r="I185" s="428"/>
      <c r="K185" s="432" t="n">
        <f aca="false">Iripple_Vinnom/(Fsw*8*Vinripple1)</f>
        <v>3.31457383485309E-008</v>
      </c>
    </row>
    <row r="186" customFormat="false" ht="12.75" hidden="false" customHeight="false" outlineLevel="0" collapsed="false">
      <c r="A186" s="417" t="s">
        <v>419</v>
      </c>
      <c r="B186" s="433" t="n">
        <f aca="false">IF(VIN_max&gt;Vout, Iout*0.5*(1-0.5)/(Vinripple1*Fsw), Iripple_Vinmax/(Fsw*8*Vinripple1))</f>
        <v>2.5E-005</v>
      </c>
      <c r="C186" s="413"/>
      <c r="D186" s="320" t="s">
        <v>420</v>
      </c>
      <c r="E186" s="308"/>
      <c r="F186" s="308"/>
      <c r="G186" s="335"/>
      <c r="H186" s="308"/>
      <c r="I186" s="428"/>
      <c r="K186" s="432"/>
    </row>
    <row r="187" customFormat="false" ht="12.75" hidden="false" customHeight="false" outlineLevel="0" collapsed="false">
      <c r="A187" s="417" t="s">
        <v>421</v>
      </c>
      <c r="B187" s="335" t="n">
        <f aca="false">IF(VIN_max&lt;2*Vout, B185,B186)</f>
        <v>2.5E-005</v>
      </c>
      <c r="C187" s="413"/>
      <c r="E187" s="308"/>
      <c r="F187" s="308"/>
      <c r="G187" s="335"/>
      <c r="H187" s="308"/>
      <c r="I187" s="428"/>
      <c r="K187" s="432"/>
    </row>
    <row r="188" customFormat="false" ht="12.75" hidden="false" customHeight="false" outlineLevel="0" collapsed="false">
      <c r="A188" s="417" t="s">
        <v>422</v>
      </c>
      <c r="B188" s="412" t="n">
        <f aca="false">IF(Cinmin*1000000&lt;10, 10,Cinmin*1000000)</f>
        <v>25</v>
      </c>
      <c r="C188" s="413" t="s">
        <v>400</v>
      </c>
      <c r="D188" s="320" t="s">
        <v>414</v>
      </c>
      <c r="E188" s="308"/>
      <c r="F188" s="308"/>
      <c r="G188" s="308"/>
      <c r="H188" s="308"/>
      <c r="I188" s="428"/>
    </row>
    <row r="189" customFormat="false" ht="12.75" hidden="false" customHeight="false" outlineLevel="0" collapsed="false">
      <c r="A189" s="417" t="s">
        <v>423</v>
      </c>
      <c r="B189" s="434" t="n">
        <f aca="false">'Design Converter'!E51/1000000</f>
        <v>6.8E-005</v>
      </c>
      <c r="C189" s="413" t="s">
        <v>397</v>
      </c>
      <c r="D189" s="308" t="s">
        <v>424</v>
      </c>
      <c r="F189" s="308"/>
      <c r="G189" s="308"/>
      <c r="H189" s="308"/>
      <c r="I189" s="428"/>
    </row>
    <row r="190" customFormat="false" ht="12.75" hidden="false" customHeight="false" outlineLevel="0" collapsed="false">
      <c r="A190" s="435" t="s">
        <v>425</v>
      </c>
      <c r="B190" s="382" t="n">
        <f aca="false">IF(VIN_max&gt;Vout, -(Iout*Don_Vinmax_2*(1-Don_Vinmax_2)/(Cin*Fsw)-Vinripple1)/(Iout+Iripple_Vinmax/2), SQRT((Vinripple1/Iripple_Vinmax)^2-(1/(Fsw*Cin*8))^2))</f>
        <v>0.0158045243633611</v>
      </c>
      <c r="C190" s="324" t="s">
        <v>40</v>
      </c>
      <c r="F190" s="308"/>
      <c r="G190" s="308"/>
      <c r="H190" s="308"/>
      <c r="I190" s="428"/>
    </row>
    <row r="191" customFormat="false" ht="12.75" hidden="false" customHeight="false" outlineLevel="0" collapsed="false">
      <c r="A191" s="435" t="s">
        <v>426</v>
      </c>
      <c r="B191" s="382" t="n">
        <f aca="false">IF(VIN_max&gt;Vout, -(Iout*0.5*(1-0.5)/(Cin*Fsw)-Vinripple1)/(Iout+Iripple_Vinmax/2), SQRT((Vinripple1/Iripple_Vinmax)^2-(1/(Fsw*Cin*8))^2))</f>
        <v>0.0136735656097308</v>
      </c>
      <c r="C191" s="324" t="s">
        <v>40</v>
      </c>
      <c r="D191" s="320" t="s">
        <v>427</v>
      </c>
      <c r="F191" s="308"/>
      <c r="G191" s="308"/>
      <c r="H191" s="308"/>
      <c r="I191" s="428"/>
    </row>
    <row r="192" customFormat="false" ht="12.75" hidden="false" customHeight="false" outlineLevel="0" collapsed="false">
      <c r="A192" s="435" t="s">
        <v>428</v>
      </c>
      <c r="B192" s="382" t="n">
        <f aca="false">IF(VIN_max&lt;2*Vout, B190,B191)</f>
        <v>0.0136735656097308</v>
      </c>
      <c r="C192" s="324" t="s">
        <v>40</v>
      </c>
      <c r="D192" s="308"/>
      <c r="F192" s="308"/>
      <c r="G192" s="308"/>
      <c r="H192" s="308"/>
      <c r="I192" s="428"/>
    </row>
    <row r="193" customFormat="false" ht="12.75" hidden="false" customHeight="false" outlineLevel="0" collapsed="false">
      <c r="A193" s="417" t="s">
        <v>429</v>
      </c>
      <c r="B193" s="436" t="n">
        <f aca="false">IF(OR(CinEsrMax&gt;0.3, CinEsrMax&lt;0), "N/A",CinEsrMax*1000)</f>
        <v>13.6735656097308</v>
      </c>
      <c r="C193" s="402" t="s">
        <v>388</v>
      </c>
      <c r="D193" s="315" t="s">
        <v>414</v>
      </c>
      <c r="F193" s="308"/>
      <c r="G193" s="308"/>
      <c r="H193" s="308"/>
      <c r="I193" s="428"/>
    </row>
    <row r="194" customFormat="false" ht="12.75" hidden="false" customHeight="false" outlineLevel="0" collapsed="false">
      <c r="A194" s="417" t="s">
        <v>430</v>
      </c>
      <c r="B194" s="437" t="n">
        <f aca="false">'Design Converter'!E53/1000</f>
        <v>0.002</v>
      </c>
      <c r="C194" s="324" t="s">
        <v>40</v>
      </c>
      <c r="D194" s="312" t="s">
        <v>431</v>
      </c>
      <c r="F194" s="308"/>
      <c r="G194" s="308"/>
      <c r="H194" s="308"/>
      <c r="I194" s="428"/>
    </row>
    <row r="195" customFormat="false" ht="12.75" hidden="false" customHeight="false" outlineLevel="0" collapsed="false">
      <c r="D195" s="312"/>
      <c r="F195" s="308"/>
      <c r="G195" s="308"/>
      <c r="H195" s="308"/>
      <c r="I195" s="428"/>
      <c r="K195" s="438" t="n">
        <f aca="false">CinEsrMax</f>
        <v>0.0136735656097308</v>
      </c>
    </row>
    <row r="196" customFormat="false" ht="12.75" hidden="false" customHeight="false" outlineLevel="0" collapsed="false">
      <c r="A196" s="417" t="s">
        <v>432</v>
      </c>
      <c r="B196" s="439" t="n">
        <f aca="false">IF(VIN_max&gt;Vout, Iout*Don_Vinmax_2*(1-Don_Vinmax_2)/(Cin*Fsw)+(Iout +Iripple_Vinmax/2)*RCinEsr, Iripple_Vinmax*SQRT(RCinEsr^2+(1/(8*Fsw*Cin))^2))</f>
        <v>0.0723181380502331</v>
      </c>
      <c r="C196" s="413" t="s">
        <v>409</v>
      </c>
      <c r="E196" s="308"/>
      <c r="F196" s="308"/>
      <c r="G196" s="308"/>
      <c r="H196" s="308"/>
      <c r="I196" s="428"/>
    </row>
    <row r="197" customFormat="false" ht="12.75" hidden="false" customHeight="false" outlineLevel="0" collapsed="false">
      <c r="A197" s="417" t="s">
        <v>433</v>
      </c>
      <c r="B197" s="439" t="n">
        <f aca="false">IF(VIN_max&gt;Vout, Iout*0.5*(1-0.5)/(Cin*Fsw)+(Iout +Iripple_Vinmax/2)*RCinEsr, Iripple_Vinmax*SQRT(RCinEsr^2+(1/(8*Fsw*Cin))^2))</f>
        <v>0.0920279646433041</v>
      </c>
      <c r="C197" s="413" t="s">
        <v>409</v>
      </c>
      <c r="D197" s="320" t="s">
        <v>434</v>
      </c>
      <c r="E197" s="308"/>
      <c r="F197" s="308"/>
      <c r="G197" s="308"/>
      <c r="H197" s="308"/>
      <c r="I197" s="428"/>
    </row>
    <row r="198" customFormat="false" ht="12.75" hidden="false" customHeight="false" outlineLevel="0" collapsed="false">
      <c r="A198" s="417" t="s">
        <v>435</v>
      </c>
      <c r="B198" s="439" t="n">
        <f aca="false">IF(VIN_max&lt;2*Vout, B196,B197)</f>
        <v>0.0920279646433041</v>
      </c>
      <c r="C198" s="413" t="s">
        <v>409</v>
      </c>
      <c r="D198" s="320" t="s">
        <v>436</v>
      </c>
      <c r="E198" s="308"/>
      <c r="F198" s="308"/>
      <c r="G198" s="308"/>
      <c r="H198" s="308"/>
      <c r="I198" s="428"/>
    </row>
    <row r="199" customFormat="false" ht="12.75" hidden="false" customHeight="false" outlineLevel="0" collapsed="false">
      <c r="A199" s="417"/>
      <c r="B199" s="440"/>
      <c r="C199" s="413"/>
      <c r="E199" s="308"/>
      <c r="F199" s="308"/>
      <c r="G199" s="308"/>
      <c r="H199" s="308"/>
      <c r="I199" s="428"/>
    </row>
    <row r="200" customFormat="false" ht="12.75" hidden="false" customHeight="false" outlineLevel="0" collapsed="false">
      <c r="A200" s="441"/>
      <c r="B200" s="442" t="n">
        <f aca="false">Iout*Don_Vinmax_2*(1-Don_Vinmax_2)/(Cin*Fsw)</f>
        <v>0.0538195851716349</v>
      </c>
      <c r="C200" s="443" t="s">
        <v>409</v>
      </c>
      <c r="D200" s="443"/>
      <c r="E200" s="444"/>
      <c r="F200" s="444"/>
      <c r="G200" s="444"/>
      <c r="H200" s="444"/>
      <c r="I200" s="445"/>
    </row>
    <row r="201" customFormat="false" ht="12.75" hidden="false" customHeight="false" outlineLevel="0" collapsed="false">
      <c r="A201" s="308"/>
      <c r="B201" s="308"/>
      <c r="C201" s="300"/>
      <c r="D201" s="308"/>
      <c r="E201" s="308"/>
      <c r="F201" s="308"/>
      <c r="G201" s="308"/>
      <c r="H201" s="308"/>
      <c r="I201" s="308"/>
    </row>
    <row r="202" customFormat="false" ht="15" hidden="false" customHeight="false" outlineLevel="0" collapsed="false">
      <c r="A202" s="299" t="s">
        <v>437</v>
      </c>
      <c r="B202" s="308"/>
      <c r="C202" s="300"/>
      <c r="D202" s="308"/>
      <c r="E202" s="308"/>
      <c r="F202" s="308"/>
      <c r="G202" s="308"/>
      <c r="H202" s="308"/>
      <c r="I202" s="308"/>
    </row>
    <row r="203" customFormat="false" ht="12.75" hidden="false" customHeight="false" outlineLevel="0" collapsed="false">
      <c r="A203" s="446" t="s">
        <v>438</v>
      </c>
      <c r="B203" s="302" t="n">
        <f aca="false">'Design Converter'!E58/1000</f>
        <v>0.015</v>
      </c>
      <c r="C203" s="303" t="s">
        <v>439</v>
      </c>
      <c r="D203" s="304" t="s">
        <v>440</v>
      </c>
      <c r="E203" s="303"/>
      <c r="F203" s="303"/>
      <c r="G203" s="303"/>
      <c r="H203" s="303"/>
      <c r="I203" s="305"/>
    </row>
    <row r="204" customFormat="false" ht="12.75" hidden="false" customHeight="false" outlineLevel="0" collapsed="false">
      <c r="A204" s="322" t="s">
        <v>441</v>
      </c>
      <c r="B204" s="323" t="n">
        <f aca="false">Cout*Vout/Tss</f>
        <v>0.32</v>
      </c>
      <c r="C204" s="308" t="s">
        <v>16</v>
      </c>
      <c r="D204" s="312" t="s">
        <v>442</v>
      </c>
      <c r="E204" s="308"/>
      <c r="F204" s="308"/>
      <c r="G204" s="308"/>
      <c r="H204" s="308"/>
      <c r="I204" s="309"/>
    </row>
    <row r="205" customFormat="false" ht="12.75" hidden="false" customHeight="false" outlineLevel="0" collapsed="false">
      <c r="A205" s="322" t="s">
        <v>443</v>
      </c>
      <c r="B205" s="447" t="n">
        <f aca="false">0.000005*Tss/0.8</f>
        <v>9.375E-008</v>
      </c>
      <c r="C205" s="308" t="s">
        <v>397</v>
      </c>
      <c r="D205" s="308"/>
      <c r="E205" s="308"/>
      <c r="F205" s="308"/>
      <c r="G205" s="308"/>
      <c r="H205" s="308"/>
      <c r="I205" s="309"/>
    </row>
    <row r="206" customFormat="false" ht="12.75" hidden="false" customHeight="false" outlineLevel="0" collapsed="false">
      <c r="A206" s="345" t="s">
        <v>444</v>
      </c>
      <c r="B206" s="448" t="n">
        <f aca="false">'Standard Value Calculator'!B4</f>
        <v>1E-007</v>
      </c>
      <c r="C206" s="347" t="s">
        <v>397</v>
      </c>
      <c r="D206" s="347"/>
      <c r="E206" s="347"/>
      <c r="F206" s="347"/>
      <c r="G206" s="347"/>
      <c r="H206" s="347"/>
      <c r="I206" s="348"/>
    </row>
    <row r="208" customFormat="false" ht="15" hidden="false" customHeight="false" outlineLevel="0" collapsed="false">
      <c r="A208" s="299" t="s">
        <v>445</v>
      </c>
      <c r="B208" s="308"/>
      <c r="C208" s="300"/>
      <c r="D208" s="308"/>
      <c r="E208" s="308"/>
      <c r="F208" s="308"/>
      <c r="G208" s="308"/>
      <c r="H208" s="308"/>
      <c r="I208" s="308"/>
    </row>
    <row r="209" customFormat="false" ht="12.75" hidden="false" customHeight="true" outlineLevel="0" collapsed="false">
      <c r="A209" s="301"/>
      <c r="B209" s="449"/>
      <c r="C209" s="450"/>
      <c r="D209" s="304"/>
      <c r="E209" s="303"/>
      <c r="F209" s="303"/>
      <c r="G209" s="303"/>
      <c r="H209" s="303"/>
      <c r="I209" s="305"/>
    </row>
    <row r="210" customFormat="false" ht="12.75" hidden="false" customHeight="true" outlineLevel="0" collapsed="false">
      <c r="A210" s="306" t="s">
        <v>446</v>
      </c>
      <c r="B210" s="451" t="n">
        <f aca="false">'Design Converter'!E62</f>
        <v>6</v>
      </c>
      <c r="C210" s="325" t="s">
        <v>11</v>
      </c>
      <c r="E210" s="308"/>
      <c r="F210" s="308"/>
      <c r="G210" s="308"/>
      <c r="H210" s="308"/>
      <c r="I210" s="309"/>
    </row>
    <row r="211" customFormat="false" ht="12.75" hidden="false" customHeight="true" outlineLevel="0" collapsed="false">
      <c r="A211" s="306"/>
      <c r="B211" s="452"/>
      <c r="C211" s="325"/>
      <c r="E211" s="308"/>
      <c r="F211" s="308"/>
      <c r="G211" s="308"/>
      <c r="H211" s="308"/>
      <c r="I211" s="309"/>
    </row>
    <row r="212" customFormat="false" ht="12.75" hidden="false" customHeight="true" outlineLevel="0" collapsed="false">
      <c r="A212" s="306" t="s">
        <v>167</v>
      </c>
      <c r="B212" s="453" t="n">
        <f aca="false">'Design Converter'!E64</f>
        <v>249</v>
      </c>
      <c r="C212" s="402" t="s">
        <v>447</v>
      </c>
      <c r="E212" s="308" t="n">
        <f aca="false">'Standard Value Calculator'!O16</f>
        <v>249</v>
      </c>
      <c r="F212" s="402" t="s">
        <v>447</v>
      </c>
      <c r="G212" s="452" t="n">
        <f aca="false">IF(Ruvlo1&lt;0,"N/A",E212)</f>
        <v>249</v>
      </c>
      <c r="H212" s="452" t="str">
        <f aca="false">IF(Ruvlo1&lt;0,"N/A",E212&amp;"kΩ")</f>
        <v>249kΩ</v>
      </c>
      <c r="I212" s="309"/>
    </row>
    <row r="213" customFormat="false" ht="12.75" hidden="false" customHeight="true" outlineLevel="0" collapsed="false">
      <c r="A213" s="306" t="s">
        <v>168</v>
      </c>
      <c r="B213" s="454" t="n">
        <f aca="false">Vuvlo_on/((VINuvlo_on-Vuvlo_on)/Ruvlo1+Iuvlo1)</f>
        <v>57.8287106660829</v>
      </c>
      <c r="C213" s="402" t="s">
        <v>447</v>
      </c>
      <c r="E213" s="308" t="n">
        <f aca="false">'Standard Value Calculator'!O17</f>
        <v>57.6</v>
      </c>
      <c r="F213" s="402" t="s">
        <v>447</v>
      </c>
      <c r="G213" s="452" t="n">
        <f aca="false">IF(G212="N/A","N/A",E213)</f>
        <v>57.6</v>
      </c>
      <c r="H213" s="452" t="str">
        <f aca="false">IF(H212="N/A","N/A",E213&amp;"kΩ")</f>
        <v>57.6kΩ</v>
      </c>
      <c r="I213" s="309"/>
    </row>
    <row r="214" customFormat="false" ht="12.75" hidden="false" customHeight="true" outlineLevel="0" collapsed="false">
      <c r="A214" s="306"/>
      <c r="B214" s="455"/>
      <c r="C214" s="402"/>
      <c r="E214" s="308"/>
      <c r="F214" s="402"/>
      <c r="G214" s="308"/>
      <c r="H214" s="308"/>
      <c r="I214" s="309"/>
    </row>
    <row r="215" customFormat="false" ht="12.75" hidden="false" customHeight="true" outlineLevel="0" collapsed="false">
      <c r="A215" s="306" t="s">
        <v>448</v>
      </c>
      <c r="B215" s="455" t="n">
        <f aca="false">(E212+E213)/E213*Vuvlo_on-Iuvlo1*E212</f>
        <v>6.02085833333333</v>
      </c>
      <c r="C215" s="402"/>
      <c r="E215" s="308"/>
      <c r="F215" s="402"/>
      <c r="G215" s="308"/>
      <c r="H215" s="308"/>
      <c r="I215" s="309"/>
    </row>
    <row r="216" customFormat="false" ht="12.75" hidden="false" customHeight="true" outlineLevel="0" collapsed="false">
      <c r="A216" s="306" t="s">
        <v>449</v>
      </c>
      <c r="B216" s="455" t="n">
        <f aca="false">(E212+E213)/E213*Vuvlo_off-Iuvlo2*E212</f>
        <v>5.26140833333333</v>
      </c>
      <c r="C216" s="402"/>
      <c r="E216" s="308"/>
      <c r="F216" s="402"/>
      <c r="G216" s="308"/>
      <c r="H216" s="308"/>
      <c r="I216" s="309"/>
    </row>
    <row r="217" customFormat="false" ht="12.75" hidden="false" customHeight="true" outlineLevel="0" collapsed="false">
      <c r="A217" s="306"/>
      <c r="B217" s="452"/>
      <c r="C217" s="308"/>
      <c r="E217" s="308"/>
      <c r="F217" s="308"/>
      <c r="G217" s="308"/>
      <c r="H217" s="308"/>
      <c r="I217" s="309"/>
    </row>
    <row r="218" customFormat="false" ht="12.75" hidden="false" customHeight="true" outlineLevel="0" collapsed="false">
      <c r="A218" s="306" t="s">
        <v>450</v>
      </c>
      <c r="B218" s="456" t="n">
        <v>1.22</v>
      </c>
      <c r="C218" s="312" t="s">
        <v>11</v>
      </c>
      <c r="E218" s="308"/>
      <c r="F218" s="308"/>
      <c r="G218" s="308"/>
      <c r="H218" s="308"/>
      <c r="I218" s="309"/>
    </row>
    <row r="219" customFormat="false" ht="12.75" hidden="false" customHeight="true" outlineLevel="0" collapsed="false">
      <c r="A219" s="306" t="s">
        <v>451</v>
      </c>
      <c r="B219" s="456" t="n">
        <v>1.22</v>
      </c>
      <c r="C219" s="312" t="s">
        <v>11</v>
      </c>
      <c r="E219" s="308"/>
      <c r="F219" s="308"/>
      <c r="G219" s="308"/>
      <c r="H219" s="308"/>
      <c r="I219" s="309"/>
    </row>
    <row r="220" customFormat="false" ht="12.75" hidden="false" customHeight="true" outlineLevel="0" collapsed="false">
      <c r="A220" s="306" t="s">
        <v>452</v>
      </c>
      <c r="B220" s="452" t="n">
        <f aca="false">B218-B219</f>
        <v>0</v>
      </c>
      <c r="C220" s="312" t="s">
        <v>11</v>
      </c>
      <c r="E220" s="308"/>
      <c r="F220" s="308"/>
      <c r="G220" s="308"/>
      <c r="H220" s="308"/>
      <c r="I220" s="309"/>
    </row>
    <row r="221" customFormat="false" ht="12.75" hidden="false" customHeight="true" outlineLevel="0" collapsed="false">
      <c r="A221" s="306" t="s">
        <v>453</v>
      </c>
      <c r="B221" s="452" t="n">
        <v>0.0019</v>
      </c>
      <c r="C221" s="325" t="s">
        <v>454</v>
      </c>
      <c r="E221" s="327" t="s">
        <v>455</v>
      </c>
      <c r="F221" s="333"/>
      <c r="G221" s="333"/>
      <c r="H221" s="308"/>
      <c r="I221" s="309"/>
    </row>
    <row r="222" customFormat="false" ht="12.75" hidden="false" customHeight="true" outlineLevel="0" collapsed="false">
      <c r="A222" s="306" t="s">
        <v>456</v>
      </c>
      <c r="B222" s="452" t="n">
        <v>0.00495</v>
      </c>
      <c r="C222" s="325" t="s">
        <v>454</v>
      </c>
      <c r="E222" s="327" t="s">
        <v>457</v>
      </c>
      <c r="F222" s="308"/>
      <c r="G222" s="327" t="s">
        <v>458</v>
      </c>
      <c r="H222" s="308"/>
      <c r="I222" s="309"/>
    </row>
    <row r="223" customFormat="false" ht="12.75" hidden="false" customHeight="true" outlineLevel="0" collapsed="false">
      <c r="A223" s="306" t="s">
        <v>459</v>
      </c>
      <c r="B223" s="452" t="n">
        <f aca="false">B222-B221</f>
        <v>0.00305</v>
      </c>
      <c r="C223" s="325" t="s">
        <v>454</v>
      </c>
      <c r="E223" s="327" t="s">
        <v>460</v>
      </c>
      <c r="F223" s="308"/>
      <c r="G223" s="308"/>
      <c r="H223" s="325"/>
      <c r="I223" s="309"/>
    </row>
    <row r="224" customFormat="false" ht="12.75" hidden="false" customHeight="true" outlineLevel="0" collapsed="false">
      <c r="B224" s="452"/>
      <c r="C224" s="308"/>
      <c r="E224" s="308"/>
      <c r="F224" s="308"/>
      <c r="G224" s="308"/>
      <c r="H224" s="308"/>
      <c r="I224" s="309"/>
    </row>
    <row r="225" customFormat="false" ht="12.75" hidden="false" customHeight="true" outlineLevel="0" collapsed="false">
      <c r="A225" s="322" t="s">
        <v>461</v>
      </c>
      <c r="B225" s="452" t="n">
        <v>20</v>
      </c>
      <c r="C225" s="402" t="s">
        <v>447</v>
      </c>
      <c r="E225" s="308"/>
      <c r="F225" s="308"/>
      <c r="G225" s="308"/>
      <c r="H225" s="308"/>
      <c r="I225" s="309"/>
    </row>
    <row r="226" customFormat="false" ht="12.75" hidden="false" customHeight="true" outlineLevel="0" collapsed="false">
      <c r="A226" s="322" t="s">
        <v>462</v>
      </c>
      <c r="B226" s="452"/>
      <c r="C226" s="324" t="s">
        <v>40</v>
      </c>
      <c r="E226" s="308"/>
      <c r="F226" s="308"/>
      <c r="G226" s="308"/>
      <c r="H226" s="308"/>
      <c r="I226" s="309"/>
    </row>
    <row r="227" customFormat="false" ht="12.75" hidden="false" customHeight="true" outlineLevel="0" collapsed="false">
      <c r="A227" s="322" t="s">
        <v>463</v>
      </c>
      <c r="B227" s="452" t="n">
        <v>0</v>
      </c>
      <c r="C227" s="324" t="s">
        <v>40</v>
      </c>
      <c r="E227" s="308"/>
      <c r="F227" s="308"/>
      <c r="G227" s="308"/>
      <c r="H227" s="308"/>
      <c r="I227" s="309"/>
    </row>
    <row r="228" customFormat="false" ht="12.75" hidden="false" customHeight="true" outlineLevel="0" collapsed="false">
      <c r="A228" s="457" t="s">
        <v>464</v>
      </c>
      <c r="B228" s="452"/>
      <c r="C228" s="324" t="s">
        <v>40</v>
      </c>
      <c r="D228" s="458" t="s">
        <v>465</v>
      </c>
      <c r="E228" s="312" t="s">
        <v>466</v>
      </c>
      <c r="F228" s="308"/>
      <c r="G228" s="308"/>
      <c r="H228" s="308"/>
      <c r="I228" s="309"/>
    </row>
    <row r="229" customFormat="false" ht="12.75" hidden="false" customHeight="true" outlineLevel="0" collapsed="false">
      <c r="A229" s="306"/>
      <c r="B229" s="452"/>
      <c r="C229" s="324"/>
      <c r="E229" s="308"/>
      <c r="F229" s="308"/>
      <c r="G229" s="308"/>
      <c r="H229" s="308"/>
      <c r="I229" s="309"/>
    </row>
    <row r="230" customFormat="false" ht="12.75" hidden="false" customHeight="true" outlineLevel="0" collapsed="false">
      <c r="A230" s="306" t="s">
        <v>467</v>
      </c>
      <c r="B230" s="451" t="n">
        <f aca="false">'Design Converter'!E60*1000</f>
        <v>1000</v>
      </c>
      <c r="C230" s="325" t="s">
        <v>83</v>
      </c>
      <c r="E230" s="308"/>
      <c r="F230" s="308"/>
      <c r="G230" s="308"/>
      <c r="H230" s="308"/>
      <c r="I230" s="309"/>
    </row>
    <row r="231" customFormat="false" ht="12.75" hidden="false" customHeight="true" outlineLevel="0" collapsed="false">
      <c r="A231" s="306" t="s">
        <v>468</v>
      </c>
      <c r="B231" s="459" t="n">
        <f aca="false">10*10^-6/Fdither/0.24</f>
        <v>4.16666666666667E-008</v>
      </c>
      <c r="C231" s="312" t="s">
        <v>397</v>
      </c>
      <c r="E231" s="308"/>
      <c r="F231" s="308"/>
      <c r="G231" s="308"/>
      <c r="H231" s="308"/>
      <c r="I231" s="309"/>
    </row>
    <row r="232" customFormat="false" ht="12.75" hidden="false" customHeight="true" outlineLevel="0" collapsed="false">
      <c r="A232" s="306" t="s">
        <v>469</v>
      </c>
      <c r="B232" s="459" t="n">
        <f aca="false">'Standard Value Calculator'!O19</f>
        <v>3.9E-008</v>
      </c>
      <c r="C232" s="312" t="s">
        <v>397</v>
      </c>
      <c r="E232" s="308"/>
      <c r="F232" s="308"/>
      <c r="G232" s="308"/>
      <c r="H232" s="308"/>
      <c r="I232" s="309"/>
    </row>
    <row r="233" customFormat="false" ht="12.75" hidden="false" customHeight="true" outlineLevel="0" collapsed="false">
      <c r="A233" s="345"/>
      <c r="B233" s="460"/>
      <c r="C233" s="461"/>
      <c r="D233" s="347"/>
      <c r="E233" s="347"/>
      <c r="F233" s="347"/>
      <c r="G233" s="347"/>
      <c r="H233" s="347"/>
      <c r="I233" s="348"/>
    </row>
    <row r="234" customFormat="false" ht="12.75" hidden="false" customHeight="false" outlineLevel="0" collapsed="false">
      <c r="B234" s="462"/>
      <c r="C234" s="463"/>
    </row>
    <row r="235" customFormat="false" ht="15" hidden="false" customHeight="false" outlineLevel="0" collapsed="false">
      <c r="A235" s="299" t="s">
        <v>470</v>
      </c>
      <c r="B235" s="308"/>
      <c r="C235" s="300"/>
      <c r="D235" s="308"/>
      <c r="E235" s="308"/>
      <c r="F235" s="308"/>
      <c r="G235" s="308"/>
      <c r="H235" s="308"/>
      <c r="I235" s="308"/>
    </row>
    <row r="236" customFormat="false" ht="12.75" hidden="false" customHeight="false" outlineLevel="0" collapsed="false">
      <c r="A236" s="301" t="s">
        <v>471</v>
      </c>
      <c r="B236" s="464" t="n">
        <v>3.14159265</v>
      </c>
      <c r="C236" s="465"/>
      <c r="D236" s="466" t="s">
        <v>472</v>
      </c>
      <c r="E236" s="303"/>
      <c r="F236" s="303"/>
      <c r="G236" s="303"/>
      <c r="H236" s="303"/>
      <c r="I236" s="305"/>
    </row>
    <row r="237" customFormat="false" ht="12.75" hidden="false" customHeight="false" outlineLevel="0" collapsed="false">
      <c r="A237" s="325" t="s">
        <v>473</v>
      </c>
      <c r="B237" s="467" t="n">
        <v>5</v>
      </c>
      <c r="C237" s="468"/>
      <c r="D237" s="324"/>
      <c r="E237" s="308"/>
      <c r="F237" s="308"/>
      <c r="G237" s="308"/>
      <c r="H237" s="308"/>
      <c r="I237" s="309"/>
    </row>
    <row r="238" customFormat="false" ht="12.75" hidden="false" customHeight="false" outlineLevel="0" collapsed="false">
      <c r="A238" s="320" t="s">
        <v>474</v>
      </c>
      <c r="B238" s="0" t="n">
        <f aca="false">Rs*CSAmp_gain</f>
        <v>0.04</v>
      </c>
      <c r="C238" s="469" t="s">
        <v>40</v>
      </c>
      <c r="D238" s="320" t="s">
        <v>475</v>
      </c>
      <c r="I238" s="309"/>
    </row>
    <row r="239" customFormat="false" ht="12.75" hidden="false" customHeight="false" outlineLevel="0" collapsed="false">
      <c r="A239" s="320" t="s">
        <v>476</v>
      </c>
      <c r="B239" s="320" t="n">
        <v>0.00127</v>
      </c>
      <c r="C239" s="320" t="s">
        <v>116</v>
      </c>
      <c r="D239" s="320" t="s">
        <v>477</v>
      </c>
      <c r="I239" s="309"/>
    </row>
    <row r="240" customFormat="false" ht="12.75" hidden="false" customHeight="false" outlineLevel="0" collapsed="false">
      <c r="A240" s="320"/>
      <c r="B240" s="320"/>
      <c r="C240" s="320"/>
      <c r="D240" s="320"/>
      <c r="I240" s="309"/>
    </row>
    <row r="241" customFormat="false" ht="12.75" hidden="false" customHeight="false" outlineLevel="0" collapsed="false">
      <c r="A241" s="325" t="s">
        <v>478</v>
      </c>
      <c r="B241" s="470" t="n">
        <v>2E-006</v>
      </c>
      <c r="C241" s="320" t="s">
        <v>116</v>
      </c>
      <c r="D241" s="320" t="s">
        <v>479</v>
      </c>
      <c r="I241" s="309"/>
    </row>
    <row r="242" customFormat="false" ht="12.75" hidden="false" customHeight="false" outlineLevel="0" collapsed="false">
      <c r="A242" s="325" t="s">
        <v>480</v>
      </c>
      <c r="B242" s="470" t="n">
        <v>4E-006</v>
      </c>
      <c r="C242" s="320" t="s">
        <v>16</v>
      </c>
      <c r="D242" s="320" t="s">
        <v>481</v>
      </c>
      <c r="I242" s="309"/>
    </row>
    <row r="243" customFormat="false" ht="12.75" hidden="false" customHeight="false" outlineLevel="0" collapsed="false">
      <c r="A243" s="325"/>
      <c r="B243" s="471"/>
      <c r="C243" s="320"/>
      <c r="D243" s="320"/>
      <c r="I243" s="309"/>
    </row>
    <row r="244" customFormat="false" ht="12.75" hidden="false" customHeight="false" outlineLevel="0" collapsed="false">
      <c r="A244" s="325" t="s">
        <v>482</v>
      </c>
      <c r="B244" s="472" t="n">
        <f aca="false">Isc_const/(Cslope*10^-12)</f>
        <v>17021.2765957447</v>
      </c>
      <c r="C244" s="320" t="s">
        <v>374</v>
      </c>
      <c r="D244" s="320"/>
      <c r="I244" s="309"/>
    </row>
    <row r="245" customFormat="false" ht="12.75" hidden="false" customHeight="false" outlineLevel="0" collapsed="false">
      <c r="A245" s="325" t="s">
        <v>483</v>
      </c>
      <c r="B245" s="473" t="n">
        <f aca="false">(ABS((Vin-Vout))*gm_slopecomp)/(Cslope*10^-12)</f>
        <v>0</v>
      </c>
      <c r="C245" s="320" t="s">
        <v>374</v>
      </c>
      <c r="D245" s="320"/>
      <c r="I245" s="309"/>
    </row>
    <row r="246" customFormat="false" ht="12.75" hidden="false" customHeight="false" outlineLevel="0" collapsed="false">
      <c r="A246" s="320" t="s">
        <v>484</v>
      </c>
      <c r="B246" s="474" t="n">
        <f aca="false">Se_fixed+Se_proportional</f>
        <v>17021.2765957447</v>
      </c>
      <c r="C246" s="475" t="s">
        <v>374</v>
      </c>
      <c r="D246" s="475" t="s">
        <v>485</v>
      </c>
      <c r="E246" s="475"/>
      <c r="I246" s="309"/>
    </row>
    <row r="247" customFormat="false" ht="12.75" hidden="false" customHeight="false" outlineLevel="0" collapsed="false">
      <c r="A247" s="320"/>
      <c r="B247" s="474"/>
      <c r="C247" s="475"/>
      <c r="D247" s="475"/>
      <c r="E247" s="475"/>
      <c r="I247" s="309"/>
    </row>
    <row r="248" customFormat="false" ht="12.75" hidden="false" customHeight="false" outlineLevel="0" collapsed="false">
      <c r="A248" s="320" t="s">
        <v>486</v>
      </c>
      <c r="B248" s="476" t="n">
        <f aca="false">Se_fixed/Fsw</f>
        <v>0.0567375886524823</v>
      </c>
      <c r="C248" s="475" t="s">
        <v>374</v>
      </c>
      <c r="D248" s="475" t="s">
        <v>487</v>
      </c>
      <c r="E248" s="475"/>
      <c r="I248" s="309"/>
    </row>
    <row r="249" customFormat="false" ht="12.75" hidden="false" customHeight="false" outlineLevel="0" collapsed="false">
      <c r="A249" s="320" t="s">
        <v>488</v>
      </c>
      <c r="B249" s="476" t="n">
        <f aca="false">Se_proportional/Fsw</f>
        <v>0</v>
      </c>
      <c r="C249" s="475" t="s">
        <v>374</v>
      </c>
      <c r="D249" s="475" t="s">
        <v>489</v>
      </c>
      <c r="E249" s="475"/>
      <c r="I249" s="309"/>
    </row>
    <row r="250" customFormat="false" ht="12.75" hidden="false" customHeight="false" outlineLevel="0" collapsed="false">
      <c r="A250" s="320" t="s">
        <v>490</v>
      </c>
      <c r="B250" s="476" t="n">
        <f aca="false">Se/Fsw</f>
        <v>0.0567375886524823</v>
      </c>
      <c r="C250" s="475" t="s">
        <v>374</v>
      </c>
      <c r="D250" s="475" t="s">
        <v>491</v>
      </c>
      <c r="I250" s="309"/>
    </row>
    <row r="251" customFormat="false" ht="12.75" hidden="false" customHeight="false" outlineLevel="0" collapsed="false">
      <c r="A251" s="320" t="s">
        <v>492</v>
      </c>
      <c r="B251" s="476" t="n">
        <f aca="false">gm_slopecomp/(Cslope*10^-12*Fsw)</f>
        <v>0.0283687943262411</v>
      </c>
      <c r="C251" s="475"/>
      <c r="D251" s="475" t="s">
        <v>493</v>
      </c>
      <c r="I251" s="309"/>
    </row>
    <row r="252" customFormat="false" ht="12.75" hidden="false" customHeight="false" outlineLevel="0" collapsed="false">
      <c r="A252" s="320"/>
      <c r="B252" s="477"/>
      <c r="C252" s="475"/>
      <c r="D252" s="475" t="s">
        <v>494</v>
      </c>
      <c r="I252" s="309"/>
    </row>
    <row r="253" customFormat="false" ht="12.75" hidden="false" customHeight="false" outlineLevel="0" collapsed="false">
      <c r="A253" s="320"/>
      <c r="B253" s="477"/>
      <c r="C253" s="475"/>
      <c r="D253" s="475"/>
      <c r="I253" s="309"/>
    </row>
    <row r="254" customFormat="false" ht="12.75" hidden="false" customHeight="false" outlineLevel="0" collapsed="false">
      <c r="A254" s="320" t="s">
        <v>495</v>
      </c>
      <c r="B254" s="478" t="n">
        <f aca="false">(ABS((Vin-Vout))*gm_slopecomp+0.000004)/(Cslope*10^-12)/Ri</f>
        <v>425531.914893617</v>
      </c>
      <c r="C254" s="479" t="s">
        <v>496</v>
      </c>
      <c r="D254" s="479" t="s">
        <v>497</v>
      </c>
      <c r="I254" s="309"/>
    </row>
    <row r="255" customFormat="false" ht="12.75" hidden="false" customHeight="false" outlineLevel="0" collapsed="false">
      <c r="A255" s="320" t="s">
        <v>498</v>
      </c>
      <c r="B255" s="478" t="n">
        <f aca="false">IF(VIN_nom&gt;Vout, (Vin-Vout)/Lf, Vin/Lf)</f>
        <v>2553191.4893617</v>
      </c>
      <c r="C255" s="479" t="s">
        <v>496</v>
      </c>
      <c r="D255" s="479" t="s">
        <v>499</v>
      </c>
      <c r="I255" s="309" t="n">
        <f aca="false">Cslope</f>
        <v>235</v>
      </c>
    </row>
    <row r="256" customFormat="false" ht="12.75" hidden="false" customHeight="false" outlineLevel="0" collapsed="false">
      <c r="A256" s="320" t="s">
        <v>500</v>
      </c>
      <c r="B256" s="478" t="n">
        <f aca="false">IF(VIN_nom&gt;Vout, Vout/Lf, (Vout-Vin)/Lf)</f>
        <v>0</v>
      </c>
      <c r="C256" s="479" t="s">
        <v>496</v>
      </c>
      <c r="D256" s="479" t="s">
        <v>501</v>
      </c>
      <c r="I256" s="309"/>
    </row>
    <row r="257" customFormat="false" ht="12.75" hidden="false" customHeight="false" outlineLevel="0" collapsed="false">
      <c r="A257" s="320"/>
      <c r="B257" s="478"/>
      <c r="C257" s="479"/>
      <c r="D257" s="479"/>
      <c r="I257" s="309"/>
    </row>
    <row r="258" customFormat="false" ht="12.75" hidden="false" customHeight="false" outlineLevel="0" collapsed="false">
      <c r="A258" s="320" t="s">
        <v>502</v>
      </c>
      <c r="B258" s="480" t="n">
        <f aca="false">Se/1000</f>
        <v>17.0212765957447</v>
      </c>
      <c r="C258" s="481" t="s">
        <v>503</v>
      </c>
      <c r="D258" s="481" t="s">
        <v>504</v>
      </c>
      <c r="I258" s="309"/>
    </row>
    <row r="259" customFormat="false" ht="12.75" hidden="false" customHeight="false" outlineLevel="0" collapsed="false">
      <c r="A259" s="320" t="s">
        <v>505</v>
      </c>
      <c r="B259" s="480" t="n">
        <f aca="false">Sn*Ri/1000</f>
        <v>102.127659574468</v>
      </c>
      <c r="C259" s="481" t="s">
        <v>503</v>
      </c>
      <c r="D259" s="481" t="s">
        <v>506</v>
      </c>
      <c r="I259" s="309"/>
    </row>
    <row r="260" customFormat="false" ht="12.75" hidden="false" customHeight="false" outlineLevel="0" collapsed="false">
      <c r="A260" s="320" t="s">
        <v>507</v>
      </c>
      <c r="B260" s="480" t="n">
        <f aca="false">Sf*Ri/1000</f>
        <v>0</v>
      </c>
      <c r="C260" s="481" t="s">
        <v>503</v>
      </c>
      <c r="D260" s="481" t="s">
        <v>506</v>
      </c>
      <c r="I260" s="309"/>
    </row>
    <row r="261" customFormat="false" ht="12.75" hidden="false" customHeight="false" outlineLevel="0" collapsed="false">
      <c r="A261" s="320"/>
      <c r="B261" s="480"/>
      <c r="C261" s="481"/>
      <c r="D261" s="481"/>
      <c r="I261" s="309"/>
    </row>
    <row r="262" customFormat="false" ht="12.75" hidden="false" customHeight="false" outlineLevel="0" collapsed="false">
      <c r="A262" s="320" t="s">
        <v>508</v>
      </c>
      <c r="B262" s="482" t="n">
        <f aca="false">(1-Don_Vinmax_2)/Fsw</f>
        <v>2.52956495098039E-006</v>
      </c>
      <c r="C262" s="475" t="s">
        <v>235</v>
      </c>
      <c r="D262" s="481"/>
      <c r="I262" s="309"/>
    </row>
    <row r="263" customFormat="false" ht="12.75" hidden="false" customHeight="false" outlineLevel="0" collapsed="false">
      <c r="A263" s="320"/>
      <c r="B263" s="482"/>
      <c r="C263" s="475"/>
      <c r="D263" s="481"/>
      <c r="I263" s="309"/>
    </row>
    <row r="264" customFormat="false" ht="12.75" hidden="false" customHeight="false" outlineLevel="0" collapsed="false">
      <c r="A264" s="320" t="s">
        <v>509</v>
      </c>
      <c r="B264" s="482" t="n">
        <f aca="false">IF(VIN_min&gt;Vout, (1-Don_Vinmin_2)/Fsw, Don_Vinmin_2/Fsw)</f>
        <v>1.69413303437967E-006</v>
      </c>
      <c r="C264" s="475" t="s">
        <v>235</v>
      </c>
      <c r="D264" s="481"/>
      <c r="I264" s="309"/>
    </row>
    <row r="265" customFormat="false" ht="12.75" hidden="false" customHeight="false" outlineLevel="0" collapsed="false">
      <c r="A265" s="320"/>
      <c r="B265" s="483"/>
      <c r="C265" s="475"/>
      <c r="D265" s="481"/>
      <c r="I265" s="309"/>
    </row>
    <row r="266" customFormat="false" ht="12.75" hidden="false" customHeight="false" outlineLevel="0" collapsed="false">
      <c r="A266" s="320" t="s">
        <v>510</v>
      </c>
      <c r="B266" s="484" t="n">
        <f aca="false">1.6+5*Rs*(-Iripple_Vinmax/2)-(gm_slopecomp*(VIN_max-Vout)+Isc_const)/(Cslope*0.000000000001)*Toff_Vinmax</f>
        <v>0.608900448477263</v>
      </c>
      <c r="C266" s="485" t="s">
        <v>11</v>
      </c>
      <c r="D266" s="485" t="s">
        <v>511</v>
      </c>
      <c r="F266" s="486" t="n">
        <f aca="false">1.6+5*Rs*(Iripple_Vinmax/2)+(gm_slopecomp*(Vout-VIN_max)+Isc_const)/(Cslope*0.000000000001)*Don_Vinmax_2/Fsw</f>
        <v>1.48371010638298</v>
      </c>
      <c r="G266" s="479" t="s">
        <v>379</v>
      </c>
      <c r="I266" s="309"/>
    </row>
    <row r="267" customFormat="false" ht="12.75" hidden="false" customHeight="false" outlineLevel="0" collapsed="false">
      <c r="A267" s="320" t="s">
        <v>512</v>
      </c>
      <c r="B267" s="484" t="n">
        <f aca="false">1.6+5*Rs*(Iin_Vinmin+Iripple_Vinmin/2)+(gm_slopecomp*(Vout-VIN_min)+Isc_const)/(Cslope*0.000000000001)*Ton_Vinmin</f>
        <v>2.29193302165824</v>
      </c>
      <c r="C267" s="485" t="s">
        <v>11</v>
      </c>
      <c r="D267" s="485" t="s">
        <v>379</v>
      </c>
      <c r="F267" s="486" t="n">
        <f aca="false">1.6+5*Rs*(-Iripple_Vinmin/2)-(gm_slopecomp*(VIN_min-Vout)+Isc_const)/(Cslope*0.000000000001)*(1-Don_Vinmin_2)/Fsw</f>
        <v>1.61254810291639</v>
      </c>
      <c r="G267" s="479" t="s">
        <v>511</v>
      </c>
      <c r="I267" s="309"/>
    </row>
    <row r="268" customFormat="false" ht="12.75" hidden="false" customHeight="false" outlineLevel="0" collapsed="false">
      <c r="A268" s="320"/>
      <c r="B268" s="480"/>
      <c r="C268" s="481"/>
      <c r="D268" s="481"/>
      <c r="I268" s="309"/>
    </row>
    <row r="269" customFormat="false" ht="12.75" hidden="false" customHeight="false" outlineLevel="0" collapsed="false">
      <c r="A269" s="320"/>
      <c r="B269" s="487" t="n">
        <f aca="false">IF(VIN_max&gt;Vout, B266,F266)</f>
        <v>0.608900448477263</v>
      </c>
      <c r="C269" s="481"/>
      <c r="D269" s="481"/>
      <c r="I269" s="309"/>
    </row>
    <row r="270" customFormat="false" ht="12.75" hidden="false" customHeight="false" outlineLevel="0" collapsed="false">
      <c r="A270" s="320"/>
      <c r="B270" s="487" t="n">
        <f aca="false">IF(VIN_min&lt;Vout, B267,F267)</f>
        <v>2.29193302165824</v>
      </c>
      <c r="C270" s="481"/>
      <c r="D270" s="481"/>
      <c r="I270" s="309"/>
    </row>
    <row r="271" customFormat="false" ht="12.75" hidden="false" customHeight="false" outlineLevel="0" collapsed="false">
      <c r="A271" s="320"/>
      <c r="B271" s="487"/>
      <c r="C271" s="481"/>
      <c r="D271" s="481"/>
      <c r="I271" s="309"/>
    </row>
    <row r="272" customFormat="false" ht="12.75" hidden="false" customHeight="false" outlineLevel="0" collapsed="false">
      <c r="A272" s="320"/>
      <c r="B272" s="480"/>
      <c r="C272" s="481"/>
      <c r="D272" s="479"/>
      <c r="I272" s="309"/>
    </row>
    <row r="273" customFormat="false" ht="12.75" hidden="false" customHeight="false" outlineLevel="0" collapsed="false">
      <c r="A273" s="320" t="s">
        <v>513</v>
      </c>
      <c r="B273" s="488" t="e">
        <f aca="false">1+Se_ext/Sf</f>
        <v>#DIV/0!</v>
      </c>
      <c r="D273" s="320" t="s">
        <v>514</v>
      </c>
      <c r="I273" s="309"/>
    </row>
    <row r="274" customFormat="false" ht="12.75" hidden="false" customHeight="false" outlineLevel="0" collapsed="false">
      <c r="A274" s="320" t="s">
        <v>515</v>
      </c>
      <c r="B274" s="486" t="e">
        <f aca="false">mc_buck*Don_Vinnom_2</f>
        <v>#DIV/0!</v>
      </c>
      <c r="C274" s="479"/>
      <c r="D274" s="479" t="s">
        <v>516</v>
      </c>
      <c r="I274" s="309"/>
    </row>
    <row r="275" customFormat="false" ht="12.75" hidden="false" customHeight="false" outlineLevel="0" collapsed="false">
      <c r="A275" s="292" t="s">
        <v>517</v>
      </c>
      <c r="B275" s="489" t="n">
        <f aca="false">1+Se_ext/Sn</f>
        <v>1.16666666666667</v>
      </c>
      <c r="C275" s="479"/>
      <c r="D275" s="320" t="s">
        <v>518</v>
      </c>
      <c r="I275" s="309"/>
    </row>
    <row r="276" customFormat="false" ht="12.75" hidden="false" customHeight="false" outlineLevel="0" collapsed="false">
      <c r="A276" s="292" t="s">
        <v>519</v>
      </c>
      <c r="B276" s="486" t="n">
        <f aca="false">mc_boost*(1-Don_Vinnom_2)</f>
        <v>1.16448567708333</v>
      </c>
      <c r="C276" s="479"/>
      <c r="D276" s="479" t="s">
        <v>520</v>
      </c>
      <c r="I276" s="309"/>
    </row>
    <row r="277" customFormat="false" ht="12.75" hidden="false" customHeight="false" outlineLevel="0" collapsed="false">
      <c r="A277" s="292"/>
      <c r="B277" s="489"/>
      <c r="C277" s="479"/>
      <c r="D277" s="479"/>
      <c r="I277" s="309"/>
    </row>
    <row r="278" customFormat="false" ht="12.75" hidden="false" customHeight="false" outlineLevel="0" collapsed="false">
      <c r="A278" s="292" t="s">
        <v>521</v>
      </c>
      <c r="B278" s="486" t="n">
        <f aca="false">IF(VIN_nom&gt;Vout, mc_buck, mc_boost)</f>
        <v>1.16666666666667</v>
      </c>
      <c r="C278" s="479"/>
      <c r="D278" s="479"/>
      <c r="I278" s="309"/>
    </row>
    <row r="279" customFormat="false" ht="12.75" hidden="false" customHeight="false" outlineLevel="0" collapsed="false">
      <c r="A279" s="292" t="s">
        <v>522</v>
      </c>
      <c r="B279" s="487" t="n">
        <f aca="false">IF(VIN_nom&gt;Vout, k_buck, k_boost)</f>
        <v>1.16448567708333</v>
      </c>
      <c r="C279" s="479"/>
      <c r="D279" s="479"/>
      <c r="I279" s="309"/>
    </row>
    <row r="280" customFormat="false" ht="12.75" hidden="false" customHeight="false" outlineLevel="0" collapsed="false">
      <c r="A280" s="320" t="s">
        <v>523</v>
      </c>
      <c r="B280" s="488" t="n">
        <f aca="false">1/Pi/(k-0.5)</f>
        <v>0.47903197544406</v>
      </c>
      <c r="D280" s="320" t="s">
        <v>524</v>
      </c>
      <c r="F280" s="320" t="s">
        <v>525</v>
      </c>
      <c r="I280" s="309"/>
    </row>
    <row r="281" customFormat="false" ht="12.75" hidden="false" customHeight="false" outlineLevel="0" collapsed="false">
      <c r="A281" s="320"/>
      <c r="B281" s="488"/>
      <c r="D281" s="320"/>
      <c r="F281" s="320"/>
      <c r="I281" s="309"/>
    </row>
    <row r="282" customFormat="false" ht="12.75" hidden="false" customHeight="false" outlineLevel="0" collapsed="false">
      <c r="A282" s="292" t="s">
        <v>526</v>
      </c>
      <c r="B282" s="490" t="n">
        <f aca="false">1/((0.5-Don_Vinnom_2)*Ri/(Fsw*Lf)+V_sc_fixed/Vout+K_SL*Don_Vinnom_2)</f>
        <v>52.875</v>
      </c>
      <c r="C282" s="320"/>
      <c r="D282" s="320"/>
      <c r="E282" s="320"/>
      <c r="I282" s="309"/>
    </row>
    <row r="283" customFormat="false" ht="12.75" hidden="false" customHeight="false" outlineLevel="0" collapsed="false">
      <c r="A283" s="292" t="s">
        <v>527</v>
      </c>
      <c r="B283" s="491" t="n">
        <f aca="false">0.5*Ri/(Lf*Fsw)*Don_Vinnom_2*(1-Don_Vinnom_2)+K_SL*Don_Vinnom_2^2</f>
        <v>2.65661613143013E-005</v>
      </c>
      <c r="C283" s="320"/>
      <c r="D283" s="320"/>
      <c r="E283" s="320"/>
      <c r="I283" s="309"/>
    </row>
    <row r="284" customFormat="false" ht="12.75" hidden="false" customHeight="false" outlineLevel="0" collapsed="false">
      <c r="A284" s="292" t="s">
        <v>528</v>
      </c>
      <c r="B284" s="490" t="n">
        <f aca="false">1+Ro/Rout+Rout*(1-Don_Vinnom_2)^2/Ri*(1/KM+K_1/(1-Don_Vinnom_2))</f>
        <v>2.94342006172709</v>
      </c>
      <c r="C284" s="320"/>
      <c r="E284" s="320"/>
      <c r="I284" s="309"/>
    </row>
    <row r="285" customFormat="false" ht="12.75" hidden="false" customHeight="false" outlineLevel="0" collapsed="false">
      <c r="A285" s="320"/>
      <c r="B285" s="488"/>
      <c r="D285" s="320"/>
      <c r="F285" s="320"/>
      <c r="I285" s="309"/>
    </row>
    <row r="286" customFormat="false" ht="12.75" hidden="false" customHeight="false" outlineLevel="0" collapsed="false">
      <c r="A286" s="479" t="s">
        <v>529</v>
      </c>
      <c r="B286" s="488"/>
      <c r="D286" s="320"/>
      <c r="I286" s="309"/>
    </row>
    <row r="287" customFormat="false" ht="12.75" hidden="false" customHeight="false" outlineLevel="0" collapsed="false">
      <c r="A287" s="320" t="s">
        <v>530</v>
      </c>
      <c r="B287" s="492" t="n">
        <v>8</v>
      </c>
      <c r="C287" s="320" t="s">
        <v>531</v>
      </c>
      <c r="D287" s="320" t="s">
        <v>532</v>
      </c>
      <c r="I287" s="309"/>
    </row>
    <row r="288" customFormat="false" ht="12.75" hidden="false" customHeight="false" outlineLevel="0" collapsed="false">
      <c r="A288" s="320" t="s">
        <v>533</v>
      </c>
      <c r="B288" s="381" t="n">
        <f aca="false">gm/(2*Pi*GBW*1000000)</f>
        <v>2.52658472447088E-011</v>
      </c>
      <c r="C288" s="320" t="s">
        <v>397</v>
      </c>
      <c r="D288" s="320" t="s">
        <v>534</v>
      </c>
      <c r="I288" s="309"/>
    </row>
    <row r="289" customFormat="false" ht="12.75" hidden="false" customHeight="false" outlineLevel="0" collapsed="false">
      <c r="A289" s="320" t="s">
        <v>535</v>
      </c>
      <c r="B289" s="493" t="n">
        <v>20000000</v>
      </c>
      <c r="C289" s="469" t="s">
        <v>40</v>
      </c>
      <c r="D289" s="320" t="s">
        <v>536</v>
      </c>
      <c r="I289" s="309"/>
    </row>
    <row r="290" customFormat="false" ht="12.75" hidden="false" customHeight="false" outlineLevel="0" collapsed="false">
      <c r="A290" s="320" t="s">
        <v>537</v>
      </c>
      <c r="B290" s="494" t="n">
        <f aca="false">gm*RoEA</f>
        <v>25400</v>
      </c>
      <c r="C290" s="469"/>
      <c r="D290" s="320"/>
      <c r="I290" s="309"/>
    </row>
    <row r="291" customFormat="false" ht="12.75" hidden="false" customHeight="false" outlineLevel="0" collapsed="false">
      <c r="A291" s="320" t="s">
        <v>538</v>
      </c>
      <c r="B291" s="495" t="n">
        <f aca="false">20*LOG(B290)</f>
        <v>88.0966743323988</v>
      </c>
      <c r="C291" s="320" t="s">
        <v>539</v>
      </c>
      <c r="D291" s="320"/>
      <c r="I291" s="309"/>
    </row>
    <row r="292" customFormat="false" ht="12.75" hidden="false" customHeight="false" outlineLevel="0" collapsed="false">
      <c r="A292" s="292" t="s">
        <v>540</v>
      </c>
      <c r="B292" s="473" t="n">
        <f aca="false">gm*RoEA</f>
        <v>25400</v>
      </c>
      <c r="C292" s="320" t="s">
        <v>541</v>
      </c>
      <c r="D292" s="320" t="s">
        <v>542</v>
      </c>
      <c r="I292" s="309"/>
    </row>
    <row r="293" customFormat="false" ht="12.75" hidden="false" customHeight="false" outlineLevel="0" collapsed="false">
      <c r="A293" s="292" t="s">
        <v>543</v>
      </c>
      <c r="B293" s="385" t="n">
        <f aca="false">Vref/Vout</f>
        <v>0.0666666666666667</v>
      </c>
      <c r="C293" s="320" t="s">
        <v>541</v>
      </c>
      <c r="D293" s="320" t="s">
        <v>544</v>
      </c>
      <c r="I293" s="309"/>
    </row>
    <row r="294" customFormat="false" ht="12.75" hidden="false" customHeight="false" outlineLevel="0" collapsed="false">
      <c r="A294" s="292" t="s">
        <v>545</v>
      </c>
      <c r="B294" s="496" t="n">
        <f aca="false">1/Ri</f>
        <v>25</v>
      </c>
      <c r="C294" s="320"/>
      <c r="D294" s="320" t="s">
        <v>546</v>
      </c>
      <c r="I294" s="309"/>
      <c r="L294" s="0" t="n">
        <f aca="false">Ri</f>
        <v>0.04</v>
      </c>
    </row>
    <row r="295" customFormat="false" ht="12.75" hidden="false" customHeight="false" outlineLevel="0" collapsed="false">
      <c r="A295" s="292" t="s">
        <v>547</v>
      </c>
      <c r="B295" s="388" t="n">
        <f aca="false">Ro/Ri*1/((1+Ro*(k-0.5)/(Fsw*Lf)))</f>
        <v>25.7395901175643</v>
      </c>
      <c r="D295" s="292" t="s">
        <v>548</v>
      </c>
      <c r="I295" s="309"/>
    </row>
    <row r="296" customFormat="false" ht="12.75" hidden="false" customHeight="false" outlineLevel="0" collapsed="false">
      <c r="A296" s="292" t="s">
        <v>549</v>
      </c>
      <c r="B296" s="388" t="n">
        <f aca="false">Ro*(1-Don_Vinnom_2)/(Ri*KD)</f>
        <v>16.9552860180527</v>
      </c>
      <c r="D296" s="479" t="s">
        <v>550</v>
      </c>
      <c r="I296" s="309"/>
    </row>
    <row r="297" customFormat="false" ht="12.75" hidden="false" customHeight="false" outlineLevel="0" collapsed="false">
      <c r="A297" s="292" t="s">
        <v>551</v>
      </c>
      <c r="B297" s="388" t="n">
        <f aca="false">IF(VIN_nom&gt;Vout, Am_buck, Am_boost)</f>
        <v>16.9552860180527</v>
      </c>
      <c r="D297" s="320" t="s">
        <v>552</v>
      </c>
      <c r="I297" s="309"/>
    </row>
    <row r="298" customFormat="false" ht="12.75" hidden="false" customHeight="false" outlineLevel="0" collapsed="false">
      <c r="A298" s="292"/>
      <c r="B298" s="385"/>
      <c r="D298" s="479"/>
      <c r="I298" s="309"/>
    </row>
    <row r="299" customFormat="false" ht="12.75" hidden="false" customHeight="false" outlineLevel="0" collapsed="false">
      <c r="A299" s="320" t="s">
        <v>553</v>
      </c>
      <c r="B299" s="385" t="n">
        <f aca="false">2*Pi*Ri/gm</f>
        <v>197.8956</v>
      </c>
      <c r="D299" s="320" t="s">
        <v>554</v>
      </c>
      <c r="I299" s="309"/>
    </row>
    <row r="300" customFormat="false" ht="12.75" hidden="false" customHeight="false" outlineLevel="0" collapsed="false">
      <c r="A300" s="320" t="s">
        <v>555</v>
      </c>
      <c r="B300" s="385" t="n">
        <f aca="false">2*Pi*Ri/gm</f>
        <v>197.8956</v>
      </c>
      <c r="D300" s="320" t="s">
        <v>556</v>
      </c>
      <c r="I300" s="309"/>
    </row>
    <row r="301" customFormat="false" ht="12.75" hidden="false" customHeight="false" outlineLevel="0" collapsed="false">
      <c r="A301" s="479" t="s">
        <v>557</v>
      </c>
      <c r="B301" s="385"/>
      <c r="D301" s="320"/>
      <c r="I301" s="309"/>
    </row>
    <row r="302" customFormat="false" ht="12.75" hidden="false" customHeight="false" outlineLevel="0" collapsed="false">
      <c r="A302" s="479"/>
      <c r="B302" s="385"/>
      <c r="D302" s="320"/>
      <c r="I302" s="309"/>
    </row>
    <row r="303" customFormat="false" ht="12.75" hidden="false" customHeight="false" outlineLevel="0" collapsed="false">
      <c r="A303" s="306" t="s">
        <v>558</v>
      </c>
      <c r="B303" s="467" t="n">
        <f aca="false">Rout</f>
        <v>2</v>
      </c>
      <c r="C303" s="469" t="s">
        <v>40</v>
      </c>
      <c r="D303" s="312" t="s">
        <v>559</v>
      </c>
      <c r="E303" s="308"/>
      <c r="F303" s="308"/>
      <c r="G303" s="308"/>
      <c r="H303" s="308"/>
      <c r="I303" s="309"/>
    </row>
    <row r="304" customFormat="false" ht="12.75" hidden="false" customHeight="false" outlineLevel="0" collapsed="false">
      <c r="A304" s="325" t="s">
        <v>220</v>
      </c>
      <c r="B304" s="467" t="n">
        <f aca="false">Rout</f>
        <v>2</v>
      </c>
      <c r="C304" s="469" t="s">
        <v>40</v>
      </c>
      <c r="D304" s="312" t="s">
        <v>559</v>
      </c>
      <c r="F304" s="308"/>
      <c r="I304" s="309"/>
    </row>
    <row r="305" customFormat="false" ht="12.75" hidden="false" customHeight="false" outlineLevel="0" collapsed="false">
      <c r="A305" s="325"/>
      <c r="B305" s="467"/>
      <c r="C305" s="469"/>
      <c r="D305" s="312"/>
      <c r="F305" s="308"/>
      <c r="I305" s="309"/>
    </row>
    <row r="306" customFormat="false" ht="12.75" hidden="false" customHeight="false" outlineLevel="0" collapsed="false">
      <c r="A306" s="320" t="s">
        <v>560</v>
      </c>
      <c r="B306" s="497" t="n">
        <f aca="false">1/(2*Pi*Ro*Cout)+(k-0.5)/(2*Pi*Fsw*Lf*Cout)</f>
        <v>386.454636968829</v>
      </c>
      <c r="C306" s="292" t="s">
        <v>83</v>
      </c>
      <c r="D306" s="320" t="s">
        <v>561</v>
      </c>
      <c r="E306" s="498"/>
      <c r="I306" s="309"/>
    </row>
    <row r="307" customFormat="false" ht="12.75" hidden="false" customHeight="false" outlineLevel="0" collapsed="false">
      <c r="A307" s="325" t="s">
        <v>562</v>
      </c>
      <c r="B307" s="499" t="n">
        <f aca="false">KD/(2*Pi*Ro*Cout)</f>
        <v>585.574816193763</v>
      </c>
      <c r="C307" s="312" t="s">
        <v>83</v>
      </c>
      <c r="D307" s="500" t="s">
        <v>563</v>
      </c>
      <c r="F307" s="308"/>
      <c r="I307" s="309"/>
    </row>
    <row r="308" customFormat="false" ht="12.75" hidden="false" customHeight="false" outlineLevel="0" collapsed="false">
      <c r="A308" s="325" t="s">
        <v>564</v>
      </c>
      <c r="B308" s="472" t="n">
        <f aca="false">IF(VIN_nom&gt;Vout, Fload_u,B307)</f>
        <v>585.574816193763</v>
      </c>
      <c r="C308" s="325" t="s">
        <v>83</v>
      </c>
      <c r="D308" s="320"/>
      <c r="E308" s="498"/>
      <c r="I308" s="309"/>
    </row>
    <row r="309" customFormat="false" ht="12.75" hidden="false" customHeight="false" outlineLevel="0" collapsed="false">
      <c r="A309" s="320"/>
      <c r="B309" s="472"/>
      <c r="D309" s="320"/>
      <c r="E309" s="498"/>
      <c r="I309" s="309"/>
    </row>
    <row r="310" customFormat="false" ht="12.75" hidden="false" customHeight="false" outlineLevel="0" collapsed="false">
      <c r="A310" s="320" t="s">
        <v>565</v>
      </c>
      <c r="B310" s="501" t="n">
        <f aca="false">1/(2*Pi*(RoEA+Rcea1_u)*Cc1ea_u)</f>
        <v>0.241069242514527</v>
      </c>
      <c r="C310" s="292" t="s">
        <v>83</v>
      </c>
      <c r="D310" s="320" t="s">
        <v>566</v>
      </c>
      <c r="E310" s="498"/>
      <c r="I310" s="309"/>
    </row>
    <row r="311" customFormat="false" ht="12.75" hidden="false" customHeight="false" outlineLevel="0" collapsed="false">
      <c r="A311" s="320" t="s">
        <v>567</v>
      </c>
      <c r="B311" s="497" t="n">
        <f aca="false">1/(2*Pi*Rcea1_u*(Cc2ea_u+Cbw))</f>
        <v>25078.0054450232</v>
      </c>
      <c r="C311" s="292" t="s">
        <v>83</v>
      </c>
      <c r="D311" s="320" t="s">
        <v>568</v>
      </c>
      <c r="E311" s="498"/>
      <c r="I311" s="309"/>
      <c r="K311" s="0" t="n">
        <f aca="false">Fcross</f>
        <v>4000</v>
      </c>
    </row>
    <row r="312" customFormat="false" ht="12.75" hidden="false" customHeight="false" outlineLevel="0" collapsed="false">
      <c r="A312" s="306" t="s">
        <v>569</v>
      </c>
      <c r="B312" s="499" t="n">
        <f aca="false">1/(2*Pi*Cout*CoutEsr)</f>
        <v>79577.4716368782</v>
      </c>
      <c r="C312" s="308" t="s">
        <v>83</v>
      </c>
      <c r="D312" s="312" t="s">
        <v>570</v>
      </c>
      <c r="F312" s="308"/>
      <c r="I312" s="309"/>
    </row>
    <row r="313" customFormat="false" ht="12.75" hidden="false" customHeight="false" outlineLevel="0" collapsed="false">
      <c r="A313" s="306" t="s">
        <v>571</v>
      </c>
      <c r="B313" s="502" t="n">
        <f aca="false">(1-Don_Vinnom_2)^2*Ro/(2*Pi*Lf)</f>
        <v>67472.5296692988</v>
      </c>
      <c r="C313" s="308" t="s">
        <v>83</v>
      </c>
      <c r="D313" s="312" t="s">
        <v>572</v>
      </c>
      <c r="F313" s="308"/>
      <c r="H313" s="479" t="s">
        <v>573</v>
      </c>
      <c r="I313" s="309"/>
    </row>
    <row r="314" customFormat="false" ht="12.75" hidden="false" customHeight="false" outlineLevel="0" collapsed="false">
      <c r="A314" s="325" t="s">
        <v>574</v>
      </c>
      <c r="B314" s="499" t="n">
        <f aca="false">Fsw/2</f>
        <v>150000</v>
      </c>
      <c r="C314" s="315" t="s">
        <v>83</v>
      </c>
      <c r="D314" s="325" t="s">
        <v>575</v>
      </c>
      <c r="F314" s="308"/>
      <c r="I314" s="309"/>
    </row>
    <row r="315" customFormat="false" ht="12.75" hidden="false" customHeight="false" outlineLevel="0" collapsed="false">
      <c r="A315" s="320"/>
      <c r="B315" s="472"/>
      <c r="D315" s="320"/>
      <c r="E315" s="498"/>
      <c r="I315" s="309"/>
    </row>
    <row r="316" customFormat="false" ht="12.75" hidden="false" customHeight="false" outlineLevel="0" collapsed="false">
      <c r="A316" s="306" t="s">
        <v>576</v>
      </c>
      <c r="B316" s="307" t="n">
        <f aca="false">'Design Converter'!E71*1000</f>
        <v>4000</v>
      </c>
      <c r="C316" s="491" t="s">
        <v>83</v>
      </c>
      <c r="D316" s="312"/>
      <c r="E316" s="0" t="n">
        <f aca="false">z_RHP</f>
        <v>67472.5296692988</v>
      </c>
      <c r="F316" s="308"/>
      <c r="G316" s="308"/>
      <c r="H316" s="308"/>
      <c r="I316" s="309"/>
    </row>
    <row r="317" customFormat="false" ht="12.75" hidden="false" customHeight="false" outlineLevel="0" collapsed="false">
      <c r="A317" s="409" t="s">
        <v>577</v>
      </c>
      <c r="B317" s="503" t="n">
        <f aca="false">IF(VIN_nom&gt;Vout, Fcross*Cout*2*Pi*Ri/(gm*Afb), Fcross*Cout*2*Pi*Ri/(gm*Afb*(1-Don_Vinnom_2)*SQRT(1+(Fcross/z_RHP)^2)))</f>
        <v>4750.05007597337</v>
      </c>
      <c r="C317" s="324" t="s">
        <v>40</v>
      </c>
      <c r="D317" s="320" t="s">
        <v>578</v>
      </c>
      <c r="F317" s="308"/>
      <c r="G317" s="308"/>
      <c r="H317" s="308"/>
      <c r="I317" s="309" t="n">
        <v>1</v>
      </c>
      <c r="K317" s="504" t="n">
        <f aca="false">Fcross*Cout*2*Pi*Ri/(gm*Afb*(1-Don_Vinnom_2))</f>
        <v>4758.38982741174</v>
      </c>
      <c r="L317" s="324" t="s">
        <v>40</v>
      </c>
    </row>
    <row r="318" customFormat="false" ht="12.75" hidden="false" customHeight="false" outlineLevel="0" collapsed="false">
      <c r="A318" s="409" t="s">
        <v>579</v>
      </c>
      <c r="B318" s="505" t="n">
        <f aca="false">1/(Rcea1*(1.5*Fp_dominant)*2*Pi)</f>
        <v>3.81459376216245E-008</v>
      </c>
      <c r="C318" s="308" t="s">
        <v>397</v>
      </c>
      <c r="D318" s="373" t="s">
        <v>580</v>
      </c>
      <c r="F318" s="308"/>
      <c r="G318" s="308"/>
      <c r="I318" s="309" t="n">
        <v>1</v>
      </c>
    </row>
    <row r="319" customFormat="false" ht="12.75" hidden="false" customHeight="false" outlineLevel="0" collapsed="false">
      <c r="A319" s="409" t="s">
        <v>581</v>
      </c>
      <c r="B319" s="505" t="n">
        <f aca="false">1/((Rcea1*2*Pi*B320))-Cbw</f>
        <v>1.09159917332137E-009</v>
      </c>
      <c r="C319" s="308" t="s">
        <v>397</v>
      </c>
      <c r="D319" s="320" t="s">
        <v>582</v>
      </c>
      <c r="F319" s="308"/>
      <c r="G319" s="308"/>
      <c r="H319" s="308"/>
      <c r="I319" s="309" t="n">
        <v>1</v>
      </c>
    </row>
    <row r="320" customFormat="false" ht="12.75" hidden="false" customHeight="false" outlineLevel="0" collapsed="false">
      <c r="A320" s="506"/>
      <c r="B320" s="411" t="n">
        <f aca="false">MAX(Fcross*7,Fsw/10)</f>
        <v>30000</v>
      </c>
      <c r="C320" s="324"/>
      <c r="D320" s="327" t="s">
        <v>583</v>
      </c>
      <c r="E320" s="357"/>
      <c r="F320" s="333"/>
      <c r="G320" s="333"/>
      <c r="H320" s="333"/>
      <c r="I320" s="309" t="n">
        <v>1</v>
      </c>
    </row>
    <row r="321" customFormat="false" ht="12.75" hidden="false" customHeight="false" outlineLevel="0" collapsed="false">
      <c r="A321" s="409" t="s">
        <v>584</v>
      </c>
      <c r="B321" s="308"/>
      <c r="C321" s="300"/>
      <c r="D321" s="308"/>
      <c r="E321" s="308"/>
      <c r="F321" s="308"/>
      <c r="H321" s="308"/>
      <c r="I321" s="309"/>
    </row>
    <row r="322" customFormat="false" ht="12.75" hidden="false" customHeight="false" outlineLevel="0" collapsed="false">
      <c r="A322" s="322" t="s">
        <v>585</v>
      </c>
      <c r="B322" s="433" t="n">
        <f aca="false">'Design Converter'!D78*1000</f>
        <v>6190</v>
      </c>
      <c r="C322" s="324" t="s">
        <v>40</v>
      </c>
      <c r="E322" s="308"/>
      <c r="F322" s="308"/>
      <c r="G322" s="308"/>
      <c r="H322" s="308"/>
      <c r="I322" s="309" t="n">
        <v>2</v>
      </c>
    </row>
    <row r="323" customFormat="false" ht="12.75" hidden="false" customHeight="false" outlineLevel="0" collapsed="false">
      <c r="A323" s="322" t="s">
        <v>586</v>
      </c>
      <c r="B323" s="433" t="n">
        <f aca="false">'Design Converter'!D79*0.000000001</f>
        <v>3.3E-008</v>
      </c>
      <c r="C323" s="308" t="s">
        <v>397</v>
      </c>
      <c r="E323" s="308"/>
      <c r="F323" s="308"/>
      <c r="G323" s="308"/>
      <c r="H323" s="308"/>
      <c r="I323" s="309" t="n">
        <v>2</v>
      </c>
    </row>
    <row r="324" customFormat="false" ht="12.75" hidden="false" customHeight="false" outlineLevel="0" collapsed="false">
      <c r="A324" s="322" t="s">
        <v>587</v>
      </c>
      <c r="B324" s="433" t="n">
        <f aca="false">'Design Converter'!D80*0.000000000001</f>
        <v>1E-009</v>
      </c>
      <c r="C324" s="308" t="s">
        <v>397</v>
      </c>
      <c r="E324" s="308"/>
      <c r="F324" s="308"/>
      <c r="G324" s="308"/>
      <c r="H324" s="308"/>
      <c r="I324" s="309" t="n">
        <v>2</v>
      </c>
    </row>
    <row r="325" customFormat="false" ht="12.75" hidden="false" customHeight="false" outlineLevel="0" collapsed="false">
      <c r="A325" s="322"/>
      <c r="B325" s="407"/>
      <c r="C325" s="308"/>
      <c r="E325" s="308"/>
      <c r="F325" s="308"/>
      <c r="G325" s="308"/>
      <c r="H325" s="308"/>
      <c r="I325" s="309"/>
    </row>
    <row r="326" customFormat="false" ht="12.75" hidden="false" customHeight="false" outlineLevel="0" collapsed="false">
      <c r="A326" s="306" t="s">
        <v>588</v>
      </c>
      <c r="B326" s="507" t="n">
        <f aca="false">'Design Converter'!E32*1*10^-12</f>
        <v>2.35E-010</v>
      </c>
      <c r="C326" s="312" t="s">
        <v>42</v>
      </c>
      <c r="E326" s="308"/>
      <c r="F326" s="308"/>
      <c r="G326" s="308"/>
      <c r="H326" s="308"/>
      <c r="I326" s="309" t="n">
        <v>2</v>
      </c>
    </row>
    <row r="327" customFormat="false" ht="12.75" hidden="false" customHeight="false" outlineLevel="0" collapsed="false">
      <c r="A327" s="322"/>
      <c r="B327" s="308"/>
      <c r="C327" s="308"/>
      <c r="E327" s="308"/>
      <c r="F327" s="308"/>
      <c r="G327" s="308"/>
      <c r="H327" s="308"/>
      <c r="I327" s="309"/>
    </row>
    <row r="328" customFormat="false" ht="12.75" hidden="false" customHeight="false" outlineLevel="0" collapsed="false">
      <c r="A328" s="409" t="s">
        <v>589</v>
      </c>
      <c r="B328" s="308"/>
      <c r="C328" s="308"/>
      <c r="D328" s="308" t="n">
        <f aca="false">Cout</f>
        <v>0.0004</v>
      </c>
      <c r="E328" s="308" t="n">
        <f aca="false">CoutEsr</f>
        <v>0.005</v>
      </c>
      <c r="G328" s="308"/>
      <c r="H328" s="308"/>
      <c r="I328" s="309"/>
    </row>
    <row r="329" customFormat="false" ht="12.75" hidden="false" customHeight="false" outlineLevel="0" collapsed="false">
      <c r="A329" s="409" t="s">
        <v>590</v>
      </c>
      <c r="B329" s="499" t="n">
        <f aca="false">1/(2*Pi*Rcea1_u*Cc1ea_u)</f>
        <v>779.140075751488</v>
      </c>
      <c r="C329" s="308" t="s">
        <v>83</v>
      </c>
      <c r="D329" s="312" t="s">
        <v>591</v>
      </c>
      <c r="E329" s="308"/>
      <c r="G329" s="308"/>
      <c r="H329" s="308"/>
      <c r="I329" s="309"/>
    </row>
    <row r="330" customFormat="false" ht="12.75" hidden="false" customHeight="false" outlineLevel="0" collapsed="false">
      <c r="A330" s="409" t="s">
        <v>592</v>
      </c>
      <c r="B330" s="499" t="n">
        <f aca="false">1/(2*Pi*Rcea1_u*(Cc1ea_u*(Cc2ea_u+Cbw)/(Cc1ea_u+Cc2ea_u+Cbw)))</f>
        <v>25857.1455207746</v>
      </c>
      <c r="C330" s="308" t="s">
        <v>83</v>
      </c>
      <c r="D330" s="308" t="s">
        <v>593</v>
      </c>
      <c r="E330" s="308"/>
      <c r="G330" s="308"/>
      <c r="H330" s="308"/>
      <c r="I330" s="309"/>
    </row>
    <row r="331" customFormat="false" ht="12.75" hidden="false" customHeight="false" outlineLevel="0" collapsed="false">
      <c r="C331" s="308"/>
      <c r="D331" s="308"/>
      <c r="F331" s="308"/>
      <c r="G331" s="308"/>
      <c r="H331" s="308"/>
      <c r="I331" s="309"/>
    </row>
    <row r="332" customFormat="false" ht="12.75" hidden="false" customHeight="false" outlineLevel="0" collapsed="false">
      <c r="A332" s="322" t="s">
        <v>594</v>
      </c>
      <c r="B332" s="307" t="n">
        <f aca="false">'Design Converter'!E73*1000</f>
        <v>280000</v>
      </c>
      <c r="C332" s="324" t="s">
        <v>40</v>
      </c>
      <c r="D332" s="312" t="s">
        <v>595</v>
      </c>
      <c r="F332" s="308"/>
      <c r="G332" s="308"/>
      <c r="H332" s="308"/>
      <c r="I332" s="309" t="n">
        <v>1</v>
      </c>
    </row>
    <row r="333" customFormat="false" ht="12.75" hidden="false" customHeight="false" outlineLevel="0" collapsed="false">
      <c r="A333" s="409" t="s">
        <v>596</v>
      </c>
      <c r="B333" s="508" t="n">
        <f aca="false">IF(Vout=Vref,100000000,Vref*B332/((Vout-Vref)))</f>
        <v>20000</v>
      </c>
      <c r="C333" s="324" t="s">
        <v>40</v>
      </c>
      <c r="D333" s="312" t="s">
        <v>597</v>
      </c>
      <c r="F333" s="308"/>
      <c r="G333" s="308"/>
      <c r="H333" s="308"/>
      <c r="I333" s="309"/>
    </row>
    <row r="334" customFormat="false" ht="12.75" hidden="false" customHeight="false" outlineLevel="0" collapsed="false">
      <c r="A334" s="322" t="s">
        <v>598</v>
      </c>
      <c r="B334" s="323" t="n">
        <f aca="false">IF(Vout=Vref,"N/A",'Standard Value Calculator'!O10)</f>
        <v>20000</v>
      </c>
      <c r="C334" s="324" t="s">
        <v>40</v>
      </c>
      <c r="D334" s="312" t="s">
        <v>599</v>
      </c>
      <c r="F334" s="308"/>
      <c r="G334" s="308"/>
      <c r="H334" s="308"/>
      <c r="I334" s="309"/>
    </row>
    <row r="335" customFormat="false" ht="12.75" hidden="false" customHeight="false" outlineLevel="0" collapsed="false">
      <c r="A335" s="347"/>
      <c r="B335" s="347"/>
      <c r="C335" s="509"/>
      <c r="D335" s="347"/>
      <c r="E335" s="509"/>
      <c r="F335" s="347"/>
      <c r="G335" s="347"/>
      <c r="H335" s="347"/>
      <c r="I335" s="348"/>
    </row>
    <row r="336" customFormat="false" ht="12.75" hidden="false" customHeight="false" outlineLevel="0" collapsed="false">
      <c r="A336" s="510"/>
      <c r="B336" s="498"/>
      <c r="C336" s="498"/>
      <c r="E336" s="498"/>
    </row>
    <row r="337" customFormat="false" ht="12.75" hidden="false" customHeight="false" outlineLevel="0" collapsed="false">
      <c r="A337" s="409" t="s">
        <v>600</v>
      </c>
      <c r="B337" s="370"/>
      <c r="C337" s="308"/>
      <c r="D337" s="308"/>
      <c r="E337" s="308"/>
      <c r="G337" s="308"/>
      <c r="H337" s="308"/>
    </row>
    <row r="338" customFormat="false" ht="12.75" hidden="false" customHeight="false" outlineLevel="0" collapsed="false">
      <c r="A338" s="409" t="s">
        <v>601</v>
      </c>
      <c r="B338" s="300" t="n">
        <v>0</v>
      </c>
      <c r="C338" s="324" t="s">
        <v>40</v>
      </c>
      <c r="D338" s="312" t="s">
        <v>602</v>
      </c>
      <c r="E338" s="308"/>
      <c r="G338" s="308"/>
      <c r="H338" s="308" t="e">
        <f aca="false">_Don2*rdsontop+Doff2*rdsonbot+B342*Vin^2*Fsw/2/(((iripple1/SQRT(3))^2))</f>
        <v>#NAME?</v>
      </c>
    </row>
    <row r="339" customFormat="false" ht="12.75" hidden="false" customHeight="false" outlineLevel="0" collapsed="false">
      <c r="A339" s="409" t="s">
        <v>603</v>
      </c>
      <c r="B339" s="511" t="e">
        <f aca="false">0.00000002*Fsw*0.6*4/iripple1</f>
        <v>#NAME?</v>
      </c>
      <c r="C339" s="498"/>
      <c r="E339" s="498"/>
    </row>
    <row r="340" customFormat="false" ht="12.75" hidden="false" customHeight="false" outlineLevel="0" collapsed="false">
      <c r="A340" s="409" t="s">
        <v>604</v>
      </c>
      <c r="B340" s="511" t="e">
        <f aca="false">_Don2*rdsontop+Doff2*rdsonbot</f>
        <v>#NAME?</v>
      </c>
      <c r="C340" s="498"/>
      <c r="E340" s="498"/>
    </row>
    <row r="341" customFormat="false" ht="12.75" hidden="false" customHeight="false" outlineLevel="0" collapsed="false">
      <c r="A341" s="409" t="s">
        <v>605</v>
      </c>
      <c r="B341" s="511" t="e">
        <f aca="false">B342*Vin^2*Fsw/2/(((iripple1/SQRT(3))^2))</f>
        <v>#NAME?</v>
      </c>
      <c r="C341" s="498"/>
      <c r="E341" s="498"/>
    </row>
    <row r="342" customFormat="false" ht="12.75" hidden="false" customHeight="false" outlineLevel="0" collapsed="false">
      <c r="A342" s="409" t="s">
        <v>606</v>
      </c>
      <c r="B342" s="512" t="n">
        <v>5E-009</v>
      </c>
      <c r="C342" s="498"/>
      <c r="E342" s="498"/>
    </row>
    <row r="343" customFormat="false" ht="12.75" hidden="false" customHeight="false" outlineLevel="0" collapsed="false">
      <c r="A343" s="510"/>
      <c r="B343" s="498"/>
      <c r="C343" s="498"/>
      <c r="E343" s="498"/>
    </row>
    <row r="344" customFormat="false" ht="15" hidden="false" customHeight="false" outlineLevel="0" collapsed="false">
      <c r="A344" s="299" t="s">
        <v>103</v>
      </c>
      <c r="B344" s="308"/>
      <c r="C344" s="300"/>
      <c r="D344" s="308"/>
      <c r="E344" s="308"/>
      <c r="F344" s="308"/>
      <c r="G344" s="308"/>
      <c r="H344" s="308"/>
      <c r="I344" s="308"/>
    </row>
    <row r="345" customFormat="false" ht="12.75" hidden="false" customHeight="false" outlineLevel="0" collapsed="false">
      <c r="A345" s="446"/>
      <c r="B345" s="303"/>
      <c r="C345" s="513"/>
      <c r="D345" s="303"/>
      <c r="E345" s="303"/>
      <c r="F345" s="303"/>
      <c r="G345" s="303"/>
      <c r="H345" s="303"/>
      <c r="I345" s="305"/>
    </row>
    <row r="346" customFormat="false" ht="12.75" hidden="false" customHeight="false" outlineLevel="0" collapsed="false">
      <c r="A346" s="409" t="s">
        <v>607</v>
      </c>
      <c r="B346" s="308"/>
      <c r="C346" s="300"/>
      <c r="D346" s="308"/>
      <c r="E346" s="308"/>
      <c r="F346" s="308"/>
      <c r="G346" s="308"/>
      <c r="H346" s="308"/>
      <c r="I346" s="309"/>
    </row>
    <row r="347" customFormat="false" ht="12.75" hidden="false" customHeight="false" outlineLevel="0" collapsed="false">
      <c r="A347" s="322" t="s">
        <v>608</v>
      </c>
      <c r="B347" s="307" t="n">
        <v>25</v>
      </c>
      <c r="C347" s="312" t="s">
        <v>609</v>
      </c>
      <c r="D347" s="308" t="s">
        <v>610</v>
      </c>
      <c r="F347" s="308"/>
      <c r="G347" s="308"/>
      <c r="H347" s="308"/>
      <c r="I347" s="309"/>
    </row>
    <row r="348" customFormat="false" ht="12.75" hidden="false" customHeight="false" outlineLevel="0" collapsed="false">
      <c r="A348" s="409" t="s">
        <v>611</v>
      </c>
      <c r="B348" s="308"/>
      <c r="C348" s="308"/>
      <c r="D348" s="308"/>
      <c r="F348" s="308"/>
      <c r="G348" s="308"/>
      <c r="H348" s="308"/>
      <c r="I348" s="309"/>
    </row>
    <row r="349" customFormat="false" ht="12.75" hidden="false" customHeight="false" outlineLevel="0" collapsed="false">
      <c r="A349" s="322" t="s">
        <v>612</v>
      </c>
      <c r="B349" s="326" t="n">
        <f aca="false">4000/1000000</f>
        <v>0.004</v>
      </c>
      <c r="C349" s="312" t="s">
        <v>613</v>
      </c>
      <c r="D349" s="312" t="s">
        <v>614</v>
      </c>
      <c r="F349" s="308"/>
      <c r="G349" s="308"/>
      <c r="H349" s="308"/>
      <c r="I349" s="309"/>
    </row>
    <row r="350" customFormat="false" ht="12.75" hidden="false" customHeight="false" outlineLevel="0" collapsed="false">
      <c r="A350" s="514" t="s">
        <v>615</v>
      </c>
      <c r="B350" s="326" t="n">
        <v>20</v>
      </c>
      <c r="C350" s="325" t="s">
        <v>121</v>
      </c>
      <c r="D350" s="312" t="s">
        <v>616</v>
      </c>
      <c r="F350" s="308"/>
      <c r="G350" s="308"/>
      <c r="H350" s="308"/>
      <c r="I350" s="309"/>
    </row>
    <row r="351" customFormat="false" ht="12.75" hidden="false" customHeight="false" outlineLevel="0" collapsed="false">
      <c r="A351" s="322" t="s">
        <v>430</v>
      </c>
      <c r="B351" s="307" t="n">
        <f aca="false">RCinEsr</f>
        <v>0.002</v>
      </c>
      <c r="C351" s="324" t="s">
        <v>40</v>
      </c>
      <c r="D351" s="312" t="s">
        <v>617</v>
      </c>
      <c r="F351" s="308"/>
      <c r="G351" s="308"/>
      <c r="H351" s="308"/>
      <c r="I351" s="309"/>
    </row>
    <row r="352" customFormat="false" ht="12.75" hidden="false" customHeight="false" outlineLevel="0" collapsed="false">
      <c r="A352" s="506" t="s">
        <v>618</v>
      </c>
      <c r="B352" s="308"/>
      <c r="C352" s="308"/>
      <c r="D352" s="308"/>
      <c r="F352" s="308"/>
      <c r="G352" s="308"/>
      <c r="H352" s="308"/>
      <c r="I352" s="309"/>
    </row>
    <row r="353" customFormat="false" ht="12.75" hidden="false" customHeight="false" outlineLevel="0" collapsed="false">
      <c r="A353" s="306" t="s">
        <v>619</v>
      </c>
      <c r="B353" s="326" t="n">
        <f aca="false">7.5</f>
        <v>7.5</v>
      </c>
      <c r="C353" s="315" t="s">
        <v>11</v>
      </c>
      <c r="D353" s="500" t="s">
        <v>620</v>
      </c>
      <c r="F353" s="308"/>
      <c r="G353" s="308"/>
      <c r="H353" s="308"/>
      <c r="I353" s="309"/>
    </row>
    <row r="354" customFormat="false" ht="12.75" hidden="false" customHeight="false" outlineLevel="0" collapsed="false">
      <c r="A354" s="409" t="s">
        <v>621</v>
      </c>
      <c r="B354" s="308"/>
      <c r="C354" s="308"/>
      <c r="D354" s="308"/>
      <c r="F354" s="308"/>
      <c r="G354" s="308"/>
      <c r="H354" s="308"/>
      <c r="I354" s="309"/>
    </row>
    <row r="355" customFormat="false" ht="12.75" hidden="false" customHeight="false" outlineLevel="0" collapsed="false">
      <c r="A355" s="322" t="s">
        <v>622</v>
      </c>
      <c r="B355" s="326" t="n">
        <v>1.5</v>
      </c>
      <c r="C355" s="324" t="s">
        <v>40</v>
      </c>
      <c r="D355" s="312" t="s">
        <v>623</v>
      </c>
      <c r="F355" s="308"/>
      <c r="G355" s="308"/>
      <c r="H355" s="308"/>
      <c r="I355" s="309"/>
    </row>
    <row r="356" customFormat="false" ht="12.75" hidden="false" customHeight="false" outlineLevel="0" collapsed="false">
      <c r="A356" s="322" t="s">
        <v>624</v>
      </c>
      <c r="B356" s="326" t="n">
        <v>1</v>
      </c>
      <c r="C356" s="324" t="s">
        <v>40</v>
      </c>
      <c r="D356" s="312" t="s">
        <v>625</v>
      </c>
      <c r="F356" s="308"/>
      <c r="G356" s="308"/>
      <c r="H356" s="308"/>
      <c r="I356" s="309"/>
    </row>
    <row r="357" customFormat="false" ht="12.75" hidden="false" customHeight="false" outlineLevel="0" collapsed="false">
      <c r="A357" s="409" t="s">
        <v>626</v>
      </c>
      <c r="B357" s="308"/>
      <c r="C357" s="308"/>
      <c r="D357" s="308"/>
      <c r="F357" s="308"/>
      <c r="G357" s="308"/>
      <c r="H357" s="308"/>
      <c r="I357" s="309"/>
    </row>
    <row r="358" customFormat="false" ht="12.75" hidden="false" customHeight="false" outlineLevel="0" collapsed="false">
      <c r="A358" s="322" t="s">
        <v>627</v>
      </c>
      <c r="B358" s="515" t="n">
        <v>1.5</v>
      </c>
      <c r="C358" s="324" t="s">
        <v>40</v>
      </c>
      <c r="D358" s="312" t="s">
        <v>628</v>
      </c>
      <c r="F358" s="308"/>
      <c r="G358" s="308"/>
      <c r="H358" s="308"/>
      <c r="I358" s="309"/>
    </row>
    <row r="359" customFormat="false" ht="12.75" hidden="false" customHeight="false" outlineLevel="0" collapsed="false">
      <c r="A359" s="322" t="s">
        <v>629</v>
      </c>
      <c r="B359" s="326" t="n">
        <v>1</v>
      </c>
      <c r="C359" s="324" t="s">
        <v>40</v>
      </c>
      <c r="D359" s="312" t="s">
        <v>630</v>
      </c>
      <c r="F359" s="308"/>
      <c r="G359" s="308"/>
      <c r="H359" s="308"/>
      <c r="I359" s="309"/>
    </row>
    <row r="360" customFormat="false" ht="12.75" hidden="false" customHeight="false" outlineLevel="0" collapsed="false">
      <c r="A360" s="409" t="s">
        <v>631</v>
      </c>
      <c r="B360" s="308"/>
      <c r="C360" s="308"/>
      <c r="D360" s="308"/>
      <c r="F360" s="308"/>
      <c r="G360" s="308"/>
      <c r="H360" s="308"/>
      <c r="I360" s="309"/>
    </row>
    <row r="361" customFormat="false" ht="12.75" hidden="false" customHeight="false" outlineLevel="0" collapsed="false">
      <c r="A361" s="322" t="s">
        <v>631</v>
      </c>
      <c r="B361" s="516" t="n">
        <v>5E-008</v>
      </c>
      <c r="C361" s="308" t="s">
        <v>439</v>
      </c>
      <c r="D361" s="308" t="s">
        <v>632</v>
      </c>
      <c r="F361" s="308"/>
      <c r="G361" s="318" t="s">
        <v>633</v>
      </c>
      <c r="H361" s="308"/>
      <c r="I361" s="309"/>
    </row>
    <row r="362" customFormat="false" ht="12.75" hidden="false" customHeight="false" outlineLevel="0" collapsed="false">
      <c r="A362" s="409" t="s">
        <v>634</v>
      </c>
      <c r="B362" s="308"/>
      <c r="C362" s="308"/>
      <c r="D362" s="308"/>
      <c r="F362" s="308"/>
      <c r="G362" s="308"/>
      <c r="H362" s="308"/>
      <c r="I362" s="309"/>
    </row>
    <row r="363" customFormat="false" ht="12.75" hidden="false" customHeight="false" outlineLevel="0" collapsed="false">
      <c r="A363" s="322" t="s">
        <v>635</v>
      </c>
      <c r="B363" s="326" t="n">
        <v>0.003</v>
      </c>
      <c r="C363" s="308" t="s">
        <v>16</v>
      </c>
      <c r="D363" s="312" t="s">
        <v>636</v>
      </c>
      <c r="F363" s="308"/>
      <c r="G363" s="308"/>
      <c r="H363" s="308"/>
      <c r="I363" s="309"/>
    </row>
    <row r="364" customFormat="false" ht="12.75" hidden="false" customHeight="false" outlineLevel="0" collapsed="false">
      <c r="A364" s="322"/>
      <c r="B364" s="308"/>
      <c r="C364" s="308"/>
      <c r="D364" s="308"/>
      <c r="F364" s="308"/>
      <c r="G364" s="308"/>
      <c r="H364" s="308"/>
      <c r="I364" s="309"/>
    </row>
    <row r="365" customFormat="false" ht="12.75" hidden="false" customHeight="false" outlineLevel="0" collapsed="false">
      <c r="A365" s="409" t="s">
        <v>637</v>
      </c>
      <c r="B365" s="300" t="s">
        <v>638</v>
      </c>
      <c r="C365" s="308"/>
      <c r="D365" s="300" t="s">
        <v>639</v>
      </c>
      <c r="F365" s="308"/>
      <c r="G365" s="308"/>
      <c r="H365" s="308"/>
      <c r="I365" s="309"/>
    </row>
    <row r="366" customFormat="false" ht="12.75" hidden="false" customHeight="false" outlineLevel="0" collapsed="false">
      <c r="A366" s="306" t="s">
        <v>640</v>
      </c>
      <c r="B366" s="307" t="n">
        <f aca="false">'Design Converter'!E87/1000</f>
        <v>0.0057</v>
      </c>
      <c r="C366" s="324" t="s">
        <v>40</v>
      </c>
      <c r="D366" s="307" t="n">
        <f aca="false">'Design Converter'!F87/1000</f>
        <v>0.0057</v>
      </c>
      <c r="E366" s="324" t="s">
        <v>40</v>
      </c>
      <c r="F366" s="312" t="s">
        <v>641</v>
      </c>
      <c r="G366" s="308"/>
      <c r="H366" s="308"/>
      <c r="I366" s="309"/>
    </row>
    <row r="367" customFormat="false" ht="12.75" hidden="false" customHeight="false" outlineLevel="0" collapsed="false">
      <c r="A367" s="322" t="s">
        <v>642</v>
      </c>
      <c r="B367" s="326" t="n">
        <f aca="false">4000/1000000</f>
        <v>0.004</v>
      </c>
      <c r="C367" s="312" t="s">
        <v>613</v>
      </c>
      <c r="D367" s="517"/>
      <c r="E367" s="325"/>
      <c r="F367" s="312" t="s">
        <v>643</v>
      </c>
      <c r="G367" s="308"/>
      <c r="H367" s="308"/>
      <c r="I367" s="309"/>
    </row>
    <row r="368" customFormat="false" ht="12.75" hidden="false" customHeight="false" outlineLevel="0" collapsed="false">
      <c r="A368" s="306" t="s">
        <v>644</v>
      </c>
      <c r="B368" s="356" t="n">
        <f aca="false">'Design Converter'!E88/1000000000</f>
        <v>1.1E-008</v>
      </c>
      <c r="C368" s="308" t="s">
        <v>645</v>
      </c>
      <c r="D368" s="356" t="n">
        <f aca="false">'Design Converter'!F88/1000000000</f>
        <v>1.1E-008</v>
      </c>
      <c r="E368" s="308" t="s">
        <v>645</v>
      </c>
      <c r="F368" s="312" t="s">
        <v>646</v>
      </c>
      <c r="G368" s="308"/>
      <c r="H368" s="308"/>
      <c r="I368" s="309"/>
    </row>
    <row r="369" customFormat="false" ht="12.75" hidden="false" customHeight="false" outlineLevel="0" collapsed="false">
      <c r="A369" s="306" t="s">
        <v>647</v>
      </c>
      <c r="B369" s="356" t="n">
        <f aca="false">'Design Converter'!E89/1000000000</f>
        <v>2.9E-009</v>
      </c>
      <c r="C369" s="308" t="s">
        <v>645</v>
      </c>
      <c r="D369" s="356" t="n">
        <f aca="false">'Design Converter'!F89/1000000000</f>
        <v>2.9E-009</v>
      </c>
      <c r="E369" s="308" t="s">
        <v>645</v>
      </c>
      <c r="F369" s="308" t="s">
        <v>648</v>
      </c>
      <c r="G369" s="308"/>
      <c r="H369" s="308"/>
      <c r="I369" s="309"/>
    </row>
    <row r="370" customFormat="false" ht="12.75" hidden="false" customHeight="false" outlineLevel="0" collapsed="false">
      <c r="A370" s="306" t="s">
        <v>649</v>
      </c>
      <c r="B370" s="356" t="n">
        <f aca="false">'Design Converter'!E90/1000000000</f>
        <v>3.3E-009</v>
      </c>
      <c r="C370" s="308" t="s">
        <v>645</v>
      </c>
      <c r="D370" s="356" t="n">
        <f aca="false">'Design Converter'!F90/1000000000</f>
        <v>3.3E-009</v>
      </c>
      <c r="E370" s="308" t="s">
        <v>645</v>
      </c>
      <c r="F370" s="308"/>
      <c r="G370" s="308"/>
      <c r="H370" s="308"/>
      <c r="I370" s="309"/>
    </row>
    <row r="371" customFormat="false" ht="12.75" hidden="false" customHeight="false" outlineLevel="0" collapsed="false">
      <c r="A371" s="306" t="s">
        <v>650</v>
      </c>
      <c r="B371" s="307" t="n">
        <f aca="false">'Design Converter'!E91</f>
        <v>1.5</v>
      </c>
      <c r="C371" s="324" t="s">
        <v>40</v>
      </c>
      <c r="D371" s="307" t="n">
        <f aca="false">'Design Converter'!F91</f>
        <v>1.5</v>
      </c>
      <c r="E371" s="324" t="s">
        <v>40</v>
      </c>
      <c r="F371" s="308" t="s">
        <v>651</v>
      </c>
      <c r="G371" s="308"/>
      <c r="H371" s="308"/>
      <c r="I371" s="309"/>
    </row>
    <row r="372" customFormat="false" ht="12.75" hidden="false" customHeight="false" outlineLevel="0" collapsed="false">
      <c r="A372" s="306" t="s">
        <v>652</v>
      </c>
      <c r="B372" s="307" t="n">
        <f aca="false">'Design Converter'!E92</f>
        <v>60</v>
      </c>
      <c r="C372" s="308" t="s">
        <v>116</v>
      </c>
      <c r="D372" s="307" t="n">
        <f aca="false">'Design Converter'!F92</f>
        <v>60</v>
      </c>
      <c r="E372" s="308" t="s">
        <v>116</v>
      </c>
      <c r="F372" s="312" t="s">
        <v>653</v>
      </c>
      <c r="G372" s="308"/>
      <c r="H372" s="308"/>
      <c r="I372" s="309"/>
    </row>
    <row r="373" customFormat="false" ht="12.75" hidden="false" customHeight="false" outlineLevel="0" collapsed="false">
      <c r="A373" s="306" t="s">
        <v>654</v>
      </c>
      <c r="B373" s="307" t="n">
        <f aca="false">'Design Converter'!E93</f>
        <v>4</v>
      </c>
      <c r="C373" s="308" t="s">
        <v>11</v>
      </c>
      <c r="D373" s="307" t="n">
        <f aca="false">'Design Converter'!F93</f>
        <v>4</v>
      </c>
      <c r="E373" s="308" t="s">
        <v>11</v>
      </c>
      <c r="F373" s="312" t="s">
        <v>655</v>
      </c>
      <c r="G373" s="308"/>
      <c r="H373" s="308"/>
      <c r="I373" s="309"/>
    </row>
    <row r="374" customFormat="false" ht="12.75" hidden="false" customHeight="false" outlineLevel="0" collapsed="false">
      <c r="A374" s="306" t="s">
        <v>656</v>
      </c>
      <c r="B374" s="518" t="n">
        <f aca="false">Vth_Q1+Iout/Gfs_Q1</f>
        <v>4.1</v>
      </c>
      <c r="C374" s="308" t="s">
        <v>11</v>
      </c>
      <c r="D374" s="518" t="n">
        <f aca="false">Vth_Q2+Iout/Gfs_Q2</f>
        <v>4.1</v>
      </c>
      <c r="E374" s="308" t="s">
        <v>11</v>
      </c>
      <c r="F374" s="312" t="s">
        <v>657</v>
      </c>
      <c r="G374" s="308"/>
      <c r="H374" s="308"/>
      <c r="I374" s="309"/>
    </row>
    <row r="375" customFormat="false" ht="12.75" hidden="false" customHeight="false" outlineLevel="0" collapsed="false">
      <c r="A375" s="322"/>
      <c r="B375" s="308"/>
      <c r="C375" s="308"/>
      <c r="D375" s="308"/>
      <c r="E375" s="308"/>
      <c r="F375" s="312"/>
      <c r="G375" s="308"/>
      <c r="H375" s="308"/>
      <c r="I375" s="309"/>
    </row>
    <row r="376" customFormat="false" ht="12.75" hidden="false" customHeight="false" outlineLevel="0" collapsed="false">
      <c r="A376" s="306" t="s">
        <v>658</v>
      </c>
      <c r="B376" s="307" t="n">
        <f aca="false">'Design Converter'!E94</f>
        <v>0.8</v>
      </c>
      <c r="C376" s="308" t="s">
        <v>11</v>
      </c>
      <c r="D376" s="307" t="n">
        <f aca="false">'Design Converter'!F94</f>
        <v>0.8</v>
      </c>
      <c r="E376" s="308" t="s">
        <v>11</v>
      </c>
      <c r="F376" s="312" t="s">
        <v>659</v>
      </c>
      <c r="G376" s="308"/>
      <c r="H376" s="308"/>
      <c r="I376" s="309"/>
    </row>
    <row r="377" customFormat="false" ht="12.75" hidden="false" customHeight="false" outlineLevel="0" collapsed="false">
      <c r="A377" s="306" t="s">
        <v>660</v>
      </c>
      <c r="B377" s="356" t="n">
        <f aca="false">'Design Converter'!E95/1000000000</f>
        <v>0</v>
      </c>
      <c r="C377" s="308" t="s">
        <v>645</v>
      </c>
      <c r="D377" s="356" t="n">
        <f aca="false">'Design Converter'!F95/1000000000</f>
        <v>6.3E-008</v>
      </c>
      <c r="E377" s="308" t="s">
        <v>645</v>
      </c>
      <c r="F377" s="308" t="s">
        <v>661</v>
      </c>
      <c r="G377" s="308"/>
      <c r="H377" s="308"/>
      <c r="I377" s="309"/>
    </row>
    <row r="378" customFormat="false" ht="12.75" hidden="false" customHeight="false" outlineLevel="0" collapsed="false">
      <c r="A378" s="306" t="s">
        <v>662</v>
      </c>
      <c r="B378" s="356" t="n">
        <v>4E-008</v>
      </c>
      <c r="C378" s="308" t="s">
        <v>439</v>
      </c>
      <c r="D378" s="356" t="n">
        <v>4E-008</v>
      </c>
      <c r="E378" s="308" t="s">
        <v>439</v>
      </c>
      <c r="F378" s="308" t="s">
        <v>663</v>
      </c>
      <c r="G378" s="308"/>
      <c r="H378" s="308"/>
      <c r="I378" s="309"/>
    </row>
    <row r="379" customFormat="false" ht="12.75" hidden="false" customHeight="false" outlineLevel="0" collapsed="false">
      <c r="A379" s="306" t="s">
        <v>664</v>
      </c>
      <c r="B379" s="307" t="n">
        <f aca="false">'Design Converter'!E96</f>
        <v>50</v>
      </c>
      <c r="C379" s="312" t="s">
        <v>121</v>
      </c>
      <c r="D379" s="307" t="n">
        <f aca="false">'Design Converter'!F96</f>
        <v>50</v>
      </c>
      <c r="E379" s="312" t="s">
        <v>121</v>
      </c>
      <c r="F379" s="308" t="s">
        <v>665</v>
      </c>
      <c r="G379" s="308"/>
      <c r="H379" s="308"/>
      <c r="I379" s="309"/>
    </row>
    <row r="380" customFormat="false" ht="12.75" hidden="false" customHeight="false" outlineLevel="0" collapsed="false">
      <c r="A380" s="306"/>
      <c r="B380" s="307"/>
      <c r="C380" s="312"/>
      <c r="D380" s="307"/>
      <c r="E380" s="312"/>
      <c r="F380" s="308"/>
      <c r="G380" s="308"/>
      <c r="H380" s="308"/>
      <c r="I380" s="309"/>
    </row>
    <row r="381" customFormat="false" ht="12.75" hidden="false" customHeight="false" outlineLevel="0" collapsed="false">
      <c r="A381" s="306"/>
      <c r="B381" s="312"/>
      <c r="C381" s="312"/>
      <c r="D381" s="312"/>
      <c r="E381" s="312"/>
      <c r="F381" s="308"/>
      <c r="G381" s="308"/>
      <c r="H381" s="308"/>
      <c r="I381" s="309"/>
    </row>
    <row r="382" customFormat="false" ht="12.75" hidden="false" customHeight="false" outlineLevel="0" collapsed="false">
      <c r="A382" s="409" t="s">
        <v>666</v>
      </c>
      <c r="B382" s="300" t="s">
        <v>667</v>
      </c>
      <c r="C382" s="308"/>
      <c r="D382" s="300" t="s">
        <v>668</v>
      </c>
      <c r="F382" s="308"/>
      <c r="G382" s="308"/>
      <c r="H382" s="308"/>
      <c r="I382" s="309"/>
    </row>
    <row r="383" customFormat="false" ht="12.75" hidden="false" customHeight="false" outlineLevel="0" collapsed="false">
      <c r="A383" s="306" t="s">
        <v>640</v>
      </c>
      <c r="B383" s="307" t="n">
        <f aca="false">'Design Converter'!E100/1000</f>
        <v>0.0019</v>
      </c>
      <c r="C383" s="324" t="s">
        <v>40</v>
      </c>
      <c r="D383" s="307" t="n">
        <f aca="false">'Design Converter'!F100/1000</f>
        <v>0.0019</v>
      </c>
      <c r="E383" s="324" t="s">
        <v>40</v>
      </c>
      <c r="F383" s="312" t="s">
        <v>669</v>
      </c>
      <c r="G383" s="308"/>
      <c r="H383" s="308"/>
      <c r="I383" s="309"/>
    </row>
    <row r="384" customFormat="false" ht="12.75" hidden="false" customHeight="false" outlineLevel="0" collapsed="false">
      <c r="A384" s="322" t="s">
        <v>670</v>
      </c>
      <c r="B384" s="326" t="n">
        <f aca="false">4000/1000000</f>
        <v>0.004</v>
      </c>
      <c r="C384" s="312" t="s">
        <v>613</v>
      </c>
      <c r="D384" s="517"/>
      <c r="E384" s="325"/>
      <c r="F384" s="312" t="s">
        <v>643</v>
      </c>
      <c r="G384" s="308"/>
      <c r="H384" s="308"/>
      <c r="I384" s="309"/>
    </row>
    <row r="385" customFormat="false" ht="12.75" hidden="false" customHeight="false" outlineLevel="0" collapsed="false">
      <c r="A385" s="306" t="s">
        <v>644</v>
      </c>
      <c r="B385" s="356" t="n">
        <f aca="false">'Design Converter'!E101/1000000000</f>
        <v>2.2E-008</v>
      </c>
      <c r="C385" s="308" t="s">
        <v>645</v>
      </c>
      <c r="D385" s="356" t="n">
        <f aca="false">'Design Converter'!F101/1000000000</f>
        <v>2.2E-008</v>
      </c>
      <c r="E385" s="308" t="s">
        <v>645</v>
      </c>
      <c r="F385" s="312" t="s">
        <v>671</v>
      </c>
      <c r="G385" s="308"/>
      <c r="H385" s="308"/>
      <c r="I385" s="309"/>
    </row>
    <row r="386" customFormat="false" ht="12.75" hidden="false" customHeight="false" outlineLevel="0" collapsed="false">
      <c r="A386" s="306" t="s">
        <v>647</v>
      </c>
      <c r="B386" s="356" t="n">
        <f aca="false">'Design Converter'!E102/1000000000</f>
        <v>2.5E-009</v>
      </c>
      <c r="C386" s="308" t="s">
        <v>645</v>
      </c>
      <c r="D386" s="356" t="n">
        <f aca="false">'Design Converter'!F102/1000000000</f>
        <v>2.5E-009</v>
      </c>
      <c r="E386" s="308" t="s">
        <v>645</v>
      </c>
      <c r="F386" s="308" t="s">
        <v>648</v>
      </c>
      <c r="G386" s="308"/>
      <c r="H386" s="308"/>
      <c r="I386" s="309"/>
    </row>
    <row r="387" customFormat="false" ht="12.75" hidden="false" customHeight="false" outlineLevel="0" collapsed="false">
      <c r="A387" s="306" t="s">
        <v>649</v>
      </c>
      <c r="B387" s="356" t="n">
        <f aca="false">'Design Converter'!E103/1000000000</f>
        <v>4E-009</v>
      </c>
      <c r="C387" s="308" t="s">
        <v>645</v>
      </c>
      <c r="D387" s="356" t="n">
        <f aca="false">'Design Converter'!F103/1000000000</f>
        <v>4E-009</v>
      </c>
      <c r="E387" s="308" t="s">
        <v>645</v>
      </c>
      <c r="F387" s="308"/>
      <c r="G387" s="308"/>
      <c r="H387" s="308"/>
      <c r="I387" s="309"/>
    </row>
    <row r="388" customFormat="false" ht="12.75" hidden="false" customHeight="false" outlineLevel="0" collapsed="false">
      <c r="A388" s="306" t="s">
        <v>650</v>
      </c>
      <c r="B388" s="307" t="n">
        <v>1</v>
      </c>
      <c r="C388" s="324" t="s">
        <v>40</v>
      </c>
      <c r="D388" s="307" t="n">
        <v>1</v>
      </c>
      <c r="E388" s="324" t="s">
        <v>40</v>
      </c>
      <c r="F388" s="308" t="s">
        <v>651</v>
      </c>
      <c r="G388" s="308"/>
      <c r="H388" s="308"/>
      <c r="I388" s="309"/>
    </row>
    <row r="389" customFormat="false" ht="12.75" hidden="false" customHeight="false" outlineLevel="0" collapsed="false">
      <c r="A389" s="306" t="s">
        <v>652</v>
      </c>
      <c r="B389" s="307" t="n">
        <f aca="false">'Design Converter'!E105</f>
        <v>150</v>
      </c>
      <c r="C389" s="308" t="s">
        <v>116</v>
      </c>
      <c r="D389" s="307" t="n">
        <f aca="false">'Design Converter'!F105</f>
        <v>150</v>
      </c>
      <c r="E389" s="308" t="s">
        <v>116</v>
      </c>
      <c r="F389" s="312" t="s">
        <v>672</v>
      </c>
      <c r="G389" s="308"/>
      <c r="H389" s="308"/>
      <c r="I389" s="309"/>
    </row>
    <row r="390" customFormat="false" ht="12.75" hidden="false" customHeight="false" outlineLevel="0" collapsed="false">
      <c r="A390" s="306" t="s">
        <v>654</v>
      </c>
      <c r="B390" s="307" t="n">
        <f aca="false">'Design Converter'!E106</f>
        <v>2</v>
      </c>
      <c r="C390" s="308" t="s">
        <v>11</v>
      </c>
      <c r="D390" s="307" t="n">
        <f aca="false">'Design Converter'!F106</f>
        <v>2</v>
      </c>
      <c r="E390" s="308" t="s">
        <v>11</v>
      </c>
      <c r="F390" s="312" t="s">
        <v>673</v>
      </c>
      <c r="G390" s="308"/>
      <c r="H390" s="308"/>
      <c r="I390" s="309"/>
    </row>
    <row r="391" customFormat="false" ht="12.75" hidden="false" customHeight="false" outlineLevel="0" collapsed="false">
      <c r="A391" s="306" t="s">
        <v>656</v>
      </c>
      <c r="B391" s="518" t="n">
        <f aca="false">Vth_Q3+Iin_Vinnom/Gfs_Q3</f>
        <v>2.04444444444444</v>
      </c>
      <c r="C391" s="308" t="s">
        <v>11</v>
      </c>
      <c r="D391" s="518" t="n">
        <f aca="false">Vth_Q4+Iin_Vinnom/Gfs_Q4</f>
        <v>2.04444444444444</v>
      </c>
      <c r="E391" s="308" t="s">
        <v>11</v>
      </c>
      <c r="F391" s="312" t="s">
        <v>674</v>
      </c>
      <c r="G391" s="308"/>
      <c r="H391" s="308"/>
      <c r="I391" s="309"/>
    </row>
    <row r="392" customFormat="false" ht="12.75" hidden="false" customHeight="false" outlineLevel="0" collapsed="false">
      <c r="E392" s="292"/>
      <c r="G392" s="308"/>
      <c r="H392" s="308"/>
      <c r="I392" s="309"/>
    </row>
    <row r="393" customFormat="false" ht="12.75" hidden="false" customHeight="false" outlineLevel="0" collapsed="false">
      <c r="A393" s="306" t="s">
        <v>675</v>
      </c>
      <c r="B393" s="307" t="n">
        <f aca="false">'Design Converter'!E107</f>
        <v>0.8</v>
      </c>
      <c r="C393" s="308" t="s">
        <v>11</v>
      </c>
      <c r="D393" s="307" t="n">
        <f aca="false">'Design Converter'!F107</f>
        <v>0.8</v>
      </c>
      <c r="E393" s="308" t="s">
        <v>11</v>
      </c>
      <c r="F393" s="312" t="s">
        <v>676</v>
      </c>
      <c r="G393" s="308"/>
      <c r="H393" s="308"/>
      <c r="I393" s="309"/>
    </row>
    <row r="394" customFormat="false" ht="12.75" hidden="false" customHeight="false" outlineLevel="0" collapsed="false">
      <c r="A394" s="322" t="s">
        <v>677</v>
      </c>
      <c r="B394" s="356" t="n">
        <f aca="false">'Design Converter'!E108/1000000000</f>
        <v>3.3E-008</v>
      </c>
      <c r="C394" s="308" t="s">
        <v>645</v>
      </c>
      <c r="D394" s="356" t="n">
        <f aca="false">'Design Converter'!F108/1000000000</f>
        <v>0</v>
      </c>
      <c r="E394" s="308" t="s">
        <v>645</v>
      </c>
      <c r="F394" s="308" t="s">
        <v>661</v>
      </c>
      <c r="G394" s="308"/>
      <c r="H394" s="308"/>
      <c r="I394" s="309"/>
    </row>
    <row r="395" customFormat="false" ht="12.75" hidden="false" customHeight="false" outlineLevel="0" collapsed="false">
      <c r="A395" s="322" t="s">
        <v>678</v>
      </c>
      <c r="B395" s="356" t="n">
        <v>4E-008</v>
      </c>
      <c r="C395" s="308" t="s">
        <v>439</v>
      </c>
      <c r="D395" s="356" t="n">
        <v>4E-008</v>
      </c>
      <c r="E395" s="308" t="s">
        <v>439</v>
      </c>
      <c r="F395" s="308" t="s">
        <v>663</v>
      </c>
      <c r="G395" s="308"/>
      <c r="H395" s="308"/>
      <c r="I395" s="309"/>
    </row>
    <row r="396" customFormat="false" ht="12.75" hidden="false" customHeight="false" outlineLevel="0" collapsed="false">
      <c r="A396" s="306" t="s">
        <v>679</v>
      </c>
      <c r="B396" s="307" t="n">
        <f aca="false">'Design Converter'!E109</f>
        <v>50</v>
      </c>
      <c r="C396" s="312" t="s">
        <v>121</v>
      </c>
      <c r="D396" s="307" t="n">
        <f aca="false">'Design Converter'!F109</f>
        <v>50</v>
      </c>
      <c r="E396" s="312" t="s">
        <v>121</v>
      </c>
      <c r="F396" s="308" t="s">
        <v>665</v>
      </c>
      <c r="G396" s="308"/>
      <c r="H396" s="308"/>
      <c r="I396" s="309"/>
    </row>
    <row r="397" customFormat="false" ht="12.75" hidden="false" customHeight="false" outlineLevel="0" collapsed="false">
      <c r="A397" s="306"/>
      <c r="B397" s="307"/>
      <c r="C397" s="312"/>
      <c r="D397" s="307"/>
      <c r="E397" s="312"/>
      <c r="F397" s="308"/>
      <c r="G397" s="308"/>
      <c r="H397" s="308"/>
      <c r="I397" s="309"/>
    </row>
    <row r="398" customFormat="false" ht="12.75" hidden="false" customHeight="false" outlineLevel="0" collapsed="false">
      <c r="A398" s="409" t="s">
        <v>680</v>
      </c>
      <c r="B398" s="519" t="s">
        <v>681</v>
      </c>
      <c r="C398" s="300"/>
      <c r="D398" s="519" t="s">
        <v>682</v>
      </c>
      <c r="E398" s="308"/>
      <c r="F398" s="308"/>
      <c r="G398" s="308"/>
      <c r="H398" s="308"/>
      <c r="I398" s="309"/>
    </row>
    <row r="399" customFormat="false" ht="12.75" hidden="false" customHeight="false" outlineLevel="0" collapsed="false">
      <c r="A399" s="322" t="s">
        <v>683</v>
      </c>
      <c r="B399" s="307" t="n">
        <f aca="false">'Design Converter'!E112</f>
        <v>0</v>
      </c>
      <c r="C399" s="308" t="s">
        <v>11</v>
      </c>
      <c r="D399" s="307" t="n">
        <f aca="false">'Design Converter'!F112</f>
        <v>0</v>
      </c>
      <c r="E399" s="308" t="s">
        <v>11</v>
      </c>
      <c r="F399" s="517" t="s">
        <v>684</v>
      </c>
      <c r="G399" s="308"/>
      <c r="H399" s="308"/>
      <c r="I399" s="309"/>
    </row>
    <row r="400" customFormat="false" ht="12.75" hidden="false" customHeight="false" outlineLevel="0" collapsed="false">
      <c r="A400" s="322" t="s">
        <v>685</v>
      </c>
      <c r="B400" s="356" t="n">
        <f aca="false">'Design Converter'!E113/1000000000</f>
        <v>0</v>
      </c>
      <c r="C400" s="308" t="s">
        <v>645</v>
      </c>
      <c r="D400" s="356" t="n">
        <f aca="false">'Design Converter'!F113/1000000000</f>
        <v>0</v>
      </c>
      <c r="E400" s="308" t="s">
        <v>645</v>
      </c>
      <c r="F400" s="517" t="s">
        <v>686</v>
      </c>
      <c r="G400" s="308"/>
      <c r="H400" s="308"/>
      <c r="I400" s="309"/>
    </row>
    <row r="401" customFormat="false" ht="12.75" hidden="false" customHeight="false" outlineLevel="0" collapsed="false">
      <c r="A401" s="322" t="s">
        <v>687</v>
      </c>
      <c r="B401" s="307" t="n">
        <v>0</v>
      </c>
      <c r="C401" s="308" t="s">
        <v>16</v>
      </c>
      <c r="D401" s="307" t="n">
        <v>0</v>
      </c>
      <c r="E401" s="308" t="s">
        <v>16</v>
      </c>
      <c r="F401" s="517" t="s">
        <v>688</v>
      </c>
      <c r="G401" s="308"/>
      <c r="H401" s="308"/>
      <c r="I401" s="309"/>
    </row>
    <row r="402" customFormat="false" ht="12.75" hidden="false" customHeight="false" outlineLevel="0" collapsed="false">
      <c r="A402" s="322"/>
      <c r="B402" s="308"/>
      <c r="C402" s="308"/>
      <c r="D402" s="308"/>
      <c r="E402" s="308"/>
      <c r="F402" s="517"/>
      <c r="G402" s="308"/>
      <c r="H402" s="308"/>
      <c r="I402" s="309"/>
    </row>
    <row r="403" customFormat="false" ht="12.75" hidden="false" customHeight="false" outlineLevel="0" collapsed="false">
      <c r="A403" s="409" t="s">
        <v>689</v>
      </c>
      <c r="B403" s="308"/>
      <c r="C403" s="308"/>
      <c r="D403" s="308"/>
      <c r="E403" s="308"/>
      <c r="F403" s="308"/>
      <c r="G403" s="308"/>
      <c r="H403" s="308"/>
      <c r="I403" s="309"/>
    </row>
    <row r="404" customFormat="false" ht="12.75" hidden="false" customHeight="false" outlineLevel="0" collapsed="false">
      <c r="A404" s="306" t="s">
        <v>690</v>
      </c>
      <c r="B404" s="307" t="n">
        <v>30.5</v>
      </c>
      <c r="C404" s="312" t="s">
        <v>121</v>
      </c>
      <c r="D404" s="312"/>
      <c r="E404" s="312"/>
      <c r="F404" s="315" t="s">
        <v>691</v>
      </c>
      <c r="G404" s="308"/>
      <c r="H404" s="308"/>
      <c r="I404" s="309"/>
    </row>
    <row r="405" customFormat="false" ht="12.75" hidden="false" customHeight="false" outlineLevel="0" collapsed="false">
      <c r="A405" s="409" t="s">
        <v>692</v>
      </c>
      <c r="B405" s="308"/>
      <c r="C405" s="308"/>
      <c r="D405" s="308"/>
      <c r="E405" s="308"/>
      <c r="F405" s="308"/>
      <c r="G405" s="308"/>
      <c r="H405" s="308"/>
      <c r="I405" s="309"/>
    </row>
    <row r="406" customFormat="false" ht="12.75" hidden="false" customHeight="false" outlineLevel="0" collapsed="false">
      <c r="A406" s="306" t="s">
        <v>693</v>
      </c>
      <c r="B406" s="308"/>
      <c r="C406" s="308"/>
      <c r="D406" s="308"/>
      <c r="E406" s="308"/>
      <c r="F406" s="308"/>
      <c r="G406" s="308"/>
      <c r="H406" s="308"/>
      <c r="I406" s="309"/>
    </row>
    <row r="407" customFormat="false" ht="12.75" hidden="false" customHeight="false" outlineLevel="0" collapsed="false">
      <c r="A407" s="322" t="s">
        <v>694</v>
      </c>
      <c r="B407" s="433" t="n">
        <f aca="false">(Qgd_Q1+Qgs_Q1/2)*(RdsonDRT+Rgate1)/(Vdd-Vsp_Q1)</f>
        <v>4.01470588235294E-009</v>
      </c>
      <c r="C407" s="308" t="s">
        <v>439</v>
      </c>
      <c r="D407" s="433" t="n">
        <f aca="false">(Qgd_Q4+Qgs_Q4/2)*(RdsonDRT+Rgate4)/(Vdd-Vsp_Q4)</f>
        <v>2.06211812627291E-009</v>
      </c>
      <c r="E407" s="308" t="s">
        <v>439</v>
      </c>
      <c r="F407" s="308"/>
      <c r="G407" s="308"/>
      <c r="H407" s="308"/>
      <c r="I407" s="309"/>
    </row>
    <row r="408" customFormat="false" ht="12.75" hidden="false" customHeight="false" outlineLevel="0" collapsed="false">
      <c r="A408" s="322" t="s">
        <v>695</v>
      </c>
      <c r="B408" s="433" t="n">
        <f aca="false">(Qgd_Q1+Qgs_Q1/2)*(RdsonDRT2+Rgate1)/(Vsp_Q1)</f>
        <v>2.77439024390244E-009</v>
      </c>
      <c r="C408" s="308" t="s">
        <v>439</v>
      </c>
      <c r="D408" s="433" t="n">
        <f aca="false">(Qgd_Q4+Qgs_Q4/2)*(RdsonDRT2+Rgate4)/(Vsp_Q4)</f>
        <v>4.40217391304348E-009</v>
      </c>
      <c r="E408" s="308" t="s">
        <v>439</v>
      </c>
      <c r="F408" s="308"/>
      <c r="G408" s="308"/>
      <c r="H408" s="308"/>
      <c r="I408" s="309"/>
    </row>
    <row r="409" customFormat="false" ht="12.75" hidden="false" customHeight="false" outlineLevel="0" collapsed="false">
      <c r="A409" s="322"/>
      <c r="B409" s="308"/>
      <c r="C409" s="308"/>
      <c r="D409" s="308"/>
      <c r="F409" s="308"/>
      <c r="G409" s="308"/>
      <c r="H409" s="308"/>
      <c r="I409" s="309"/>
    </row>
    <row r="410" customFormat="false" ht="12.75" hidden="false" customHeight="false" outlineLevel="0" collapsed="false">
      <c r="A410" s="520" t="s">
        <v>696</v>
      </c>
      <c r="B410" s="521" t="s">
        <v>133</v>
      </c>
      <c r="C410" s="336" t="s">
        <v>697</v>
      </c>
      <c r="D410" s="308"/>
      <c r="F410" s="308"/>
      <c r="G410" s="308"/>
      <c r="H410" s="308"/>
      <c r="I410" s="309"/>
    </row>
    <row r="411" customFormat="false" ht="12.75" hidden="false" customHeight="false" outlineLevel="0" collapsed="false">
      <c r="A411" s="376" t="s">
        <v>698</v>
      </c>
      <c r="B411" s="522" t="e">
        <f aca="false">#REF!</f>
        <v>#REF!</v>
      </c>
      <c r="C411" s="325" t="s">
        <v>40</v>
      </c>
      <c r="D411" s="308"/>
      <c r="F411" s="308"/>
      <c r="G411" s="308"/>
      <c r="H411" s="308"/>
      <c r="I411" s="309"/>
    </row>
    <row r="412" customFormat="false" ht="12.75" hidden="false" customHeight="false" outlineLevel="0" collapsed="false">
      <c r="A412" s="376" t="s">
        <v>699</v>
      </c>
      <c r="B412" s="523" t="e">
        <f aca="false">B411*ThetaJaCtrl</f>
        <v>#REF!</v>
      </c>
      <c r="C412" s="325" t="s">
        <v>609</v>
      </c>
      <c r="D412" s="308"/>
      <c r="F412" s="308"/>
      <c r="G412" s="308"/>
      <c r="H412" s="308"/>
      <c r="I412" s="309"/>
    </row>
    <row r="413" customFormat="false" ht="12.75" hidden="false" customHeight="false" outlineLevel="0" collapsed="false">
      <c r="A413" s="376" t="s">
        <v>700</v>
      </c>
      <c r="B413" s="523" t="n">
        <f aca="false">(Qg_Q1+Qg_Q2)*Fsw+Iq</f>
        <v>0.0096</v>
      </c>
      <c r="C413" s="517" t="s">
        <v>16</v>
      </c>
      <c r="D413" s="308"/>
      <c r="F413" s="308"/>
      <c r="G413" s="308"/>
      <c r="H413" s="308"/>
      <c r="I413" s="309"/>
    </row>
    <row r="414" customFormat="false" ht="12.75" hidden="false" customHeight="false" outlineLevel="0" collapsed="false">
      <c r="A414" s="376" t="s">
        <v>701</v>
      </c>
      <c r="B414" s="517" t="n">
        <f aca="false">Qrr_Q2*Fsw</f>
        <v>0.0189</v>
      </c>
      <c r="C414" s="517" t="s">
        <v>16</v>
      </c>
      <c r="D414" s="308"/>
      <c r="F414" s="308"/>
      <c r="G414" s="308"/>
      <c r="H414" s="308"/>
      <c r="I414" s="309"/>
    </row>
    <row r="415" customFormat="false" ht="12.75" hidden="false" customHeight="false" outlineLevel="0" collapsed="false">
      <c r="A415" s="376" t="s">
        <v>702</v>
      </c>
      <c r="B415" s="517" t="e">
        <f aca="false">C415/Vin</f>
        <v>#NAME?</v>
      </c>
      <c r="C415" s="517" t="e">
        <f aca="false">Deadtime*Fsw*(ipp/2)*(Vsd_Q1+Vsd_Q2)</f>
        <v>#NAME?</v>
      </c>
      <c r="D415" s="308"/>
      <c r="F415" s="308"/>
      <c r="G415" s="308"/>
      <c r="H415" s="308"/>
      <c r="I415" s="309"/>
    </row>
    <row r="416" customFormat="false" ht="12.75" hidden="false" customHeight="false" outlineLevel="0" collapsed="false">
      <c r="A416" s="376" t="s">
        <v>703</v>
      </c>
      <c r="B416" s="517" t="e">
        <f aca="false">SUM(B413:B415)</f>
        <v>#NAME?</v>
      </c>
      <c r="C416" s="517" t="s">
        <v>16</v>
      </c>
      <c r="D416" s="308"/>
      <c r="F416" s="308"/>
      <c r="G416" s="308"/>
      <c r="H416" s="308"/>
      <c r="I416" s="309"/>
    </row>
    <row r="417" customFormat="false" ht="12.75" hidden="false" customHeight="false" outlineLevel="0" collapsed="false">
      <c r="A417" s="322"/>
      <c r="B417" s="308"/>
      <c r="C417" s="300"/>
      <c r="D417" s="308"/>
      <c r="E417" s="308"/>
      <c r="F417" s="308"/>
      <c r="G417" s="308"/>
      <c r="H417" s="308"/>
      <c r="I417" s="309"/>
    </row>
    <row r="418" customFormat="false" ht="12.75" hidden="false" customHeight="false" outlineLevel="0" collapsed="false">
      <c r="A418" s="409" t="s">
        <v>704</v>
      </c>
      <c r="B418" s="308"/>
      <c r="C418" s="300"/>
      <c r="D418" s="308"/>
      <c r="E418" s="308"/>
      <c r="F418" s="308"/>
      <c r="G418" s="308"/>
      <c r="H418" s="308"/>
      <c r="I418" s="309"/>
    </row>
    <row r="419" customFormat="false" ht="12.75" hidden="false" customHeight="false" outlineLevel="0" collapsed="false">
      <c r="A419" s="322" t="s">
        <v>705</v>
      </c>
      <c r="B419" s="308"/>
      <c r="C419" s="300"/>
      <c r="D419" s="308"/>
      <c r="E419" s="308"/>
      <c r="F419" s="308"/>
      <c r="G419" s="308"/>
      <c r="H419" s="308"/>
      <c r="I419" s="309"/>
    </row>
    <row r="420" customFormat="false" ht="12.75" hidden="false" customHeight="false" outlineLevel="0" collapsed="false">
      <c r="A420" s="345" t="s">
        <v>698</v>
      </c>
      <c r="B420" s="347"/>
      <c r="C420" s="524"/>
      <c r="D420" s="347"/>
      <c r="E420" s="347"/>
      <c r="F420" s="347"/>
      <c r="G420" s="347"/>
      <c r="H420" s="347"/>
      <c r="I420" s="348"/>
    </row>
    <row r="421" customFormat="false" ht="12.75" hidden="false" customHeight="false" outlineLevel="0" collapsed="false">
      <c r="A421" s="510"/>
      <c r="B421" s="510"/>
      <c r="C421" s="510"/>
    </row>
    <row r="422" customFormat="false" ht="21.75" hidden="false" customHeight="true" outlineLevel="0" collapsed="false">
      <c r="A422" s="525" t="s">
        <v>706</v>
      </c>
      <c r="B422" s="308"/>
      <c r="C422" s="300"/>
      <c r="D422" s="308"/>
      <c r="E422" s="308"/>
      <c r="F422" s="308"/>
      <c r="G422" s="308"/>
      <c r="H422" s="308"/>
      <c r="I422" s="308"/>
    </row>
    <row r="423" customFormat="false" ht="12.75" hidden="false" customHeight="false" outlineLevel="0" collapsed="false">
      <c r="A423" s="446" t="str">
        <f aca="false">"RC1 = "&amp;'Design Converter'!D78&amp;"kΩ"</f>
        <v>RC1 = 6.19kΩ</v>
      </c>
      <c r="B423" s="303" t="str">
        <f aca="false">'Design Converter'!D78&amp;"kΩ"</f>
        <v>6.19kΩ</v>
      </c>
      <c r="C423" s="513"/>
      <c r="D423" s="303"/>
      <c r="E423" s="526"/>
      <c r="F423" s="526"/>
      <c r="G423" s="526"/>
      <c r="H423" s="526"/>
      <c r="I423" s="305"/>
    </row>
    <row r="424" customFormat="false" ht="12.75" hidden="false" customHeight="false" outlineLevel="0" collapsed="false">
      <c r="A424" s="322" t="str">
        <f aca="false">"RUV1 = "&amp;'Design Converter'!E64&amp;"kΩ"</f>
        <v>RUV1 = 249kΩ</v>
      </c>
      <c r="B424" s="308" t="str">
        <f aca="false">'Design Converter'!E64&amp;"kΩ"</f>
        <v>249kΩ</v>
      </c>
      <c r="C424" s="300"/>
      <c r="D424" s="308"/>
      <c r="E424" s="527"/>
      <c r="F424" s="527"/>
      <c r="G424" s="527"/>
      <c r="H424" s="527"/>
      <c r="I424" s="309"/>
    </row>
    <row r="425" customFormat="false" ht="12.75" hidden="false" customHeight="false" outlineLevel="0" collapsed="false">
      <c r="A425" s="322" t="str">
        <f aca="false">"RUV2 = "&amp;'Design Converter'!E65&amp;"kΩ"</f>
        <v>RUV2 = 57.6kΩ</v>
      </c>
      <c r="B425" s="308" t="str">
        <f aca="false">'Design Converter'!E65&amp;"kΩ"</f>
        <v>57.6kΩ</v>
      </c>
      <c r="C425" s="300"/>
      <c r="D425" s="308"/>
      <c r="E425" s="527"/>
      <c r="F425" s="527"/>
      <c r="G425" s="527"/>
      <c r="H425" s="527"/>
      <c r="I425" s="309"/>
    </row>
    <row r="426" customFormat="false" ht="12.75" hidden="false" customHeight="false" outlineLevel="0" collapsed="false">
      <c r="A426" s="322" t="str">
        <f aca="false">"LF = "&amp;'Design Converter'!E16&amp;"µH"</f>
        <v>LF = 4.7µH</v>
      </c>
      <c r="B426" s="308" t="str">
        <f aca="false">'Design Converter'!E16&amp;"µH"</f>
        <v>4.7µH</v>
      </c>
      <c r="C426" s="300"/>
      <c r="D426" s="308"/>
      <c r="E426" s="308"/>
      <c r="F426" s="308"/>
      <c r="G426" s="308"/>
      <c r="H426" s="308"/>
      <c r="I426" s="309"/>
    </row>
    <row r="427" customFormat="false" ht="12.75" hidden="false" customHeight="false" outlineLevel="0" collapsed="false">
      <c r="A427" s="322" t="str">
        <f aca="false">"Rdcr = "&amp;Rdcr*1000&amp;"mΩ"</f>
        <v>Rdcr = 3.35mΩ</v>
      </c>
      <c r="B427" s="528" t="str">
        <f aca="false">Rdcr*1000&amp;"mΩ"</f>
        <v>3.35mΩ</v>
      </c>
      <c r="C427" s="300"/>
      <c r="D427" s="308"/>
      <c r="E427" s="308"/>
      <c r="F427" s="308"/>
      <c r="G427" s="308"/>
      <c r="H427" s="308"/>
      <c r="I427" s="309"/>
    </row>
    <row r="428" customFormat="false" ht="12.75" hidden="false" customHeight="false" outlineLevel="0" collapsed="false">
      <c r="A428" s="322" t="str">
        <f aca="false">"Rs = "&amp;'Design Converter'!E28&amp;"mΩ"</f>
        <v>Rs = 8mΩ</v>
      </c>
      <c r="B428" s="308" t="str">
        <f aca="false">'Design Converter'!E28&amp;"mΩ"</f>
        <v>8mΩ</v>
      </c>
      <c r="C428" s="300"/>
      <c r="D428" s="308"/>
      <c r="E428" s="308"/>
      <c r="F428" s="308"/>
      <c r="G428" s="308"/>
      <c r="H428" s="308"/>
      <c r="I428" s="309"/>
    </row>
    <row r="429" customFormat="false" ht="12.75" hidden="false" customHeight="false" outlineLevel="0" collapsed="false">
      <c r="A429" s="322" t="str">
        <f aca="false">"Rshunt = "&amp;ROUND('Design Converter'!E37,1)&amp;"mΩ"</f>
        <v>Rshunt = 4.2mΩ</v>
      </c>
      <c r="B429" s="308" t="str">
        <f aca="false">ROUND('Design Converter'!E37,1)&amp;"mΩ"</f>
        <v>4.2mΩ</v>
      </c>
      <c r="C429" s="300"/>
      <c r="D429" s="308"/>
      <c r="E429" s="308"/>
      <c r="F429" s="308"/>
      <c r="G429" s="308"/>
      <c r="H429" s="308"/>
      <c r="I429" s="309"/>
    </row>
    <row r="430" customFormat="false" ht="12.75" hidden="false" customHeight="false" outlineLevel="0" collapsed="false">
      <c r="A430" s="322"/>
      <c r="B430" s="308"/>
      <c r="C430" s="300"/>
      <c r="D430" s="308"/>
      <c r="E430" s="308"/>
      <c r="F430" s="308"/>
      <c r="G430" s="308"/>
      <c r="H430" s="308"/>
      <c r="I430" s="309"/>
    </row>
    <row r="431" customFormat="false" ht="12.75" hidden="false" customHeight="false" outlineLevel="0" collapsed="false">
      <c r="A431" s="322" t="str">
        <f aca="false">"VOUT = "&amp;'Design Converter'!E9&amp;"V"</f>
        <v>VOUT = 12V</v>
      </c>
      <c r="B431" s="308" t="str">
        <f aca="false">'Design Converter'!E9&amp;"V"</f>
        <v>12V</v>
      </c>
      <c r="C431" s="300"/>
      <c r="D431" s="308"/>
      <c r="E431" s="308"/>
      <c r="F431" s="308"/>
      <c r="G431" s="308"/>
      <c r="H431" s="308"/>
      <c r="I431" s="309"/>
    </row>
    <row r="432" customFormat="false" ht="12.75" hidden="false" customHeight="false" outlineLevel="0" collapsed="false">
      <c r="A432" s="322"/>
      <c r="B432" s="308"/>
      <c r="C432" s="300"/>
      <c r="D432" s="308"/>
      <c r="E432" s="308"/>
      <c r="F432" s="308"/>
      <c r="G432" s="308"/>
      <c r="H432" s="308"/>
      <c r="I432" s="309"/>
    </row>
    <row r="433" customFormat="false" ht="12.75" hidden="false" customHeight="false" outlineLevel="0" collapsed="false">
      <c r="A433" s="322" t="str">
        <f aca="false">"COUT = "&amp;'Design Converter'!$E$42&amp;"µF"</f>
        <v>COUT = 400µF</v>
      </c>
      <c r="B433" s="308" t="str">
        <f aca="false">'Design Converter'!$E$42&amp;"µF"</f>
        <v>400µF</v>
      </c>
      <c r="C433" s="300"/>
      <c r="D433" s="308"/>
      <c r="E433" s="308"/>
      <c r="F433" s="308"/>
      <c r="G433" s="308"/>
      <c r="H433" s="308"/>
      <c r="I433" s="309"/>
    </row>
    <row r="434" customFormat="false" ht="12.75" hidden="false" customHeight="false" outlineLevel="0" collapsed="false">
      <c r="A434" s="306" t="s">
        <v>707</v>
      </c>
      <c r="B434" s="308" t="str">
        <f aca="false">"22µF"</f>
        <v>22µF</v>
      </c>
      <c r="C434" s="300"/>
      <c r="D434" s="308"/>
      <c r="E434" s="308"/>
      <c r="F434" s="308"/>
      <c r="G434" s="308"/>
      <c r="H434" s="308"/>
      <c r="I434" s="309"/>
    </row>
    <row r="435" customFormat="false" ht="12.75" hidden="false" customHeight="false" outlineLevel="0" collapsed="false">
      <c r="A435" s="306" t="s">
        <v>708</v>
      </c>
      <c r="B435" s="311" t="str">
        <f aca="false">ROUNDUP(Cout*1000000/22,0)&amp;" x"</f>
        <v>19 x</v>
      </c>
      <c r="C435" s="343"/>
      <c r="D435" s="308"/>
      <c r="E435" s="308"/>
      <c r="F435" s="308"/>
      <c r="G435" s="308"/>
      <c r="H435" s="308"/>
      <c r="I435" s="309"/>
    </row>
    <row r="436" customFormat="false" ht="12.75" hidden="false" customHeight="false" outlineLevel="0" collapsed="false">
      <c r="A436" s="322"/>
      <c r="B436" s="308"/>
      <c r="C436" s="300"/>
      <c r="D436" s="308"/>
      <c r="E436" s="308"/>
      <c r="F436" s="308"/>
      <c r="G436" s="308"/>
      <c r="H436" s="308"/>
      <c r="I436" s="309"/>
    </row>
    <row r="437" customFormat="false" ht="12.75" hidden="false" customHeight="false" outlineLevel="0" collapsed="false">
      <c r="A437" s="322" t="s">
        <v>709</v>
      </c>
      <c r="B437" s="308" t="str">
        <f aca="false">Cin*1000000&amp;"µF"</f>
        <v>68µF</v>
      </c>
      <c r="C437" s="300"/>
      <c r="D437" s="308"/>
      <c r="E437" s="308"/>
      <c r="F437" s="308"/>
      <c r="G437" s="308"/>
      <c r="H437" s="308"/>
      <c r="I437" s="309"/>
    </row>
    <row r="438" customFormat="false" ht="12.75" hidden="false" customHeight="false" outlineLevel="0" collapsed="false">
      <c r="A438" s="306" t="s">
        <v>710</v>
      </c>
      <c r="B438" s="308" t="str">
        <f aca="false">"10µF"</f>
        <v>10µF</v>
      </c>
      <c r="C438" s="300"/>
      <c r="D438" s="308"/>
      <c r="E438" s="308"/>
      <c r="F438" s="308"/>
      <c r="G438" s="308"/>
      <c r="H438" s="308"/>
      <c r="I438" s="309"/>
    </row>
    <row r="439" customFormat="false" ht="12.75" hidden="false" customHeight="false" outlineLevel="0" collapsed="false">
      <c r="A439" s="306" t="s">
        <v>711</v>
      </c>
      <c r="B439" s="311" t="str">
        <f aca="false">ROUNDUP(Cin*1000000/10,0)&amp;" x"</f>
        <v>7 x</v>
      </c>
      <c r="C439" s="343"/>
      <c r="D439" s="308"/>
      <c r="E439" s="308"/>
      <c r="F439" s="308"/>
      <c r="G439" s="308"/>
      <c r="H439" s="308"/>
      <c r="I439" s="309"/>
    </row>
    <row r="440" customFormat="false" ht="12.75" hidden="false" customHeight="false" outlineLevel="0" collapsed="false">
      <c r="A440" s="306"/>
      <c r="B440" s="311"/>
      <c r="C440" s="343"/>
      <c r="D440" s="308"/>
      <c r="E440" s="308"/>
      <c r="F440" s="308"/>
      <c r="G440" s="308"/>
      <c r="H440" s="308"/>
      <c r="I440" s="309"/>
    </row>
    <row r="441" customFormat="false" ht="12.75" hidden="false" customHeight="false" outlineLevel="0" collapsed="false">
      <c r="A441" s="322" t="str">
        <f aca="false">"RC1 = "&amp;Rcea1_u/1000&amp;"kΩ"</f>
        <v>RC1 = 6.19kΩ</v>
      </c>
      <c r="B441" s="308" t="str">
        <f aca="false">ROUND(Rcea1_u/1000,2)&amp;"kΩ"</f>
        <v>6.19kΩ</v>
      </c>
      <c r="C441" s="300"/>
      <c r="D441" s="308"/>
      <c r="E441" s="308"/>
      <c r="F441" s="308"/>
      <c r="G441" s="308"/>
      <c r="H441" s="308"/>
      <c r="I441" s="309"/>
    </row>
    <row r="442" customFormat="false" ht="12.75" hidden="false" customHeight="false" outlineLevel="0" collapsed="false">
      <c r="A442" s="322" t="str">
        <f aca="false">"CC1 = "&amp;Cc1ea_u*10^9&amp;"nF"</f>
        <v>CC1 = 33nF</v>
      </c>
      <c r="B442" s="308" t="str">
        <f aca="false">Cc1ea_u*10^9&amp;"nF"</f>
        <v>33nF</v>
      </c>
      <c r="C442" s="300"/>
      <c r="D442" s="308"/>
      <c r="E442" s="308"/>
      <c r="F442" s="308"/>
      <c r="G442" s="308"/>
      <c r="H442" s="308"/>
      <c r="I442" s="309"/>
    </row>
    <row r="443" customFormat="false" ht="12.75" hidden="false" customHeight="false" outlineLevel="0" collapsed="false">
      <c r="A443" s="322" t="str">
        <f aca="false">"CC2 = "&amp;IF(Cc2ea_u&gt;0, Cc2ea_u*10^12&amp;"pF", "OPEN")</f>
        <v>CC2 = 1000pF</v>
      </c>
      <c r="B443" s="308" t="str">
        <f aca="false">IF(Cc2ea_u&gt;0, ROUND(Cc2ea_u*10^12,1)&amp;"pF", "N/A")</f>
        <v>1000pF</v>
      </c>
      <c r="D443" s="308"/>
      <c r="E443" s="308"/>
      <c r="F443" s="308"/>
      <c r="G443" s="308"/>
      <c r="H443" s="308"/>
      <c r="I443" s="309"/>
    </row>
    <row r="444" customFormat="false" ht="12.75" hidden="false" customHeight="false" outlineLevel="0" collapsed="false">
      <c r="A444" s="322"/>
      <c r="B444" s="308"/>
      <c r="C444" s="300"/>
      <c r="D444" s="308"/>
      <c r="E444" s="308"/>
      <c r="F444" s="308"/>
      <c r="G444" s="308"/>
      <c r="H444" s="308"/>
      <c r="I444" s="309"/>
    </row>
    <row r="445" customFormat="false" ht="12.75" hidden="false" customHeight="false" outlineLevel="0" collapsed="false">
      <c r="A445" s="322" t="str">
        <f aca="false">"gm = "&amp;$B$239*1000&amp;"mS"</f>
        <v>gm = 1.27mS</v>
      </c>
      <c r="B445" s="308" t="str">
        <f aca="false">$B$239*1000&amp;"mS"</f>
        <v>1.27mS</v>
      </c>
      <c r="C445" s="300"/>
      <c r="D445" s="308"/>
      <c r="E445" s="308"/>
      <c r="F445" s="308"/>
      <c r="G445" s="308"/>
      <c r="H445" s="308"/>
      <c r="I445" s="309"/>
    </row>
    <row r="446" customFormat="false" ht="12.75" hidden="false" customHeight="false" outlineLevel="0" collapsed="false">
      <c r="A446" s="322" t="str">
        <f aca="false">"RoEA = "&amp;RoEA/1000000&amp;"MΩ"</f>
        <v>RoEA = 20MΩ</v>
      </c>
      <c r="B446" s="308" t="str">
        <f aca="false">RoEA/1000000&amp;"MΩ"</f>
        <v>20MΩ</v>
      </c>
      <c r="C446" s="300"/>
      <c r="D446" s="308"/>
      <c r="E446" s="308"/>
      <c r="F446" s="308"/>
      <c r="G446" s="308"/>
      <c r="H446" s="308"/>
      <c r="I446" s="309"/>
    </row>
    <row r="447" customFormat="false" ht="12.75" hidden="false" customHeight="false" outlineLevel="0" collapsed="false">
      <c r="A447" s="322" t="str">
        <f aca="false">"GBW = "&amp;GBW&amp;"MHz"</f>
        <v>GBW = 8MHz</v>
      </c>
      <c r="B447" s="308" t="str">
        <f aca="false">GBW&amp;"MHz"</f>
        <v>8MHz</v>
      </c>
      <c r="C447" s="300"/>
      <c r="D447" s="308"/>
      <c r="E447" s="308"/>
      <c r="F447" s="308"/>
      <c r="G447" s="308"/>
      <c r="H447" s="308"/>
      <c r="I447" s="309"/>
    </row>
    <row r="448" customFormat="false" ht="12.75" hidden="false" customHeight="false" outlineLevel="0" collapsed="false">
      <c r="A448" s="322"/>
      <c r="B448" s="308"/>
      <c r="C448" s="300"/>
      <c r="D448" s="308"/>
      <c r="E448" s="308"/>
      <c r="F448" s="308"/>
      <c r="G448" s="308"/>
      <c r="H448" s="308"/>
      <c r="I448" s="309"/>
    </row>
    <row r="449" customFormat="false" ht="12.75" hidden="false" customHeight="false" outlineLevel="0" collapsed="false">
      <c r="A449" s="322" t="str">
        <f aca="false">"Cslope = "&amp;Cslope&amp;"pF"</f>
        <v>Cslope = 235pF</v>
      </c>
      <c r="B449" s="308" t="str">
        <f aca="false">ROUND(Cslope*1,0)&amp;"pF"</f>
        <v>235pF</v>
      </c>
      <c r="C449" s="300"/>
      <c r="D449" s="308"/>
      <c r="E449" s="308"/>
      <c r="F449" s="308"/>
      <c r="G449" s="308"/>
      <c r="H449" s="308"/>
      <c r="I449" s="309"/>
    </row>
    <row r="450" customFormat="false" ht="12.75" hidden="false" customHeight="false" outlineLevel="0" collapsed="false">
      <c r="A450" s="322" t="str">
        <f aca="false">IF(DITHER=1, "Cdither = "&amp;Cdither*1000000000&amp;"nF", "")</f>
        <v/>
      </c>
      <c r="B450" s="308" t="str">
        <f aca="false">IF(DITHER=1, ROUND(Cdither*1000000000,0)&amp;"nF", "")</f>
        <v/>
      </c>
      <c r="C450" s="300" t="str">
        <f aca="false">IF(DITHER=1, "Cd", "")</f>
        <v/>
      </c>
      <c r="D450" s="308"/>
      <c r="E450" s="308"/>
      <c r="F450" s="308"/>
      <c r="G450" s="308"/>
      <c r="H450" s="308"/>
      <c r="I450" s="309"/>
    </row>
    <row r="451" customFormat="false" ht="12.75" hidden="false" customHeight="false" outlineLevel="0" collapsed="false">
      <c r="A451" s="322" t="str">
        <f aca="false">"RFB1 = "&amp;'Design Converter'!E73&amp;"kΩ"</f>
        <v>RFB1 = 280kΩ</v>
      </c>
      <c r="B451" s="308" t="str">
        <f aca="false">'Design Converter'!E73&amp;"kΩ"</f>
        <v>280kΩ</v>
      </c>
      <c r="C451" s="300"/>
      <c r="D451" s="308"/>
      <c r="E451" s="308"/>
      <c r="F451" s="308"/>
      <c r="G451" s="308"/>
      <c r="H451" s="308"/>
      <c r="I451" s="309"/>
    </row>
    <row r="452" customFormat="false" ht="12.75" hidden="false" customHeight="false" outlineLevel="0" collapsed="false">
      <c r="A452" s="322" t="str">
        <f aca="false">"RFB2 = "&amp;IF(Vout=Vref,"OPEN",'Design Converter'!E74&amp;"kΩ")</f>
        <v>RFB2 = 20kΩ</v>
      </c>
      <c r="B452" s="308" t="str">
        <f aca="false">IF(Vout=Vref,"OPEN",Rfb2_u/1000&amp;"kΩ")</f>
        <v>20kΩ</v>
      </c>
      <c r="C452" s="300"/>
      <c r="D452" s="308"/>
      <c r="E452" s="308"/>
      <c r="F452" s="308"/>
      <c r="G452" s="308"/>
      <c r="H452" s="308"/>
      <c r="I452" s="309"/>
    </row>
    <row r="453" customFormat="false" ht="12.75" hidden="false" customHeight="false" outlineLevel="0" collapsed="false">
      <c r="A453" s="322" t="str">
        <f aca="false">"Crossover Frequency = "&amp;ROUND('Stability Calculations'!Q4,1)&amp;" kHz"</f>
        <v>Crossover Frequency = 4.8 kHz</v>
      </c>
      <c r="B453" s="308" t="str">
        <f aca="false">ROUND('Stability Calculations'!Q4,1)&amp;" kHz"</f>
        <v>4.8 kHz</v>
      </c>
      <c r="C453" s="300"/>
      <c r="D453" s="529" t="n">
        <f aca="false">'Stability Calculations'!Q4</f>
        <v>4.7863</v>
      </c>
      <c r="E453" s="308"/>
      <c r="F453" s="308"/>
      <c r="G453" s="308"/>
      <c r="H453" s="308"/>
      <c r="I453" s="309"/>
    </row>
    <row r="454" customFormat="false" ht="12.75" hidden="false" customHeight="false" outlineLevel="0" collapsed="false">
      <c r="A454" s="322" t="str">
        <f aca="false">"Phase Margin = "&amp;ROUND('Stability Calculations'!Q5,0)&amp;"°"</f>
        <v>Phase Margin = 72°</v>
      </c>
      <c r="B454" s="311" t="str">
        <f aca="false">ROUND('Stability Calculations'!Q5,0)&amp;"°"</f>
        <v>72°</v>
      </c>
      <c r="C454" s="343"/>
      <c r="D454" s="308"/>
      <c r="E454" s="324"/>
      <c r="F454" s="308"/>
      <c r="G454" s="308"/>
      <c r="H454" s="308"/>
      <c r="I454" s="309"/>
    </row>
    <row r="455" customFormat="false" ht="12.75" hidden="false" customHeight="false" outlineLevel="0" collapsed="false">
      <c r="A455" s="322"/>
      <c r="B455" s="311"/>
      <c r="C455" s="343"/>
      <c r="D455" s="308"/>
      <c r="E455" s="324"/>
      <c r="F455" s="308"/>
      <c r="G455" s="308"/>
      <c r="H455" s="308"/>
      <c r="I455" s="309"/>
    </row>
    <row r="456" customFormat="false" ht="12.75" hidden="false" customHeight="false" outlineLevel="0" collapsed="false">
      <c r="A456" s="409" t="s">
        <v>712</v>
      </c>
      <c r="B456" s="530" t="str">
        <f aca="false">IF(PLOT_TYPE=1, "", ROUND('Efficiency vs VIN Calculations'!BH9,1)&amp;"%")</f>
        <v/>
      </c>
      <c r="C456" s="343"/>
      <c r="D456" s="308"/>
      <c r="E456" s="324"/>
      <c r="F456" s="308"/>
      <c r="G456" s="308"/>
      <c r="H456" s="308"/>
      <c r="I456" s="309"/>
    </row>
    <row r="457" customFormat="false" ht="12.75" hidden="false" customHeight="false" outlineLevel="0" collapsed="false">
      <c r="A457" s="409" t="s">
        <v>713</v>
      </c>
      <c r="B457" s="530" t="str">
        <f aca="false">IF(PLOT_TYPE=1, ROUND('Efficiency vs Load Calculations'!BH109,1)&amp;"%", ROUND('Efficiency vs VIN Calculations'!BH209,1)&amp;"%")</f>
        <v>98.4%</v>
      </c>
      <c r="C457" s="343"/>
      <c r="D457" s="308"/>
      <c r="E457" s="324"/>
      <c r="F457" s="308"/>
      <c r="G457" s="308"/>
      <c r="H457" s="308"/>
      <c r="I457" s="309"/>
    </row>
    <row r="458" customFormat="false" ht="12.75" hidden="false" customHeight="false" outlineLevel="0" collapsed="false">
      <c r="A458" s="409" t="s">
        <v>714</v>
      </c>
      <c r="B458" s="530" t="str">
        <f aca="false">IF(PLOT_TYPE=1, ROUND('Efficiency vs Load Calculations'!BH59,1)&amp;"%", ROUND('Efficiency vs VIN Calculations'!BH109,1)&amp;"%")</f>
        <v>98.2%</v>
      </c>
      <c r="C458" s="343"/>
      <c r="D458" s="308"/>
      <c r="E458" s="324"/>
      <c r="F458" s="308"/>
      <c r="G458" s="308"/>
      <c r="H458" s="308"/>
      <c r="I458" s="309"/>
    </row>
    <row r="459" customFormat="false" ht="12.75" hidden="false" customHeight="false" outlineLevel="0" collapsed="false">
      <c r="A459" s="322"/>
      <c r="B459" s="311"/>
      <c r="C459" s="343"/>
      <c r="D459" s="308"/>
      <c r="E459" s="324"/>
      <c r="F459" s="308"/>
      <c r="G459" s="308"/>
      <c r="H459" s="308"/>
      <c r="I459" s="309"/>
    </row>
    <row r="460" customFormat="false" ht="12.75" hidden="false" customHeight="false" outlineLevel="0" collapsed="false">
      <c r="A460" s="322" t="str">
        <f aca="false">"CDITH = "&amp;Cdither*1000000000&amp;"nF"</f>
        <v>CDITH = 39nF</v>
      </c>
      <c r="B460" s="308" t="str">
        <f aca="false">Cdither*1000000000&amp;"nF"</f>
        <v>39nF</v>
      </c>
      <c r="C460" s="300"/>
      <c r="D460" s="308"/>
      <c r="E460" s="308"/>
      <c r="F460" s="308"/>
      <c r="G460" s="308"/>
      <c r="H460" s="308"/>
      <c r="I460" s="309"/>
    </row>
    <row r="461" customFormat="false" ht="12.75" hidden="false" customHeight="false" outlineLevel="0" collapsed="false">
      <c r="A461" s="322" t="str">
        <f aca="false">"Rs = "&amp;Rs&amp;"Ω"</f>
        <v>Rs = 0.008Ω</v>
      </c>
      <c r="B461" s="308" t="str">
        <f aca="false">'Standard Value Calculator'!O6&amp;"Ω"</f>
        <v>4.12Ω</v>
      </c>
      <c r="C461" s="300"/>
      <c r="D461" s="308"/>
      <c r="E461" s="308"/>
      <c r="F461" s="308"/>
      <c r="G461" s="308"/>
      <c r="H461" s="308"/>
      <c r="I461" s="309"/>
    </row>
    <row r="462" customFormat="false" ht="12.75" hidden="false" customHeight="false" outlineLevel="0" collapsed="false">
      <c r="A462" s="322" t="s">
        <v>715</v>
      </c>
      <c r="B462" s="308" t="str">
        <f aca="false">'Standard Value Calculator'!O13&amp;"mΩ"</f>
        <v>4.32mΩ</v>
      </c>
      <c r="C462" s="300"/>
      <c r="D462" s="308"/>
      <c r="E462" s="308"/>
      <c r="F462" s="308"/>
      <c r="G462" s="308"/>
      <c r="H462" s="308"/>
      <c r="I462" s="309"/>
    </row>
    <row r="463" customFormat="false" ht="12.75" hidden="false" customHeight="false" outlineLevel="0" collapsed="false">
      <c r="A463" s="322" t="s">
        <v>344</v>
      </c>
      <c r="B463" s="308" t="str">
        <f aca="false">'Standard Value Calculator'!O6&amp;"mΩ"</f>
        <v>4.12mΩ</v>
      </c>
      <c r="C463" s="300"/>
      <c r="D463" s="308"/>
      <c r="E463" s="308"/>
      <c r="F463" s="308"/>
      <c r="G463" s="308"/>
      <c r="H463" s="308"/>
      <c r="I463" s="309"/>
    </row>
    <row r="464" customFormat="false" ht="12.75" hidden="false" customHeight="false" outlineLevel="0" collapsed="false">
      <c r="A464" s="322" t="str">
        <f aca="false">"Rshunt = "&amp;ROUND(Rshunt,1)&amp;"mΩ"</f>
        <v>Rshunt = 4.2mΩ</v>
      </c>
      <c r="B464" s="308" t="str">
        <f aca="false">IF(Rshunt="0", "N/A",ROUND(Rshunt,1)&amp;"mΩ")</f>
        <v>4.2mΩ</v>
      </c>
      <c r="C464" s="300"/>
      <c r="D464" s="308"/>
      <c r="E464" s="308"/>
      <c r="F464" s="308"/>
      <c r="G464" s="308"/>
      <c r="H464" s="308"/>
      <c r="I464" s="309"/>
    </row>
    <row r="465" customFormat="false" ht="12.75" hidden="false" customHeight="false" outlineLevel="0" collapsed="false">
      <c r="A465" s="322"/>
      <c r="B465" s="308"/>
      <c r="C465" s="300"/>
      <c r="D465" s="308"/>
      <c r="E465" s="308"/>
      <c r="F465" s="308"/>
      <c r="G465" s="308"/>
      <c r="H465" s="308"/>
      <c r="I465" s="309"/>
    </row>
    <row r="466" customFormat="false" ht="12.75" hidden="false" customHeight="false" outlineLevel="0" collapsed="false">
      <c r="A466" s="306" t="s">
        <v>716</v>
      </c>
      <c r="B466" s="312" t="s">
        <v>717</v>
      </c>
      <c r="C466" s="300"/>
      <c r="D466" s="308"/>
      <c r="E466" s="308"/>
      <c r="F466" s="308"/>
      <c r="G466" s="308"/>
      <c r="H466" s="308"/>
      <c r="I466" s="309"/>
    </row>
    <row r="467" customFormat="false" ht="12.75" hidden="false" customHeight="false" outlineLevel="0" collapsed="false">
      <c r="A467" s="306"/>
      <c r="B467" s="312"/>
      <c r="C467" s="300"/>
      <c r="D467" s="308"/>
      <c r="E467" s="308"/>
      <c r="F467" s="308"/>
      <c r="G467" s="308"/>
      <c r="H467" s="308"/>
      <c r="I467" s="309"/>
    </row>
    <row r="468" customFormat="false" ht="12.75" hidden="false" customHeight="false" outlineLevel="0" collapsed="false">
      <c r="A468" s="306"/>
      <c r="B468" s="312"/>
      <c r="C468" s="300"/>
      <c r="D468" s="308"/>
      <c r="E468" s="308"/>
      <c r="F468" s="308"/>
      <c r="G468" s="308"/>
      <c r="H468" s="308"/>
      <c r="I468" s="309"/>
    </row>
    <row r="469" customFormat="false" ht="12.75" hidden="false" customHeight="false" outlineLevel="0" collapsed="false">
      <c r="A469" s="306" t="s">
        <v>239</v>
      </c>
      <c r="B469" s="308" t="str">
        <f aca="false">'Standard Value Calculator'!O4/1000&amp;"kΩ"</f>
        <v>27.4kΩ</v>
      </c>
      <c r="C469" s="300"/>
      <c r="D469" s="308"/>
      <c r="E469" s="308"/>
      <c r="F469" s="308"/>
      <c r="G469" s="308"/>
      <c r="H469" s="308"/>
      <c r="I469" s="309"/>
    </row>
    <row r="470" customFormat="false" ht="12.75" hidden="false" customHeight="false" outlineLevel="0" collapsed="false">
      <c r="A470" s="322" t="s">
        <v>443</v>
      </c>
      <c r="B470" s="308" t="str">
        <f aca="false">'Standard Value Calculator'!B4*1000000000 &amp;"nF"</f>
        <v>100nF</v>
      </c>
      <c r="C470" s="300"/>
      <c r="D470" s="308"/>
      <c r="E470" s="308"/>
      <c r="F470" s="308"/>
      <c r="G470" s="308"/>
      <c r="H470" s="308"/>
      <c r="I470" s="309"/>
    </row>
    <row r="471" customFormat="false" ht="12.75" hidden="false" customHeight="false" outlineLevel="0" collapsed="false">
      <c r="A471" s="306" t="s">
        <v>718</v>
      </c>
      <c r="B471" s="312" t="str">
        <f aca="false">Cslope &amp;"pF"</f>
        <v>235pF</v>
      </c>
      <c r="C471" s="300"/>
      <c r="D471" s="308"/>
      <c r="E471" s="308"/>
      <c r="F471" s="308"/>
      <c r="G471" s="308"/>
      <c r="H471" s="308"/>
      <c r="I471" s="309"/>
    </row>
    <row r="472" customFormat="false" ht="12.75" hidden="false" customHeight="false" outlineLevel="0" collapsed="false">
      <c r="A472" s="322" t="s">
        <v>719</v>
      </c>
      <c r="B472" s="308" t="str">
        <f aca="false">IF(B99="y","","|")</f>
        <v>|</v>
      </c>
      <c r="C472" s="300"/>
      <c r="D472" s="308"/>
      <c r="E472" s="308"/>
      <c r="F472" s="308"/>
      <c r="G472" s="308"/>
      <c r="H472" s="308"/>
      <c r="I472" s="309"/>
    </row>
    <row r="473" customFormat="false" ht="12.75" hidden="false" customHeight="false" outlineLevel="0" collapsed="false">
      <c r="A473" s="322" t="s">
        <v>720</v>
      </c>
      <c r="B473" s="308" t="str">
        <f aca="false">'Design Converter'!$E$10&amp;"A"</f>
        <v>6A</v>
      </c>
      <c r="C473" s="300"/>
      <c r="D473" s="308"/>
      <c r="E473" s="308"/>
      <c r="F473" s="308"/>
      <c r="G473" s="308"/>
      <c r="H473" s="308"/>
      <c r="I473" s="309"/>
    </row>
    <row r="474" customFormat="false" ht="12.75" hidden="false" customHeight="false" outlineLevel="0" collapsed="false">
      <c r="A474" s="322" t="s">
        <v>721</v>
      </c>
      <c r="B474" s="308" t="str">
        <f aca="false">VIN_nom&amp;"V"</f>
        <v>12V</v>
      </c>
      <c r="C474" s="300"/>
      <c r="D474" s="308"/>
      <c r="E474" s="308"/>
      <c r="F474" s="308"/>
      <c r="G474" s="308"/>
      <c r="H474" s="308"/>
      <c r="I474" s="309"/>
    </row>
    <row r="475" customFormat="false" ht="12.75" hidden="false" customHeight="false" outlineLevel="0" collapsed="false">
      <c r="A475" s="306" t="s">
        <v>722</v>
      </c>
      <c r="B475" s="308" t="str">
        <f aca="false">VIN_min&amp;"V"&amp;"..."&amp;VIN_max&amp;"V"</f>
        <v>6V...50V</v>
      </c>
      <c r="C475" s="300"/>
      <c r="D475" s="308"/>
      <c r="E475" s="308"/>
      <c r="F475" s="308"/>
      <c r="G475" s="308"/>
      <c r="H475" s="308"/>
      <c r="I475" s="309"/>
    </row>
    <row r="476" customFormat="false" ht="12.75" hidden="false" customHeight="false" outlineLevel="0" collapsed="false">
      <c r="A476" s="322"/>
      <c r="B476" s="308"/>
      <c r="C476" s="300"/>
      <c r="D476" s="308"/>
      <c r="E476" s="308"/>
      <c r="F476" s="308"/>
      <c r="G476" s="308"/>
      <c r="H476" s="308"/>
      <c r="I476" s="309"/>
    </row>
    <row r="477" customFormat="false" ht="12.75" hidden="false" customHeight="false" outlineLevel="0" collapsed="false">
      <c r="A477" s="322" t="s">
        <v>723</v>
      </c>
      <c r="B477" s="308" t="n">
        <v>12</v>
      </c>
      <c r="C477" s="300"/>
      <c r="D477" s="308"/>
      <c r="E477" s="308"/>
      <c r="F477" s="308"/>
      <c r="G477" s="308"/>
      <c r="H477" s="308"/>
      <c r="I477" s="309"/>
    </row>
    <row r="478" customFormat="false" ht="12.75" hidden="false" customHeight="false" outlineLevel="0" collapsed="false">
      <c r="A478" s="322" t="s">
        <v>724</v>
      </c>
      <c r="B478" s="308" t="n">
        <v>18</v>
      </c>
      <c r="C478" s="300"/>
      <c r="D478" s="308"/>
      <c r="E478" s="308"/>
      <c r="F478" s="308"/>
      <c r="G478" s="308"/>
      <c r="H478" s="308"/>
      <c r="I478" s="309"/>
    </row>
    <row r="479" customFormat="false" ht="12.75" hidden="false" customHeight="false" outlineLevel="0" collapsed="false">
      <c r="A479" s="322" t="s">
        <v>725</v>
      </c>
      <c r="B479" s="308" t="n">
        <v>14</v>
      </c>
      <c r="C479" s="300"/>
      <c r="D479" s="308"/>
      <c r="E479" s="308"/>
      <c r="F479" s="308"/>
      <c r="G479" s="308"/>
      <c r="H479" s="308"/>
      <c r="I479" s="309"/>
    </row>
    <row r="480" customFormat="false" ht="12.75" hidden="false" customHeight="false" outlineLevel="0" collapsed="false">
      <c r="A480" s="322" t="s">
        <v>726</v>
      </c>
      <c r="B480" s="308" t="n">
        <v>6</v>
      </c>
      <c r="C480" s="300"/>
      <c r="D480" s="308"/>
      <c r="E480" s="308"/>
      <c r="F480" s="308"/>
      <c r="G480" s="308"/>
      <c r="H480" s="308"/>
      <c r="I480" s="309"/>
    </row>
    <row r="481" customFormat="false" ht="12.75" hidden="false" customHeight="false" outlineLevel="0" collapsed="false">
      <c r="A481" s="322" t="s">
        <v>727</v>
      </c>
      <c r="B481" s="308" t="n">
        <v>7</v>
      </c>
      <c r="C481" s="300"/>
      <c r="D481" s="308"/>
      <c r="E481" s="308"/>
      <c r="F481" s="308"/>
      <c r="G481" s="308"/>
      <c r="H481" s="308"/>
      <c r="I481" s="309"/>
    </row>
    <row r="482" customFormat="false" ht="12.75" hidden="false" customHeight="false" outlineLevel="0" collapsed="false">
      <c r="A482" s="322" t="s">
        <v>728</v>
      </c>
      <c r="B482" s="308" t="n">
        <v>11</v>
      </c>
      <c r="C482" s="300"/>
      <c r="D482" s="308"/>
      <c r="E482" s="308"/>
      <c r="F482" s="308"/>
      <c r="G482" s="308"/>
      <c r="H482" s="308"/>
      <c r="I482" s="309"/>
    </row>
    <row r="483" customFormat="false" ht="12.75" hidden="false" customHeight="false" outlineLevel="0" collapsed="false">
      <c r="A483" s="322" t="s">
        <v>729</v>
      </c>
      <c r="B483" s="308" t="n">
        <v>1</v>
      </c>
      <c r="C483" s="300"/>
      <c r="D483" s="308"/>
      <c r="E483" s="308"/>
      <c r="F483" s="308"/>
      <c r="G483" s="308"/>
      <c r="H483" s="308"/>
      <c r="I483" s="309"/>
    </row>
    <row r="484" customFormat="false" ht="12.75" hidden="false" customHeight="false" outlineLevel="0" collapsed="false">
      <c r="A484" s="322" t="s">
        <v>730</v>
      </c>
      <c r="B484" s="308" t="n">
        <v>5</v>
      </c>
      <c r="C484" s="300"/>
      <c r="D484" s="308"/>
      <c r="E484" s="308"/>
      <c r="F484" s="308"/>
      <c r="G484" s="308"/>
      <c r="H484" s="308"/>
      <c r="I484" s="309"/>
    </row>
    <row r="485" customFormat="false" ht="12.75" hidden="false" customHeight="false" outlineLevel="0" collapsed="false">
      <c r="A485" s="322" t="s">
        <v>731</v>
      </c>
      <c r="B485" s="308" t="n">
        <v>13</v>
      </c>
      <c r="C485" s="300"/>
      <c r="D485" s="308"/>
      <c r="E485" s="308"/>
      <c r="F485" s="308"/>
      <c r="G485" s="308"/>
      <c r="H485" s="308"/>
      <c r="I485" s="309"/>
    </row>
    <row r="486" customFormat="false" ht="12.75" hidden="false" customHeight="false" outlineLevel="0" collapsed="false">
      <c r="A486" s="322" t="s">
        <v>732</v>
      </c>
      <c r="B486" s="308" t="n">
        <v>4</v>
      </c>
      <c r="C486" s="300"/>
      <c r="D486" s="308"/>
      <c r="E486" s="308"/>
      <c r="F486" s="308"/>
      <c r="G486" s="308"/>
      <c r="H486" s="308"/>
      <c r="I486" s="309"/>
    </row>
    <row r="487" customFormat="false" ht="12.75" hidden="false" customHeight="false" outlineLevel="0" collapsed="false">
      <c r="A487" s="322" t="s">
        <v>733</v>
      </c>
      <c r="B487" s="308" t="n">
        <v>3</v>
      </c>
      <c r="C487" s="300"/>
      <c r="D487" s="308"/>
      <c r="E487" s="308"/>
      <c r="F487" s="308"/>
      <c r="G487" s="308"/>
      <c r="H487" s="308"/>
      <c r="I487" s="309"/>
    </row>
    <row r="488" customFormat="false" ht="12.75" hidden="false" customHeight="false" outlineLevel="0" collapsed="false">
      <c r="A488" s="322" t="s">
        <v>734</v>
      </c>
      <c r="B488" s="308" t="n">
        <v>24</v>
      </c>
      <c r="C488" s="300"/>
      <c r="D488" s="308"/>
      <c r="E488" s="308"/>
      <c r="F488" s="308"/>
      <c r="G488" s="308"/>
      <c r="H488" s="308"/>
      <c r="I488" s="309"/>
    </row>
    <row r="489" customFormat="false" ht="12.75" hidden="false" customHeight="false" outlineLevel="0" collapsed="false">
      <c r="A489" s="322" t="s">
        <v>735</v>
      </c>
      <c r="B489" s="308" t="n">
        <v>23</v>
      </c>
      <c r="C489" s="300"/>
      <c r="D489" s="308"/>
      <c r="E489" s="308"/>
      <c r="F489" s="308"/>
      <c r="G489" s="308"/>
      <c r="H489" s="308"/>
      <c r="I489" s="309"/>
    </row>
    <row r="490" customFormat="false" ht="12.75" hidden="false" customHeight="false" outlineLevel="0" collapsed="false">
      <c r="A490" s="322" t="s">
        <v>736</v>
      </c>
      <c r="B490" s="308" t="n">
        <v>15</v>
      </c>
      <c r="C490" s="300"/>
      <c r="D490" s="308"/>
      <c r="E490" s="308"/>
      <c r="F490" s="308"/>
      <c r="G490" s="308"/>
      <c r="H490" s="308"/>
      <c r="I490" s="309"/>
    </row>
    <row r="491" customFormat="false" ht="12.75" hidden="false" customHeight="false" outlineLevel="0" collapsed="false">
      <c r="A491" s="322" t="s">
        <v>737</v>
      </c>
      <c r="B491" s="308" t="n">
        <v>16</v>
      </c>
      <c r="C491" s="300"/>
      <c r="D491" s="308"/>
      <c r="E491" s="308"/>
      <c r="F491" s="308"/>
      <c r="G491" s="308"/>
      <c r="H491" s="308"/>
      <c r="I491" s="309"/>
    </row>
    <row r="492" customFormat="false" ht="12.75" hidden="false" customHeight="false" outlineLevel="0" collapsed="false">
      <c r="A492" s="322" t="s">
        <v>738</v>
      </c>
      <c r="B492" s="308" t="n">
        <v>17</v>
      </c>
      <c r="C492" s="300"/>
      <c r="D492" s="308"/>
      <c r="E492" s="308"/>
      <c r="F492" s="308"/>
      <c r="G492" s="308"/>
      <c r="H492" s="308"/>
      <c r="I492" s="309"/>
    </row>
    <row r="493" customFormat="false" ht="12.75" hidden="false" customHeight="false" outlineLevel="0" collapsed="false">
      <c r="A493" s="0" t="s">
        <v>739</v>
      </c>
      <c r="B493" s="0" t="n">
        <v>2</v>
      </c>
      <c r="I493" s="309"/>
    </row>
    <row r="494" customFormat="false" ht="12.75" hidden="false" customHeight="false" outlineLevel="0" collapsed="false">
      <c r="A494" s="531" t="s">
        <v>740</v>
      </c>
      <c r="B494" s="0" t="n">
        <v>8</v>
      </c>
      <c r="I494" s="309"/>
    </row>
    <row r="495" customFormat="false" ht="12.75" hidden="false" customHeight="false" outlineLevel="0" collapsed="false">
      <c r="A495" s="532"/>
      <c r="B495" s="347"/>
      <c r="C495" s="524"/>
      <c r="D495" s="347"/>
      <c r="E495" s="347"/>
      <c r="F495" s="347"/>
      <c r="G495" s="347"/>
      <c r="H495" s="347"/>
      <c r="I495" s="348"/>
    </row>
  </sheetData>
  <mergeCells count="2">
    <mergeCell ref="A1:I1"/>
    <mergeCell ref="E5:H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C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E5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10.57"/>
    <col collapsed="false" customWidth="true" hidden="false" outlineLevel="0" max="2" min="2" style="0" width="133.86"/>
  </cols>
  <sheetData>
    <row r="2" customFormat="false" ht="12.75" hidden="false" customHeight="false" outlineLevel="0" collapsed="false">
      <c r="A2" s="0" t="str">
        <f aca="false">IF(DITHER=1, "SCH_WITH_DITH", "SCH_NO_DITH")</f>
        <v>SCH_NO_DITH</v>
      </c>
    </row>
    <row r="5" customFormat="false" ht="393" hidden="false" customHeight="true" outlineLevel="0" collapsed="false">
      <c r="B5" s="533"/>
    </row>
    <row r="6" customFormat="false" ht="12" hidden="false" customHeight="true" outlineLevel="0" collapsed="false">
      <c r="B6" s="533"/>
    </row>
    <row r="7" customFormat="false" ht="34.5" hidden="false" customHeight="true" outlineLevel="0" collapsed="false"/>
    <row r="8" customFormat="false" ht="393" hidden="false" customHeight="true" outlineLevel="0" collapsed="false">
      <c r="B8" s="533"/>
      <c r="C8" s="308"/>
    </row>
    <row r="9" customFormat="false" ht="12.75" hidden="false" customHeight="false" outlineLevel="0" collapsed="false">
      <c r="B9" s="53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C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10.57"/>
    <col collapsed="false" customWidth="true" hidden="false" outlineLevel="0" max="2" min="2" style="0" width="126"/>
  </cols>
  <sheetData>
    <row r="2" customFormat="false" ht="12.75" hidden="false" customHeight="false" outlineLevel="0" collapsed="false">
      <c r="A2" s="0" t="str">
        <f aca="false">IF(PLOT_TYPE=1, "EFF_IOUT", "EFF_VIN")</f>
        <v>EFF_IOUT</v>
      </c>
    </row>
    <row r="5" customFormat="false" ht="409.5" hidden="false" customHeight="true" outlineLevel="0" collapsed="false">
      <c r="B5" s="534"/>
    </row>
    <row r="7" customFormat="false" ht="409.5" hidden="false" customHeight="true" outlineLevel="0" collapsed="false">
      <c r="B7" s="534"/>
      <c r="C7" s="308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D050"/>
    <pageSetUpPr fitToPage="false"/>
  </sheetPr>
  <dimension ref="A1:CD209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pane xSplit="0" ySplit="8" topLeftCell="A9" activePane="bottomLeft" state="frozen"/>
      <selection pane="topLeft" activeCell="F1" activeCellId="0" sqref="F1"/>
      <selection pane="bottomLeft" activeCell="J97" activeCellId="0" sqref="J97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19.86"/>
    <col collapsed="false" customWidth="true" hidden="false" outlineLevel="0" max="2" min="2" style="0" width="13.15"/>
    <col collapsed="false" customWidth="true" hidden="false" outlineLevel="0" max="4" min="4" style="0" width="71.57"/>
    <col collapsed="false" customWidth="true" hidden="false" outlineLevel="0" max="6" min="6" style="0" width="9.14"/>
    <col collapsed="false" customWidth="true" hidden="false" outlineLevel="0" max="7" min="7" style="0" width="6.85"/>
    <col collapsed="false" customWidth="true" hidden="false" outlineLevel="0" max="8" min="8" style="535" width="9.14"/>
    <col collapsed="false" customWidth="true" hidden="false" outlineLevel="0" max="9" min="9" style="0" width="11"/>
    <col collapsed="false" customWidth="true" hidden="false" outlineLevel="0" max="10" min="10" style="0" width="6.71"/>
    <col collapsed="false" customWidth="true" hidden="false" outlineLevel="0" max="11" min="11" style="0" width="5.86"/>
    <col collapsed="false" customWidth="true" hidden="false" outlineLevel="0" max="13" min="12" style="0" width="7.15"/>
    <col collapsed="false" customWidth="true" hidden="false" outlineLevel="0" max="14" min="14" style="488" width="10.71"/>
    <col collapsed="false" customWidth="true" hidden="false" outlineLevel="0" max="15" min="15" style="488" width="11.43"/>
    <col collapsed="false" customWidth="true" hidden="false" outlineLevel="0" max="16" min="16" style="385" width="8.86"/>
    <col collapsed="false" customWidth="true" hidden="false" outlineLevel="0" max="17" min="17" style="385" width="8"/>
    <col collapsed="false" customWidth="true" hidden="false" outlineLevel="0" max="18" min="18" style="438" width="10.29"/>
    <col collapsed="false" customWidth="true" hidden="false" outlineLevel="0" max="19" min="19" style="0" width="8"/>
    <col collapsed="false" customWidth="true" hidden="false" outlineLevel="0" max="20" min="20" style="419" width="9.29"/>
    <col collapsed="false" customWidth="true" hidden="false" outlineLevel="0" max="21" min="21" style="385" width="10.29"/>
    <col collapsed="false" customWidth="true" hidden="false" outlineLevel="0" max="22" min="22" style="0" width="9.86"/>
    <col collapsed="false" customWidth="true" hidden="false" outlineLevel="0" max="23" min="23" style="0" width="10.71"/>
    <col collapsed="false" customWidth="true" hidden="false" outlineLevel="0" max="24" min="24" style="438" width="9.71"/>
    <col collapsed="false" customWidth="true" hidden="false" outlineLevel="0" max="25" min="25" style="0" width="10.57"/>
    <col collapsed="false" customWidth="true" hidden="false" outlineLevel="0" max="28" min="27" style="0" width="8.57"/>
    <col collapsed="false" customWidth="true" hidden="false" outlineLevel="0" max="29" min="29" style="0" width="10"/>
    <col collapsed="false" customWidth="true" hidden="false" outlineLevel="0" max="30" min="30" style="0" width="8"/>
    <col collapsed="false" customWidth="true" hidden="false" outlineLevel="0" max="31" min="31" style="0" width="9.86"/>
    <col collapsed="false" customWidth="true" hidden="false" outlineLevel="0" max="32" min="32" style="0" width="8.86"/>
    <col collapsed="false" customWidth="true" hidden="false" outlineLevel="0" max="33" min="33" style="0" width="10.57"/>
    <col collapsed="false" customWidth="true" hidden="false" outlineLevel="0" max="34" min="34" style="0" width="11.14"/>
    <col collapsed="false" customWidth="true" hidden="false" outlineLevel="0" max="35" min="35" style="0" width="10.29"/>
    <col collapsed="false" customWidth="true" hidden="false" outlineLevel="0" max="37" min="36" style="0" width="8.57"/>
    <col collapsed="false" customWidth="true" hidden="false" outlineLevel="0" max="38" min="38" style="0" width="10"/>
    <col collapsed="false" customWidth="true" hidden="false" outlineLevel="0" max="39" min="39" style="0" width="8"/>
    <col collapsed="false" customWidth="true" hidden="false" outlineLevel="0" max="40" min="40" style="0" width="9.86"/>
    <col collapsed="false" customWidth="true" hidden="false" outlineLevel="0" max="41" min="41" style="0" width="8.86"/>
    <col collapsed="false" customWidth="true" hidden="false" outlineLevel="0" max="42" min="42" style="0" width="10.57"/>
    <col collapsed="false" customWidth="true" hidden="false" outlineLevel="0" max="43" min="43" style="0" width="11.14"/>
    <col collapsed="false" customWidth="true" hidden="false" outlineLevel="0" max="44" min="44" style="0" width="10.29"/>
    <col collapsed="false" customWidth="true" hidden="false" outlineLevel="0" max="45" min="45" style="438" width="12.29"/>
    <col collapsed="false" customWidth="true" hidden="false" outlineLevel="0" max="46" min="46" style="0" width="13.71"/>
    <col collapsed="false" customWidth="true" hidden="false" outlineLevel="0" max="47" min="47" style="438" width="12"/>
    <col collapsed="false" customWidth="true" hidden="false" outlineLevel="0" max="48" min="48" style="0" width="10.71"/>
    <col collapsed="false" customWidth="true" hidden="false" outlineLevel="0" max="49" min="49" style="0" width="11"/>
    <col collapsed="false" customWidth="true" hidden="false" outlineLevel="0" max="50" min="50" style="0" width="9.29"/>
    <col collapsed="false" customWidth="true" hidden="false" outlineLevel="0" max="52" min="51" style="0" width="10.42"/>
    <col collapsed="false" customWidth="true" hidden="false" outlineLevel="0" max="54" min="54" style="385" width="8.42"/>
    <col collapsed="false" customWidth="true" hidden="false" outlineLevel="0" max="55" min="55" style="419" width="7.29"/>
    <col collapsed="false" customWidth="true" hidden="false" outlineLevel="0" max="56" min="56" style="536" width="10.14"/>
    <col collapsed="false" customWidth="true" hidden="false" outlineLevel="0" max="57" min="57" style="458" width="10.42"/>
    <col collapsed="false" customWidth="true" hidden="false" outlineLevel="0" max="58" min="58" style="458" width="10.57"/>
    <col collapsed="false" customWidth="true" hidden="false" outlineLevel="0" max="59" min="59" style="0" width="3.29"/>
    <col collapsed="false" customWidth="true" hidden="false" outlineLevel="0" max="60" min="60" style="488" width="9.29"/>
    <col collapsed="false" customWidth="true" hidden="false" outlineLevel="0" max="61" min="61" style="438" width="9.14"/>
    <col collapsed="false" customWidth="true" hidden="false" outlineLevel="0" max="62" min="62" style="438" width="10.29"/>
    <col collapsed="false" customWidth="true" hidden="false" outlineLevel="0" max="63" min="63" style="438" width="8.86"/>
    <col collapsed="false" customWidth="true" hidden="false" outlineLevel="0" max="64" min="64" style="0" width="7.86"/>
    <col collapsed="false" customWidth="true" hidden="false" outlineLevel="0" max="68" min="68" style="0" width="28.42"/>
    <col collapsed="false" customWidth="true" hidden="false" outlineLevel="0" max="71" min="71" style="0" width="12.42"/>
  </cols>
  <sheetData>
    <row r="1" customFormat="false" ht="12.75" hidden="false" customHeight="true" outlineLevel="0" collapsed="false">
      <c r="A1" s="537" t="s">
        <v>741</v>
      </c>
      <c r="B1" s="537"/>
      <c r="C1" s="537"/>
      <c r="D1" s="537"/>
    </row>
    <row r="2" customFormat="false" ht="12.75" hidden="false" customHeight="true" outlineLevel="0" collapsed="false">
      <c r="A2" s="537"/>
      <c r="B2" s="537"/>
      <c r="C2" s="537"/>
      <c r="D2" s="537"/>
      <c r="H2" s="538" t="n">
        <f aca="false">BD9</f>
        <v>0.944694125758836</v>
      </c>
      <c r="I2" s="320" t="s">
        <v>742</v>
      </c>
      <c r="AI2" s="320"/>
      <c r="AJ2" s="320"/>
    </row>
    <row r="3" customFormat="false" ht="12.75" hidden="false" customHeight="true" outlineLevel="0" collapsed="false">
      <c r="A3" s="537"/>
      <c r="B3" s="537"/>
      <c r="C3" s="537"/>
      <c r="D3" s="537"/>
      <c r="H3" s="538" t="n">
        <f aca="false">BD109</f>
        <v>0.967977566584632</v>
      </c>
      <c r="I3" s="320" t="s">
        <v>743</v>
      </c>
      <c r="AI3" s="320"/>
      <c r="AJ3" s="320"/>
    </row>
    <row r="4" customFormat="false" ht="12.75" hidden="false" customHeight="true" outlineLevel="0" collapsed="false">
      <c r="A4" s="537"/>
      <c r="B4" s="537"/>
      <c r="C4" s="537"/>
      <c r="D4" s="537"/>
      <c r="H4" s="538" t="n">
        <f aca="false">BD209</f>
        <v>0.95201973569302</v>
      </c>
      <c r="I4" s="320" t="s">
        <v>744</v>
      </c>
      <c r="AI4" s="320"/>
      <c r="AJ4" s="320"/>
    </row>
    <row r="5" customFormat="false" ht="12.75" hidden="false" customHeight="false" outlineLevel="0" collapsed="false">
      <c r="A5" s="539"/>
      <c r="B5" s="540"/>
      <c r="C5" s="194"/>
      <c r="D5" s="194"/>
    </row>
    <row r="6" customFormat="false" ht="13.5" hidden="false" customHeight="true" outlineLevel="0" collapsed="false">
      <c r="A6" s="541" t="s">
        <v>745</v>
      </c>
      <c r="B6" s="541"/>
      <c r="C6" s="541"/>
      <c r="D6" s="541"/>
      <c r="N6" s="364"/>
      <c r="O6" s="364"/>
      <c r="P6" s="363"/>
      <c r="AU6" s="542"/>
      <c r="AV6" s="308"/>
      <c r="AW6" s="308"/>
      <c r="AX6" s="308"/>
      <c r="AZ6" s="308"/>
      <c r="BA6" s="308"/>
      <c r="BB6" s="363"/>
      <c r="BU6" s="0" t="n">
        <v>80</v>
      </c>
      <c r="BV6" s="0" t="n">
        <v>100</v>
      </c>
      <c r="BW6" s="0" t="n">
        <v>120</v>
      </c>
      <c r="BX6" s="0" t="n">
        <v>140</v>
      </c>
      <c r="BY6" s="0" t="n">
        <v>160</v>
      </c>
      <c r="BZ6" s="0" t="n">
        <v>180</v>
      </c>
      <c r="CA6" s="0" t="n">
        <v>20</v>
      </c>
      <c r="CB6" s="0" t="n">
        <v>30</v>
      </c>
      <c r="CC6" s="0" t="n">
        <v>40</v>
      </c>
      <c r="CD6" s="0" t="n">
        <v>50</v>
      </c>
    </row>
    <row r="7" customFormat="false" ht="12.75" hidden="false" customHeight="false" outlineLevel="0" collapsed="false">
      <c r="A7" s="541"/>
      <c r="B7" s="541"/>
      <c r="C7" s="541"/>
      <c r="D7" s="541"/>
      <c r="G7" s="543" t="s">
        <v>746</v>
      </c>
      <c r="H7" s="543"/>
      <c r="I7" s="543"/>
      <c r="J7" s="543"/>
      <c r="K7" s="543"/>
      <c r="L7" s="543"/>
      <c r="M7" s="543"/>
      <c r="N7" s="543"/>
      <c r="O7" s="543"/>
      <c r="P7" s="543"/>
      <c r="Q7" s="543" t="s">
        <v>747</v>
      </c>
      <c r="R7" s="543"/>
      <c r="S7" s="543"/>
      <c r="T7" s="543"/>
      <c r="U7" s="544" t="s">
        <v>401</v>
      </c>
      <c r="V7" s="544"/>
      <c r="W7" s="544"/>
      <c r="X7" s="543" t="s">
        <v>423</v>
      </c>
      <c r="Y7" s="543"/>
      <c r="Z7" s="543"/>
      <c r="AA7" s="543" t="s">
        <v>748</v>
      </c>
      <c r="AB7" s="543"/>
      <c r="AC7" s="543"/>
      <c r="AD7" s="543"/>
      <c r="AE7" s="543"/>
      <c r="AF7" s="543" t="s">
        <v>749</v>
      </c>
      <c r="AG7" s="543"/>
      <c r="AH7" s="543"/>
      <c r="AI7" s="543"/>
      <c r="AJ7" s="543" t="s">
        <v>750</v>
      </c>
      <c r="AK7" s="543"/>
      <c r="AL7" s="543"/>
      <c r="AM7" s="543"/>
      <c r="AN7" s="543"/>
      <c r="AO7" s="543" t="s">
        <v>751</v>
      </c>
      <c r="AP7" s="543"/>
      <c r="AQ7" s="543"/>
      <c r="AR7" s="543"/>
      <c r="AS7" s="545" t="s">
        <v>752</v>
      </c>
      <c r="AT7" s="546" t="s">
        <v>753</v>
      </c>
      <c r="AU7" s="547" t="s">
        <v>754</v>
      </c>
      <c r="AV7" s="548" t="s">
        <v>755</v>
      </c>
      <c r="AW7" s="548" t="s">
        <v>756</v>
      </c>
      <c r="AX7" s="549" t="s">
        <v>757</v>
      </c>
      <c r="AY7" s="549"/>
      <c r="AZ7" s="549"/>
      <c r="BA7" s="549"/>
      <c r="BB7" s="550" t="s">
        <v>758</v>
      </c>
      <c r="BC7" s="550"/>
      <c r="BD7" s="550"/>
      <c r="BE7" s="550"/>
      <c r="BF7" s="550"/>
      <c r="BG7" s="551"/>
      <c r="BH7" s="552" t="s">
        <v>759</v>
      </c>
      <c r="BI7" s="552"/>
      <c r="BJ7" s="552"/>
      <c r="BK7" s="552"/>
      <c r="BL7" s="552"/>
    </row>
    <row r="8" customFormat="false" ht="46.25" hidden="false" customHeight="false" outlineLevel="0" collapsed="false">
      <c r="A8" s="553" t="s">
        <v>760</v>
      </c>
      <c r="B8" s="553"/>
      <c r="C8" s="553"/>
      <c r="D8" s="194"/>
      <c r="G8" s="554" t="s">
        <v>761</v>
      </c>
      <c r="H8" s="555" t="s">
        <v>762</v>
      </c>
      <c r="I8" s="556" t="s">
        <v>763</v>
      </c>
      <c r="J8" s="556" t="s">
        <v>764</v>
      </c>
      <c r="K8" s="557" t="s">
        <v>218</v>
      </c>
      <c r="L8" s="557" t="s">
        <v>306</v>
      </c>
      <c r="M8" s="557" t="s">
        <v>765</v>
      </c>
      <c r="N8" s="558" t="s">
        <v>766</v>
      </c>
      <c r="O8" s="559" t="s">
        <v>767</v>
      </c>
      <c r="P8" s="560" t="s">
        <v>768</v>
      </c>
      <c r="Q8" s="561" t="s">
        <v>769</v>
      </c>
      <c r="R8" s="562" t="s">
        <v>770</v>
      </c>
      <c r="S8" s="557" t="s">
        <v>771</v>
      </c>
      <c r="T8" s="563" t="s">
        <v>772</v>
      </c>
      <c r="U8" s="561" t="s">
        <v>773</v>
      </c>
      <c r="V8" s="564" t="s">
        <v>774</v>
      </c>
      <c r="W8" s="565" t="s">
        <v>775</v>
      </c>
      <c r="X8" s="566" t="s">
        <v>776</v>
      </c>
      <c r="Y8" s="557" t="s">
        <v>777</v>
      </c>
      <c r="Z8" s="565" t="s">
        <v>778</v>
      </c>
      <c r="AA8" s="554" t="s">
        <v>779</v>
      </c>
      <c r="AB8" s="557" t="s">
        <v>780</v>
      </c>
      <c r="AC8" s="557" t="s">
        <v>781</v>
      </c>
      <c r="AD8" s="567" t="s">
        <v>782</v>
      </c>
      <c r="AE8" s="565" t="s">
        <v>783</v>
      </c>
      <c r="AF8" s="554" t="s">
        <v>779</v>
      </c>
      <c r="AG8" s="557" t="s">
        <v>780</v>
      </c>
      <c r="AH8" s="557" t="s">
        <v>784</v>
      </c>
      <c r="AI8" s="568" t="s">
        <v>785</v>
      </c>
      <c r="AJ8" s="554" t="s">
        <v>779</v>
      </c>
      <c r="AK8" s="557" t="s">
        <v>780</v>
      </c>
      <c r="AL8" s="557" t="s">
        <v>781</v>
      </c>
      <c r="AM8" s="567" t="s">
        <v>782</v>
      </c>
      <c r="AN8" s="565" t="s">
        <v>783</v>
      </c>
      <c r="AO8" s="554" t="s">
        <v>779</v>
      </c>
      <c r="AP8" s="557" t="s">
        <v>780</v>
      </c>
      <c r="AQ8" s="557" t="s">
        <v>784</v>
      </c>
      <c r="AR8" s="568" t="s">
        <v>785</v>
      </c>
      <c r="AS8" s="562" t="s">
        <v>786</v>
      </c>
      <c r="AT8" s="565" t="s">
        <v>784</v>
      </c>
      <c r="AU8" s="569" t="s">
        <v>787</v>
      </c>
      <c r="AV8" s="570" t="s">
        <v>788</v>
      </c>
      <c r="AW8" s="570" t="s">
        <v>789</v>
      </c>
      <c r="AX8" s="571" t="s">
        <v>790</v>
      </c>
      <c r="AY8" s="572" t="s">
        <v>791</v>
      </c>
      <c r="AZ8" s="573" t="s">
        <v>792</v>
      </c>
      <c r="BA8" s="574" t="s">
        <v>793</v>
      </c>
      <c r="BB8" s="575" t="s">
        <v>794</v>
      </c>
      <c r="BC8" s="576" t="s">
        <v>222</v>
      </c>
      <c r="BD8" s="577" t="s">
        <v>795</v>
      </c>
      <c r="BE8" s="578" t="s">
        <v>796</v>
      </c>
      <c r="BF8" s="578" t="s">
        <v>797</v>
      </c>
      <c r="BH8" s="579" t="s">
        <v>798</v>
      </c>
      <c r="BI8" s="580" t="s">
        <v>799</v>
      </c>
      <c r="BJ8" s="580" t="s">
        <v>800</v>
      </c>
      <c r="BK8" s="580" t="s">
        <v>785</v>
      </c>
      <c r="BL8" s="581" t="s">
        <v>801</v>
      </c>
      <c r="BM8" s="581"/>
      <c r="BS8" s="0" t="s">
        <v>644</v>
      </c>
      <c r="BU8" s="0" t="s">
        <v>802</v>
      </c>
      <c r="BV8" s="0" t="s">
        <v>803</v>
      </c>
      <c r="BW8" s="0" t="s">
        <v>804</v>
      </c>
      <c r="BX8" s="0" t="s">
        <v>805</v>
      </c>
      <c r="BY8" s="0" t="s">
        <v>806</v>
      </c>
      <c r="BZ8" s="0" t="s">
        <v>807</v>
      </c>
      <c r="CA8" s="0" t="s">
        <v>808</v>
      </c>
      <c r="CB8" s="0" t="s">
        <v>809</v>
      </c>
      <c r="CC8" s="0" t="s">
        <v>810</v>
      </c>
      <c r="CD8" s="0" t="s">
        <v>811</v>
      </c>
    </row>
    <row r="9" customFormat="false" ht="12.75" hidden="false" customHeight="false" outlineLevel="0" collapsed="false">
      <c r="A9" s="582" t="s">
        <v>607</v>
      </c>
      <c r="B9" s="583" t="s">
        <v>812</v>
      </c>
      <c r="C9" s="584" t="s">
        <v>697</v>
      </c>
      <c r="D9" s="585" t="s">
        <v>134</v>
      </c>
      <c r="G9" s="0" t="n">
        <v>0</v>
      </c>
      <c r="H9" s="586" t="n">
        <f aca="false">VIN_min+(VIN_max-VIN_min)*(G9/200)</f>
        <v>6</v>
      </c>
      <c r="I9" s="385" t="str">
        <f aca="false">IF(H9&gt;VIN_BB_to_buck, "BUCK", IF(H9&lt;VIN_boost_to_BB,"BOOST","BUCK-BST"))</f>
        <v>BOOST</v>
      </c>
      <c r="J9" s="419" t="n">
        <f aca="false">IF(I9="BOOST",2, IF(I9="BUCK", 1,3))</f>
        <v>2</v>
      </c>
      <c r="K9" s="0" t="n">
        <f aca="false">Iout</f>
        <v>6</v>
      </c>
      <c r="L9" s="385" t="n">
        <f aca="false">Vout*K9/(H9*Efficiency)</f>
        <v>13.3333333333333</v>
      </c>
      <c r="M9" s="385" t="n">
        <f aca="false">Iout/(1-O9)</f>
        <v>12.2541499713795</v>
      </c>
      <c r="N9" s="488" t="n">
        <f aca="false">CHOOSE(J9,(Vout+(Rdson2+Rs+Rdcr)*K9)/(H9+(Rs+Rdson2-Rdson1)*K9),1,IF(H9&lt;Vout,D_max_buck_BB,Vout/H9*(1-D_min_boost_exitBB_to_buck)))</f>
        <v>1</v>
      </c>
      <c r="O9" s="488" t="n">
        <f aca="false">CHOOSE(J9,0,(Vout+(Rdson3+Rdcr)*L9-H9)/(Vout+(Rdson3-Rdson4-Rs)*L9), IF(H9&gt;Vout,D_min_boost_exitBB_to_buck, (Vout-H9*D_max_buck_BB)/Vout))</f>
        <v>0.510369955156951</v>
      </c>
      <c r="P9" s="385" t="n">
        <f aca="false">MAX(0, CHOOSE(J9, (H9-(Rdson1+Rdcr)*K9-Vout)*N9/(Fsw*Lf), (H9-(Rdson4+Rdcr+Rs)*L9)*O9/(Fsw*Lf), IF(H9&lt;Vout, (H9-(Rdson4+Rdcr+Rs)*L9)*O9/(0.5*Fsw*Lf),(H9-(Rdson1+Rdcr)*K9-Vout)*N9/(0.5*Fsw*Lf))))</f>
        <v>2.10783998028178</v>
      </c>
      <c r="Q9" s="488" t="n">
        <f aca="false">CHOOSE(J9, SQRT(K9^2+(P9^2)/12), SQRT(L9^2+(P9^2)/12), SQRT(M9^2+(P9^2)/12))</f>
        <v>13.347210453611</v>
      </c>
      <c r="R9" s="488" t="n">
        <f aca="false">(Q9^2*Rdcr*(1+Ltc*Ta-Ltc*25))/(1-Q9^2*Rdcr*Ltc*ThetaCa)</f>
        <v>0.626717693594271</v>
      </c>
      <c r="S9" s="488" t="n">
        <f aca="false">ABS(7.759*10^-3*Fsw^0.9458*(0.00787*P9)^2.304)</f>
        <v>0.0930068070535905</v>
      </c>
      <c r="T9" s="488" t="n">
        <f aca="false">R9+S9</f>
        <v>0.719724500647861</v>
      </c>
      <c r="U9" s="385" t="n">
        <f aca="false">IF(H9&gt;Vout, P9/SQRT(12), SQRT(O9/(1-O9))*SQRT(K9^2+(P9^2)/12))</f>
        <v>6.15717728160846</v>
      </c>
      <c r="V9" s="488" t="n">
        <f aca="false">RCoutEsr*U9^2</f>
        <v>0.189554160385777</v>
      </c>
      <c r="W9" s="488" t="n">
        <f aca="false">V9</f>
        <v>0.189554160385777</v>
      </c>
      <c r="X9" s="488" t="n">
        <f aca="false">IF(H9&gt;Vout, SQRT(N9*(1-N9))*SQRT(K9^2+(P9^2)/12), P9/SQRT(12))</f>
        <v>0.608480990012171</v>
      </c>
      <c r="Y9" s="587" t="n">
        <f aca="false">RCinEsr*X9^2</f>
        <v>0.000740498230412383</v>
      </c>
      <c r="Z9" s="588" t="n">
        <f aca="false">Y9</f>
        <v>0.000740498230412383</v>
      </c>
      <c r="AA9" s="488" t="n">
        <f aca="false">CHOOSE(J9, SQRT(N9)*SQRT(K9^2+(P9^2)/12), SQRT(L9^2+(P9^2)/12), SQRT(N9)*SQRT(M9^2+(P9^2)/12))</f>
        <v>13.347210453611</v>
      </c>
      <c r="AB9" s="488" t="n">
        <f aca="false">Rdson1*AA9^2</f>
        <v>1.01544375329001</v>
      </c>
      <c r="AC9" s="488" t="n">
        <f aca="false">CHOOSE(J9, (H9*K9/2)*(Fsw)*(Tr_buck+Tf_buck), 0, (H9*M9/2)*(Fsw/2)*(Tr_buck+Tf_buck))</f>
        <v>0</v>
      </c>
      <c r="AD9" s="0" t="n">
        <f aca="false">IF(H9&gt;Vout, IF(K9&gt;P9/2,0,ABS(K9-P9/2)*Vsd_Q1*Deadtime*Fsw),0)</f>
        <v>0</v>
      </c>
      <c r="AE9" s="488" t="n">
        <f aca="false">(AD9+AC9+AB9*(1+RdsonTopTc*Ta-RdsonTopTc*25))/(1-AB9*RdsonTopTc*ThetaJA_Q1)</f>
        <v>1.27422439340447</v>
      </c>
      <c r="AF9" s="488" t="n">
        <f aca="false">CHOOSE(J9, SQRT((1-N9))*SQRT(K9^2+(P9^2)/12), 0, SQRT((1-N9))*SQRT(M9^2+(P9^2)/12))</f>
        <v>0</v>
      </c>
      <c r="AG9" s="488" t="n">
        <f aca="false">Rdson2*AF9^2</f>
        <v>0</v>
      </c>
      <c r="AH9" s="488" t="n">
        <f aca="false">CHOOSE(J9, IF(K9&lt;P9/2,Deadtime*Fsw*IF(VfdSky_Q2&gt;0,0,Vsd_Q2)*(K9+P9/2),2*Deadtime*Fsw*IF(VfdSky_Q2&gt;0,0,Vsd_Q2)*K9),0, IF(K9&lt;P9/2,Deadtime*Fsw/2*IF(VfdSky_Q2&gt;0,0,Vsd_Q2)*(K9+P9/2),2*Deadtime*Fsw/2*IF(VfdSky_Q2&gt;0,0,Vsd_Q2)*K9))</f>
        <v>0</v>
      </c>
      <c r="AI9" s="488" t="n">
        <f aca="false">(AH9+AG9*(1+RdsonBotTc*Ta-RdsonBotTc*25))/(1-AG9*RdsonBotTc*ThetaJA_Q2)</f>
        <v>0</v>
      </c>
      <c r="AJ9" s="488" t="n">
        <f aca="false">CHOOSE(J9, 0, SQRT(O9)*SQRT(L9^2+(P9^2)/12), SQRT(O9)*SQRT(M9^2+(P9^2)/12))</f>
        <v>9.53527139082425</v>
      </c>
      <c r="AK9" s="488" t="n">
        <f aca="false">Rdson4*AJ9^2</f>
        <v>0.172750660943676</v>
      </c>
      <c r="AL9" s="488" t="n">
        <f aca="false">CHOOSE(J9, 0, (Vout*L9/2)*(Fsw)*(Tr_boost+Tf_boost), (Vout*Iout/2)*(Fsw/2)*(Tr_boost+Tf_boost))</f>
        <v>0.155143008943593</v>
      </c>
      <c r="AM9" s="0" t="n">
        <f aca="false">IF(H9&gt;Vout, 0, IF(L9&gt;P9/2,0,ABS(L9-P9/2)*Vsd_Q4*Deadtime*Fsw))</f>
        <v>0</v>
      </c>
      <c r="AN9" s="488" t="n">
        <f aca="false">(AM9+AL9+AK9*(1+RdsonTopTc*Ta-RdsonTopTc*25))/(1-AK9*RdsonTopTc*ThetaJA_Q4)</f>
        <v>0.339627857250242</v>
      </c>
      <c r="AO9" s="488" t="n">
        <f aca="false">CHOOSE(J9, SQRT(Iout^2+(P9^2)/12), SQRT(1-O9)*SQRT(L9^2+(P9^2)/12), SQRT(1-O9)*SQRT(M9^2+(P9^2)/12))</f>
        <v>9.33951960200911</v>
      </c>
      <c r="AP9" s="488" t="n">
        <f aca="false">Rdson3*AO9^2</f>
        <v>0.165730590152994</v>
      </c>
      <c r="AQ9" s="488" t="n">
        <f aca="false">CHOOSE(J9, 0, IF(L9&lt;P9/2,Deadtime*Fsw*IF(VfdSky_Q3&gt;0,0,Vsd_Q3)*(L9+P9/2), 2*Deadtime*Fsw*IF(VfdSky_Q3&gt;0,0,Vsd_Q3)*L9), IF(L9&lt;P9/2,Deadtime*Fsw/2*IF(VfdSky_Q3&gt;0,0,Vsd_Q3)*(L9+P9/2), 2*Deadtime*Fsw/2*IF(VfdSky_Q3&gt;0,0,Vsd_Q3)*L9))</f>
        <v>0.32</v>
      </c>
      <c r="AR9" s="488" t="n">
        <f aca="false">(AQ9+AP9*(1+RdsonBotTc*Ta-RdsonBotTc*25))/(1-AP9*RdsonBotTc*ThetaJA_Q3)</f>
        <v>0.50238262390135</v>
      </c>
      <c r="AS9" s="488" t="n">
        <f aca="false">CHOOSE(J9, Rdson3*Q9^2, Rdson1*Q9^2, 0)</f>
        <v>1.01544375329001</v>
      </c>
      <c r="AT9" s="488" t="n">
        <f aca="false">CHOOSE(J9, 2*Deadtime*Fsw*IF(VfdSky_Q2&gt;0,VfdSky_Q2,0)*K9, 2*Deadtime*Fsw*IF(VfdSky_Q3&gt;0,VfdSky_Q3,0)*L9, 2*Deadtime*Fsw/2*IF(VfdSky_Q2&gt;0,VfdSky_Q2,0)*K9+2*Deadtime*Fsw/2*IF(VfdSky_Q3&gt;0,VfdSky_Q3,0)*L9)</f>
        <v>0</v>
      </c>
      <c r="AU9" s="488" t="n">
        <f aca="false">CHOOSE(J9, IF(QrrSky_Q2&gt;0,QrrSky_Q2,Qrr_Q2)*Fsw*(H9-K9*Rdson1), IF(QrrSky_Q3&gt;0,QrrSky_Q3,Qrr_Q3)*Fsw*Vout,  IF(QrrSky_Q2&gt;0,QrrSky_Q2,Qrr_Q2)*Fsw/2*(H9-K9*Rdson1)+IF(QrrSky_Q3&gt;0,QrrSky_Q3,Qrr_Q3)*Fsw/2*Vout)</f>
        <v>0.1188</v>
      </c>
      <c r="AV9" s="488" t="n">
        <f aca="false">CHOOSE(J9, Rs*AF9^2, Rs*AJ9^2, Rs*(AF9^2+AJ9^2))</f>
        <v>0.727371203973372</v>
      </c>
      <c r="AW9" s="488" t="n">
        <f aca="false">Rshunt_std/1000*Iout^2</f>
        <v>0.14832</v>
      </c>
      <c r="AX9" s="488" t="n">
        <f aca="false">IF(Vout&gt;8, Iq*Vout, Iq*H9)</f>
        <v>0.036</v>
      </c>
      <c r="AY9" s="488" t="n">
        <f aca="false">CHOOSE(J9, (Qg_Q1+Qg_Q2)*Fsw, (Qg_Q3+Qg_Q4)*Fsw, (Qg_Q1+Qg_Q2+Qg_Q3+Qg_Q4)*Fsw/2)*IF(Vout&gt;8, Vout, H9)</f>
        <v>0.1584</v>
      </c>
      <c r="AZ9" s="488" t="n">
        <f aca="false">(Vin-Vdd)*Fsw*(Qg_Q1+Qg_Q2)+(RdsonDRT+RdsonDRT2)*Fsw*Qg_Q1*Vdd/(RdsonDRT+2*Rgate1+RdsonDRT2)+(RdsonDRB+RdsonDRB2)*Fsw*Qg_Q2*Vdd/(RdsonDRB+2*Rgate2+RdsonDRB2)</f>
        <v>0.0522</v>
      </c>
      <c r="BA9" s="488" t="n">
        <f aca="false">SUM(AX9:AY9)</f>
        <v>0.1944</v>
      </c>
      <c r="BB9" s="488" t="n">
        <f aca="false">SUM(T9,W9,Z9,AE9,AI9,AN9,AR9, AT9,AU9,BA9,AV9,AW9)</f>
        <v>4.21514523779349</v>
      </c>
      <c r="BC9" s="419" t="n">
        <f aca="false">Vout*K9</f>
        <v>72</v>
      </c>
      <c r="BD9" s="589" t="n">
        <f aca="false">BC9/(BC9+BB9)</f>
        <v>0.944694125758836</v>
      </c>
      <c r="BE9" s="590" t="n">
        <f aca="false">IF(H9&gt;Vout,ThetaJA_Q1*(AE9+AU9),ThetaJA_Q4*(AN9+AU9))</f>
        <v>22.9213928625121</v>
      </c>
      <c r="BF9" s="590" t="n">
        <f aca="false">IF(H9&gt;Vout, AI9*ThetaJA_Q2, ThetaJA_Q3*AR9)</f>
        <v>25.1191311950675</v>
      </c>
      <c r="BH9" s="385" t="n">
        <f aca="false">BD9*100</f>
        <v>94.4694125758836</v>
      </c>
      <c r="BI9" s="488" t="n">
        <f aca="false">T9</f>
        <v>0.719724500647861</v>
      </c>
      <c r="BJ9" s="488" t="n">
        <f aca="false">AE9+AI9+AN9+AR9+AU9</f>
        <v>2.23503487455606</v>
      </c>
      <c r="BK9" s="488" t="n">
        <f aca="false">AI9+AU9*0.33</f>
        <v>0.039204</v>
      </c>
      <c r="BL9" s="488" t="n">
        <f aca="false">AV9</f>
        <v>0.727371203973372</v>
      </c>
      <c r="BP9" s="0" t="s">
        <v>813</v>
      </c>
      <c r="BQ9" s="591" t="n">
        <v>70</v>
      </c>
      <c r="BR9" s="591" t="n">
        <v>70</v>
      </c>
      <c r="BS9" s="591" t="n">
        <v>70</v>
      </c>
      <c r="BT9" s="592" t="n">
        <f aca="false">250000*(5-Vdd)*BS9/1000000000+((250000*BS9/1000000000*Vdd)*2.5/(2*4))</f>
        <v>-0.002734375</v>
      </c>
      <c r="BU9" s="0" t="n">
        <f aca="false">BU$6*$BT9</f>
        <v>-0.21875</v>
      </c>
      <c r="BV9" s="0" t="n">
        <f aca="false">BV$6*$BT9</f>
        <v>-0.2734375</v>
      </c>
      <c r="BW9" s="0" t="n">
        <f aca="false">BW$6*$BT9</f>
        <v>-0.328125</v>
      </c>
      <c r="BX9" s="0" t="n">
        <f aca="false">BX$6*$BT9</f>
        <v>-0.3828125</v>
      </c>
      <c r="BY9" s="0" t="n">
        <f aca="false">BY$6*$BT9</f>
        <v>-0.4375</v>
      </c>
      <c r="BZ9" s="0" t="n">
        <f aca="false">BZ$6*$BT9</f>
        <v>-0.4921875</v>
      </c>
      <c r="CA9" s="0" t="n">
        <f aca="false">CA$6*$BT9</f>
        <v>-0.0546874999999999</v>
      </c>
      <c r="CB9" s="0" t="n">
        <f aca="false">CB$6*$BT9</f>
        <v>-0.0820312499999999</v>
      </c>
      <c r="CC9" s="0" t="n">
        <f aca="false">CC$6*$BT9</f>
        <v>-0.109375</v>
      </c>
      <c r="CD9" s="0" t="n">
        <f aca="false">CD$6*$BT9</f>
        <v>-0.13671875</v>
      </c>
    </row>
    <row r="10" customFormat="false" ht="12.75" hidden="false" customHeight="false" outlineLevel="0" collapsed="false">
      <c r="A10" s="593"/>
      <c r="B10" s="594"/>
      <c r="C10" s="584"/>
      <c r="D10" s="585"/>
      <c r="G10" s="0" t="n">
        <v>1</v>
      </c>
      <c r="H10" s="586" t="n">
        <f aca="false">VIN_min+(VIN_max-VIN_min)*(G10/200)</f>
        <v>6.22</v>
      </c>
      <c r="I10" s="385" t="str">
        <f aca="false">IF(H10&gt;VIN_BB_to_buck, "BUCK", IF(H10&lt;VIN_boost_to_BB,"BOOST","BUCK-BST"))</f>
        <v>BOOST</v>
      </c>
      <c r="J10" s="419" t="n">
        <f aca="false">IF(I10="BOOST",2, IF(I10="BUCK", 1,3))</f>
        <v>2</v>
      </c>
      <c r="K10" s="0" t="n">
        <f aca="false">Iout</f>
        <v>6</v>
      </c>
      <c r="L10" s="385" t="n">
        <f aca="false">Vout*K10/(H10*Efficiency)</f>
        <v>12.8617363344051</v>
      </c>
      <c r="M10" s="385" t="n">
        <f aca="false">Iout/(1-O10)</f>
        <v>11.7995981758459</v>
      </c>
      <c r="N10" s="488" t="n">
        <f aca="false">CHOOSE(J10,(Vout+(Rdson2+Rs+Rdcr)*K10)/(H10+(Rs+Rdson2-Rdson1)*K10),1,IF(H10&lt;Vout,D_max_buck_BB,Vout/H10*(1-D_min_boost_exitBB_to_buck)))</f>
        <v>1</v>
      </c>
      <c r="O10" s="488" t="n">
        <f aca="false">CHOOSE(J10,0,(Vout+(Rdson3+Rdcr)*L10-H10)/(Vout+(Rdson3-Rdson4-Rs)*L10),IF(H10&gt;Vout,D_min_boost_exitBB_to_buck, (Vout-H10*D_max_buck_BB)/Vout))</f>
        <v>0.491508108108108</v>
      </c>
      <c r="P10" s="385" t="n">
        <f aca="false">MAX(0, CHOOSE(J10, (H10-(Rdson1+Rdcr)*K10-Vout)*N10/(Fsw*Lf), (H10-(Rdson4+Rdcr+Rs)*L10)*O10/(Fsw*Lf), IF(H10&lt;Vout, (H10-(Rdson4+Rdcr+Rs)*L10)*O10/(0.5*Fsw*Lf),(H10-(Rdson1+Rdcr)*K10-Vout)*N10/(0.5*Fsw*Lf))))</f>
        <v>2.10880751808797</v>
      </c>
      <c r="Q10" s="488" t="n">
        <f aca="false">CHOOSE(J10, SQRT(K10^2+(P10^2)/12), SQRT(L10^2+(P10^2)/12), SQRT(M10^2+(P10^2)/12))</f>
        <v>12.8761349259571</v>
      </c>
      <c r="R10" s="488" t="n">
        <f aca="false">(Q10^2*Rdcr*(1+Ltc*Ta-Ltc*25))/(1-Q10^2*Rdcr*Ltc*ThetaCa)</f>
        <v>0.581238951556784</v>
      </c>
      <c r="S10" s="488" t="n">
        <f aca="false">7.759*10^-3*Fsw^0.9458*(0.00787*P10)^2.304</f>
        <v>0.0931051985302435</v>
      </c>
      <c r="T10" s="488" t="n">
        <f aca="false">R10+S10</f>
        <v>0.674344150087027</v>
      </c>
      <c r="U10" s="385" t="n">
        <f aca="false">IF(H10&gt;Vout, P10/SQRT(12), SQRT(O10/(1-O10))*SQRT(K10^2+(P10^2)/12))</f>
        <v>5.92923269591488</v>
      </c>
      <c r="V10" s="488" t="n">
        <f aca="false">RCoutEsr*U10^2</f>
        <v>0.17577900181153</v>
      </c>
      <c r="W10" s="488" t="n">
        <f aca="false">V10</f>
        <v>0.17577900181153</v>
      </c>
      <c r="X10" s="488" t="n">
        <f aca="false">IF(H10&gt;Vout, SQRT(N10*(1-N10))*SQRT(K10^2+(P10^2)/12), P10/SQRT(12))</f>
        <v>0.608760294118599</v>
      </c>
      <c r="Y10" s="587" t="n">
        <f aca="false">RCinEsr*X10^2</f>
        <v>0.000741178191390726</v>
      </c>
      <c r="Z10" s="588" t="n">
        <f aca="false">Y10</f>
        <v>0.000741178191390726</v>
      </c>
      <c r="AA10" s="488" t="n">
        <f aca="false">CHOOSE(J10, SQRT(N10)*SQRT(K10^2+(P10^2)/12), SQRT(L10^2+(P10^2)/12), SQRT(N10)*SQRT(M10^2+(P10^2)/12))</f>
        <v>12.8761349259571</v>
      </c>
      <c r="AB10" s="488" t="n">
        <f aca="false">Rdson1*AA10^2</f>
        <v>0.945030648599282</v>
      </c>
      <c r="AC10" s="488" t="n">
        <f aca="false">CHOOSE(J10, (H10*K10/2)*(Fsw)*(Tr_buck+Tf_buck), 0, (H10*M10/2)*(Fsw/2)*(Tr_buck+Tf_buck))</f>
        <v>0</v>
      </c>
      <c r="AD10" s="0" t="n">
        <f aca="false">IF(H10&gt;Vout, IF(K10&gt;P10/2,0,ABS(K10-P10/2)*Vsd_Q1*Deadtime*Fsw),0)</f>
        <v>0</v>
      </c>
      <c r="AE10" s="488" t="n">
        <f aca="false">(AD10+AC10+AB10*(1+RdsonTopTc*Ta-RdsonTopTc*25))/(1-AB10*RdsonTopTc*ThetaJA_Q1)</f>
        <v>1.16527471196895</v>
      </c>
      <c r="AF10" s="488" t="n">
        <f aca="false">CHOOSE(J10, SQRT((1-N10))*SQRT(K10^2+(P10^2)/12), 0, SQRT((1-N10))*SQRT(M10^2+(P10^2)/12))</f>
        <v>0</v>
      </c>
      <c r="AG10" s="488" t="n">
        <f aca="false">Rdson2*AF10^2</f>
        <v>0</v>
      </c>
      <c r="AH10" s="488" t="n">
        <f aca="false">CHOOSE(J10, IF(K10&lt;P10/2,Deadtime*Fsw*IF(VfdSky_Q2&gt;0,0,Vsd_Q2)*(K10+P10/2),2*Deadtime*Fsw*IF(VfdSky_Q2&gt;0,0,Vsd_Q2)*K10),0, IF(K10&lt;P10/2,Deadtime*Fsw/2*IF(VfdSky_Q2&gt;0,0,Vsd_Q2)*(K10+P10/2),2*Deadtime*Fsw/2*IF(VfdSky_Q2&gt;0,0,Vsd_Q2)*K10))</f>
        <v>0</v>
      </c>
      <c r="AI10" s="488" t="n">
        <f aca="false">(AH10+AG10*(1+RdsonBotTc*Ta-RdsonBotTc*25))/(1-AG10*RdsonBotTc*ThetaJA_Q2)</f>
        <v>0</v>
      </c>
      <c r="AJ10" s="488" t="n">
        <f aca="false">CHOOSE(J10, 0, SQRT(O10)*SQRT(L10^2+(P10^2)/12), SQRT(O10)*SQRT(M10^2+(P10^2)/12))</f>
        <v>9.0271542231166</v>
      </c>
      <c r="AK10" s="488" t="n">
        <f aca="false">Rdson4*AJ10^2</f>
        <v>0.15483007539907</v>
      </c>
      <c r="AL10" s="488" t="n">
        <f aca="false">CHOOSE(J10, 0, (Vout*L10/2)*(Fsw)*(Tr_boost+Tf_boost), (Vout*Iout/2)*(Fsw/2)*(Tr_boost+Tf_boost))</f>
        <v>0.149655635636907</v>
      </c>
      <c r="AM10" s="0" t="n">
        <f aca="false">IF(H10&gt;Vout, 0, IF(L10&gt;P10/2,0,ABS(L10-P10/2)*Vsd_Q4*Deadtime*Fsw))</f>
        <v>0</v>
      </c>
      <c r="AN10" s="488" t="n">
        <f aca="false">(AM10+AL10+AK10*(1+RdsonTopTc*Ta-RdsonTopTc*25))/(1-AK10*RdsonTopTc*ThetaJA_Q4)</f>
        <v>0.314215719752137</v>
      </c>
      <c r="AO10" s="488" t="n">
        <f aca="false">CHOOSE(J10, SQRT(Iout^2+(P10^2)/12), SQRT(1-O10)*SQRT(L10^2+(P10^2)/12), SQRT(1-O10)*SQRT(M10^2+(P10^2)/12))</f>
        <v>9.18179379334567</v>
      </c>
      <c r="AP10" s="488" t="n">
        <f aca="false">Rdson3*AO10^2</f>
        <v>0.16018014080069</v>
      </c>
      <c r="AQ10" s="488" t="n">
        <f aca="false">CHOOSE(J10, 0, IF(L10&lt;P10/2,Deadtime*Fsw*IF(VfdSky_Q3&gt;0,0,Vsd_Q3)*(L10+P10/2), 2*Deadtime*Fsw*IF(VfdSky_Q3&gt;0,0,Vsd_Q3)*L10), IF(L10&lt;P10/2,Deadtime*Fsw/2*IF(VfdSky_Q3&gt;0,0,Vsd_Q3)*(L10+P10/2), 2*Deadtime*Fsw/2*IF(VfdSky_Q3&gt;0,0,Vsd_Q3)*L10))</f>
        <v>0.308681672025724</v>
      </c>
      <c r="AR10" s="488" t="n">
        <f aca="false">(AQ10+AP10*(1+RdsonBotTc*Ta-RdsonBotTc*25))/(1-AP10*RdsonBotTc*ThetaJA_Q3)</f>
        <v>0.484379405088004</v>
      </c>
      <c r="AS10" s="488" t="n">
        <f aca="false">CHOOSE(J10, Rdson3*Q10^2, Rdson1*Q10^2, 0)</f>
        <v>0.945030648599282</v>
      </c>
      <c r="AT10" s="488" t="n">
        <f aca="false">CHOOSE(J10, 2*Deadtime*Fsw*IF(VfdSky_Q2&gt;0,VfdSky_Q2,0)*K10, 2*Deadtime*Fsw*IF(VfdSky_Q3&gt;0,VfdSky_Q3,0)*L10, 2*Deadtime*Fsw/2*IF(VfdSky_Q2&gt;0,VfdSky_Q2,0)*K10+2*Deadtime*Fsw/2*IF(VfdSky_Q3&gt;0,VfdSky_Q3,0)*L10)</f>
        <v>0</v>
      </c>
      <c r="AU10" s="488" t="n">
        <f aca="false">CHOOSE(J10, IF(QrrSky_Q2&gt;0,QrrSky_Q2,Qrr_Q2)*Fsw*(H10-K10*Rdson1), IF(QrrSky_Q3&gt;0,QrrSky_Q3,Qrr_Q3)*Fsw*Vout,  IF(QrrSky_Q2&gt;0,QrrSky_Q2,Qrr_Q2)*Fsw/2*(H10-K10*Rdson1)+IF(QrrSky_Q3&gt;0,QrrSky_Q3,Qrr_Q3)*Fsw/2*Vout)</f>
        <v>0.1188</v>
      </c>
      <c r="AV10" s="488" t="n">
        <f aca="false">CHOOSE(J10, Rs*AF10^2, Rs*AJ10^2, Rs*(AF10^2+AJ10^2))</f>
        <v>0.651916106943455</v>
      </c>
      <c r="AW10" s="488" t="n">
        <f aca="false">Rshunt_std/1000*Iout^2</f>
        <v>0.14832</v>
      </c>
      <c r="AX10" s="488" t="n">
        <f aca="false">IF(Vout&gt;8, Iq*Vout, Iq*H10)</f>
        <v>0.036</v>
      </c>
      <c r="AY10" s="488" t="n">
        <f aca="false">CHOOSE(J10, (Qg_Q1+Qg_Q2)*Fsw, (Qg_Q3+Qg_Q4)*Fsw, (Qg_Q1+Qg_Q2+Qg_Q3+Qg_Q4)*Fsw/2)*IF(Vout&gt;8, Vout, H10)</f>
        <v>0.1584</v>
      </c>
      <c r="AZ10" s="488" t="n">
        <f aca="false">(Vin-Vdd)*Fsw*(Qg_Q1+Qg_Q2)+(RdsonDRT+RdsonDRT2)*Fsw*Qg_Q1*Vdd/(RdsonDRT+2*Rgate1+RdsonDRT2)+(RdsonDRB+RdsonDRB2)*Fsw*Qg_Q2*Vdd/(RdsonDRB+2*Rgate2+RdsonDRB2)</f>
        <v>0.0522</v>
      </c>
      <c r="BA10" s="488" t="n">
        <f aca="false">SUM(AX10:AY10)</f>
        <v>0.1944</v>
      </c>
      <c r="BB10" s="488" t="n">
        <f aca="false">SUM(T10,W10,Z10,AE10,AI10,AN10,AR10, AT10,AU10,BA10,AV10,AW10)</f>
        <v>3.9281702738425</v>
      </c>
      <c r="BC10" s="419" t="n">
        <f aca="false">Vout*K10</f>
        <v>72</v>
      </c>
      <c r="BD10" s="589" t="n">
        <f aca="false">BC10/(BC10+BB10)</f>
        <v>0.948264652504134</v>
      </c>
      <c r="BE10" s="590" t="n">
        <f aca="false">IF(H10&gt;Vout,ThetaJA_Q1*(AE10+AU10),ThetaJA_Q4*(AN10+AU10))</f>
        <v>21.6507859876068</v>
      </c>
      <c r="BF10" s="590" t="n">
        <f aca="false">IF(H10&gt;Vout, AI10*ThetaJA_Q2, ThetaJA_Q3*AR10)</f>
        <v>24.2189702544002</v>
      </c>
      <c r="BG10" s="536"/>
      <c r="BH10" s="385" t="n">
        <f aca="false">BD10*100</f>
        <v>94.8264652504134</v>
      </c>
      <c r="BI10" s="488" t="n">
        <f aca="false">T10</f>
        <v>0.674344150087027</v>
      </c>
      <c r="BJ10" s="488" t="n">
        <f aca="false">AE10+AI10+AN10+AR10+AU10</f>
        <v>2.08266983680909</v>
      </c>
      <c r="BK10" s="488" t="n">
        <f aca="false">AI10+AU10*0.33</f>
        <v>0.039204</v>
      </c>
      <c r="BL10" s="488" t="n">
        <f aca="false">AV10</f>
        <v>0.651916106943455</v>
      </c>
      <c r="BQ10" s="591"/>
      <c r="BR10" s="591"/>
      <c r="BS10" s="591"/>
      <c r="BT10" s="592"/>
    </row>
    <row r="11" customFormat="false" ht="12.75" hidden="false" customHeight="false" outlineLevel="0" collapsed="false">
      <c r="A11" s="595" t="s">
        <v>762</v>
      </c>
      <c r="B11" s="596" t="n">
        <f aca="false">Vin</f>
        <v>12</v>
      </c>
      <c r="C11" s="597" t="s">
        <v>11</v>
      </c>
      <c r="D11" s="598" t="s">
        <v>762</v>
      </c>
      <c r="G11" s="0" t="n">
        <v>2</v>
      </c>
      <c r="H11" s="586" t="n">
        <f aca="false">VIN_min+(VIN_max-VIN_min)*(G11/200)</f>
        <v>6.44</v>
      </c>
      <c r="I11" s="385" t="str">
        <f aca="false">IF(H11&gt;VIN_BB_to_buck, "BUCK", IF(H11&lt;VIN_boost_to_BB,"BOOST","BUCK-BST"))</f>
        <v>BOOST</v>
      </c>
      <c r="J11" s="419" t="n">
        <f aca="false">IF(I11="BOOST",2, IF(I11="BUCK", 1,3))</f>
        <v>2</v>
      </c>
      <c r="K11" s="0" t="n">
        <f aca="false">Iout</f>
        <v>6</v>
      </c>
      <c r="L11" s="385" t="n">
        <f aca="false">Vout*K11/(H11*Efficiency)</f>
        <v>12.4223602484472</v>
      </c>
      <c r="M11" s="385" t="n">
        <f aca="false">Iout/(1-O11)</f>
        <v>11.3783478828909</v>
      </c>
      <c r="N11" s="488" t="n">
        <f aca="false">CHOOSE(J11,(Vout+(Rdson2+Rs+Rdcr)*K11)/(H11+(Rs+Rdson2-Rdson1)*K11),1,IF(H11&lt;Vout,D_max_buck_BB,Vout/H11*(1-D_min_boost_exitBB_to_buck)))</f>
        <v>1</v>
      </c>
      <c r="O11" s="488" t="n">
        <f aca="false">CHOOSE(J11,0,(Vout+(Rdson3+Rdcr)*L11-H11)/(Vout+(Rdson3-Rdson4-Rs)*L11),IF(H11&gt;Vout,D_min_boost_exitBB_to_buck, (Vout-H11*D_max_buck_BB)/Vout))</f>
        <v>0.47268267223382</v>
      </c>
      <c r="P11" s="385" t="n">
        <f aca="false">MAX(0, CHOOSE(J11, (H11-(Rdson1+Rdcr)*K11-Vout)*N11/(Fsw*Lf), (H11-(Rdson4+Rdcr+Rs)*L11)*O11/(Fsw*Lf), IF(H11&lt;Vout, (H11-(Rdson4+Rdcr+Rs)*L11)*O11/(0.5*Fsw*Lf),(H11-(Rdson1+Rdcr)*K11-Vout)*N11/(0.5*Fsw*Lf))))</f>
        <v>2.10374085311096</v>
      </c>
      <c r="Q11" s="488" t="n">
        <f aca="false">CHOOSE(J11, SQRT(K11^2+(P11^2)/12), SQRT(L11^2+(P11^2)/12), SQRT(M11^2+(P11^2)/12))</f>
        <v>12.437196010635</v>
      </c>
      <c r="R11" s="488" t="n">
        <f aca="false">(Q11^2*Rdcr*(1+Ltc*Ta-Ltc*25))/(1-Q11^2*Rdcr*Ltc*ThetaCa)</f>
        <v>0.540601667722937</v>
      </c>
      <c r="S11" s="488" t="n">
        <f aca="false">7.759*10^-3*Fsw^0.9458*(0.00787*P11)^2.304</f>
        <v>0.0925906089846484</v>
      </c>
      <c r="T11" s="488" t="n">
        <f aca="false">R11+S11</f>
        <v>0.633192276707585</v>
      </c>
      <c r="U11" s="385" t="n">
        <f aca="false">IF(H11&gt;Vout, P11/SQRT(12), SQRT(O11/(1-O11))*SQRT(K11^2+(P11^2)/12))</f>
        <v>5.709701024957</v>
      </c>
      <c r="V11" s="488" t="n">
        <f aca="false">RCoutEsr*U11^2</f>
        <v>0.163003428971975</v>
      </c>
      <c r="W11" s="488" t="n">
        <f aca="false">V11</f>
        <v>0.163003428971975</v>
      </c>
      <c r="X11" s="488" t="n">
        <f aca="false">IF(H11&gt;Vout, SQRT(N11*(1-N11))*SQRT(K11^2+(P11^2)/12), P11/SQRT(12))</f>
        <v>0.607297673924412</v>
      </c>
      <c r="Y11" s="587" t="n">
        <f aca="false">RCinEsr*X11^2</f>
        <v>0.000737620929508002</v>
      </c>
      <c r="Z11" s="588" t="n">
        <f aca="false">Y11</f>
        <v>0.000737620929508002</v>
      </c>
      <c r="AA11" s="488" t="n">
        <f aca="false">CHOOSE(J11, SQRT(N11)*SQRT(K11^2+(P11^2)/12), SQRT(L11^2+(P11^2)/12), SQRT(N11)*SQRT(M11^2+(P11^2)/12))</f>
        <v>12.437196010635</v>
      </c>
      <c r="AB11" s="488" t="n">
        <f aca="false">Rdson1*AA11^2</f>
        <v>0.881697914259645</v>
      </c>
      <c r="AC11" s="488" t="n">
        <f aca="false">CHOOSE(J11, (H11*K11/2)*(Fsw)*(Tr_buck+Tf_buck), 0, (H11*M11/2)*(Fsw/2)*(Tr_buck+Tf_buck))</f>
        <v>0</v>
      </c>
      <c r="AD11" s="0" t="n">
        <f aca="false">IF(H11&gt;Vout, IF(K11&gt;P11/2,0,ABS(K11-P11/2)*Vsd_Q1*Deadtime*Fsw),0)</f>
        <v>0</v>
      </c>
      <c r="AE11" s="488" t="n">
        <f aca="false">(AD11+AC11+AB11*(1+RdsonTopTc*Ta-RdsonTopTc*25))/(1-AB11*RdsonTopTc*ThetaJA_Q1)</f>
        <v>1.07046289454157</v>
      </c>
      <c r="AF11" s="488" t="n">
        <f aca="false">CHOOSE(J11, SQRT((1-N11))*SQRT(K11^2+(P11^2)/12), 0, SQRT((1-N11))*SQRT(M11^2+(P11^2)/12))</f>
        <v>0</v>
      </c>
      <c r="AG11" s="488" t="n">
        <f aca="false">Rdson2*AF11^2</f>
        <v>0</v>
      </c>
      <c r="AH11" s="488" t="n">
        <f aca="false">CHOOSE(J11, IF(K11&lt;P11/2,Deadtime*Fsw*IF(VfdSky_Q2&gt;0,0,Vsd_Q2)*(K11+P11/2),2*Deadtime*Fsw*IF(VfdSky_Q2&gt;0,0,Vsd_Q2)*K11),0, IF(K11&lt;P11/2,Deadtime*Fsw/2*IF(VfdSky_Q2&gt;0,0,Vsd_Q2)*(K11+P11/2),2*Deadtime*Fsw/2*IF(VfdSky_Q2&gt;0,0,Vsd_Q2)*K11))</f>
        <v>0</v>
      </c>
      <c r="AI11" s="488" t="n">
        <f aca="false">(AH11+AG11*(1+RdsonBotTc*Ta-RdsonBotTc*25))/(1-AG11*RdsonBotTc*ThetaJA_Q2)</f>
        <v>0</v>
      </c>
      <c r="AJ11" s="488" t="n">
        <f aca="false">CHOOSE(J11, 0, SQRT(O11)*SQRT(L11^2+(P11^2)/12), SQRT(O11)*SQRT(M11^2+(P11^2)/12))</f>
        <v>8.55081124924511</v>
      </c>
      <c r="AK11" s="488" t="n">
        <f aca="false">Rdson4*AJ11^2</f>
        <v>0.138921108738412</v>
      </c>
      <c r="AL11" s="488" t="n">
        <f aca="false">CHOOSE(J11, 0, (Vout*L11/2)*(Fsw)*(Tr_boost+Tf_boost), (Vout*Iout/2)*(Fsw/2)*(Tr_boost+Tf_boost))</f>
        <v>0.144543176034404</v>
      </c>
      <c r="AM11" s="0" t="n">
        <f aca="false">IF(H11&gt;Vout, 0, IF(L11&gt;P11/2,0,ABS(L11-P11/2)*Vsd_Q4*Deadtime*Fsw))</f>
        <v>0</v>
      </c>
      <c r="AN11" s="488" t="n">
        <f aca="false">(AM11+AL11+AK11*(1+RdsonTopTc*Ta-RdsonTopTc*25))/(1-AK11*RdsonTopTc*ThetaJA_Q4)</f>
        <v>0.291565196856174</v>
      </c>
      <c r="AO11" s="488" t="n">
        <f aca="false">CHOOSE(J11, SQRT(Iout^2+(P11^2)/12), SQRT(1-O11)*SQRT(L11^2+(P11^2)/12), SQRT(1-O11)*SQRT(M11^2+(P11^2)/12))</f>
        <v>9.03147117510423</v>
      </c>
      <c r="AP11" s="488" t="n">
        <f aca="false">Rdson3*AO11^2</f>
        <v>0.154978196014803</v>
      </c>
      <c r="AQ11" s="488" t="n">
        <f aca="false">CHOOSE(J11, 0, IF(L11&lt;P11/2,Deadtime*Fsw*IF(VfdSky_Q3&gt;0,0,Vsd_Q3)*(L11+P11/2), 2*Deadtime*Fsw*IF(VfdSky_Q3&gt;0,0,Vsd_Q3)*L11), IF(L11&lt;P11/2,Deadtime*Fsw/2*IF(VfdSky_Q3&gt;0,0,Vsd_Q3)*(L11+P11/2), 2*Deadtime*Fsw/2*IF(VfdSky_Q3&gt;0,0,Vsd_Q3)*L11))</f>
        <v>0.298136645962733</v>
      </c>
      <c r="AR11" s="488" t="n">
        <f aca="false">(AQ11+AP11*(1+RdsonBotTc*Ta-RdsonBotTc*25))/(1-AP11*RdsonBotTc*ThetaJA_Q3)</f>
        <v>0.467608671652245</v>
      </c>
      <c r="AS11" s="488" t="n">
        <f aca="false">CHOOSE(J11, Rdson3*Q11^2, Rdson1*Q11^2, 0)</f>
        <v>0.881697914259645</v>
      </c>
      <c r="AT11" s="488" t="n">
        <f aca="false">CHOOSE(J11, 2*Deadtime*Fsw*IF(VfdSky_Q2&gt;0,VfdSky_Q2,0)*K11, 2*Deadtime*Fsw*IF(VfdSky_Q3&gt;0,VfdSky_Q3,0)*L11, 2*Deadtime*Fsw/2*IF(VfdSky_Q2&gt;0,VfdSky_Q2,0)*K11+2*Deadtime*Fsw/2*IF(VfdSky_Q3&gt;0,VfdSky_Q3,0)*L11)</f>
        <v>0</v>
      </c>
      <c r="AU11" s="488" t="n">
        <f aca="false">CHOOSE(J11, IF(QrrSky_Q2&gt;0,QrrSky_Q2,Qrr_Q2)*Fsw*(H11-K11*Rdson1), IF(QrrSky_Q3&gt;0,QrrSky_Q3,Qrr_Q3)*Fsw*Vout,  IF(QrrSky_Q2&gt;0,QrrSky_Q2,Qrr_Q2)*Fsw/2*(H11-K11*Rdson1)+IF(QrrSky_Q3&gt;0,QrrSky_Q3,Qrr_Q3)*Fsw/2*Vout)</f>
        <v>0.1188</v>
      </c>
      <c r="AV11" s="488" t="n">
        <f aca="false">CHOOSE(J11, Rs*AF11^2, Rs*AJ11^2, Rs*(AF11^2+AJ11^2))</f>
        <v>0.584930984161733</v>
      </c>
      <c r="AW11" s="488" t="n">
        <f aca="false">Rshunt_std/1000*Iout^2</f>
        <v>0.14832</v>
      </c>
      <c r="AX11" s="488" t="n">
        <f aca="false">IF(Vout&gt;8, Iq*Vout, Iq*H11)</f>
        <v>0.036</v>
      </c>
      <c r="AY11" s="488" t="n">
        <f aca="false">CHOOSE(J11, (Qg_Q1+Qg_Q2)*Fsw, (Qg_Q3+Qg_Q4)*Fsw, (Qg_Q1+Qg_Q2+Qg_Q3+Qg_Q4)*Fsw/2)*IF(Vout&gt;8, Vout, H11)</f>
        <v>0.1584</v>
      </c>
      <c r="AZ11" s="488" t="n">
        <f aca="false">(Vin-Vdd)*Fsw*(Qg_Q1+Qg_Q2)+(RdsonDRT+RdsonDRT2)*Fsw*Qg_Q1*Vdd/(RdsonDRT+2*Rgate1+RdsonDRT2)+(RdsonDRB+RdsonDRB2)*Fsw*Qg_Q2*Vdd/(RdsonDRB+2*Rgate2+RdsonDRB2)</f>
        <v>0.0522</v>
      </c>
      <c r="BA11" s="488" t="n">
        <f aca="false">SUM(AX11:AY11)</f>
        <v>0.1944</v>
      </c>
      <c r="BB11" s="488" t="n">
        <f aca="false">SUM(T11,W11,Z11,AE11,AI11,AN11,AR11, AT11,AU11,BA11,AV11,AW11)</f>
        <v>3.6730210738208</v>
      </c>
      <c r="BC11" s="419" t="n">
        <f aca="false">Vout*K11</f>
        <v>72</v>
      </c>
      <c r="BD11" s="589" t="n">
        <f aca="false">BC11/(BC11+BB11)</f>
        <v>0.951461947445739</v>
      </c>
      <c r="BE11" s="590" t="n">
        <f aca="false">IF(H11&gt;Vout,ThetaJA_Q1*(AE11+AU11),ThetaJA_Q4*(AN11+AU11))</f>
        <v>20.5182598428087</v>
      </c>
      <c r="BF11" s="590" t="n">
        <f aca="false">IF(H11&gt;Vout, AI11*ThetaJA_Q2, ThetaJA_Q3*AR11)</f>
        <v>23.3804335826122</v>
      </c>
      <c r="BG11" s="536"/>
      <c r="BH11" s="385" t="n">
        <f aca="false">BD11*100</f>
        <v>95.1461947445739</v>
      </c>
      <c r="BI11" s="488" t="n">
        <f aca="false">T11</f>
        <v>0.633192276707585</v>
      </c>
      <c r="BJ11" s="488" t="n">
        <f aca="false">AE11+AI11+AN11+AR11+AU11</f>
        <v>1.94843676304999</v>
      </c>
      <c r="BK11" s="488" t="n">
        <f aca="false">AI11+AU11*0.33</f>
        <v>0.039204</v>
      </c>
      <c r="BL11" s="488" t="n">
        <f aca="false">AV11</f>
        <v>0.584930984161733</v>
      </c>
      <c r="BP11" s="0" t="s">
        <v>814</v>
      </c>
      <c r="BQ11" s="591" t="n">
        <v>90</v>
      </c>
      <c r="BR11" s="591" t="n">
        <v>90</v>
      </c>
      <c r="BS11" s="591" t="n">
        <v>90</v>
      </c>
      <c r="BT11" s="592" t="n">
        <f aca="false">250000*(12-Vdd)*BS11/1000000000+((250000*BS9/1000000000*Vdd)*2.5/(2*4))</f>
        <v>0.142265625</v>
      </c>
      <c r="BU11" s="0" t="n">
        <f aca="false">BU$6*$BT11</f>
        <v>11.38125</v>
      </c>
      <c r="BV11" s="0" t="n">
        <f aca="false">BV$6*$BT11</f>
        <v>14.2265625</v>
      </c>
      <c r="BW11" s="0" t="n">
        <f aca="false">BW$6*$BT11</f>
        <v>17.071875</v>
      </c>
      <c r="BX11" s="0" t="n">
        <f aca="false">BX$6*$BT11</f>
        <v>19.9171875</v>
      </c>
      <c r="BY11" s="0" t="n">
        <f aca="false">BY$6*$BT11</f>
        <v>22.7625</v>
      </c>
      <c r="BZ11" s="0" t="n">
        <f aca="false">BZ$6*$BT11</f>
        <v>25.6078125</v>
      </c>
      <c r="CA11" s="0" t="n">
        <f aca="false">CA$6*$BT11</f>
        <v>2.8453125</v>
      </c>
      <c r="CB11" s="0" t="n">
        <f aca="false">CB$6*$BT11</f>
        <v>4.26796875</v>
      </c>
      <c r="CC11" s="0" t="n">
        <f aca="false">CC$6*$BT11</f>
        <v>5.690625</v>
      </c>
      <c r="CD11" s="0" t="n">
        <f aca="false">CD$6*$BT11</f>
        <v>7.11328125</v>
      </c>
    </row>
    <row r="12" customFormat="false" ht="12.75" hidden="false" customHeight="false" outlineLevel="0" collapsed="false">
      <c r="A12" s="599" t="s">
        <v>216</v>
      </c>
      <c r="B12" s="596" t="n">
        <f aca="false">Vout</f>
        <v>12</v>
      </c>
      <c r="C12" s="597" t="s">
        <v>11</v>
      </c>
      <c r="D12" s="598" t="s">
        <v>216</v>
      </c>
      <c r="G12" s="0" t="n">
        <v>3</v>
      </c>
      <c r="H12" s="586" t="n">
        <f aca="false">VIN_min+(VIN_max-VIN_min)*(G12/200)</f>
        <v>6.66</v>
      </c>
      <c r="I12" s="385" t="str">
        <f aca="false">IF(H12&gt;VIN_BB_to_buck, "BUCK", IF(H12&lt;VIN_boost_to_BB,"BOOST","BUCK-BST"))</f>
        <v>BOOST</v>
      </c>
      <c r="J12" s="419" t="n">
        <f aca="false">IF(I12="BOOST",2, IF(I12="BUCK", 1,3))</f>
        <v>2</v>
      </c>
      <c r="K12" s="0" t="n">
        <f aca="false">Iout</f>
        <v>6</v>
      </c>
      <c r="L12" s="385" t="n">
        <f aca="false">Vout*K12/(H12*Efficiency)</f>
        <v>12.012012012012</v>
      </c>
      <c r="M12" s="385" t="n">
        <f aca="false">Iout/(1-O12)</f>
        <v>10.9867977346428</v>
      </c>
      <c r="N12" s="488" t="n">
        <f aca="false">CHOOSE(J12,(Vout+(Rdson2+Rs+Rdcr)*K12)/(H12+(Rs+Rdson2-Rdson1)*K12),1,IF(H12&lt;Vout,D_max_buck_BB,Vout/H12*(1-D_min_boost_exitBB_to_buck)))</f>
        <v>1</v>
      </c>
      <c r="O12" s="488" t="n">
        <f aca="false">CHOOSE(J12,0,(Vout+(Rdson3+Rdcr)*L12-H12)/(Vout+(Rdson3-Rdson4-Rs)*L12),IF(H12&gt;Vout,D_min_boost_exitBB_to_buck, (Vout-H12*D_max_buck_BB)/Vout))</f>
        <v>0.453890010090817</v>
      </c>
      <c r="P12" s="385" t="n">
        <f aca="false">MAX(0, CHOOSE(J12, (H12-(Rdson1+Rdcr)*K12-Vout)*N12/(Fsw*Lf), (H12-(Rdson4+Rdcr+Rs)*L12)*O12/(Fsw*Lf), IF(H12&lt;Vout, (H12-(Rdson4+Rdcr+Rs)*L12)*O12/(0.5*Fsw*Lf),(H12-(Rdson1+Rdcr)*K12-Vout)*N12/(0.5*Fsw*Lf))))</f>
        <v>2.09267142897025</v>
      </c>
      <c r="Q12" s="488" t="n">
        <f aca="false">CHOOSE(J12, SQRT(K12^2+(P12^2)/12), SQRT(L12^2+(P12^2)/12), SQRT(M12^2+(P12^2)/12))</f>
        <v>12.0271930246639</v>
      </c>
      <c r="R12" s="488" t="n">
        <f aca="false">(Q12^2*Rdcr*(1+Ltc*Ta-Ltc*25))/(1-Q12^2*Rdcr*Ltc*ThetaCa)</f>
        <v>0.504132555436173</v>
      </c>
      <c r="S12" s="488" t="n">
        <f aca="false">7.759*10^-3*Fsw^0.9458*(0.00787*P12)^2.304</f>
        <v>0.0914719685503348</v>
      </c>
      <c r="T12" s="488" t="n">
        <f aca="false">R12+S12</f>
        <v>0.595604523986508</v>
      </c>
      <c r="U12" s="385" t="n">
        <f aca="false">IF(H12&gt;Vout, P12/SQRT(12), SQRT(O12/(1-O12))*SQRT(K12^2+(P12^2)/12))</f>
        <v>5.49764491696752</v>
      </c>
      <c r="V12" s="488" t="n">
        <f aca="false">RCoutEsr*U12^2</f>
        <v>0.151120498165294</v>
      </c>
      <c r="W12" s="488" t="n">
        <f aca="false">V12</f>
        <v>0.151120498165294</v>
      </c>
      <c r="X12" s="488" t="n">
        <f aca="false">IF(H12&gt;Vout, SQRT(N12*(1-N12))*SQRT(K12^2+(P12^2)/12), P12/SQRT(12))</f>
        <v>0.604102206420705</v>
      </c>
      <c r="Y12" s="587" t="n">
        <f aca="false">RCinEsr*X12^2</f>
        <v>0.000729878951604729</v>
      </c>
      <c r="Z12" s="588" t="n">
        <f aca="false">Y12</f>
        <v>0.000729878951604729</v>
      </c>
      <c r="AA12" s="488" t="n">
        <f aca="false">CHOOSE(J12, SQRT(N12)*SQRT(K12^2+(P12^2)/12), SQRT(L12^2+(P12^2)/12), SQRT(N12)*SQRT(M12^2+(P12^2)/12))</f>
        <v>12.0271930246639</v>
      </c>
      <c r="AB12" s="488" t="n">
        <f aca="false">Rdson1*AA12^2</f>
        <v>0.824524220699383</v>
      </c>
      <c r="AC12" s="488" t="n">
        <f aca="false">CHOOSE(J12, (H12*K12/2)*(Fsw)*(Tr_buck+Tf_buck), 0, (H12*M12/2)*(Fsw/2)*(Tr_buck+Tf_buck))</f>
        <v>0</v>
      </c>
      <c r="AD12" s="0" t="n">
        <f aca="false">IF(H12&gt;Vout, IF(K12&gt;P12/2,0,ABS(K12-P12/2)*Vsd_Q1*Deadtime*Fsw),0)</f>
        <v>0</v>
      </c>
      <c r="AE12" s="488" t="n">
        <f aca="false">(AD12+AC12+AB12*(1+RdsonTopTc*Ta-RdsonTopTc*25))/(1-AB12*RdsonTopTc*ThetaJA_Q1)</f>
        <v>0.987341639947782</v>
      </c>
      <c r="AF12" s="488" t="n">
        <f aca="false">CHOOSE(J12, SQRT((1-N12))*SQRT(K12^2+(P12^2)/12), 0, SQRT((1-N12))*SQRT(M12^2+(P12^2)/12))</f>
        <v>0</v>
      </c>
      <c r="AG12" s="488" t="n">
        <f aca="false">Rdson2*AF12^2</f>
        <v>0</v>
      </c>
      <c r="AH12" s="488" t="n">
        <f aca="false">CHOOSE(J12, IF(K12&lt;P12/2,Deadtime*Fsw*IF(VfdSky_Q2&gt;0,0,Vsd_Q2)*(K12+P12/2),2*Deadtime*Fsw*IF(VfdSky_Q2&gt;0,0,Vsd_Q2)*K12),0, IF(K12&lt;P12/2,Deadtime*Fsw/2*IF(VfdSky_Q2&gt;0,0,Vsd_Q2)*(K12+P12/2),2*Deadtime*Fsw/2*IF(VfdSky_Q2&gt;0,0,Vsd_Q2)*K12))</f>
        <v>0</v>
      </c>
      <c r="AI12" s="488" t="n">
        <f aca="false">(AH12+AG12*(1+RdsonBotTc*Ta-RdsonBotTc*25))/(1-AG12*RdsonBotTc*ThetaJA_Q2)</f>
        <v>0</v>
      </c>
      <c r="AJ12" s="488" t="n">
        <f aca="false">CHOOSE(J12, 0, SQRT(O12)*SQRT(L12^2+(P12^2)/12), SQRT(O12)*SQRT(M12^2+(P12^2)/12))</f>
        <v>8.10288346828402</v>
      </c>
      <c r="AK12" s="488" t="n">
        <f aca="false">Rdson4*AJ12^2</f>
        <v>0.124747768951122</v>
      </c>
      <c r="AL12" s="488" t="n">
        <f aca="false">CHOOSE(J12, 0, (Vout*L12/2)*(Fsw)*(Tr_boost+Tf_boost), (Vout*Iout/2)*(Fsw/2)*(Tr_boost+Tf_boost))</f>
        <v>0.13976847652576</v>
      </c>
      <c r="AM12" s="0" t="n">
        <f aca="false">IF(H12&gt;Vout, 0, IF(L12&gt;P12/2,0,ABS(L12-P12/2)*Vsd_Q4*Deadtime*Fsw))</f>
        <v>0</v>
      </c>
      <c r="AN12" s="488" t="n">
        <f aca="false">(AM12+AL12+AK12*(1+RdsonTopTc*Ta-RdsonTopTc*25))/(1-AK12*RdsonTopTc*ThetaJA_Q4)</f>
        <v>0.27128467712118</v>
      </c>
      <c r="AO12" s="488" t="n">
        <f aca="false">CHOOSE(J12, SQRT(Iout^2+(P12^2)/12), SQRT(1-O12)*SQRT(L12^2+(P12^2)/12), SQRT(1-O12)*SQRT(M12^2+(P12^2)/12))</f>
        <v>8.8880060503992</v>
      </c>
      <c r="AP12" s="488" t="n">
        <f aca="false">Rdson3*AO12^2</f>
        <v>0.150093637948672</v>
      </c>
      <c r="AQ12" s="488" t="n">
        <f aca="false">CHOOSE(J12, 0, IF(L12&lt;P12/2,Deadtime*Fsw*IF(VfdSky_Q3&gt;0,0,Vsd_Q3)*(L12+P12/2), 2*Deadtime*Fsw*IF(VfdSky_Q3&gt;0,0,Vsd_Q3)*L12), IF(L12&lt;P12/2,Deadtime*Fsw/2*IF(VfdSky_Q3&gt;0,0,Vsd_Q3)*(L12+P12/2), 2*Deadtime*Fsw/2*IF(VfdSky_Q3&gt;0,0,Vsd_Q3)*L12))</f>
        <v>0.288288288288288</v>
      </c>
      <c r="AR12" s="488" t="n">
        <f aca="false">(AQ12+AP12*(1+RdsonBotTc*Ta-RdsonBotTc*25))/(1-AP12*RdsonBotTc*ThetaJA_Q3)</f>
        <v>0.451948855824447</v>
      </c>
      <c r="AS12" s="488" t="n">
        <f aca="false">CHOOSE(J12, Rdson3*Q12^2, Rdson1*Q12^2, 0)</f>
        <v>0.824524220699383</v>
      </c>
      <c r="AT12" s="488" t="n">
        <f aca="false">CHOOSE(J12, 2*Deadtime*Fsw*IF(VfdSky_Q2&gt;0,VfdSky_Q2,0)*K12, 2*Deadtime*Fsw*IF(VfdSky_Q3&gt;0,VfdSky_Q3,0)*L12, 2*Deadtime*Fsw/2*IF(VfdSky_Q2&gt;0,VfdSky_Q2,0)*K12+2*Deadtime*Fsw/2*IF(VfdSky_Q3&gt;0,VfdSky_Q3,0)*L12)</f>
        <v>0</v>
      </c>
      <c r="AU12" s="488" t="n">
        <f aca="false">CHOOSE(J12, IF(QrrSky_Q2&gt;0,QrrSky_Q2,Qrr_Q2)*Fsw*(H12-K12*Rdson1), IF(QrrSky_Q3&gt;0,QrrSky_Q3,Qrr_Q3)*Fsw*Vout,  IF(QrrSky_Q2&gt;0,QrrSky_Q2,Qrr_Q2)*Fsw/2*(H12-K12*Rdson1)+IF(QrrSky_Q3&gt;0,QrrSky_Q3,Qrr_Q3)*Fsw/2*Vout)</f>
        <v>0.1188</v>
      </c>
      <c r="AV12" s="488" t="n">
        <f aca="false">CHOOSE(J12, Rs*AF12^2, Rs*AJ12^2, Rs*(AF12^2+AJ12^2))</f>
        <v>0.525253764004724</v>
      </c>
      <c r="AW12" s="488" t="n">
        <f aca="false">Rshunt_std/1000*Iout^2</f>
        <v>0.14832</v>
      </c>
      <c r="AX12" s="488" t="n">
        <f aca="false">IF(Vout&gt;8, Iq*Vout, Iq*H12)</f>
        <v>0.036</v>
      </c>
      <c r="AY12" s="488" t="n">
        <f aca="false">CHOOSE(J12, (Qg_Q1+Qg_Q2)*Fsw, (Qg_Q3+Qg_Q4)*Fsw, (Qg_Q1+Qg_Q2+Qg_Q3+Qg_Q4)*Fsw/2)*IF(Vout&gt;8, Vout, H12)</f>
        <v>0.1584</v>
      </c>
      <c r="AZ12" s="488" t="n">
        <f aca="false">(Vin-Vdd)*Fsw*(Qg_Q1+Qg_Q2)+(RdsonDRT+RdsonDRT2)*Fsw*Qg_Q1*Vdd/(RdsonDRT+2*Rgate1+RdsonDRT2)+(RdsonDRB+RdsonDRB2)*Fsw*Qg_Q2*Vdd/(RdsonDRB+2*Rgate2+RdsonDRB2)</f>
        <v>0.0522</v>
      </c>
      <c r="BA12" s="488" t="n">
        <f aca="false">SUM(AX12:AY12)</f>
        <v>0.1944</v>
      </c>
      <c r="BB12" s="488" t="n">
        <f aca="false">SUM(T12,W12,Z12,AE12,AI12,AN12,AR12, AT12,AU12,BA12,AV12,AW12)</f>
        <v>3.44480383800154</v>
      </c>
      <c r="BC12" s="419" t="n">
        <f aca="false">Vout*K12</f>
        <v>72</v>
      </c>
      <c r="BD12" s="589" t="n">
        <f aca="false">BC12/(BC12+BB12)</f>
        <v>0.954340078272344</v>
      </c>
      <c r="BE12" s="590" t="n">
        <f aca="false">IF(H12&gt;Vout,ThetaJA_Q1*(AE12+AU12),ThetaJA_Q4*(AN12+AU12))</f>
        <v>19.504233856059</v>
      </c>
      <c r="BF12" s="590" t="n">
        <f aca="false">IF(H12&gt;Vout, AI12*ThetaJA_Q2, ThetaJA_Q3*AR12)</f>
        <v>22.5974427912223</v>
      </c>
      <c r="BG12" s="536"/>
      <c r="BH12" s="385" t="n">
        <f aca="false">BD12*100</f>
        <v>95.4340078272344</v>
      </c>
      <c r="BI12" s="488" t="n">
        <f aca="false">T12</f>
        <v>0.595604523986508</v>
      </c>
      <c r="BJ12" s="488" t="n">
        <f aca="false">AE12+AI12+AN12+AR12+AU12</f>
        <v>1.82937517289341</v>
      </c>
      <c r="BK12" s="488" t="n">
        <f aca="false">AI12+AU12*0.33</f>
        <v>0.039204</v>
      </c>
      <c r="BL12" s="488" t="n">
        <f aca="false">AV12</f>
        <v>0.525253764004724</v>
      </c>
      <c r="BP12" s="0" t="s">
        <v>815</v>
      </c>
      <c r="BQ12" s="591" t="n">
        <v>60</v>
      </c>
      <c r="BR12" s="591" t="n">
        <v>60</v>
      </c>
      <c r="BS12" s="591" t="n">
        <v>60</v>
      </c>
      <c r="BT12" s="592" t="n">
        <f aca="false">250000*(18-Vdd)*BS12/1000000000+((250000*BS9/1000000000*Vdd)*2.5/(2*4))</f>
        <v>0.198515625</v>
      </c>
      <c r="BU12" s="0" t="n">
        <f aca="false">BU$6*$BT12</f>
        <v>15.88125</v>
      </c>
      <c r="BV12" s="0" t="n">
        <f aca="false">BV$6*$BT12</f>
        <v>19.8515625</v>
      </c>
      <c r="BW12" s="0" t="n">
        <f aca="false">BW$6*$BT12</f>
        <v>23.821875</v>
      </c>
      <c r="BX12" s="0" t="n">
        <f aca="false">BX$6*$BT12</f>
        <v>27.7921875</v>
      </c>
      <c r="BY12" s="0" t="n">
        <f aca="false">BY$6*$BT12</f>
        <v>31.7625</v>
      </c>
      <c r="BZ12" s="0" t="n">
        <f aca="false">BZ$6*$BT12</f>
        <v>35.7328125</v>
      </c>
      <c r="CA12" s="0" t="n">
        <f aca="false">CA$6*$BT12</f>
        <v>3.9703125</v>
      </c>
      <c r="CB12" s="0" t="n">
        <f aca="false">CB$6*$BT12</f>
        <v>5.95546875</v>
      </c>
      <c r="CC12" s="0" t="n">
        <f aca="false">CC$6*$BT12</f>
        <v>7.940625</v>
      </c>
      <c r="CD12" s="0" t="n">
        <f aca="false">CD$6*$BT12</f>
        <v>9.92578125</v>
      </c>
    </row>
    <row r="13" customFormat="false" ht="12.75" hidden="false" customHeight="false" outlineLevel="0" collapsed="false">
      <c r="A13" s="599" t="s">
        <v>232</v>
      </c>
      <c r="B13" s="596" t="n">
        <f aca="false">Fsw/1000</f>
        <v>300</v>
      </c>
      <c r="C13" s="597" t="s">
        <v>18</v>
      </c>
      <c r="D13" s="598" t="s">
        <v>17</v>
      </c>
      <c r="G13" s="0" t="n">
        <v>4</v>
      </c>
      <c r="H13" s="586" t="n">
        <f aca="false">VIN_min+(VIN_max-VIN_min)*(G13/200)</f>
        <v>6.88</v>
      </c>
      <c r="I13" s="385" t="str">
        <f aca="false">IF(H13&gt;VIN_BB_to_buck, "BUCK", IF(H13&lt;VIN_boost_to_BB,"BOOST","BUCK-BST"))</f>
        <v>BOOST</v>
      </c>
      <c r="J13" s="419" t="n">
        <f aca="false">IF(I13="BOOST",2, IF(I13="BUCK", 1,3))</f>
        <v>2</v>
      </c>
      <c r="K13" s="0" t="n">
        <f aca="false">Iout</f>
        <v>6</v>
      </c>
      <c r="L13" s="385" t="n">
        <f aca="false">Vout*K13/(H13*Efficiency)</f>
        <v>11.6279069767442</v>
      </c>
      <c r="M13" s="385" t="n">
        <f aca="false">Iout/(1-O13)</f>
        <v>10.621855712878</v>
      </c>
      <c r="N13" s="488" t="n">
        <f aca="false">CHOOSE(J13,(Vout+(Rdson2+Rs+Rdcr)*K13)/(H13+(Rs+Rdson2-Rdson1)*K13),1,IF(H13&lt;Vout,D_max_buck_BB,Vout/H13*(1-D_min_boost_exitBB_to_buck)))</f>
        <v>1</v>
      </c>
      <c r="O13" s="488" t="n">
        <f aca="false">CHOOSE(J13,0,(Vout+(Rdson3+Rdcr)*L13-H13)/(Vout+(Rdson3-Rdson4-Rs)*L13),IF(H13&gt;Vout,D_min_boost_exitBB_to_buck, (Vout-H13*D_max_buck_BB)/Vout))</f>
        <v>0.435126953125</v>
      </c>
      <c r="P13" s="385" t="n">
        <f aca="false">MAX(0, CHOOSE(J13, (H13-(Rdson1+Rdcr)*K13-Vout)*N13/(Fsw*Lf), (H13-(Rdson4+Rdcr+Rs)*L13)*O13/(Fsw*Lf), IF(H13&lt;Vout, (H13-(Rdson4+Rdcr+Rs)*L13)*O13/(0.5*Fsw*Lf),(H13-(Rdson1+Rdcr)*K13-Vout)*N13/(0.5*Fsw*Lf))))</f>
        <v>2.07562661632932</v>
      </c>
      <c r="Q13" s="488" t="n">
        <f aca="false">CHOOSE(J13, SQRT(K13^2+(P13^2)/12), SQRT(L13^2+(P13^2)/12), SQRT(M13^2+(P13^2)/12))</f>
        <v>11.6433345516087</v>
      </c>
      <c r="R13" s="488" t="n">
        <f aca="false">(Q13^2*Rdcr*(1+Ltc*Ta-Ltc*25))/(1-Q13^2*Rdcr*Ltc*ThetaCa)</f>
        <v>0.471272535531904</v>
      </c>
      <c r="S13" s="488" t="n">
        <f aca="false">7.759*10^-3*Fsw^0.9458*(0.00787*P13)^2.304</f>
        <v>0.0897645062674769</v>
      </c>
      <c r="T13" s="488" t="n">
        <f aca="false">R13+S13</f>
        <v>0.561037041799381</v>
      </c>
      <c r="U13" s="385" t="n">
        <f aca="false">IF(H13&gt;Vout, P13/SQRT(12), SQRT(O13/(1-O13))*SQRT(K13^2+(P13^2)/12))</f>
        <v>5.29222919086506</v>
      </c>
      <c r="V13" s="488" t="n">
        <f aca="false">RCoutEsr*U13^2</f>
        <v>0.140038449043221</v>
      </c>
      <c r="W13" s="488" t="n">
        <f aca="false">V13</f>
        <v>0.140038449043221</v>
      </c>
      <c r="X13" s="488" t="n">
        <f aca="false">IF(H13&gt;Vout, SQRT(N13*(1-N13))*SQRT(K13^2+(P13^2)/12), P13/SQRT(12))</f>
        <v>0.599181792837444</v>
      </c>
      <c r="Y13" s="587" t="n">
        <f aca="false">RCinEsr*X13^2</f>
        <v>0.000718037641735787</v>
      </c>
      <c r="Z13" s="588" t="n">
        <f aca="false">Y13</f>
        <v>0.000718037641735787</v>
      </c>
      <c r="AA13" s="488" t="n">
        <f aca="false">CHOOSE(J13, SQRT(N13)*SQRT(K13^2+(P13^2)/12), SQRT(L13^2+(P13^2)/12), SQRT(N13)*SQRT(M13^2+(P13^2)/12))</f>
        <v>11.6433345516087</v>
      </c>
      <c r="AB13" s="488" t="n">
        <f aca="false">Rdson1*AA13^2</f>
        <v>0.772733265039899</v>
      </c>
      <c r="AC13" s="488" t="n">
        <f aca="false">CHOOSE(J13, (H13*K13/2)*(Fsw)*(Tr_buck+Tf_buck), 0, (H13*M13/2)*(Fsw/2)*(Tr_buck+Tf_buck))</f>
        <v>0</v>
      </c>
      <c r="AD13" s="0" t="n">
        <f aca="false">IF(H13&gt;Vout, IF(K13&gt;P13/2,0,ABS(K13-P13/2)*Vsd_Q1*Deadtime*Fsw),0)</f>
        <v>0</v>
      </c>
      <c r="AE13" s="488" t="n">
        <f aca="false">(AD13+AC13+AB13*(1+RdsonTopTc*Ta-RdsonTopTc*25))/(1-AB13*RdsonTopTc*ThetaJA_Q1)</f>
        <v>0.913986877914852</v>
      </c>
      <c r="AF13" s="488" t="n">
        <f aca="false">CHOOSE(J13, SQRT((1-N13))*SQRT(K13^2+(P13^2)/12), 0, SQRT((1-N13))*SQRT(M13^2+(P13^2)/12))</f>
        <v>0</v>
      </c>
      <c r="AG13" s="488" t="n">
        <f aca="false">Rdson2*AF13^2</f>
        <v>0</v>
      </c>
      <c r="AH13" s="488" t="n">
        <f aca="false">CHOOSE(J13, IF(K13&lt;P13/2,Deadtime*Fsw*IF(VfdSky_Q2&gt;0,0,Vsd_Q2)*(K13+P13/2),2*Deadtime*Fsw*IF(VfdSky_Q2&gt;0,0,Vsd_Q2)*K13),0, IF(K13&lt;P13/2,Deadtime*Fsw/2*IF(VfdSky_Q2&gt;0,0,Vsd_Q2)*(K13+P13/2),2*Deadtime*Fsw/2*IF(VfdSky_Q2&gt;0,0,Vsd_Q2)*K13))</f>
        <v>0</v>
      </c>
      <c r="AI13" s="488" t="n">
        <f aca="false">(AH13+AG13*(1+RdsonBotTc*Ta-RdsonBotTc*25))/(1-AG13*RdsonBotTc*ThetaJA_Q2)</f>
        <v>0</v>
      </c>
      <c r="AJ13" s="488" t="n">
        <f aca="false">CHOOSE(J13, 0, SQRT(O13)*SQRT(L13^2+(P13^2)/12), SQRT(O13)*SQRT(M13^2+(P13^2)/12))</f>
        <v>7.68042706226661</v>
      </c>
      <c r="AK13" s="488" t="n">
        <f aca="false">Rdson4*AJ13^2</f>
        <v>0.112079023731715</v>
      </c>
      <c r="AL13" s="488" t="n">
        <f aca="false">CHOOSE(J13, 0, (Vout*L13/2)*(Fsw)*(Tr_boost+Tf_boost), (Vout*Iout/2)*(Fsw/2)*(Tr_boost+Tf_boost))</f>
        <v>0.135299135706622</v>
      </c>
      <c r="AM13" s="0" t="n">
        <f aca="false">IF(H13&gt;Vout, 0, IF(L13&gt;P13/2,0,ABS(L13-P13/2)*Vsd_Q4*Deadtime*Fsw))</f>
        <v>0</v>
      </c>
      <c r="AN13" s="488" t="n">
        <f aca="false">(AM13+AL13+AK13*(1+RdsonTopTc*Ta-RdsonTopTc*25))/(1-AK13*RdsonTopTc*ThetaJA_Q4)</f>
        <v>0.253050489808859</v>
      </c>
      <c r="AO13" s="488" t="n">
        <f aca="false">CHOOSE(J13, SQRT(Iout^2+(P13^2)/12), SQRT(1-O13)*SQRT(L13^2+(P13^2)/12), SQRT(1-O13)*SQRT(M13^2+(P13^2)/12))</f>
        <v>8.75090164622405</v>
      </c>
      <c r="AP13" s="488" t="n">
        <f aca="false">Rdson3*AO13^2</f>
        <v>0.145498731281585</v>
      </c>
      <c r="AQ13" s="488" t="n">
        <f aca="false">CHOOSE(J13, 0, IF(L13&lt;P13/2,Deadtime*Fsw*IF(VfdSky_Q3&gt;0,0,Vsd_Q3)*(L13+P13/2), 2*Deadtime*Fsw*IF(VfdSky_Q3&gt;0,0,Vsd_Q3)*L13), IF(L13&lt;P13/2,Deadtime*Fsw/2*IF(VfdSky_Q3&gt;0,0,Vsd_Q3)*(L13+P13/2), 2*Deadtime*Fsw/2*IF(VfdSky_Q3&gt;0,0,Vsd_Q3)*L13))</f>
        <v>0.27906976744186</v>
      </c>
      <c r="AR13" s="488" t="n">
        <f aca="false">(AQ13+AP13*(1+RdsonBotTc*Ta-RdsonBotTc*25))/(1-AP13*RdsonBotTc*ThetaJA_Q3)</f>
        <v>0.43729363246776</v>
      </c>
      <c r="AS13" s="488" t="n">
        <f aca="false">CHOOSE(J13, Rdson3*Q13^2, Rdson1*Q13^2, 0)</f>
        <v>0.772733265039899</v>
      </c>
      <c r="AT13" s="488" t="n">
        <f aca="false">CHOOSE(J13, 2*Deadtime*Fsw*IF(VfdSky_Q2&gt;0,VfdSky_Q2,0)*K13, 2*Deadtime*Fsw*IF(VfdSky_Q3&gt;0,VfdSky_Q3,0)*L13, 2*Deadtime*Fsw/2*IF(VfdSky_Q2&gt;0,VfdSky_Q2,0)*K13+2*Deadtime*Fsw/2*IF(VfdSky_Q3&gt;0,VfdSky_Q3,0)*L13)</f>
        <v>0</v>
      </c>
      <c r="AU13" s="488" t="n">
        <f aca="false">CHOOSE(J13, IF(QrrSky_Q2&gt;0,QrrSky_Q2,Qrr_Q2)*Fsw*(H13-K13*Rdson1), IF(QrrSky_Q3&gt;0,QrrSky_Q3,Qrr_Q3)*Fsw*Vout,  IF(QrrSky_Q2&gt;0,QrrSky_Q2,Qrr_Q2)*Fsw/2*(H13-K13*Rdson1)+IF(QrrSky_Q3&gt;0,QrrSky_Q3,Qrr_Q3)*Fsw/2*Vout)</f>
        <v>0.1188</v>
      </c>
      <c r="AV13" s="488" t="n">
        <f aca="false">CHOOSE(J13, Rs*AF13^2, Rs*AJ13^2, Rs*(AF13^2+AJ13^2))</f>
        <v>0.471911678870378</v>
      </c>
      <c r="AW13" s="488" t="n">
        <f aca="false">Rshunt_std/1000*Iout^2</f>
        <v>0.14832</v>
      </c>
      <c r="AX13" s="488" t="n">
        <f aca="false">IF(Vout&gt;8, Iq*Vout, Iq*H13)</f>
        <v>0.036</v>
      </c>
      <c r="AY13" s="488" t="n">
        <f aca="false">CHOOSE(J13, (Qg_Q1+Qg_Q2)*Fsw, (Qg_Q3+Qg_Q4)*Fsw, (Qg_Q1+Qg_Q2+Qg_Q3+Qg_Q4)*Fsw/2)*IF(Vout&gt;8, Vout, H13)</f>
        <v>0.1584</v>
      </c>
      <c r="AZ13" s="488" t="n">
        <f aca="false">(Vin-Vdd)*Fsw*(Qg_Q1+Qg_Q2)+(RdsonDRT+RdsonDRT2)*Fsw*Qg_Q1*Vdd/(RdsonDRT+2*Rgate1+RdsonDRT2)+(RdsonDRB+RdsonDRB2)*Fsw*Qg_Q2*Vdd/(RdsonDRB+2*Rgate2+RdsonDRB2)</f>
        <v>0.0522</v>
      </c>
      <c r="BA13" s="488" t="n">
        <f aca="false">SUM(AX13:AY13)</f>
        <v>0.1944</v>
      </c>
      <c r="BB13" s="488" t="n">
        <f aca="false">SUM(T13,W13,Z13,AE13,AI13,AN13,AR13, AT13,AU13,BA13,AV13,AW13)</f>
        <v>3.23955620754619</v>
      </c>
      <c r="BC13" s="419" t="n">
        <f aca="false">Vout*K13</f>
        <v>72</v>
      </c>
      <c r="BD13" s="589" t="n">
        <f aca="false">BC13/(BC13+BB13)</f>
        <v>0.956943443438051</v>
      </c>
      <c r="BE13" s="590" t="n">
        <f aca="false">IF(H13&gt;Vout,ThetaJA_Q1*(AE13+AU13),ThetaJA_Q4*(AN13+AU13))</f>
        <v>18.5925244904429</v>
      </c>
      <c r="BF13" s="590" t="n">
        <f aca="false">IF(H13&gt;Vout, AI13*ThetaJA_Q2, ThetaJA_Q3*AR13)</f>
        <v>21.864681623388</v>
      </c>
      <c r="BG13" s="536"/>
      <c r="BH13" s="385" t="n">
        <f aca="false">BD13*100</f>
        <v>95.6943443438051</v>
      </c>
      <c r="BI13" s="488" t="n">
        <f aca="false">T13</f>
        <v>0.561037041799381</v>
      </c>
      <c r="BJ13" s="488" t="n">
        <f aca="false">AE13+AI13+AN13+AR13+AU13</f>
        <v>1.72313100019147</v>
      </c>
      <c r="BK13" s="488" t="n">
        <f aca="false">AI13+AU13*0.33</f>
        <v>0.039204</v>
      </c>
      <c r="BL13" s="488" t="n">
        <f aca="false">AV13</f>
        <v>0.471911678870378</v>
      </c>
      <c r="BP13" s="0" t="s">
        <v>816</v>
      </c>
      <c r="BQ13" s="591" t="n">
        <v>30</v>
      </c>
      <c r="BR13" s="591" t="n">
        <v>30</v>
      </c>
      <c r="BS13" s="591" t="n">
        <v>30</v>
      </c>
      <c r="BT13" s="592" t="n">
        <f aca="false">500000*(5-Vdd)*BS13/1000000000+((500000*BS9/1000000000*Vdd)*2.5/(2*4))</f>
        <v>0.04453125</v>
      </c>
      <c r="BU13" s="0" t="n">
        <f aca="false">BU$6*$BT13</f>
        <v>3.5625</v>
      </c>
      <c r="BV13" s="0" t="n">
        <f aca="false">BV$6*$BT13</f>
        <v>4.453125</v>
      </c>
      <c r="BW13" s="0" t="n">
        <f aca="false">BW$6*$BT13</f>
        <v>5.34375</v>
      </c>
      <c r="BX13" s="0" t="n">
        <f aca="false">BX$6*$BT13</f>
        <v>6.234375</v>
      </c>
      <c r="BY13" s="0" t="n">
        <f aca="false">BY$6*$BT13</f>
        <v>7.125</v>
      </c>
      <c r="BZ13" s="0" t="n">
        <f aca="false">BZ$6*$BT13</f>
        <v>8.015625</v>
      </c>
      <c r="CA13" s="0" t="n">
        <f aca="false">CA$6*$BT13</f>
        <v>0.890625</v>
      </c>
      <c r="CB13" s="0" t="n">
        <f aca="false">CB$6*$BT13</f>
        <v>1.3359375</v>
      </c>
      <c r="CC13" s="0" t="n">
        <f aca="false">CC$6*$BT13</f>
        <v>1.78125</v>
      </c>
      <c r="CD13" s="0" t="n">
        <f aca="false">CD$6*$BT13</f>
        <v>2.2265625</v>
      </c>
    </row>
    <row r="14" customFormat="false" ht="12.75" hidden="false" customHeight="false" outlineLevel="0" collapsed="false">
      <c r="A14" s="599" t="s">
        <v>218</v>
      </c>
      <c r="B14" s="596" t="n">
        <f aca="false">Iout</f>
        <v>6</v>
      </c>
      <c r="C14" s="597" t="s">
        <v>16</v>
      </c>
      <c r="D14" s="598" t="s">
        <v>817</v>
      </c>
      <c r="G14" s="0" t="n">
        <v>5</v>
      </c>
      <c r="H14" s="586" t="n">
        <f aca="false">VIN_min+(VIN_max-VIN_min)*(G14/200)</f>
        <v>7.1</v>
      </c>
      <c r="I14" s="385" t="str">
        <f aca="false">IF(H14&gt;VIN_BB_to_buck, "BUCK", IF(H14&lt;VIN_boost_to_BB,"BOOST","BUCK-BST"))</f>
        <v>BOOST</v>
      </c>
      <c r="J14" s="419" t="n">
        <f aca="false">IF(I14="BOOST",2, IF(I14="BUCK", 1,3))</f>
        <v>2</v>
      </c>
      <c r="K14" s="0" t="n">
        <f aca="false">Iout</f>
        <v>6</v>
      </c>
      <c r="L14" s="385" t="n">
        <f aca="false">Vout*K14/(H14*Efficiency)</f>
        <v>11.2676056338028</v>
      </c>
      <c r="M14" s="385" t="n">
        <f aca="false">Iout/(1-O14)</f>
        <v>10.2808510638298</v>
      </c>
      <c r="N14" s="488" t="n">
        <f aca="false">CHOOSE(J14,(Vout+(Rdson2+Rs+Rdcr)*K14)/(H14+(Rs+Rdson2-Rdson1)*K14),1,IF(H14&lt;Vout,D_max_buck_BB,Vout/H14*(1-D_min_boost_exitBB_to_buck)))</f>
        <v>1</v>
      </c>
      <c r="O14" s="488" t="n">
        <f aca="false">CHOOSE(J14,0,(Vout+(Rdson3+Rdcr)*L14-H14)/(Vout+(Rdson3-Rdson4-Rs)*L14),IF(H14&gt;Vout,D_min_boost_exitBB_to_buck, (Vout-H14*D_max_buck_BB)/Vout))</f>
        <v>0.416390728476821</v>
      </c>
      <c r="P14" s="385" t="n">
        <f aca="false">MAX(0, CHOOSE(J14, (H14-(Rdson1+Rdcr)*K14-Vout)*N14/(Fsw*Lf), (H14-(Rdson4+Rdcr+Rs)*L14)*O14/(Fsw*Lf), IF(H14&lt;Vout, (H14-(Rdson4+Rdcr+Rs)*L14)*O14/(0.5*Fsw*Lf),(H14-(Rdson1+Rdcr)*K14-Vout)*N14/(0.5*Fsw*Lf))))</f>
        <v>2.0526303516463</v>
      </c>
      <c r="Q14" s="488" t="n">
        <f aca="false">CHOOSE(J14, SQRT(K14^2+(P14^2)/12), SQRT(L14^2+(P14^2)/12), SQRT(M14^2+(P14^2)/12))</f>
        <v>11.2831752770344</v>
      </c>
      <c r="R14" s="488" t="n">
        <f aca="false">(Q14^2*Rdcr*(1+Ltc*Ta-Ltc*25))/(1-Q14^2*Rdcr*Ltc*ThetaCa)</f>
        <v>0.441554072482625</v>
      </c>
      <c r="S14" s="488" t="n">
        <f aca="false">7.759*10^-3*Fsw^0.9458*(0.00787*P14)^2.304</f>
        <v>0.0874896698423783</v>
      </c>
      <c r="T14" s="488" t="n">
        <f aca="false">R14+S14</f>
        <v>0.529043742325003</v>
      </c>
      <c r="U14" s="385" t="n">
        <f aca="false">IF(H14&gt;Vout, P14/SQRT(12), SQRT(O14/(1-O14))*SQRT(K14^2+(P14^2)/12))</f>
        <v>5.0927019301825</v>
      </c>
      <c r="V14" s="488" t="n">
        <f aca="false">RCoutEsr*U14^2</f>
        <v>0.129678064748423</v>
      </c>
      <c r="W14" s="488" t="n">
        <f aca="false">V14</f>
        <v>0.129678064748423</v>
      </c>
      <c r="X14" s="488" t="n">
        <f aca="false">IF(H14&gt;Vout, SQRT(N14*(1-N14))*SQRT(K14^2+(P14^2)/12), P14/SQRT(12))</f>
        <v>0.592543343034894</v>
      </c>
      <c r="Y14" s="587" t="n">
        <f aca="false">RCinEsr*X14^2</f>
        <v>0.000702215226749937</v>
      </c>
      <c r="Z14" s="588" t="n">
        <f aca="false">Y14</f>
        <v>0.000702215226749937</v>
      </c>
      <c r="AA14" s="488" t="n">
        <f aca="false">CHOOSE(J14, SQRT(N14)*SQRT(K14^2+(P14^2)/12), SQRT(L14^2+(P14^2)/12), SQRT(N14)*SQRT(M14^2+(P14^2)/12))</f>
        <v>11.2831752770344</v>
      </c>
      <c r="AB14" s="488" t="n">
        <f aca="false">Rdson1*AA14^2</f>
        <v>0.725667252693996</v>
      </c>
      <c r="AC14" s="488" t="n">
        <f aca="false">CHOOSE(J14, (H14*K14/2)*(Fsw)*(Tr_buck+Tf_buck), 0, (H14*M14/2)*(Fsw/2)*(Tr_buck+Tf_buck))</f>
        <v>0</v>
      </c>
      <c r="AD14" s="0" t="n">
        <f aca="false">IF(H14&gt;Vout, IF(K14&gt;P14/2,0,ABS(K14-P14/2)*Vsd_Q1*Deadtime*Fsw),0)</f>
        <v>0</v>
      </c>
      <c r="AE14" s="488" t="n">
        <f aca="false">(AD14+AC14+AB14*(1+RdsonTopTc*Ta-RdsonTopTc*25))/(1-AB14*RdsonTopTc*ThetaJA_Q1)</f>
        <v>0.848866122029648</v>
      </c>
      <c r="AF14" s="488" t="n">
        <f aca="false">CHOOSE(J14, SQRT((1-N14))*SQRT(K14^2+(P14^2)/12), 0, SQRT((1-N14))*SQRT(M14^2+(P14^2)/12))</f>
        <v>0</v>
      </c>
      <c r="AG14" s="488" t="n">
        <f aca="false">Rdson2*AF14^2</f>
        <v>0</v>
      </c>
      <c r="AH14" s="488" t="n">
        <f aca="false">CHOOSE(J14, IF(K14&lt;P14/2,Deadtime*Fsw*IF(VfdSky_Q2&gt;0,0,Vsd_Q2)*(K14+P14/2),2*Deadtime*Fsw*IF(VfdSky_Q2&gt;0,0,Vsd_Q2)*K14),0, IF(K14&lt;P14/2,Deadtime*Fsw/2*IF(VfdSky_Q2&gt;0,0,Vsd_Q2)*(K14+P14/2),2*Deadtime*Fsw/2*IF(VfdSky_Q2&gt;0,0,Vsd_Q2)*K14))</f>
        <v>0</v>
      </c>
      <c r="AI14" s="488" t="n">
        <f aca="false">(AH14+AG14*(1+RdsonBotTc*Ta-RdsonBotTc*25))/(1-AG14*RdsonBotTc*ThetaJA_Q2)</f>
        <v>0</v>
      </c>
      <c r="AJ14" s="488" t="n">
        <f aca="false">CHOOSE(J14, 0, SQRT(O14)*SQRT(L14^2+(P14^2)/12), SQRT(O14)*SQRT(M14^2+(P14^2)/12))</f>
        <v>7.28084624902452</v>
      </c>
      <c r="AK14" s="488" t="n">
        <f aca="false">Rdson4*AJ14^2</f>
        <v>0.100720371993675</v>
      </c>
      <c r="AL14" s="488" t="n">
        <f aca="false">CHOOSE(J14, 0, (Vout*L14/2)*(Fsw)*(Tr_boost+Tf_boost), (Vout*Iout/2)*(Fsw/2)*(Tr_boost+Tf_boost))</f>
        <v>0.131106768121347</v>
      </c>
      <c r="AM14" s="0" t="n">
        <f aca="false">IF(H14&gt;Vout, 0, IF(L14&gt;P14/2,0,ABS(L14-P14/2)*Vsd_Q4*Deadtime*Fsw))</f>
        <v>0</v>
      </c>
      <c r="AN14" s="488" t="n">
        <f aca="false">(AM14+AL14+AK14*(1+RdsonTopTc*Ta-RdsonTopTc*25))/(1-AK14*RdsonTopTc*ThetaJA_Q4)</f>
        <v>0.236593088900051</v>
      </c>
      <c r="AO14" s="488" t="n">
        <f aca="false">CHOOSE(J14, SQRT(Iout^2+(P14^2)/12), SQRT(1-O14)*SQRT(L14^2+(P14^2)/12), SQRT(1-O14)*SQRT(M14^2+(P14^2)/12))</f>
        <v>8.61970546076521</v>
      </c>
      <c r="AP14" s="488" t="n">
        <f aca="false">Rdson3*AO14^2</f>
        <v>0.141168712237656</v>
      </c>
      <c r="AQ14" s="488" t="n">
        <f aca="false">CHOOSE(J14, 0, IF(L14&lt;P14/2,Deadtime*Fsw*IF(VfdSky_Q3&gt;0,0,Vsd_Q3)*(L14+P14/2), 2*Deadtime*Fsw*IF(VfdSky_Q3&gt;0,0,Vsd_Q3)*L14), IF(L14&lt;P14/2,Deadtime*Fsw/2*IF(VfdSky_Q3&gt;0,0,Vsd_Q3)*(L14+P14/2), 2*Deadtime*Fsw/2*IF(VfdSky_Q3&gt;0,0,Vsd_Q3)*L14))</f>
        <v>0.270422535211268</v>
      </c>
      <c r="AR14" s="488" t="n">
        <f aca="false">(AQ14+AP14*(1+RdsonBotTc*Ta-RdsonBotTc*25))/(1-AP14*RdsonBotTc*ThetaJA_Q3)</f>
        <v>0.423549638866424</v>
      </c>
      <c r="AS14" s="488" t="n">
        <f aca="false">CHOOSE(J14, Rdson3*Q14^2, Rdson1*Q14^2, 0)</f>
        <v>0.725667252693996</v>
      </c>
      <c r="AT14" s="488" t="n">
        <f aca="false">CHOOSE(J14, 2*Deadtime*Fsw*IF(VfdSky_Q2&gt;0,VfdSky_Q2,0)*K14, 2*Deadtime*Fsw*IF(VfdSky_Q3&gt;0,VfdSky_Q3,0)*L14, 2*Deadtime*Fsw/2*IF(VfdSky_Q2&gt;0,VfdSky_Q2,0)*K14+2*Deadtime*Fsw/2*IF(VfdSky_Q3&gt;0,VfdSky_Q3,0)*L14)</f>
        <v>0</v>
      </c>
      <c r="AU14" s="488" t="n">
        <f aca="false">CHOOSE(J14, IF(QrrSky_Q2&gt;0,QrrSky_Q2,Qrr_Q2)*Fsw*(H14-K14*Rdson1), IF(QrrSky_Q3&gt;0,QrrSky_Q3,Qrr_Q3)*Fsw*Vout,  IF(QrrSky_Q2&gt;0,QrrSky_Q2,Qrr_Q2)*Fsw/2*(H14-K14*Rdson1)+IF(QrrSky_Q3&gt;0,QrrSky_Q3,Qrr_Q3)*Fsw/2*Vout)</f>
        <v>0.1188</v>
      </c>
      <c r="AV14" s="488" t="n">
        <f aca="false">CHOOSE(J14, Rs*AF14^2, Rs*AJ14^2, Rs*(AF14^2+AJ14^2))</f>
        <v>0.424085776815476</v>
      </c>
      <c r="AW14" s="488" t="n">
        <f aca="false">Rshunt_std/1000*Iout^2</f>
        <v>0.14832</v>
      </c>
      <c r="AX14" s="488" t="n">
        <f aca="false">IF(Vout&gt;8, Iq*Vout, Iq*H14)</f>
        <v>0.036</v>
      </c>
      <c r="AY14" s="488" t="n">
        <f aca="false">CHOOSE(J14, (Qg_Q1+Qg_Q2)*Fsw, (Qg_Q3+Qg_Q4)*Fsw, (Qg_Q1+Qg_Q2+Qg_Q3+Qg_Q4)*Fsw/2)*IF(Vout&gt;8, Vout, H14)</f>
        <v>0.1584</v>
      </c>
      <c r="AZ14" s="488" t="n">
        <f aca="false">(Vin-Vdd)*Fsw*(Qg_Q1+Qg_Q2)+(RdsonDRT+RdsonDRT2)*Fsw*Qg_Q1*Vdd/(RdsonDRT+2*Rgate1+RdsonDRT2)+(RdsonDRB+RdsonDRB2)*Fsw*Qg_Q2*Vdd/(RdsonDRB+2*Rgate2+RdsonDRB2)</f>
        <v>0.0522</v>
      </c>
      <c r="BA14" s="488" t="n">
        <f aca="false">SUM(AX14:AY14)</f>
        <v>0.1944</v>
      </c>
      <c r="BB14" s="488" t="n">
        <f aca="false">SUM(T14,W14,Z14,AE14,AI14,AN14,AR14, AT14,AU14,BA14,AV14,AW14)</f>
        <v>3.05403864891177</v>
      </c>
      <c r="BC14" s="419" t="n">
        <f aca="false">Vout*K14</f>
        <v>72</v>
      </c>
      <c r="BD14" s="589" t="n">
        <f aca="false">BC14/(BC14+BB14)</f>
        <v>0.959308803311732</v>
      </c>
      <c r="BE14" s="590" t="n">
        <f aca="false">IF(H14&gt;Vout,ThetaJA_Q1*(AE14+AU14),ThetaJA_Q4*(AN14+AU14))</f>
        <v>17.7696544450026</v>
      </c>
      <c r="BF14" s="590" t="n">
        <f aca="false">IF(H14&gt;Vout, AI14*ThetaJA_Q2, ThetaJA_Q3*AR14)</f>
        <v>21.1774819433212</v>
      </c>
      <c r="BG14" s="536"/>
      <c r="BH14" s="385" t="n">
        <f aca="false">BD14*100</f>
        <v>95.9308803311732</v>
      </c>
      <c r="BI14" s="488" t="n">
        <f aca="false">T14</f>
        <v>0.529043742325003</v>
      </c>
      <c r="BJ14" s="488" t="n">
        <f aca="false">AE14+AI14+AN14+AR14+AU14</f>
        <v>1.62780884979612</v>
      </c>
      <c r="BK14" s="488" t="n">
        <f aca="false">AI14+AU14*0.33</f>
        <v>0.039204</v>
      </c>
      <c r="BL14" s="488" t="n">
        <f aca="false">AV14</f>
        <v>0.424085776815476</v>
      </c>
      <c r="BP14" s="0" t="s">
        <v>818</v>
      </c>
      <c r="BQ14" s="591" t="n">
        <v>45</v>
      </c>
      <c r="BR14" s="591" t="n">
        <v>45</v>
      </c>
      <c r="BS14" s="591" t="n">
        <v>45</v>
      </c>
      <c r="BT14" s="592" t="n">
        <f aca="false">500000*(12-Vdd)*BS14/1000000000+((500000*BS9/1000000000*Vdd)*2.5/(2*4))</f>
        <v>0.18328125</v>
      </c>
      <c r="BU14" s="0" t="n">
        <f aca="false">BU$6*$BT14</f>
        <v>14.6625</v>
      </c>
      <c r="BV14" s="0" t="n">
        <f aca="false">BV$6*$BT14</f>
        <v>18.328125</v>
      </c>
      <c r="BW14" s="0" t="n">
        <f aca="false">BW$6*$BT14</f>
        <v>21.99375</v>
      </c>
      <c r="BX14" s="0" t="n">
        <f aca="false">BX$6*$BT14</f>
        <v>25.659375</v>
      </c>
      <c r="BY14" s="0" t="n">
        <f aca="false">BY$6*$BT14</f>
        <v>29.325</v>
      </c>
      <c r="BZ14" s="0" t="n">
        <f aca="false">BZ$6*$BT14</f>
        <v>32.990625</v>
      </c>
      <c r="CA14" s="0" t="n">
        <f aca="false">CA$6*$BT14</f>
        <v>3.665625</v>
      </c>
      <c r="CB14" s="0" t="n">
        <f aca="false">CB$6*$BT14</f>
        <v>5.4984375</v>
      </c>
      <c r="CC14" s="0" t="n">
        <f aca="false">CC$6*$BT14</f>
        <v>7.33125</v>
      </c>
      <c r="CD14" s="0" t="n">
        <f aca="false">CD$6*$BT14</f>
        <v>9.1640625</v>
      </c>
    </row>
    <row r="15" customFormat="false" ht="12.75" hidden="false" customHeight="false" outlineLevel="0" collapsed="false">
      <c r="A15" s="600" t="s">
        <v>608</v>
      </c>
      <c r="B15" s="596" t="n">
        <f aca="false">Ta</f>
        <v>25</v>
      </c>
      <c r="C15" s="601" t="s">
        <v>819</v>
      </c>
      <c r="D15" s="598" t="s">
        <v>610</v>
      </c>
      <c r="G15" s="0" t="n">
        <v>6</v>
      </c>
      <c r="H15" s="586" t="n">
        <f aca="false">VIN_min+(VIN_max-VIN_min)*(G15/200)</f>
        <v>7.32</v>
      </c>
      <c r="I15" s="385" t="str">
        <f aca="false">IF(H15&gt;VIN_BB_to_buck, "BUCK", IF(H15&lt;VIN_boost_to_BB,"BOOST","BUCK-BST"))</f>
        <v>BOOST</v>
      </c>
      <c r="J15" s="419" t="n">
        <f aca="false">IF(I15="BOOST",2, IF(I15="BUCK", 1,3))</f>
        <v>2</v>
      </c>
      <c r="K15" s="0" t="n">
        <f aca="false">Iout</f>
        <v>6</v>
      </c>
      <c r="L15" s="385" t="n">
        <f aca="false">Vout*K15/(H15*Efficiency)</f>
        <v>10.9289617486339</v>
      </c>
      <c r="M15" s="385" t="n">
        <f aca="false">Iout/(1-O15)</f>
        <v>9.96146406104824</v>
      </c>
      <c r="N15" s="488" t="n">
        <f aca="false">CHOOSE(J15,(Vout+(Rdson2+Rs+Rdcr)*K15)/(H15+(Rs+Rdson2-Rdson1)*K15),1,IF(H15&lt;Vout,D_max_buck_BB,Vout/H15*(1-D_min_boost_exitBB_to_buck)))</f>
        <v>1</v>
      </c>
      <c r="O15" s="488" t="n">
        <f aca="false">CHOOSE(J15,0,(Vout+(Rdson3+Rdcr)*L15-H15)/(Vout+(Rdson3-Rdson4-Rs)*L15),IF(H15&gt;Vout,D_min_boost_exitBB_to_buck, (Vout-H15*D_max_buck_BB)/Vout))</f>
        <v>0.397678899082569</v>
      </c>
      <c r="P15" s="385" t="n">
        <f aca="false">MAX(0, CHOOSE(J15, (H15-(Rdson1+Rdcr)*K15-Vout)*N15/(Fsw*Lf), (H15-(Rdson4+Rdcr+Rs)*L15)*O15/(Fsw*Lf), IF(H15&lt;Vout, (H15-(Rdson4+Rdcr+Rs)*L15)*O15/(0.5*Fsw*Lf),(H15-(Rdson1+Rdcr)*K15-Vout)*N15/(0.5*Fsw*Lf))))</f>
        <v>2.0237036593782</v>
      </c>
      <c r="Q15" s="488" t="n">
        <f aca="false">CHOOSE(J15, SQRT(K15^2+(P15^2)/12), SQRT(L15^2+(P15^2)/12), SQRT(M15^2+(P15^2)/12))</f>
        <v>10.9445642342756</v>
      </c>
      <c r="R15" s="488" t="n">
        <f aca="false">(Q15^2*Rdcr*(1+Ltc*Ta-Ltc*25))/(1-Q15^2*Rdcr*Ltc*ThetaCa)</f>
        <v>0.414583632145606</v>
      </c>
      <c r="S15" s="488" t="n">
        <f aca="false">7.759*10^-3*Fsw^0.9458*(0.00787*P15)^2.304</f>
        <v>0.0846750213285716</v>
      </c>
      <c r="T15" s="488" t="n">
        <f aca="false">R15+S15</f>
        <v>0.499258653474178</v>
      </c>
      <c r="U15" s="385" t="n">
        <f aca="false">IF(H15&gt;Vout, P15/SQRT(12), SQRT(O15/(1-O15))*SQRT(K15^2+(P15^2)/12))</f>
        <v>4.8983786450183</v>
      </c>
      <c r="V15" s="488" t="n">
        <f aca="false">RCoutEsr*U15^2</f>
        <v>0.119970566749857</v>
      </c>
      <c r="W15" s="488" t="n">
        <f aca="false">V15</f>
        <v>0.119970566749857</v>
      </c>
      <c r="X15" s="488" t="n">
        <f aca="false">IF(H15&gt;Vout, SQRT(N15*(1-N15))*SQRT(K15^2+(P15^2)/12), P15/SQRT(12))</f>
        <v>0.584192926251018</v>
      </c>
      <c r="Y15" s="587" t="n">
        <f aca="false">RCinEsr*X15^2</f>
        <v>0.000682562750163455</v>
      </c>
      <c r="Z15" s="588" t="n">
        <f aca="false">Y15</f>
        <v>0.000682562750163455</v>
      </c>
      <c r="AA15" s="488" t="n">
        <f aca="false">CHOOSE(J15, SQRT(N15)*SQRT(K15^2+(P15^2)/12), SQRT(L15^2+(P15^2)/12), SQRT(N15)*SQRT(M15^2+(P15^2)/12))</f>
        <v>10.9445642342756</v>
      </c>
      <c r="AB15" s="488" t="n">
        <f aca="false">Rdson1*AA15^2</f>
        <v>0.68276587178565</v>
      </c>
      <c r="AC15" s="488" t="n">
        <f aca="false">CHOOSE(J15, (H15*K15/2)*(Fsw)*(Tr_buck+Tf_buck), 0, (H15*M15/2)*(Fsw/2)*(Tr_buck+Tf_buck))</f>
        <v>0</v>
      </c>
      <c r="AD15" s="0" t="n">
        <f aca="false">IF(H15&gt;Vout, IF(K15&gt;P15/2,0,ABS(K15-P15/2)*Vsd_Q1*Deadtime*Fsw),0)</f>
        <v>0</v>
      </c>
      <c r="AE15" s="488" t="n">
        <f aca="false">(AD15+AC15+AB15*(1+RdsonTopTc*Ta-RdsonTopTc*25))/(1-AB15*RdsonTopTc*ThetaJA_Q1)</f>
        <v>0.790744550224392</v>
      </c>
      <c r="AF15" s="488" t="n">
        <f aca="false">CHOOSE(J15, SQRT((1-N15))*SQRT(K15^2+(P15^2)/12), 0, SQRT((1-N15))*SQRT(M15^2+(P15^2)/12))</f>
        <v>0</v>
      </c>
      <c r="AG15" s="488" t="n">
        <f aca="false">Rdson2*AF15^2</f>
        <v>0</v>
      </c>
      <c r="AH15" s="488" t="n">
        <f aca="false">CHOOSE(J15, IF(K15&lt;P15/2,Deadtime*Fsw*IF(VfdSky_Q2&gt;0,0,Vsd_Q2)*(K15+P15/2),2*Deadtime*Fsw*IF(VfdSky_Q2&gt;0,0,Vsd_Q2)*K15),0, IF(K15&lt;P15/2,Deadtime*Fsw/2*IF(VfdSky_Q2&gt;0,0,Vsd_Q2)*(K15+P15/2),2*Deadtime*Fsw/2*IF(VfdSky_Q2&gt;0,0,Vsd_Q2)*K15))</f>
        <v>0</v>
      </c>
      <c r="AI15" s="488" t="n">
        <f aca="false">(AH15+AG15*(1+RdsonBotTc*Ta-RdsonBotTc*25))/(1-AG15*RdsonBotTc*ThetaJA_Q2)</f>
        <v>0</v>
      </c>
      <c r="AJ15" s="488" t="n">
        <f aca="false">CHOOSE(J15, 0, SQRT(O15)*SQRT(L15^2+(P15^2)/12), SQRT(O15)*SQRT(M15^2+(P15^2)/12))</f>
        <v>6.90183779520935</v>
      </c>
      <c r="AK15" s="488" t="n">
        <f aca="false">Rdson4*AJ15^2</f>
        <v>0.0905071934076225</v>
      </c>
      <c r="AL15" s="488" t="n">
        <f aca="false">CHOOSE(J15, 0, (Vout*L15/2)*(Fsw)*(Tr_boost+Tf_boost), (Vout*Iout/2)*(Fsw/2)*(Tr_boost+Tf_boost))</f>
        <v>0.127166400773437</v>
      </c>
      <c r="AM15" s="0" t="n">
        <f aca="false">IF(H15&gt;Vout, 0, IF(L15&gt;P15/2,0,ABS(L15-P15/2)*Vsd_Q4*Deadtime*Fsw))</f>
        <v>0</v>
      </c>
      <c r="AN15" s="488" t="n">
        <f aca="false">(AM15+AL15+AK15*(1+RdsonTopTc*Ta-RdsonTopTc*25))/(1-AK15*RdsonTopTc*ThetaJA_Q4)</f>
        <v>0.221686437638499</v>
      </c>
      <c r="AO15" s="488" t="n">
        <f aca="false">CHOOSE(J15, SQRT(Iout^2+(P15^2)/12), SQRT(1-O15)*SQRT(L15^2+(P15^2)/12), SQRT(1-O15)*SQRT(M15^2+(P15^2)/12))</f>
        <v>8.49400502276776</v>
      </c>
      <c r="AP15" s="488" t="n">
        <f aca="false">Rdson3*AO15^2</f>
        <v>0.137081430520927</v>
      </c>
      <c r="AQ15" s="488" t="n">
        <f aca="false">CHOOSE(J15, 0, IF(L15&lt;P15/2,Deadtime*Fsw*IF(VfdSky_Q3&gt;0,0,Vsd_Q3)*(L15+P15/2), 2*Deadtime*Fsw*IF(VfdSky_Q3&gt;0,0,Vsd_Q3)*L15), IF(L15&lt;P15/2,Deadtime*Fsw/2*IF(VfdSky_Q3&gt;0,0,Vsd_Q3)*(L15+P15/2), 2*Deadtime*Fsw/2*IF(VfdSky_Q3&gt;0,0,Vsd_Q3)*L15))</f>
        <v>0.262295081967213</v>
      </c>
      <c r="AR15" s="488" t="n">
        <f aca="false">(AQ15+AP15*(1+RdsonBotTc*Ta-RdsonBotTc*25))/(1-AP15*RdsonBotTc*ThetaJA_Q3)</f>
        <v>0.410634587832429</v>
      </c>
      <c r="AS15" s="488" t="n">
        <f aca="false">CHOOSE(J15, Rdson3*Q15^2, Rdson1*Q15^2, 0)</f>
        <v>0.68276587178565</v>
      </c>
      <c r="AT15" s="488" t="n">
        <f aca="false">CHOOSE(J15, 2*Deadtime*Fsw*IF(VfdSky_Q2&gt;0,VfdSky_Q2,0)*K15, 2*Deadtime*Fsw*IF(VfdSky_Q3&gt;0,VfdSky_Q3,0)*L15, 2*Deadtime*Fsw/2*IF(VfdSky_Q2&gt;0,VfdSky_Q2,0)*K15+2*Deadtime*Fsw/2*IF(VfdSky_Q3&gt;0,VfdSky_Q3,0)*L15)</f>
        <v>0</v>
      </c>
      <c r="AU15" s="488" t="n">
        <f aca="false">CHOOSE(J15, IF(QrrSky_Q2&gt;0,QrrSky_Q2,Qrr_Q2)*Fsw*(H15-K15*Rdson1), IF(QrrSky_Q3&gt;0,QrrSky_Q3,Qrr_Q3)*Fsw*Vout,  IF(QrrSky_Q2&gt;0,QrrSky_Q2,Qrr_Q2)*Fsw/2*(H15-K15*Rdson1)+IF(QrrSky_Q3&gt;0,QrrSky_Q3,Qrr_Q3)*Fsw/2*Vout)</f>
        <v>0.1188</v>
      </c>
      <c r="AV15" s="488" t="n">
        <f aca="false">CHOOSE(J15, Rs*AF15^2, Rs*AJ15^2, Rs*(AF15^2+AJ15^2))</f>
        <v>0.381082919611042</v>
      </c>
      <c r="AW15" s="488" t="n">
        <f aca="false">Rshunt_std/1000*Iout^2</f>
        <v>0.14832</v>
      </c>
      <c r="AX15" s="488" t="n">
        <f aca="false">IF(Vout&gt;8, Iq*Vout, Iq*H15)</f>
        <v>0.036</v>
      </c>
      <c r="AY15" s="488" t="n">
        <f aca="false">CHOOSE(J15, (Qg_Q1+Qg_Q2)*Fsw, (Qg_Q3+Qg_Q4)*Fsw, (Qg_Q1+Qg_Q2+Qg_Q3+Qg_Q4)*Fsw/2)*IF(Vout&gt;8, Vout, H15)</f>
        <v>0.1584</v>
      </c>
      <c r="AZ15" s="488" t="n">
        <f aca="false">(Vin-Vdd)*Fsw*(Qg_Q1+Qg_Q2)+(RdsonDRT+RdsonDRT2)*Fsw*Qg_Q1*Vdd/(RdsonDRT+2*Rgate1+RdsonDRT2)+(RdsonDRB+RdsonDRB2)*Fsw*Qg_Q2*Vdd/(RdsonDRB+2*Rgate2+RdsonDRB2)</f>
        <v>0.0522</v>
      </c>
      <c r="BA15" s="488" t="n">
        <f aca="false">SUM(AX15:AY15)</f>
        <v>0.1944</v>
      </c>
      <c r="BB15" s="488" t="n">
        <f aca="false">SUM(T15,W15,Z15,AE15,AI15,AN15,AR15, AT15,AU15,BA15,AV15,AW15)</f>
        <v>2.88558027828056</v>
      </c>
      <c r="BC15" s="419" t="n">
        <f aca="false">Vout*K15</f>
        <v>72</v>
      </c>
      <c r="BD15" s="589" t="n">
        <f aca="false">BC15/(BC15+BB15)</f>
        <v>0.961466810198205</v>
      </c>
      <c r="BE15" s="590" t="n">
        <f aca="false">IF(H15&gt;Vout,ThetaJA_Q1*(AE15+AU15),ThetaJA_Q4*(AN15+AU15))</f>
        <v>17.0243218819249</v>
      </c>
      <c r="BF15" s="590" t="n">
        <f aca="false">IF(H15&gt;Vout, AI15*ThetaJA_Q2, ThetaJA_Q3*AR15)</f>
        <v>20.5317293916214</v>
      </c>
      <c r="BG15" s="536"/>
      <c r="BH15" s="385" t="n">
        <f aca="false">BD15*100</f>
        <v>96.1466810198205</v>
      </c>
      <c r="BI15" s="488" t="n">
        <f aca="false">T15</f>
        <v>0.499258653474178</v>
      </c>
      <c r="BJ15" s="488" t="n">
        <f aca="false">AE15+AI15+AN15+AR15+AU15</f>
        <v>1.54186557569532</v>
      </c>
      <c r="BK15" s="488" t="n">
        <f aca="false">AI15+AU15*0.33</f>
        <v>0.039204</v>
      </c>
      <c r="BL15" s="488" t="n">
        <f aca="false">AV15</f>
        <v>0.381082919611042</v>
      </c>
      <c r="BP15" s="0" t="s">
        <v>820</v>
      </c>
      <c r="BQ15" s="591" t="n">
        <v>20</v>
      </c>
      <c r="BR15" s="591" t="n">
        <v>20</v>
      </c>
      <c r="BS15" s="591" t="n">
        <v>20</v>
      </c>
      <c r="BT15" s="592" t="n">
        <f aca="false">1000000*(5-Vdd)*BS15/1000000000+((1000000*BS9/1000000000*Vdd)*2.5/(2*4))</f>
        <v>0.1140625</v>
      </c>
      <c r="BU15" s="0" t="n">
        <f aca="false">BU$6*$BT15</f>
        <v>9.125</v>
      </c>
      <c r="BV15" s="0" t="n">
        <f aca="false">BV$6*$BT15</f>
        <v>11.40625</v>
      </c>
      <c r="BW15" s="0" t="n">
        <f aca="false">BW$6*$BT15</f>
        <v>13.6875</v>
      </c>
      <c r="BX15" s="0" t="n">
        <f aca="false">BX$6*$BT15</f>
        <v>15.96875</v>
      </c>
      <c r="BY15" s="0" t="n">
        <f aca="false">BY$6*$BT15</f>
        <v>18.25</v>
      </c>
      <c r="BZ15" s="0" t="n">
        <f aca="false">BZ$6*$BT15</f>
        <v>20.53125</v>
      </c>
      <c r="CA15" s="0" t="n">
        <f aca="false">CA$6*$BT15</f>
        <v>2.28125</v>
      </c>
      <c r="CB15" s="0" t="n">
        <f aca="false">CB$6*$BT15</f>
        <v>3.421875</v>
      </c>
      <c r="CC15" s="0" t="n">
        <f aca="false">CC$6*$BT15</f>
        <v>4.5625</v>
      </c>
      <c r="CD15" s="0" t="n">
        <f aca="false">CD$6*$BT15</f>
        <v>5.703125</v>
      </c>
    </row>
    <row r="16" customFormat="false" ht="12.75" hidden="false" customHeight="false" outlineLevel="0" collapsed="false">
      <c r="A16" s="602" t="s">
        <v>619</v>
      </c>
      <c r="B16" s="596" t="n">
        <f aca="false">Vdd</f>
        <v>7.5</v>
      </c>
      <c r="C16" s="597" t="s">
        <v>11</v>
      </c>
      <c r="D16" s="603" t="s">
        <v>821</v>
      </c>
      <c r="G16" s="0" t="n">
        <v>7</v>
      </c>
      <c r="H16" s="586" t="n">
        <f aca="false">VIN_min+(VIN_max-VIN_min)*(G16/200)</f>
        <v>7.54</v>
      </c>
      <c r="I16" s="385" t="str">
        <f aca="false">IF(H16&gt;VIN_BB_to_buck, "BUCK", IF(H16&lt;VIN_boost_to_BB,"BOOST","BUCK-BST"))</f>
        <v>BOOST</v>
      </c>
      <c r="J16" s="419" t="n">
        <f aca="false">IF(I16="BOOST",2, IF(I16="BUCK", 1,3))</f>
        <v>2</v>
      </c>
      <c r="K16" s="0" t="n">
        <f aca="false">Iout</f>
        <v>6</v>
      </c>
      <c r="L16" s="385" t="n">
        <f aca="false">Vout*K16/(H16*Efficiency)</f>
        <v>10.6100795755968</v>
      </c>
      <c r="M16" s="385" t="n">
        <f aca="false">Iout/(1-O16)</f>
        <v>9.6616694986342</v>
      </c>
      <c r="N16" s="488" t="n">
        <f aca="false">CHOOSE(J16,(Vout+(Rdson2+Rs+Rdcr)*K16)/(H16+(Rs+Rdson2-Rdson1)*K16),1,IF(H16&lt;Vout,D_max_buck_BB,Vout/H16*(1-D_min_boost_exitBB_to_buck)))</f>
        <v>1</v>
      </c>
      <c r="O16" s="488" t="n">
        <f aca="false">CHOOSE(J16,0,(Vout+(Rdson3+Rdcr)*L16-H16)/(Vout+(Rdson3-Rdson4-Rs)*L16),IF(H16&gt;Vout,D_min_boost_exitBB_to_buck, (Vout-H16*D_max_buck_BB)/Vout))</f>
        <v>0.378989314336598</v>
      </c>
      <c r="P16" s="385" t="n">
        <f aca="false">MAX(0, CHOOSE(J16, (H16-(Rdson1+Rdcr)*K16-Vout)*N16/(Fsw*Lf), (H16-(Rdson4+Rdcr+Rs)*L16)*O16/(Fsw*Lf), IF(H16&lt;Vout, (H16-(Rdson4+Rdcr+Rs)*L16)*O16/(0.5*Fsw*Lf),(H16-(Rdson1+Rdcr)*K16-Vout)*N16/(0.5*Fsw*Lf))))</f>
        <v>1.98886508171471</v>
      </c>
      <c r="Q16" s="488" t="n">
        <f aca="false">CHOOSE(J16, SQRT(K16^2+(P16^2)/12), SQRT(L16^2+(P16^2)/12), SQRT(M16^2+(P16^2)/12))</f>
        <v>10.6256021300725</v>
      </c>
      <c r="R16" s="488" t="n">
        <f aca="false">(Q16^2*Rdcr*(1+Ltc*Ta-Ltc*25))/(1-Q16^2*Rdcr*Ltc*ThetaCa)</f>
        <v>0.390027970971943</v>
      </c>
      <c r="S16" s="488" t="n">
        <f aca="false">7.759*10^-3*Fsw^0.9458*(0.00787*P16)^2.304</f>
        <v>0.0813541069501821</v>
      </c>
      <c r="T16" s="488" t="n">
        <f aca="false">R16+S16</f>
        <v>0.471382077922125</v>
      </c>
      <c r="U16" s="385" t="n">
        <f aca="false">IF(H16&gt;Vout, P16/SQRT(12), SQRT(O16/(1-O16))*SQRT(K16^2+(P16^2)/12))</f>
        <v>4.70862870141251</v>
      </c>
      <c r="V16" s="488" t="n">
        <f aca="false">RCoutEsr*U16^2</f>
        <v>0.110855921238829</v>
      </c>
      <c r="W16" s="488" t="n">
        <f aca="false">V16</f>
        <v>0.110855921238829</v>
      </c>
      <c r="X16" s="488" t="n">
        <f aca="false">IF(H16&gt;Vout, SQRT(N16*(1-N16))*SQRT(K16^2+(P16^2)/12), P16/SQRT(12))</f>
        <v>0.574135895154917</v>
      </c>
      <c r="Y16" s="587" t="n">
        <f aca="false">RCinEsr*X16^2</f>
        <v>0.000659264052210677</v>
      </c>
      <c r="Z16" s="588" t="n">
        <f aca="false">Y16</f>
        <v>0.000659264052210677</v>
      </c>
      <c r="AA16" s="488" t="n">
        <f aca="false">CHOOSE(J16, SQRT(N16)*SQRT(K16^2+(P16^2)/12), SQRT(L16^2+(P16^2)/12), SQRT(N16)*SQRT(M16^2+(P16^2)/12))</f>
        <v>10.6256021300725</v>
      </c>
      <c r="AB16" s="488" t="n">
        <f aca="false">Rdson1*AA16^2</f>
        <v>0.643549497571632</v>
      </c>
      <c r="AC16" s="488" t="n">
        <f aca="false">CHOOSE(J16, (H16*K16/2)*(Fsw)*(Tr_buck+Tf_buck), 0, (H16*M16/2)*(Fsw/2)*(Tr_buck+Tf_buck))</f>
        <v>0</v>
      </c>
      <c r="AD16" s="0" t="n">
        <f aca="false">IF(H16&gt;Vout, IF(K16&gt;P16/2,0,ABS(K16-P16/2)*Vsd_Q1*Deadtime*Fsw),0)</f>
        <v>0</v>
      </c>
      <c r="AE16" s="488" t="n">
        <f aca="false">(AD16+AC16+AB16*(1+RdsonTopTc*Ta-RdsonTopTc*25))/(1-AB16*RdsonTopTc*ThetaJA_Q1)</f>
        <v>0.738616790450052</v>
      </c>
      <c r="AF16" s="488" t="n">
        <f aca="false">CHOOSE(J16, SQRT((1-N16))*SQRT(K16^2+(P16^2)/12), 0, SQRT((1-N16))*SQRT(M16^2+(P16^2)/12))</f>
        <v>0</v>
      </c>
      <c r="AG16" s="488" t="n">
        <f aca="false">Rdson2*AF16^2</f>
        <v>0</v>
      </c>
      <c r="AH16" s="488" t="n">
        <f aca="false">CHOOSE(J16, IF(K16&lt;P16/2,Deadtime*Fsw*IF(VfdSky_Q2&gt;0,0,Vsd_Q2)*(K16+P16/2),2*Deadtime*Fsw*IF(VfdSky_Q2&gt;0,0,Vsd_Q2)*K16),0, IF(K16&lt;P16/2,Deadtime*Fsw/2*IF(VfdSky_Q2&gt;0,0,Vsd_Q2)*(K16+P16/2),2*Deadtime*Fsw/2*IF(VfdSky_Q2&gt;0,0,Vsd_Q2)*K16))</f>
        <v>0</v>
      </c>
      <c r="AI16" s="488" t="n">
        <f aca="false">(AH16+AG16*(1+RdsonBotTc*Ta-RdsonBotTc*25))/(1-AG16*RdsonBotTc*ThetaJA_Q2)</f>
        <v>0</v>
      </c>
      <c r="AJ16" s="488" t="n">
        <f aca="false">CHOOSE(J16, 0, SQRT(O16)*SQRT(L16^2+(P16^2)/12), SQRT(O16)*SQRT(M16^2+(P16^2)/12))</f>
        <v>6.54134466065904</v>
      </c>
      <c r="AK16" s="488" t="n">
        <f aca="false">Rdson4*AJ16^2</f>
        <v>0.0812994609421117</v>
      </c>
      <c r="AL16" s="488" t="n">
        <f aca="false">CHOOSE(J16, 0, (Vout*L16/2)*(Fsw)*(Tr_boost+Tf_boost), (Vout*Iout/2)*(Fsw/2)*(Tr_boost+Tf_boost))</f>
        <v>0.123455975286679</v>
      </c>
      <c r="AM16" s="0" t="n">
        <f aca="false">IF(H16&gt;Vout, 0, IF(L16&gt;P16/2,0,ABS(L16-P16/2)*Vsd_Q4*Deadtime*Fsw))</f>
        <v>0</v>
      </c>
      <c r="AN16" s="488" t="n">
        <f aca="false">(AM16+AL16+AK16*(1+RdsonTopTc*Ta-RdsonTopTc*25))/(1-AK16*RdsonTopTc*ThetaJA_Q4)</f>
        <v>0.208139766390422</v>
      </c>
      <c r="AO16" s="488" t="n">
        <f aca="false">CHOOSE(J16, SQRT(Iout^2+(P16^2)/12), SQRT(1-O16)*SQRT(L16^2+(P16^2)/12), SQRT(1-O16)*SQRT(M16^2+(P16^2)/12))</f>
        <v>8.37342407006056</v>
      </c>
      <c r="AP16" s="488" t="n">
        <f aca="false">Rdson3*AO16^2</f>
        <v>0.133217038248432</v>
      </c>
      <c r="AQ16" s="488" t="n">
        <f aca="false">CHOOSE(J16, 0, IF(L16&lt;P16/2,Deadtime*Fsw*IF(VfdSky_Q3&gt;0,0,Vsd_Q3)*(L16+P16/2), 2*Deadtime*Fsw*IF(VfdSky_Q3&gt;0,0,Vsd_Q3)*L16), IF(L16&lt;P16/2,Deadtime*Fsw/2*IF(VfdSky_Q3&gt;0,0,Vsd_Q3)*(L16+P16/2), 2*Deadtime*Fsw/2*IF(VfdSky_Q3&gt;0,0,Vsd_Q3)*L16))</f>
        <v>0.254641909814324</v>
      </c>
      <c r="AR16" s="488" t="n">
        <f aca="false">(AQ16+AP16*(1+RdsonBotTc*Ta-RdsonBotTc*25))/(1-AP16*RdsonBotTc*ThetaJA_Q3)</f>
        <v>0.398475698537381</v>
      </c>
      <c r="AS16" s="488" t="n">
        <f aca="false">CHOOSE(J16, Rdson3*Q16^2, Rdson1*Q16^2, 0)</f>
        <v>0.643549497571632</v>
      </c>
      <c r="AT16" s="488" t="n">
        <f aca="false">CHOOSE(J16, 2*Deadtime*Fsw*IF(VfdSky_Q2&gt;0,VfdSky_Q2,0)*K16, 2*Deadtime*Fsw*IF(VfdSky_Q3&gt;0,VfdSky_Q3,0)*L16, 2*Deadtime*Fsw/2*IF(VfdSky_Q2&gt;0,VfdSky_Q2,0)*K16+2*Deadtime*Fsw/2*IF(VfdSky_Q3&gt;0,VfdSky_Q3,0)*L16)</f>
        <v>0</v>
      </c>
      <c r="AU16" s="488" t="n">
        <f aca="false">CHOOSE(J16, IF(QrrSky_Q2&gt;0,QrrSky_Q2,Qrr_Q2)*Fsw*(H16-K16*Rdson1), IF(QrrSky_Q3&gt;0,QrrSky_Q3,Qrr_Q3)*Fsw*Vout,  IF(QrrSky_Q2&gt;0,QrrSky_Q2,Qrr_Q2)*Fsw/2*(H16-K16*Rdson1)+IF(QrrSky_Q3&gt;0,QrrSky_Q3,Qrr_Q3)*Fsw/2*Vout)</f>
        <v>0.1188</v>
      </c>
      <c r="AV16" s="488" t="n">
        <f aca="false">CHOOSE(J16, Rs*AF16^2, Rs*AJ16^2, Rs*(AF16^2+AJ16^2))</f>
        <v>0.34231351975626</v>
      </c>
      <c r="AW16" s="488" t="n">
        <f aca="false">Rshunt_std/1000*Iout^2</f>
        <v>0.14832</v>
      </c>
      <c r="AX16" s="488" t="n">
        <f aca="false">IF(Vout&gt;8, Iq*Vout, Iq*H16)</f>
        <v>0.036</v>
      </c>
      <c r="AY16" s="488" t="n">
        <f aca="false">CHOOSE(J16, (Qg_Q1+Qg_Q2)*Fsw, (Qg_Q3+Qg_Q4)*Fsw, (Qg_Q1+Qg_Q2+Qg_Q3+Qg_Q4)*Fsw/2)*IF(Vout&gt;8, Vout, H16)</f>
        <v>0.1584</v>
      </c>
      <c r="AZ16" s="488" t="n">
        <f aca="false">(Vin-Vdd)*Fsw*(Qg_Q1+Qg_Q2)+(RdsonDRT+RdsonDRT2)*Fsw*Qg_Q1*Vdd/(RdsonDRT+2*Rgate1+RdsonDRT2)+(RdsonDRB+RdsonDRB2)*Fsw*Qg_Q2*Vdd/(RdsonDRB+2*Rgate2+RdsonDRB2)</f>
        <v>0.0522</v>
      </c>
      <c r="BA16" s="488" t="n">
        <f aca="false">SUM(AX16:AY16)</f>
        <v>0.1944</v>
      </c>
      <c r="BB16" s="488" t="n">
        <f aca="false">SUM(T16,W16,Z16,AE16,AI16,AN16,AR16, AT16,AU16,BA16,AV16,AW16)</f>
        <v>2.73196303834728</v>
      </c>
      <c r="BC16" s="419" t="n">
        <f aca="false">Vout*K16</f>
        <v>72</v>
      </c>
      <c r="BD16" s="589" t="n">
        <f aca="false">BC16/(BC16+BB16)</f>
        <v>0.963443178430287</v>
      </c>
      <c r="BE16" s="590" t="n">
        <f aca="false">IF(H16&gt;Vout,ThetaJA_Q1*(AE16+AU16),ThetaJA_Q4*(AN16+AU16))</f>
        <v>16.3469883195211</v>
      </c>
      <c r="BF16" s="590" t="n">
        <f aca="false">IF(H16&gt;Vout, AI16*ThetaJA_Q2, ThetaJA_Q3*AR16)</f>
        <v>19.923784926869</v>
      </c>
      <c r="BG16" s="536"/>
      <c r="BH16" s="385" t="n">
        <f aca="false">BD16*100</f>
        <v>96.3443178430287</v>
      </c>
      <c r="BI16" s="488" t="n">
        <f aca="false">T16</f>
        <v>0.471382077922125</v>
      </c>
      <c r="BJ16" s="488" t="n">
        <f aca="false">AE16+AI16+AN16+AR16+AU16</f>
        <v>1.46403225537786</v>
      </c>
      <c r="BK16" s="488" t="n">
        <f aca="false">AI16+AU16*0.33</f>
        <v>0.039204</v>
      </c>
      <c r="BL16" s="488" t="n">
        <f aca="false">AV16</f>
        <v>0.34231351975626</v>
      </c>
      <c r="BP16" s="0" t="s">
        <v>822</v>
      </c>
      <c r="BQ16" s="591" t="n">
        <v>25</v>
      </c>
      <c r="BR16" s="591" t="n">
        <v>25</v>
      </c>
      <c r="BS16" s="591" t="n">
        <v>25</v>
      </c>
      <c r="BT16" s="592" t="n">
        <f aca="false">1000000*(12-Vdd)*BS16/1000000000+((1000000*BS9/1000000000*Vdd)*2.5/(2*4))</f>
        <v>0.2765625</v>
      </c>
      <c r="BU16" s="0" t="n">
        <f aca="false">BU$6*$BT16</f>
        <v>22.125</v>
      </c>
      <c r="BV16" s="0" t="n">
        <f aca="false">BV$6*$BT16</f>
        <v>27.65625</v>
      </c>
      <c r="BW16" s="0" t="n">
        <f aca="false">BW$6*$BT16</f>
        <v>33.1875</v>
      </c>
      <c r="BX16" s="0" t="n">
        <f aca="false">BX$6*$BT16</f>
        <v>38.71875</v>
      </c>
      <c r="BY16" s="0" t="n">
        <f aca="false">BY$6*$BT16</f>
        <v>44.25</v>
      </c>
      <c r="BZ16" s="0" t="n">
        <f aca="false">BZ$6*$BT16</f>
        <v>49.78125</v>
      </c>
      <c r="CA16" s="0" t="n">
        <f aca="false">CA$6*$BT16</f>
        <v>5.53125</v>
      </c>
      <c r="CB16" s="0" t="n">
        <f aca="false">CB$6*$BT16</f>
        <v>8.296875</v>
      </c>
      <c r="CC16" s="0" t="n">
        <f aca="false">CC$6*$BT16</f>
        <v>11.0625</v>
      </c>
      <c r="CD16" s="0" t="n">
        <f aca="false">CD$6*$BT16</f>
        <v>13.828125</v>
      </c>
    </row>
    <row r="17" customFormat="false" ht="12.75" hidden="false" customHeight="false" outlineLevel="0" collapsed="false">
      <c r="A17" s="604" t="s">
        <v>611</v>
      </c>
      <c r="B17" s="584" t="s">
        <v>812</v>
      </c>
      <c r="C17" s="604" t="s">
        <v>697</v>
      </c>
      <c r="D17" s="585" t="s">
        <v>134</v>
      </c>
      <c r="G17" s="0" t="n">
        <v>8</v>
      </c>
      <c r="H17" s="586" t="n">
        <f aca="false">VIN_min+(VIN_max-VIN_min)*(G17/200)</f>
        <v>7.76</v>
      </c>
      <c r="I17" s="385" t="str">
        <f aca="false">IF(H17&gt;VIN_BB_to_buck, "BUCK", IF(H17&lt;VIN_boost_to_BB,"BOOST","BUCK-BST"))</f>
        <v>BOOST</v>
      </c>
      <c r="J17" s="419" t="n">
        <f aca="false">IF(I17="BOOST",2, IF(I17="BUCK", 1,3))</f>
        <v>2</v>
      </c>
      <c r="K17" s="0" t="n">
        <f aca="false">Iout</f>
        <v>6</v>
      </c>
      <c r="L17" s="385" t="n">
        <f aca="false">Vout*K17/(H17*Efficiency)</f>
        <v>10.3092783505155</v>
      </c>
      <c r="M17" s="385" t="n">
        <f aca="false">Iout/(1-O17)</f>
        <v>9.37969085966977</v>
      </c>
      <c r="N17" s="488" t="n">
        <f aca="false">CHOOSE(J17,(Vout+(Rdson2+Rs+Rdcr)*K17)/(H17+(Rs+Rdson2-Rdson1)*K17),1,IF(H17&lt;Vout,D_max_buck_BB,Vout/H17*(1-D_min_boost_exitBB_to_buck)))</f>
        <v>1</v>
      </c>
      <c r="O17" s="488" t="n">
        <f aca="false">CHOOSE(J17,0,(Vout+(Rdson3+Rdcr)*L17-H17)/(Vout+(Rdson3-Rdson4-Rs)*L17),IF(H17&gt;Vout,D_min_boost_exitBB_to_buck, (Vout-H17*D_max_buck_BB)/Vout))</f>
        <v>0.360320069204152</v>
      </c>
      <c r="P17" s="385" t="n">
        <f aca="false">MAX(0, CHOOSE(J17, (H17-(Rdson1+Rdcr)*K17-Vout)*N17/(Fsw*Lf), (H17-(Rdson4+Rdcr+Rs)*L17)*O17/(Fsw*Lf), IF(H17&lt;Vout, (H17-(Rdson4+Rdcr+Rs)*L17)*O17/(0.5*Fsw*Lf),(H17-(Rdson1+Rdcr)*K17-Vout)*N17/(0.5*Fsw*Lf))))</f>
        <v>1.94813103439639</v>
      </c>
      <c r="Q17" s="488" t="n">
        <f aca="false">CHOOSE(J17, SQRT(K17^2+(P17^2)/12), SQRT(L17^2+(P17^2)/12), SQRT(M17^2+(P17^2)/12))</f>
        <v>10.3246059482031</v>
      </c>
      <c r="R17" s="488" t="n">
        <f aca="false">(Q17^2*Rdcr*(1+Ltc*Ta-Ltc*25))/(1-Q17^2*Rdcr*Ltc*ThetaCa)</f>
        <v>0.367603323090868</v>
      </c>
      <c r="S17" s="488" t="n">
        <f aca="false">7.759*10^-3*Fsw^0.9458*(0.00787*P17)^2.304</f>
        <v>0.0775662989607889</v>
      </c>
      <c r="T17" s="488" t="n">
        <f aca="false">R17+S17</f>
        <v>0.445169622051657</v>
      </c>
      <c r="U17" s="385" t="n">
        <f aca="false">IF(H17&gt;Vout, P17/SQRT(12), SQRT(O17/(1-O17))*SQRT(K17^2+(P17^2)/12))</f>
        <v>4.52286337405319</v>
      </c>
      <c r="V17" s="488" t="n">
        <f aca="false">RCoutEsr*U17^2</f>
        <v>0.102281465501759</v>
      </c>
      <c r="W17" s="488" t="n">
        <f aca="false">V17</f>
        <v>0.102281465501759</v>
      </c>
      <c r="X17" s="488" t="n">
        <f aca="false">IF(H17&gt;Vout, SQRT(N17*(1-N17))*SQRT(K17^2+(P17^2)/12), P17/SQRT(12))</f>
        <v>0.562376988562711</v>
      </c>
      <c r="Y17" s="587" t="n">
        <f aca="false">RCinEsr*X17^2</f>
        <v>0.000632535754529726</v>
      </c>
      <c r="Z17" s="588" t="n">
        <f aca="false">Y17</f>
        <v>0.000632535754529726</v>
      </c>
      <c r="AA17" s="488" t="n">
        <f aca="false">CHOOSE(J17, SQRT(N17)*SQRT(K17^2+(P17^2)/12), SQRT(L17^2+(P17^2)/12), SQRT(N17)*SQRT(M17^2+(P17^2)/12))</f>
        <v>10.3246059482031</v>
      </c>
      <c r="AB17" s="488" t="n">
        <f aca="false">Rdson1*AA17^2</f>
        <v>0.607605681518329</v>
      </c>
      <c r="AC17" s="488" t="n">
        <f aca="false">CHOOSE(J17, (H17*K17/2)*(Fsw)*(Tr_buck+Tf_buck), 0, (H17*M17/2)*(Fsw/2)*(Tr_buck+Tf_buck))</f>
        <v>0</v>
      </c>
      <c r="AD17" s="0" t="n">
        <f aca="false">IF(H17&gt;Vout, IF(K17&gt;P17/2,0,ABS(K17-P17/2)*Vsd_Q1*Deadtime*Fsw),0)</f>
        <v>0</v>
      </c>
      <c r="AE17" s="488" t="n">
        <f aca="false">(AD17+AC17+AB17*(1+RdsonTopTc*Ta-RdsonTopTc*25))/(1-AB17*RdsonTopTc*ThetaJA_Q1)</f>
        <v>0.69165657436735</v>
      </c>
      <c r="AF17" s="488" t="n">
        <f aca="false">CHOOSE(J17, SQRT((1-N17))*SQRT(K17^2+(P17^2)/12), 0, SQRT((1-N17))*SQRT(M17^2+(P17^2)/12))</f>
        <v>0</v>
      </c>
      <c r="AG17" s="488" t="n">
        <f aca="false">Rdson2*AF17^2</f>
        <v>0</v>
      </c>
      <c r="AH17" s="488" t="n">
        <f aca="false">CHOOSE(J17, IF(K17&lt;P17/2,Deadtime*Fsw*IF(VfdSky_Q2&gt;0,0,Vsd_Q2)*(K17+P17/2),2*Deadtime*Fsw*IF(VfdSky_Q2&gt;0,0,Vsd_Q2)*K17),0, IF(K17&lt;P17/2,Deadtime*Fsw/2*IF(VfdSky_Q2&gt;0,0,Vsd_Q2)*(K17+P17/2),2*Deadtime*Fsw/2*IF(VfdSky_Q2&gt;0,0,Vsd_Q2)*K17))</f>
        <v>0</v>
      </c>
      <c r="AI17" s="488" t="n">
        <f aca="false">(AH17+AG17*(1+RdsonBotTc*Ta-RdsonBotTc*25))/(1-AG17*RdsonBotTc*ThetaJA_Q2)</f>
        <v>0</v>
      </c>
      <c r="AJ17" s="488" t="n">
        <f aca="false">CHOOSE(J17, 0, SQRT(O17)*SQRT(L17^2+(P17^2)/12), SQRT(O17)*SQRT(M17^2+(P17^2)/12))</f>
        <v>6.19751678077486</v>
      </c>
      <c r="AK17" s="488" t="n">
        <f aca="false">Rdson4*AJ17^2</f>
        <v>0.0729775070711735</v>
      </c>
      <c r="AL17" s="488" t="n">
        <f aca="false">CHOOSE(J17, 0, (Vout*L17/2)*(Fsw)*(Tr_boost+Tf_boost), (Vout*Iout/2)*(Fsw/2)*(Tr_boost+Tf_boost))</f>
        <v>0.119955934750201</v>
      </c>
      <c r="AM17" s="0" t="n">
        <f aca="false">IF(H17&gt;Vout, 0, IF(L17&gt;P17/2,0,ABS(L17-P17/2)*Vsd_Q4*Deadtime*Fsw))</f>
        <v>0</v>
      </c>
      <c r="AN17" s="488" t="n">
        <f aca="false">(AM17+AL17+AK17*(1+RdsonTopTc*Ta-RdsonTopTc*25))/(1-AK17*RdsonTopTc*ThetaJA_Q4)</f>
        <v>0.195791111262704</v>
      </c>
      <c r="AO17" s="488" t="n">
        <f aca="false">CHOOSE(J17, SQRT(Iout^2+(P17^2)/12), SQRT(1-O17)*SQRT(L17^2+(P17^2)/12), SQRT(1-O17)*SQRT(M17^2+(P17^2)/12))</f>
        <v>8.25761913251548</v>
      </c>
      <c r="AP17" s="488" t="n">
        <f aca="false">Rdson3*AO17^2</f>
        <v>0.129557720101603</v>
      </c>
      <c r="AQ17" s="488" t="n">
        <f aca="false">CHOOSE(J17, 0, IF(L17&lt;P17/2,Deadtime*Fsw*IF(VfdSky_Q3&gt;0,0,Vsd_Q3)*(L17+P17/2), 2*Deadtime*Fsw*IF(VfdSky_Q3&gt;0,0,Vsd_Q3)*L17), IF(L17&lt;P17/2,Deadtime*Fsw/2*IF(VfdSky_Q3&gt;0,0,Vsd_Q3)*(L17+P17/2), 2*Deadtime*Fsw/2*IF(VfdSky_Q3&gt;0,0,Vsd_Q3)*L17))</f>
        <v>0.247422680412371</v>
      </c>
      <c r="AR17" s="488" t="n">
        <f aca="false">(AQ17+AP17*(1+RdsonBotTc*Ta-RdsonBotTc*25))/(1-AP17*RdsonBotTc*ThetaJA_Q3)</f>
        <v>0.387008385326597</v>
      </c>
      <c r="AS17" s="488" t="n">
        <f aca="false">CHOOSE(J17, Rdson3*Q17^2, Rdson1*Q17^2, 0)</f>
        <v>0.607605681518329</v>
      </c>
      <c r="AT17" s="488" t="n">
        <f aca="false">CHOOSE(J17, 2*Deadtime*Fsw*IF(VfdSky_Q2&gt;0,VfdSky_Q2,0)*K17, 2*Deadtime*Fsw*IF(VfdSky_Q3&gt;0,VfdSky_Q3,0)*L17, 2*Deadtime*Fsw/2*IF(VfdSky_Q2&gt;0,VfdSky_Q2,0)*K17+2*Deadtime*Fsw/2*IF(VfdSky_Q3&gt;0,VfdSky_Q3,0)*L17)</f>
        <v>0</v>
      </c>
      <c r="AU17" s="488" t="n">
        <f aca="false">CHOOSE(J17, IF(QrrSky_Q2&gt;0,QrrSky_Q2,Qrr_Q2)*Fsw*(H17-K17*Rdson1), IF(QrrSky_Q3&gt;0,QrrSky_Q3,Qrr_Q3)*Fsw*Vout,  IF(QrrSky_Q2&gt;0,QrrSky_Q2,Qrr_Q2)*Fsw/2*(H17-K17*Rdson1)+IF(QrrSky_Q3&gt;0,QrrSky_Q3,Qrr_Q3)*Fsw/2*Vout)</f>
        <v>0.1188</v>
      </c>
      <c r="AV17" s="488" t="n">
        <f aca="false">CHOOSE(J17, Rs*AF17^2, Rs*AJ17^2, Rs*(AF17^2+AJ17^2))</f>
        <v>0.307273713983888</v>
      </c>
      <c r="AW17" s="488" t="n">
        <f aca="false">Rshunt_std/1000*Iout^2</f>
        <v>0.14832</v>
      </c>
      <c r="AX17" s="488" t="n">
        <f aca="false">IF(Vout&gt;8, Iq*Vout, Iq*H17)</f>
        <v>0.036</v>
      </c>
      <c r="AY17" s="488" t="n">
        <f aca="false">CHOOSE(J17, (Qg_Q1+Qg_Q2)*Fsw, (Qg_Q3+Qg_Q4)*Fsw, (Qg_Q1+Qg_Q2+Qg_Q3+Qg_Q4)*Fsw/2)*IF(Vout&gt;8, Vout, H17)</f>
        <v>0.1584</v>
      </c>
      <c r="AZ17" s="488" t="n">
        <f aca="false">(Vin-Vdd)*Fsw*(Qg_Q1+Qg_Q2)+(RdsonDRT+RdsonDRT2)*Fsw*Qg_Q1*Vdd/(RdsonDRT+2*Rgate1+RdsonDRT2)+(RdsonDRB+RdsonDRB2)*Fsw*Qg_Q2*Vdd/(RdsonDRB+2*Rgate2+RdsonDRB2)</f>
        <v>0.0522</v>
      </c>
      <c r="BA17" s="488" t="n">
        <f aca="false">SUM(AX17:AY17)</f>
        <v>0.1944</v>
      </c>
      <c r="BB17" s="488" t="n">
        <f aca="false">SUM(T17,W17,Z17,AE17,AI17,AN17,AR17, AT17,AU17,BA17,AV17,AW17)</f>
        <v>2.59133340824849</v>
      </c>
      <c r="BC17" s="419" t="n">
        <f aca="false">Vout*K17</f>
        <v>72</v>
      </c>
      <c r="BD17" s="589" t="n">
        <f aca="false">BC17/(BC17+BB17)</f>
        <v>0.965259591297748</v>
      </c>
      <c r="BE17" s="590" t="n">
        <f aca="false">IF(H17&gt;Vout,ThetaJA_Q1*(AE17+AU17),ThetaJA_Q4*(AN17+AU17))</f>
        <v>15.7295555631352</v>
      </c>
      <c r="BF17" s="590" t="n">
        <f aca="false">IF(H17&gt;Vout, AI17*ThetaJA_Q2, ThetaJA_Q3*AR17)</f>
        <v>19.3504192663299</v>
      </c>
      <c r="BG17" s="536"/>
      <c r="BH17" s="385" t="n">
        <f aca="false">BD17*100</f>
        <v>96.5259591297748</v>
      </c>
      <c r="BI17" s="488" t="n">
        <f aca="false">T17</f>
        <v>0.445169622051657</v>
      </c>
      <c r="BJ17" s="488" t="n">
        <f aca="false">AE17+AI17+AN17+AR17+AU17</f>
        <v>1.39325607095665</v>
      </c>
      <c r="BK17" s="488" t="n">
        <f aca="false">AI17+AU17*0.33</f>
        <v>0.039204</v>
      </c>
      <c r="BL17" s="488" t="n">
        <f aca="false">AV17</f>
        <v>0.307273713983888</v>
      </c>
      <c r="BP17" s="0" t="s">
        <v>823</v>
      </c>
      <c r="BQ17" s="591" t="n">
        <v>50</v>
      </c>
      <c r="BR17" s="591" t="n">
        <v>50</v>
      </c>
      <c r="BS17" s="591" t="n">
        <v>50</v>
      </c>
      <c r="BT17" s="592" t="n">
        <f aca="false">500000*(18-Vdd)*BS17/1000000000+((500000*BS15/1000000000*Vdd)*2.5/(2*4))</f>
        <v>0.2859375</v>
      </c>
      <c r="BU17" s="0" t="n">
        <f aca="false">BU$6*$BT17</f>
        <v>22.875</v>
      </c>
      <c r="BV17" s="0" t="n">
        <f aca="false">BV$6*$BT17</f>
        <v>28.59375</v>
      </c>
      <c r="BW17" s="0" t="n">
        <f aca="false">BW$6*$BT17</f>
        <v>34.3125</v>
      </c>
      <c r="BX17" s="0" t="n">
        <f aca="false">BX$6*$BT17</f>
        <v>40.03125</v>
      </c>
      <c r="BY17" s="0" t="n">
        <f aca="false">BY$6*$BT17</f>
        <v>45.75</v>
      </c>
      <c r="BZ17" s="0" t="n">
        <f aca="false">BZ$6*$BT17</f>
        <v>51.46875</v>
      </c>
      <c r="CA17" s="0" t="n">
        <f aca="false">CA$6*$BT17</f>
        <v>5.71875</v>
      </c>
      <c r="CB17" s="0" t="n">
        <f aca="false">CB$6*$BT17</f>
        <v>8.578125</v>
      </c>
      <c r="CC17" s="0" t="n">
        <f aca="false">CC$6*$BT17</f>
        <v>11.4375</v>
      </c>
      <c r="CD17" s="0" t="n">
        <f aca="false">CD$6*$BT17</f>
        <v>14.296875</v>
      </c>
    </row>
    <row r="18" customFormat="false" ht="12.75" hidden="false" customHeight="false" outlineLevel="0" collapsed="false">
      <c r="A18" s="605" t="s">
        <v>824</v>
      </c>
      <c r="B18" s="606" t="n">
        <f aca="false">Lf*1000000</f>
        <v>4.7</v>
      </c>
      <c r="C18" s="607" t="s">
        <v>825</v>
      </c>
      <c r="D18" s="603" t="s">
        <v>826</v>
      </c>
      <c r="G18" s="0" t="n">
        <v>9</v>
      </c>
      <c r="H18" s="586" t="n">
        <f aca="false">VIN_min+(VIN_max-VIN_min)*(G18/200)</f>
        <v>7.98</v>
      </c>
      <c r="I18" s="385" t="str">
        <f aca="false">IF(H18&gt;VIN_BB_to_buck, "BUCK", IF(H18&lt;VIN_boost_to_BB,"BOOST","BUCK-BST"))</f>
        <v>BOOST</v>
      </c>
      <c r="J18" s="419" t="n">
        <f aca="false">IF(I18="BOOST",2, IF(I18="BUCK", 1,3))</f>
        <v>2</v>
      </c>
      <c r="K18" s="0" t="n">
        <f aca="false">Iout</f>
        <v>6</v>
      </c>
      <c r="L18" s="385" t="n">
        <f aca="false">Vout*K18/(H18*Efficiency)</f>
        <v>10.0250626566416</v>
      </c>
      <c r="M18" s="385" t="n">
        <f aca="false">Iout/(1-O18)</f>
        <v>9.11396286194275</v>
      </c>
      <c r="N18" s="488" t="n">
        <f aca="false">CHOOSE(J18,(Vout+(Rdson2+Rs+Rdcr)*K18)/(H18+(Rs+Rdson2-Rdson1)*K18),1,IF(H18&lt;Vout,D_max_buck_BB,Vout/H18*(1-D_min_boost_exitBB_to_buck)))</f>
        <v>1</v>
      </c>
      <c r="O18" s="488" t="n">
        <f aca="false">CHOOSE(J18,0,(Vout+(Rdson3+Rdcr)*L18-H18)/(Vout+(Rdson3-Rdson4-Rs)*L18),IF(H18&gt;Vout,D_min_boost_exitBB_to_buck, (Vout-H18*D_max_buck_BB)/Vout))</f>
        <v>0.341669470142977</v>
      </c>
      <c r="P18" s="385" t="n">
        <f aca="false">MAX(0, CHOOSE(J18, (H18-(Rdson1+Rdcr)*K18-Vout)*N18/(Fsw*Lf), (H18-(Rdson4+Rdcr+Rs)*L18)*O18/(Fsw*Lf), IF(H18&lt;Vout, (H18-(Rdson4+Rdcr+Rs)*L18)*O18/(0.5*Fsw*Lf),(H18-(Rdson1+Rdcr)*K18-Vout)*N18/(0.5*Fsw*Lf))))</f>
        <v>1.90151610303607</v>
      </c>
      <c r="Q18" s="488" t="n">
        <f aca="false">CHOOSE(J18, SQRT(K18^2+(P18^2)/12), SQRT(L18^2+(P18^2)/12), SQRT(M18^2+(P18^2)/12))</f>
        <v>10.0400794266662</v>
      </c>
      <c r="R18" s="488" t="n">
        <f aca="false">(Q18^2*Rdcr*(1+Ltc*Ta-Ltc*25))/(1-Q18^2*Rdcr*Ltc*ThetaCa)</f>
        <v>0.347066801465153</v>
      </c>
      <c r="S18" s="488" t="n">
        <f aca="false">7.759*10^-3*Fsw^0.9458*(0.00787*P18)^2.304</f>
        <v>0.0733566069923024</v>
      </c>
      <c r="T18" s="488" t="n">
        <f aca="false">R18+S18</f>
        <v>0.420423408457455</v>
      </c>
      <c r="U18" s="385" t="n">
        <f aca="false">IF(H18&gt;Vout, P18/SQRT(12), SQRT(O18/(1-O18))*SQRT(K18^2+(P18^2)/12))</f>
        <v>4.34052497718534</v>
      </c>
      <c r="V18" s="488" t="n">
        <f aca="false">RCoutEsr*U18^2</f>
        <v>0.094200785387849</v>
      </c>
      <c r="W18" s="488" t="n">
        <f aca="false">V18</f>
        <v>0.094200785387849</v>
      </c>
      <c r="X18" s="488" t="n">
        <f aca="false">IF(H18&gt;Vout, SQRT(N18*(1-N18))*SQRT(K18^2+(P18^2)/12), P18/SQRT(12))</f>
        <v>0.548920416978143</v>
      </c>
      <c r="Y18" s="587" t="n">
        <f aca="false">RCinEsr*X18^2</f>
        <v>0.000602627248350916</v>
      </c>
      <c r="Z18" s="588" t="n">
        <f aca="false">Y18</f>
        <v>0.000602627248350916</v>
      </c>
      <c r="AA18" s="488" t="n">
        <f aca="false">CHOOSE(J18, SQRT(N18)*SQRT(K18^2+(P18^2)/12), SQRT(L18^2+(P18^2)/12), SQRT(N18)*SQRT(M18^2+(P18^2)/12))</f>
        <v>10.0400794266662</v>
      </c>
      <c r="AB18" s="488" t="n">
        <f aca="false">Rdson1*AA18^2</f>
        <v>0.574578210894463</v>
      </c>
      <c r="AC18" s="488" t="n">
        <f aca="false">CHOOSE(J18, (H18*K18/2)*(Fsw)*(Tr_buck+Tf_buck), 0, (H18*M18/2)*(Fsw/2)*(Tr_buck+Tf_buck))</f>
        <v>0</v>
      </c>
      <c r="AD18" s="0" t="n">
        <f aca="false">IF(H18&gt;Vout, IF(K18&gt;P18/2,0,ABS(K18-P18/2)*Vsd_Q1*Deadtime*Fsw),0)</f>
        <v>0</v>
      </c>
      <c r="AE18" s="488" t="n">
        <f aca="false">(AD18+AC18+AB18*(1+RdsonTopTc*Ta-RdsonTopTc*25))/(1-AB18*RdsonTopTc*ThetaJA_Q1)</f>
        <v>0.649179036797074</v>
      </c>
      <c r="AF18" s="488" t="n">
        <f aca="false">CHOOSE(J18, SQRT((1-N18))*SQRT(K18^2+(P18^2)/12), 0, SQRT((1-N18))*SQRT(M18^2+(P18^2)/12))</f>
        <v>0</v>
      </c>
      <c r="AG18" s="488" t="n">
        <f aca="false">Rdson2*AF18^2</f>
        <v>0</v>
      </c>
      <c r="AH18" s="488" t="n">
        <f aca="false">CHOOSE(J18, IF(K18&lt;P18/2,Deadtime*Fsw*IF(VfdSky_Q2&gt;0,0,Vsd_Q2)*(K18+P18/2),2*Deadtime*Fsw*IF(VfdSky_Q2&gt;0,0,Vsd_Q2)*K18),0, IF(K18&lt;P18/2,Deadtime*Fsw/2*IF(VfdSky_Q2&gt;0,0,Vsd_Q2)*(K18+P18/2),2*Deadtime*Fsw/2*IF(VfdSky_Q2&gt;0,0,Vsd_Q2)*K18))</f>
        <v>0</v>
      </c>
      <c r="AI18" s="488" t="n">
        <f aca="false">(AH18+AG18*(1+RdsonBotTc*Ta-RdsonBotTc*25))/(1-AG18*RdsonBotTc*ThetaJA_Q2)</f>
        <v>0</v>
      </c>
      <c r="AJ18" s="488" t="n">
        <f aca="false">CHOOSE(J18, 0, SQRT(O18)*SQRT(L18^2+(P18^2)/12), SQRT(O18)*SQRT(M18^2+(P18^2)/12))</f>
        <v>5.86867737979113</v>
      </c>
      <c r="AK18" s="488" t="n">
        <f aca="false">Rdson4*AJ18^2</f>
        <v>0.065438610957337</v>
      </c>
      <c r="AL18" s="488" t="n">
        <f aca="false">CHOOSE(J18, 0, (Vout*L18/2)*(Fsw)*(Tr_boost+Tf_boost), (Vout*Iout/2)*(Fsw/2)*(Tr_boost+Tf_boost))</f>
        <v>0.116648878904957</v>
      </c>
      <c r="AM18" s="0" t="n">
        <f aca="false">IF(H18&gt;Vout, 0, IF(L18&gt;P18/2,0,ABS(L18-P18/2)*Vsd_Q4*Deadtime*Fsw))</f>
        <v>0</v>
      </c>
      <c r="AN18" s="488" t="n">
        <f aca="false">(AM18+AL18+AK18*(1+RdsonTopTc*Ta-RdsonTopTc*25))/(1-AK18*RdsonTopTc*ThetaJA_Q4)</f>
        <v>0.184502203444692</v>
      </c>
      <c r="AO18" s="488" t="n">
        <f aca="false">CHOOSE(J18, SQRT(Iout^2+(P18^2)/12), SQRT(1-O18)*SQRT(L18^2+(P18^2)/12), SQRT(1-O18)*SQRT(M18^2+(P18^2)/12))</f>
        <v>8.14627649332463</v>
      </c>
      <c r="AP18" s="488" t="n">
        <f aca="false">Rdson3*AO18^2</f>
        <v>0.126087459340817</v>
      </c>
      <c r="AQ18" s="488" t="n">
        <f aca="false">CHOOSE(J18, 0, IF(L18&lt;P18/2,Deadtime*Fsw*IF(VfdSky_Q3&gt;0,0,Vsd_Q3)*(L18+P18/2), 2*Deadtime*Fsw*IF(VfdSky_Q3&gt;0,0,Vsd_Q3)*L18), IF(L18&lt;P18/2,Deadtime*Fsw/2*IF(VfdSky_Q3&gt;0,0,Vsd_Q3)*(L18+P18/2), 2*Deadtime*Fsw/2*IF(VfdSky_Q3&gt;0,0,Vsd_Q3)*L18))</f>
        <v>0.240601503759398</v>
      </c>
      <c r="AR18" s="488" t="n">
        <f aca="false">(AQ18+AP18*(1+RdsonBotTc*Ta-RdsonBotTc*25))/(1-AP18*RdsonBotTc*ThetaJA_Q3)</f>
        <v>0.376175157064495</v>
      </c>
      <c r="AS18" s="488" t="n">
        <f aca="false">CHOOSE(J18, Rdson3*Q18^2, Rdson1*Q18^2, 0)</f>
        <v>0.574578210894463</v>
      </c>
      <c r="AT18" s="488" t="n">
        <f aca="false">CHOOSE(J18, 2*Deadtime*Fsw*IF(VfdSky_Q2&gt;0,VfdSky_Q2,0)*K18, 2*Deadtime*Fsw*IF(VfdSky_Q3&gt;0,VfdSky_Q3,0)*L18, 2*Deadtime*Fsw/2*IF(VfdSky_Q2&gt;0,VfdSky_Q2,0)*K18+2*Deadtime*Fsw/2*IF(VfdSky_Q3&gt;0,VfdSky_Q3,0)*L18)</f>
        <v>0</v>
      </c>
      <c r="AU18" s="488" t="n">
        <f aca="false">CHOOSE(J18, IF(QrrSky_Q2&gt;0,QrrSky_Q2,Qrr_Q2)*Fsw*(H18-K18*Rdson1), IF(QrrSky_Q3&gt;0,QrrSky_Q3,Qrr_Q3)*Fsw*Vout,  IF(QrrSky_Q2&gt;0,QrrSky_Q2,Qrr_Q2)*Fsw/2*(H18-K18*Rdson1)+IF(QrrSky_Q3&gt;0,QrrSky_Q3,Qrr_Q3)*Fsw/2*Vout)</f>
        <v>0.1188</v>
      </c>
      <c r="AV18" s="488" t="n">
        <f aca="false">CHOOSE(J18, Rs*AF18^2, Rs*AJ18^2, Rs*(AF18^2+AJ18^2))</f>
        <v>0.275530993504577</v>
      </c>
      <c r="AW18" s="488" t="n">
        <f aca="false">Rshunt_std/1000*Iout^2</f>
        <v>0.14832</v>
      </c>
      <c r="AX18" s="488" t="n">
        <f aca="false">IF(Vout&gt;8, Iq*Vout, Iq*H18)</f>
        <v>0.036</v>
      </c>
      <c r="AY18" s="488" t="n">
        <f aca="false">CHOOSE(J18, (Qg_Q1+Qg_Q2)*Fsw, (Qg_Q3+Qg_Q4)*Fsw, (Qg_Q1+Qg_Q2+Qg_Q3+Qg_Q4)*Fsw/2)*IF(Vout&gt;8, Vout, H18)</f>
        <v>0.1584</v>
      </c>
      <c r="AZ18" s="488" t="n">
        <f aca="false">(Vin-Vdd)*Fsw*(Qg_Q1+Qg_Q2)+(RdsonDRT+RdsonDRT2)*Fsw*Qg_Q1*Vdd/(RdsonDRT+2*Rgate1+RdsonDRT2)+(RdsonDRB+RdsonDRB2)*Fsw*Qg_Q2*Vdd/(RdsonDRB+2*Rgate2+RdsonDRB2)</f>
        <v>0.0522</v>
      </c>
      <c r="BA18" s="488" t="n">
        <f aca="false">SUM(AX18:AY18)</f>
        <v>0.1944</v>
      </c>
      <c r="BB18" s="488" t="n">
        <f aca="false">SUM(T18,W18,Z18,AE18,AI18,AN18,AR18, AT18,AU18,BA18,AV18,AW18)</f>
        <v>2.46213421190449</v>
      </c>
      <c r="BC18" s="419" t="n">
        <f aca="false">Vout*K18</f>
        <v>72</v>
      </c>
      <c r="BD18" s="589" t="n">
        <f aca="false">BC18/(BC18+BB18)</f>
        <v>0.966934412531103</v>
      </c>
      <c r="BE18" s="590" t="n">
        <f aca="false">IF(H18&gt;Vout,ThetaJA_Q1*(AE18+AU18),ThetaJA_Q4*(AN18+AU18))</f>
        <v>15.1651101722346</v>
      </c>
      <c r="BF18" s="590" t="n">
        <f aca="false">IF(H18&gt;Vout, AI18*ThetaJA_Q2, ThetaJA_Q3*AR18)</f>
        <v>18.8087578532247</v>
      </c>
      <c r="BG18" s="536"/>
      <c r="BH18" s="385" t="n">
        <f aca="false">BD18*100</f>
        <v>96.6934412531103</v>
      </c>
      <c r="BI18" s="488" t="n">
        <f aca="false">T18</f>
        <v>0.420423408457455</v>
      </c>
      <c r="BJ18" s="488" t="n">
        <f aca="false">AE18+AI18+AN18+AR18+AU18</f>
        <v>1.32865639730626</v>
      </c>
      <c r="BK18" s="488" t="n">
        <f aca="false">AI18+AU18*0.33</f>
        <v>0.039204</v>
      </c>
      <c r="BL18" s="488" t="n">
        <f aca="false">AV18</f>
        <v>0.275530993504577</v>
      </c>
      <c r="BP18" s="0" t="s">
        <v>827</v>
      </c>
      <c r="BR18" s="591"/>
      <c r="BS18" s="592"/>
    </row>
    <row r="19" customFormat="false" ht="12.75" hidden="false" customHeight="false" outlineLevel="0" collapsed="false">
      <c r="A19" s="605" t="s">
        <v>283</v>
      </c>
      <c r="B19" s="608" t="n">
        <f aca="false">Rdcr*1000</f>
        <v>3.35</v>
      </c>
      <c r="C19" s="609" t="s">
        <v>828</v>
      </c>
      <c r="D19" s="603" t="s">
        <v>829</v>
      </c>
      <c r="G19" s="0" t="n">
        <v>10</v>
      </c>
      <c r="H19" s="586" t="n">
        <f aca="false">VIN_min+(VIN_max-VIN_min)*(G19/200)</f>
        <v>8.2</v>
      </c>
      <c r="I19" s="385" t="str">
        <f aca="false">IF(H19&gt;VIN_BB_to_buck, "BUCK", IF(H19&lt;VIN_boost_to_BB,"BOOST","BUCK-BST"))</f>
        <v>BOOST</v>
      </c>
      <c r="J19" s="419" t="n">
        <f aca="false">IF(I19="BOOST",2, IF(I19="BUCK", 1,3))</f>
        <v>2</v>
      </c>
      <c r="K19" s="0" t="n">
        <f aca="false">Iout</f>
        <v>6</v>
      </c>
      <c r="L19" s="385" t="n">
        <f aca="false">Vout*K19/(H19*Efficiency)</f>
        <v>9.75609756097561</v>
      </c>
      <c r="M19" s="385" t="n">
        <f aca="false">Iout/(1-O19)</f>
        <v>8.86310063463282</v>
      </c>
      <c r="N19" s="488" t="n">
        <f aca="false">CHOOSE(J19,(Vout+(Rdson2+Rs+Rdcr)*K19)/(H19+(Rs+Rdson2-Rdson1)*K19),1,IF(H19&lt;Vout,D_max_buck_BB,Vout/H19*(1-D_min_boost_exitBB_to_buck)))</f>
        <v>1</v>
      </c>
      <c r="O19" s="488" t="n">
        <f aca="false">CHOOSE(J19,0,(Vout+(Rdson3+Rdcr)*L19-H19)/(Vout+(Rdson3-Rdson4-Rs)*L19),IF(H19&gt;Vout,D_min_boost_exitBB_to_buck, (Vout-H19*D_max_buck_BB)/Vout))</f>
        <v>0.323036006546645</v>
      </c>
      <c r="P19" s="385" t="n">
        <f aca="false">MAX(0, CHOOSE(J19, (H19-(Rdson1+Rdcr)*K19-Vout)*N19/(Fsw*Lf), (H19-(Rdson4+Rdcr+Rs)*L19)*O19/(Fsw*Lf), IF(H19&lt;Vout, (H19-(Rdson4+Rdcr+Rs)*L19)*O19/(0.5*Fsw*Lf),(H19-(Rdson1+Rdcr)*K19-Vout)*N19/(0.5*Fsw*Lf))))</f>
        <v>1.84903329123482</v>
      </c>
      <c r="Q19" s="488" t="n">
        <f aca="false">CHOOSE(J19, SQRT(K19^2+(P19^2)/12), SQRT(L19^2+(P19^2)/12), SQRT(M19^2+(P19^2)/12))</f>
        <v>9.77068830543421</v>
      </c>
      <c r="R19" s="488" t="n">
        <f aca="false">(Q19^2*Rdcr*(1+Ltc*Ta-Ltc*25))/(1-Q19^2*Rdcr*Ltc*ThetaCa)</f>
        <v>0.32820950662271</v>
      </c>
      <c r="S19" s="488" t="n">
        <f aca="false">7.759*10^-3*Fsw^0.9458*(0.00787*P19)^2.304</f>
        <v>0.0687754557754681</v>
      </c>
      <c r="T19" s="488" t="n">
        <f aca="false">R19+S19</f>
        <v>0.396984962398179</v>
      </c>
      <c r="U19" s="385" t="n">
        <f aca="false">IF(H19&gt;Vout, P19/SQRT(12), SQRT(O19/(1-O19))*SQRT(K19^2+(P19^2)/12))</f>
        <v>4.16107658003924</v>
      </c>
      <c r="V19" s="488" t="n">
        <f aca="false">RCoutEsr*U19^2</f>
        <v>0.0865727915247554</v>
      </c>
      <c r="W19" s="488" t="n">
        <f aca="false">V19</f>
        <v>0.0865727915247554</v>
      </c>
      <c r="X19" s="488" t="n">
        <f aca="false">IF(H19&gt;Vout, SQRT(N19*(1-N19))*SQRT(K19^2+(P19^2)/12), P19/SQRT(12))</f>
        <v>0.533769934217501</v>
      </c>
      <c r="Y19" s="587" t="n">
        <f aca="false">RCinEsr*X19^2</f>
        <v>0.00056982068534911</v>
      </c>
      <c r="Z19" s="588" t="n">
        <f aca="false">Y19</f>
        <v>0.00056982068534911</v>
      </c>
      <c r="AA19" s="488" t="n">
        <f aca="false">CHOOSE(J19, SQRT(N19)*SQRT(K19^2+(P19^2)/12), SQRT(L19^2+(P19^2)/12), SQRT(N19)*SQRT(M19^2+(P19^2)/12))</f>
        <v>9.77068830543421</v>
      </c>
      <c r="AB19" s="488" t="n">
        <f aca="false">Rdson1*AA19^2</f>
        <v>0.544158194783108</v>
      </c>
      <c r="AC19" s="488" t="n">
        <f aca="false">CHOOSE(J19, (H19*K19/2)*(Fsw)*(Tr_buck+Tf_buck), 0, (H19*M19/2)*(Fsw/2)*(Tr_buck+Tf_buck))</f>
        <v>0</v>
      </c>
      <c r="AD19" s="0" t="n">
        <f aca="false">IF(H19&gt;Vout, IF(K19&gt;P19/2,0,ABS(K19-P19/2)*Vsd_Q1*Deadtime*Fsw),0)</f>
        <v>0</v>
      </c>
      <c r="AE19" s="488" t="n">
        <f aca="false">(AD19+AC19+AB19*(1+RdsonTopTc*Ta-RdsonTopTc*25))/(1-AB19*RdsonTopTc*ThetaJA_Q1)</f>
        <v>0.610612111662053</v>
      </c>
      <c r="AF19" s="488" t="n">
        <f aca="false">CHOOSE(J19, SQRT((1-N19))*SQRT(K19^2+(P19^2)/12), 0, SQRT((1-N19))*SQRT(M19^2+(P19^2)/12))</f>
        <v>0</v>
      </c>
      <c r="AG19" s="488" t="n">
        <f aca="false">Rdson2*AF19^2</f>
        <v>0</v>
      </c>
      <c r="AH19" s="488" t="n">
        <f aca="false">CHOOSE(J19, IF(K19&lt;P19/2,Deadtime*Fsw*IF(VfdSky_Q2&gt;0,0,Vsd_Q2)*(K19+P19/2),2*Deadtime*Fsw*IF(VfdSky_Q2&gt;0,0,Vsd_Q2)*K19),0, IF(K19&lt;P19/2,Deadtime*Fsw/2*IF(VfdSky_Q2&gt;0,0,Vsd_Q2)*(K19+P19/2),2*Deadtime*Fsw/2*IF(VfdSky_Q2&gt;0,0,Vsd_Q2)*K19))</f>
        <v>0</v>
      </c>
      <c r="AI19" s="488" t="n">
        <f aca="false">(AH19+AG19*(1+RdsonBotTc*Ta-RdsonBotTc*25))/(1-AG19*RdsonBotTc*ThetaJA_Q2)</f>
        <v>0</v>
      </c>
      <c r="AJ19" s="488" t="n">
        <f aca="false">CHOOSE(J19, 0, SQRT(O19)*SQRT(L19^2+(P19^2)/12), SQRT(O19)*SQRT(M19^2+(P19^2)/12))</f>
        <v>5.5532934778645</v>
      </c>
      <c r="AK19" s="488" t="n">
        <f aca="false">Rdson4*AJ19^2</f>
        <v>0.0585942300574555</v>
      </c>
      <c r="AL19" s="488" t="n">
        <f aca="false">CHOOSE(J19, 0, (Vout*L19/2)*(Fsw)*(Tr_boost+Tf_boost), (Vout*Iout/2)*(Fsw/2)*(Tr_boost+Tf_boost))</f>
        <v>0.113519274836776</v>
      </c>
      <c r="AM19" s="0" t="n">
        <f aca="false">IF(H19&gt;Vout, 0, IF(L19&gt;P19/2,0,ABS(L19-P19/2)*Vsd_Q4*Deadtime*Fsw))</f>
        <v>0</v>
      </c>
      <c r="AN19" s="488" t="n">
        <f aca="false">(AM19+AL19+AK19*(1+RdsonTopTc*Ta-RdsonTopTc*25))/(1-AK19*RdsonTopTc*ThetaJA_Q4)</f>
        <v>0.174154393412861</v>
      </c>
      <c r="AO19" s="488" t="n">
        <f aca="false">CHOOSE(J19, SQRT(Iout^2+(P19^2)/12), SQRT(1-O19)*SQRT(L19^2+(P19^2)/12), SQRT(1-O19)*SQRT(M19^2+(P19^2)/12))</f>
        <v>8.03910949736701</v>
      </c>
      <c r="AP19" s="488" t="n">
        <f aca="false">Rdson3*AO19^2</f>
        <v>0.122791834870247</v>
      </c>
      <c r="AQ19" s="488" t="n">
        <f aca="false">CHOOSE(J19, 0, IF(L19&lt;P19/2,Deadtime*Fsw*IF(VfdSky_Q3&gt;0,0,Vsd_Q3)*(L19+P19/2), 2*Deadtime*Fsw*IF(VfdSky_Q3&gt;0,0,Vsd_Q3)*L19), IF(L19&lt;P19/2,Deadtime*Fsw/2*IF(VfdSky_Q3&gt;0,0,Vsd_Q3)*(L19+P19/2), 2*Deadtime*Fsw/2*IF(VfdSky_Q3&gt;0,0,Vsd_Q3)*L19))</f>
        <v>0.234146341463415</v>
      </c>
      <c r="AR19" s="488" t="n">
        <f aca="false">(AQ19+AP19*(1+RdsonBotTc*Ta-RdsonBotTc*25))/(1-AP19*RdsonBotTc*ThetaJA_Q3)</f>
        <v>0.365924689134287</v>
      </c>
      <c r="AS19" s="488" t="n">
        <f aca="false">CHOOSE(J19, Rdson3*Q19^2, Rdson1*Q19^2, 0)</f>
        <v>0.544158194783108</v>
      </c>
      <c r="AT19" s="488" t="n">
        <f aca="false">CHOOSE(J19, 2*Deadtime*Fsw*IF(VfdSky_Q2&gt;0,VfdSky_Q2,0)*K19, 2*Deadtime*Fsw*IF(VfdSky_Q3&gt;0,VfdSky_Q3,0)*L19, 2*Deadtime*Fsw/2*IF(VfdSky_Q2&gt;0,VfdSky_Q2,0)*K19+2*Deadtime*Fsw/2*IF(VfdSky_Q3&gt;0,VfdSky_Q3,0)*L19)</f>
        <v>0</v>
      </c>
      <c r="AU19" s="488" t="n">
        <f aca="false">CHOOSE(J19, IF(QrrSky_Q2&gt;0,QrrSky_Q2,Qrr_Q2)*Fsw*(H19-K19*Rdson1), IF(QrrSky_Q3&gt;0,QrrSky_Q3,Qrr_Q3)*Fsw*Vout,  IF(QrrSky_Q2&gt;0,QrrSky_Q2,Qrr_Q2)*Fsw/2*(H19-K19*Rdson1)+IF(QrrSky_Q3&gt;0,QrrSky_Q3,Qrr_Q3)*Fsw/2*Vout)</f>
        <v>0.1188</v>
      </c>
      <c r="AV19" s="488" t="n">
        <f aca="false">CHOOSE(J19, Rs*AF19^2, Rs*AJ19^2, Rs*(AF19^2+AJ19^2))</f>
        <v>0.246712547610339</v>
      </c>
      <c r="AW19" s="488" t="n">
        <f aca="false">Rshunt_std/1000*Iout^2</f>
        <v>0.14832</v>
      </c>
      <c r="AX19" s="488" t="n">
        <f aca="false">IF(Vout&gt;8, Iq*Vout, Iq*H19)</f>
        <v>0.036</v>
      </c>
      <c r="AY19" s="488" t="n">
        <f aca="false">CHOOSE(J19, (Qg_Q1+Qg_Q2)*Fsw, (Qg_Q3+Qg_Q4)*Fsw, (Qg_Q1+Qg_Q2+Qg_Q3+Qg_Q4)*Fsw/2)*IF(Vout&gt;8, Vout, H19)</f>
        <v>0.1584</v>
      </c>
      <c r="AZ19" s="488" t="n">
        <f aca="false">(Vin-Vdd)*Fsw*(Qg_Q1+Qg_Q2)+(RdsonDRT+RdsonDRT2)*Fsw*Qg_Q1*Vdd/(RdsonDRT+2*Rgate1+RdsonDRT2)+(RdsonDRB+RdsonDRB2)*Fsw*Qg_Q2*Vdd/(RdsonDRB+2*Rgate2+RdsonDRB2)</f>
        <v>0.0522</v>
      </c>
      <c r="BA19" s="488" t="n">
        <f aca="false">SUM(AX19:AY19)</f>
        <v>0.1944</v>
      </c>
      <c r="BB19" s="488" t="n">
        <f aca="false">SUM(T19,W19,Z19,AE19,AI19,AN19,AR19, AT19,AU19,BA19,AV19,AW19)</f>
        <v>2.34305131642782</v>
      </c>
      <c r="BC19" s="419" t="n">
        <f aca="false">Vout*K19</f>
        <v>72</v>
      </c>
      <c r="BD19" s="589" t="n">
        <f aca="false">BC19/(BC19+BB19)</f>
        <v>0.96848325062076</v>
      </c>
      <c r="BE19" s="590" t="n">
        <f aca="false">IF(H19&gt;Vout,ThetaJA_Q1*(AE19+AU19),ThetaJA_Q4*(AN19+AU19))</f>
        <v>14.6477196706431</v>
      </c>
      <c r="BF19" s="590" t="n">
        <f aca="false">IF(H19&gt;Vout, AI19*ThetaJA_Q2, ThetaJA_Q3*AR19)</f>
        <v>18.2962344567143</v>
      </c>
      <c r="BG19" s="536"/>
      <c r="BH19" s="385" t="n">
        <f aca="false">BD19*100</f>
        <v>96.848325062076</v>
      </c>
      <c r="BI19" s="488" t="n">
        <f aca="false">T19</f>
        <v>0.396984962398179</v>
      </c>
      <c r="BJ19" s="488" t="n">
        <f aca="false">AE19+AI19+AN19+AR19+AU19</f>
        <v>1.2694911942092</v>
      </c>
      <c r="BK19" s="488" t="n">
        <f aca="false">AI19+AU19*0.33</f>
        <v>0.039204</v>
      </c>
      <c r="BL19" s="488" t="n">
        <f aca="false">AV19</f>
        <v>0.246712547610339</v>
      </c>
      <c r="BP19" s="0" t="s">
        <v>830</v>
      </c>
      <c r="BR19" s="591"/>
      <c r="BS19" s="592"/>
    </row>
    <row r="20" customFormat="false" ht="12.75" hidden="false" customHeight="false" outlineLevel="0" collapsed="false">
      <c r="A20" s="605" t="s">
        <v>612</v>
      </c>
      <c r="B20" s="608" t="n">
        <f aca="false">Ltc*1000000</f>
        <v>4000</v>
      </c>
      <c r="C20" s="607" t="s">
        <v>831</v>
      </c>
      <c r="D20" s="598" t="s">
        <v>832</v>
      </c>
      <c r="G20" s="0" t="n">
        <v>11</v>
      </c>
      <c r="H20" s="586" t="n">
        <f aca="false">VIN_min+(VIN_max-VIN_min)*(G20/200)</f>
        <v>8.42</v>
      </c>
      <c r="I20" s="385" t="str">
        <f aca="false">IF(H20&gt;VIN_BB_to_buck, "BUCK", IF(H20&lt;VIN_boost_to_BB,"BOOST","BUCK-BST"))</f>
        <v>BOOST</v>
      </c>
      <c r="J20" s="419" t="n">
        <f aca="false">IF(I20="BOOST",2, IF(I20="BUCK", 1,3))</f>
        <v>2</v>
      </c>
      <c r="K20" s="0" t="n">
        <f aca="false">Iout</f>
        <v>6</v>
      </c>
      <c r="L20" s="385" t="n">
        <f aca="false">Vout*K20/(H20*Efficiency)</f>
        <v>9.50118764845606</v>
      </c>
      <c r="M20" s="385" t="n">
        <f aca="false">Iout/(1-O20)</f>
        <v>8.6258741859546</v>
      </c>
      <c r="N20" s="488" t="n">
        <f aca="false">CHOOSE(J20,(Vout+(Rdson2+Rs+Rdcr)*K20)/(H20+(Rs+Rdson2-Rdson1)*K20),1,IF(H20&lt;Vout,D_max_buck_BB,Vout/H20*(1-D_min_boost_exitBB_to_buck)))</f>
        <v>1</v>
      </c>
      <c r="O20" s="488" t="n">
        <f aca="false">CHOOSE(J20,0,(Vout+(Rdson3+Rdcr)*L20-H20)/(Vout+(Rdson3-Rdson4-Rs)*L20),IF(H20&gt;Vout,D_min_boost_exitBB_to_buck, (Vout-H20*D_max_buck_BB)/Vout))</f>
        <v>0.304418326693227</v>
      </c>
      <c r="P20" s="385" t="n">
        <f aca="false">MAX(0, CHOOSE(J20, (H20-(Rdson1+Rdcr)*K20-Vout)*N20/(Fsw*Lf), (H20-(Rdson4+Rdcr+Rs)*L20)*O20/(Fsw*Lf), IF(H20&lt;Vout, (H20-(Rdson4+Rdcr+Rs)*L20)*O20/(0.5*Fsw*Lf),(H20-(Rdson1+Rdcr)*K20-Vout)*N20/(0.5*Fsw*Lf))))</f>
        <v>1.79069422939968</v>
      </c>
      <c r="Q20" s="488" t="n">
        <f aca="false">CHOOSE(J20, SQRT(K20^2+(P20^2)/12), SQRT(L20^2+(P20^2)/12), SQRT(M20^2+(P20^2)/12))</f>
        <v>9.51523947236438</v>
      </c>
      <c r="R20" s="488" t="n">
        <f aca="false">(Q20^2*Rdcr*(1+Ltc*Ta-Ltc*25))/(1-Q20^2*Rdcr*Ltc*ThetaCa)</f>
        <v>0.310850963882286</v>
      </c>
      <c r="S20" s="488" t="n">
        <f aca="false">7.759*10^-3*Fsw^0.9458*(0.00787*P20)^2.304</f>
        <v>0.0638784253694689</v>
      </c>
      <c r="T20" s="488" t="n">
        <f aca="false">R20+S20</f>
        <v>0.374729389251755</v>
      </c>
      <c r="U20" s="385" t="n">
        <f aca="false">IF(H20&gt;Vout, P20/SQRT(12), SQRT(O20/(1-O20))*SQRT(K20^2+(P20^2)/12))</f>
        <v>3.98399182017266</v>
      </c>
      <c r="V20" s="488" t="n">
        <f aca="false">RCoutEsr*U20^2</f>
        <v>0.0793609541160133</v>
      </c>
      <c r="W20" s="488" t="n">
        <f aca="false">V20</f>
        <v>0.0793609541160133</v>
      </c>
      <c r="X20" s="488" t="n">
        <f aca="false">IF(H20&gt;Vout, SQRT(N20*(1-N20))*SQRT(K20^2+(P20^2)/12), P20/SQRT(12))</f>
        <v>0.516928897690108</v>
      </c>
      <c r="Y20" s="587" t="n">
        <f aca="false">RCinEsr*X20^2</f>
        <v>0.00053443097053422</v>
      </c>
      <c r="Z20" s="588" t="n">
        <f aca="false">Y20</f>
        <v>0.00053443097053422</v>
      </c>
      <c r="AA20" s="488" t="n">
        <f aca="false">CHOOSE(J20, SQRT(N20)*SQRT(K20^2+(P20^2)/12), SQRT(L20^2+(P20^2)/12), SQRT(N20)*SQRT(M20^2+(P20^2)/12))</f>
        <v>9.51523947236438</v>
      </c>
      <c r="AB20" s="488" t="n">
        <f aca="false">Rdson1*AA20^2</f>
        <v>0.516076758633714</v>
      </c>
      <c r="AC20" s="488" t="n">
        <f aca="false">CHOOSE(J20, (H20*K20/2)*(Fsw)*(Tr_buck+Tf_buck), 0, (H20*M20/2)*(Fsw/2)*(Tr_buck+Tf_buck))</f>
        <v>0</v>
      </c>
      <c r="AD20" s="0" t="n">
        <f aca="false">IF(H20&gt;Vout, IF(K20&gt;P20/2,0,ABS(K20-P20/2)*Vsd_Q1*Deadtime*Fsw),0)</f>
        <v>0</v>
      </c>
      <c r="AE20" s="488" t="n">
        <f aca="false">(AD20+AC20+AB20*(1+RdsonTopTc*Ta-RdsonTopTc*25))/(1-AB20*RdsonTopTc*ThetaJA_Q1)</f>
        <v>0.575474568646342</v>
      </c>
      <c r="AF20" s="488" t="n">
        <f aca="false">CHOOSE(J20, SQRT((1-N20))*SQRT(K20^2+(P20^2)/12), 0, SQRT((1-N20))*SQRT(M20^2+(P20^2)/12))</f>
        <v>0</v>
      </c>
      <c r="AG20" s="488" t="n">
        <f aca="false">Rdson2*AF20^2</f>
        <v>0</v>
      </c>
      <c r="AH20" s="488" t="n">
        <f aca="false">CHOOSE(J20, IF(K20&lt;P20/2,Deadtime*Fsw*IF(VfdSky_Q2&gt;0,0,Vsd_Q2)*(K20+P20/2),2*Deadtime*Fsw*IF(VfdSky_Q2&gt;0,0,Vsd_Q2)*K20),0, IF(K20&lt;P20/2,Deadtime*Fsw/2*IF(VfdSky_Q2&gt;0,0,Vsd_Q2)*(K20+P20/2),2*Deadtime*Fsw/2*IF(VfdSky_Q2&gt;0,0,Vsd_Q2)*K20))</f>
        <v>0</v>
      </c>
      <c r="AI20" s="488" t="n">
        <f aca="false">(AH20+AG20*(1+RdsonBotTc*Ta-RdsonBotTc*25))/(1-AG20*RdsonBotTc*ThetaJA_Q2)</f>
        <v>0</v>
      </c>
      <c r="AJ20" s="488" t="n">
        <f aca="false">CHOOSE(J20, 0, SQRT(O20)*SQRT(L20^2+(P20^2)/12), SQRT(O20)*SQRT(M20^2+(P20^2)/12))</f>
        <v>5.24994942847054</v>
      </c>
      <c r="AK20" s="488" t="n">
        <f aca="false">Rdson4*AJ20^2</f>
        <v>0.0523677411028466</v>
      </c>
      <c r="AL20" s="488" t="n">
        <f aca="false">CHOOSE(J20, 0, (Vout*L20/2)*(Fsw)*(Tr_boost+Tf_boost), (Vout*Iout/2)*(Fsw/2)*(Tr_boost+Tf_boost))</f>
        <v>0.110553213023938</v>
      </c>
      <c r="AM20" s="0" t="n">
        <f aca="false">IF(H20&gt;Vout, 0, IF(L20&gt;P20/2,0,ABS(L20-P20/2)*Vsd_Q4*Deadtime*Fsw))</f>
        <v>0</v>
      </c>
      <c r="AN20" s="488" t="n">
        <f aca="false">(AM20+AL20+AK20*(1+RdsonTopTc*Ta-RdsonTopTc*25))/(1-AK20*RdsonTopTc*ThetaJA_Q4)</f>
        <v>0.164645375405387</v>
      </c>
      <c r="AO20" s="488" t="n">
        <f aca="false">CHOOSE(J20, SQRT(Iout^2+(P20^2)/12), SQRT(1-O20)*SQRT(L20^2+(P20^2)/12), SQRT(1-O20)*SQRT(M20^2+(P20^2)/12))</f>
        <v>7.93585617403333</v>
      </c>
      <c r="AP20" s="488" t="n">
        <f aca="false">Rdson3*AO20^2</f>
        <v>0.119657845108391</v>
      </c>
      <c r="AQ20" s="488" t="n">
        <f aca="false">CHOOSE(J20, 0, IF(L20&lt;P20/2,Deadtime*Fsw*IF(VfdSky_Q3&gt;0,0,Vsd_Q3)*(L20+P20/2), 2*Deadtime*Fsw*IF(VfdSky_Q3&gt;0,0,Vsd_Q3)*L20), IF(L20&lt;P20/2,Deadtime*Fsw/2*IF(VfdSky_Q3&gt;0,0,Vsd_Q3)*(L20+P20/2), 2*Deadtime*Fsw/2*IF(VfdSky_Q3&gt;0,0,Vsd_Q3)*L20))</f>
        <v>0.228028503562945</v>
      </c>
      <c r="AR20" s="488" t="n">
        <f aca="false">(AQ20+AP20*(1+RdsonBotTc*Ta-RdsonBotTc*25))/(1-AP20*RdsonBotTc*ThetaJA_Q3)</f>
        <v>0.356211037706493</v>
      </c>
      <c r="AS20" s="488" t="n">
        <f aca="false">CHOOSE(J20, Rdson3*Q20^2, Rdson1*Q20^2, 0)</f>
        <v>0.516076758633714</v>
      </c>
      <c r="AT20" s="488" t="n">
        <f aca="false">CHOOSE(J20, 2*Deadtime*Fsw*IF(VfdSky_Q2&gt;0,VfdSky_Q2,0)*K20, 2*Deadtime*Fsw*IF(VfdSky_Q3&gt;0,VfdSky_Q3,0)*L20, 2*Deadtime*Fsw/2*IF(VfdSky_Q2&gt;0,VfdSky_Q2,0)*K20+2*Deadtime*Fsw/2*IF(VfdSky_Q3&gt;0,VfdSky_Q3,0)*L20)</f>
        <v>0</v>
      </c>
      <c r="AU20" s="488" t="n">
        <f aca="false">CHOOSE(J20, IF(QrrSky_Q2&gt;0,QrrSky_Q2,Qrr_Q2)*Fsw*(H20-K20*Rdson1), IF(QrrSky_Q3&gt;0,QrrSky_Q3,Qrr_Q3)*Fsw*Vout,  IF(QrrSky_Q2&gt;0,QrrSky_Q2,Qrr_Q2)*Fsw/2*(H20-K20*Rdson1)+IF(QrrSky_Q3&gt;0,QrrSky_Q3,Qrr_Q3)*Fsw/2*Vout)</f>
        <v>0.1188</v>
      </c>
      <c r="AV20" s="488" t="n">
        <f aca="false">CHOOSE(J20, Rs*AF20^2, Rs*AJ20^2, Rs*(AF20^2+AJ20^2))</f>
        <v>0.220495752011986</v>
      </c>
      <c r="AW20" s="488" t="n">
        <f aca="false">Rshunt_std/1000*Iout^2</f>
        <v>0.14832</v>
      </c>
      <c r="AX20" s="488" t="n">
        <f aca="false">IF(Vout&gt;8, Iq*Vout, Iq*H20)</f>
        <v>0.036</v>
      </c>
      <c r="AY20" s="488" t="n">
        <f aca="false">CHOOSE(J20, (Qg_Q1+Qg_Q2)*Fsw, (Qg_Q3+Qg_Q4)*Fsw, (Qg_Q1+Qg_Q2+Qg_Q3+Qg_Q4)*Fsw/2)*IF(Vout&gt;8, Vout, H20)</f>
        <v>0.1584</v>
      </c>
      <c r="AZ20" s="488" t="n">
        <f aca="false">(Vin-Vdd)*Fsw*(Qg_Q1+Qg_Q2)+(RdsonDRT+RdsonDRT2)*Fsw*Qg_Q1*Vdd/(RdsonDRT+2*Rgate1+RdsonDRT2)+(RdsonDRB+RdsonDRB2)*Fsw*Qg_Q2*Vdd/(RdsonDRB+2*Rgate2+RdsonDRB2)</f>
        <v>0.0522</v>
      </c>
      <c r="BA20" s="488" t="n">
        <f aca="false">SUM(AX20:AY20)</f>
        <v>0.1944</v>
      </c>
      <c r="BB20" s="488" t="n">
        <f aca="false">SUM(T20,W20,Z20,AE20,AI20,AN20,AR20, AT20,AU20,BA20,AV20,AW20)</f>
        <v>2.23297150810851</v>
      </c>
      <c r="BC20" s="419" t="n">
        <f aca="false">Vout*K20</f>
        <v>72</v>
      </c>
      <c r="BD20" s="589" t="n">
        <f aca="false">BC20/(BC20+BB20)</f>
        <v>0.969919410974076</v>
      </c>
      <c r="BE20" s="590" t="n">
        <f aca="false">IF(H20&gt;Vout,ThetaJA_Q1*(AE20+AU20),ThetaJA_Q4*(AN20+AU20))</f>
        <v>14.1722687702693</v>
      </c>
      <c r="BF20" s="590" t="n">
        <f aca="false">IF(H20&gt;Vout, AI20*ThetaJA_Q2, ThetaJA_Q3*AR20)</f>
        <v>17.8105518853247</v>
      </c>
      <c r="BG20" s="536"/>
      <c r="BH20" s="385" t="n">
        <f aca="false">BD20*100</f>
        <v>96.9919410974077</v>
      </c>
      <c r="BI20" s="488" t="n">
        <f aca="false">T20</f>
        <v>0.374729389251755</v>
      </c>
      <c r="BJ20" s="488" t="n">
        <f aca="false">AE20+AI20+AN20+AR20+AU20</f>
        <v>1.21513098175822</v>
      </c>
      <c r="BK20" s="488" t="n">
        <f aca="false">AI20+AU20*0.33</f>
        <v>0.039204</v>
      </c>
      <c r="BL20" s="488" t="n">
        <f aca="false">AV20</f>
        <v>0.220495752011986</v>
      </c>
      <c r="BR20" s="591"/>
      <c r="BS20" s="592"/>
    </row>
    <row r="21" customFormat="false" ht="12.75" hidden="false" customHeight="false" outlineLevel="0" collapsed="false">
      <c r="A21" s="610" t="s">
        <v>833</v>
      </c>
      <c r="B21" s="608" t="n">
        <f aca="false">ThetaCa</f>
        <v>20</v>
      </c>
      <c r="C21" s="611" t="s">
        <v>121</v>
      </c>
      <c r="D21" s="612" t="s">
        <v>834</v>
      </c>
      <c r="G21" s="0" t="n">
        <v>12</v>
      </c>
      <c r="H21" s="586" t="n">
        <f aca="false">VIN_min+(VIN_max-VIN_min)*(G21/200)</f>
        <v>8.64</v>
      </c>
      <c r="I21" s="385" t="str">
        <f aca="false">IF(H21&gt;VIN_BB_to_buck, "BUCK", IF(H21&lt;VIN_boost_to_BB,"BOOST","BUCK-BST"))</f>
        <v>BOOST</v>
      </c>
      <c r="J21" s="419" t="n">
        <f aca="false">IF(I21="BOOST",2, IF(I21="BUCK", 1,3))</f>
        <v>2</v>
      </c>
      <c r="K21" s="0" t="n">
        <f aca="false">Iout</f>
        <v>6</v>
      </c>
      <c r="L21" s="385" t="n">
        <f aca="false">Vout*K21/(H21*Efficiency)</f>
        <v>9.25925925925926</v>
      </c>
      <c r="M21" s="385" t="n">
        <f aca="false">Iout/(1-O21)</f>
        <v>8.40118712426756</v>
      </c>
      <c r="N21" s="488" t="n">
        <f aca="false">CHOOSE(J21,(Vout+(Rdson2+Rs+Rdcr)*K21)/(H21+(Rs+Rdson2-Rdson1)*K21),1,IF(H21&lt;Vout,D_max_buck_BB,Vout/H21*(1-D_min_boost_exitBB_to_buck)))</f>
        <v>1</v>
      </c>
      <c r="O21" s="488" t="n">
        <f aca="false">CHOOSE(J21,0,(Vout+(Rdson3+Rdcr)*L21-H21)/(Vout+(Rdson3-Rdson4-Rs)*L21),IF(H21&gt;Vout,D_min_boost_exitBB_to_buck, (Vout-H21*D_max_buck_BB)/Vout))</f>
        <v>0.285815217391304</v>
      </c>
      <c r="P21" s="385" t="n">
        <f aca="false">MAX(0, CHOOSE(J21, (H21-(Rdson1+Rdcr)*K21-Vout)*N21/(Fsw*Lf), (H21-(Rdson4+Rdcr+Rs)*L21)*O21/(Fsw*Lf), IF(H21&lt;Vout, (H21-(Rdson4+Rdcr+Rs)*L21)*O21/(0.5*Fsw*Lf),(H21-(Rdson1+Rdcr)*K21-Vout)*N21/(0.5*Fsw*Lf))))</f>
        <v>1.72650935133792</v>
      </c>
      <c r="Q21" s="488" t="n">
        <f aca="false">CHOOSE(J21, SQRT(K21^2+(P21^2)/12), SQRT(L21^2+(P21^2)/12), SQRT(M21^2+(P21^2)/12))</f>
        <v>9.27266331258356</v>
      </c>
      <c r="R21" s="488" t="n">
        <f aca="false">(Q21^2*Rdcr*(1+Ltc*Ta-Ltc*25))/(1-Q21^2*Rdcr*Ltc*ThetaCa)</f>
        <v>0.294834602594296</v>
      </c>
      <c r="S21" s="488" t="n">
        <f aca="false">7.759*10^-3*Fsw^0.9458*(0.00787*P21)^2.304</f>
        <v>0.058725949066583</v>
      </c>
      <c r="T21" s="488" t="n">
        <f aca="false">R21+S21</f>
        <v>0.353560551660879</v>
      </c>
      <c r="U21" s="385" t="n">
        <f aca="false">IF(H21&gt;Vout, P21/SQRT(12), SQRT(O21/(1-O21))*SQRT(K21^2+(P21^2)/12))</f>
        <v>3.80874428709272</v>
      </c>
      <c r="V21" s="488" t="n">
        <f aca="false">RCoutEsr*U21^2</f>
        <v>0.0725326652223072</v>
      </c>
      <c r="W21" s="488" t="n">
        <f aca="false">V21</f>
        <v>0.0725326652223072</v>
      </c>
      <c r="X21" s="488" t="n">
        <f aca="false">IF(H21&gt;Vout, SQRT(N21*(1-N21))*SQRT(K21^2+(P21^2)/12), P21/SQRT(12))</f>
        <v>0.498400319376678</v>
      </c>
      <c r="Y21" s="587" t="n">
        <f aca="false">RCinEsr*X21^2</f>
        <v>0.00049680575670955</v>
      </c>
      <c r="Z21" s="588" t="n">
        <f aca="false">Y21</f>
        <v>0.00049680575670955</v>
      </c>
      <c r="AA21" s="488" t="n">
        <f aca="false">CHOOSE(J21, SQRT(N21)*SQRT(K21^2+(P21^2)/12), SQRT(L21^2+(P21^2)/12), SQRT(N21)*SQRT(M21^2+(P21^2)/12))</f>
        <v>9.27266331258356</v>
      </c>
      <c r="AB21" s="488" t="n">
        <f aca="false">Rdson1*AA21^2</f>
        <v>0.490099023978638</v>
      </c>
      <c r="AC21" s="488" t="n">
        <f aca="false">CHOOSE(J21, (H21*K21/2)*(Fsw)*(Tr_buck+Tf_buck), 0, (H21*M21/2)*(Fsw/2)*(Tr_buck+Tf_buck))</f>
        <v>0</v>
      </c>
      <c r="AD21" s="0" t="n">
        <f aca="false">IF(H21&gt;Vout, IF(K21&gt;P21/2,0,ABS(K21-P21/2)*Vsd_Q1*Deadtime*Fsw),0)</f>
        <v>0</v>
      </c>
      <c r="AE21" s="488" t="n">
        <f aca="false">(AD21+AC21+AB21*(1+RdsonTopTc*Ta-RdsonTopTc*25))/(1-AB21*RdsonTopTc*ThetaJA_Q1)</f>
        <v>0.543358963516539</v>
      </c>
      <c r="AF21" s="488" t="n">
        <f aca="false">CHOOSE(J21, SQRT((1-N21))*SQRT(K21^2+(P21^2)/12), 0, SQRT((1-N21))*SQRT(M21^2+(P21^2)/12))</f>
        <v>0</v>
      </c>
      <c r="AG21" s="488" t="n">
        <f aca="false">Rdson2*AF21^2</f>
        <v>0</v>
      </c>
      <c r="AH21" s="488" t="n">
        <f aca="false">CHOOSE(J21, IF(K21&lt;P21/2,Deadtime*Fsw*IF(VfdSky_Q2&gt;0,0,Vsd_Q2)*(K21+P21/2),2*Deadtime*Fsw*IF(VfdSky_Q2&gt;0,0,Vsd_Q2)*K21),0, IF(K21&lt;P21/2,Deadtime*Fsw/2*IF(VfdSky_Q2&gt;0,0,Vsd_Q2)*(K21+P21/2),2*Deadtime*Fsw/2*IF(VfdSky_Q2&gt;0,0,Vsd_Q2)*K21))</f>
        <v>0</v>
      </c>
      <c r="AI21" s="488" t="n">
        <f aca="false">(AH21+AG21*(1+RdsonBotTc*Ta-RdsonBotTc*25))/(1-AG21*RdsonBotTc*ThetaJA_Q2)</f>
        <v>0</v>
      </c>
      <c r="AJ21" s="488" t="n">
        <f aca="false">CHOOSE(J21, 0, SQRT(O21)*SQRT(L21^2+(P21^2)/12), SQRT(O21)*SQRT(M21^2+(P21^2)/12))</f>
        <v>4.95732240760407</v>
      </c>
      <c r="AK21" s="488" t="n">
        <f aca="false">Rdson4*AJ21^2</f>
        <v>0.0466925863605735</v>
      </c>
      <c r="AL21" s="488" t="n">
        <f aca="false">CHOOSE(J21, 0, (Vout*L21/2)*(Fsw)*(Tr_boost+Tf_boost), (Vout*Iout/2)*(Fsw/2)*(Tr_boost+Tf_boost))</f>
        <v>0.107738200655273</v>
      </c>
      <c r="AM21" s="0" t="n">
        <f aca="false">IF(H21&gt;Vout, 0, IF(L21&gt;P21/2,0,ABS(L21-P21/2)*Vsd_Q4*Deadtime*Fsw))</f>
        <v>0</v>
      </c>
      <c r="AN21" s="488" t="n">
        <f aca="false">(AM21+AL21+AK21*(1+RdsonTopTc*Ta-RdsonTopTc*25))/(1-AK21*RdsonTopTc*ThetaJA_Q4)</f>
        <v>0.155886536125949</v>
      </c>
      <c r="AO21" s="488" t="n">
        <f aca="false">CHOOSE(J21, SQRT(Iout^2+(P21^2)/12), SQRT(1-O21)*SQRT(L21^2+(P21^2)/12), SQRT(1-O21)*SQRT(M21^2+(P21^2)/12))</f>
        <v>7.83627714259773</v>
      </c>
      <c r="AP21" s="488" t="n">
        <f aca="false">Rdson3*AO21^2</f>
        <v>0.116673754965639</v>
      </c>
      <c r="AQ21" s="488" t="n">
        <f aca="false">CHOOSE(J21, 0, IF(L21&lt;P21/2,Deadtime*Fsw*IF(VfdSky_Q3&gt;0,0,Vsd_Q3)*(L21+P21/2), 2*Deadtime*Fsw*IF(VfdSky_Q3&gt;0,0,Vsd_Q3)*L21), IF(L21&lt;P21/2,Deadtime*Fsw/2*IF(VfdSky_Q3&gt;0,0,Vsd_Q3)*(L21+P21/2), 2*Deadtime*Fsw/2*IF(VfdSky_Q3&gt;0,0,Vsd_Q3)*L21))</f>
        <v>0.222222222222222</v>
      </c>
      <c r="AR21" s="488" t="n">
        <f aca="false">(AQ21+AP21*(1+RdsonBotTc*Ta-RdsonBotTc*25))/(1-AP21*RdsonBotTc*ThetaJA_Q3)</f>
        <v>0.34699297178073</v>
      </c>
      <c r="AS21" s="488" t="n">
        <f aca="false">CHOOSE(J21, Rdson3*Q21^2, Rdson1*Q21^2, 0)</f>
        <v>0.490099023978638</v>
      </c>
      <c r="AT21" s="488" t="n">
        <f aca="false">CHOOSE(J21, 2*Deadtime*Fsw*IF(VfdSky_Q2&gt;0,VfdSky_Q2,0)*K21, 2*Deadtime*Fsw*IF(VfdSky_Q3&gt;0,VfdSky_Q3,0)*L21, 2*Deadtime*Fsw/2*IF(VfdSky_Q2&gt;0,VfdSky_Q2,0)*K21+2*Deadtime*Fsw/2*IF(VfdSky_Q3&gt;0,VfdSky_Q3,0)*L21)</f>
        <v>0</v>
      </c>
      <c r="AU21" s="488" t="n">
        <f aca="false">CHOOSE(J21, IF(QrrSky_Q2&gt;0,QrrSky_Q2,Qrr_Q2)*Fsw*(H21-K21*Rdson1), IF(QrrSky_Q3&gt;0,QrrSky_Q3,Qrr_Q3)*Fsw*Vout,  IF(QrrSky_Q2&gt;0,QrrSky_Q2,Qrr_Q2)*Fsw/2*(H21-K21*Rdson1)+IF(QrrSky_Q3&gt;0,QrrSky_Q3,Qrr_Q3)*Fsw/2*Vout)</f>
        <v>0.1188</v>
      </c>
      <c r="AV21" s="488" t="n">
        <f aca="false">CHOOSE(J21, Rs*AF21^2, Rs*AJ21^2, Rs*(AF21^2+AJ21^2))</f>
        <v>0.196600363623468</v>
      </c>
      <c r="AW21" s="488" t="n">
        <f aca="false">Rshunt_std/1000*Iout^2</f>
        <v>0.14832</v>
      </c>
      <c r="AX21" s="488" t="n">
        <f aca="false">IF(Vout&gt;8, Iq*Vout, Iq*H21)</f>
        <v>0.036</v>
      </c>
      <c r="AY21" s="488" t="n">
        <f aca="false">CHOOSE(J21, (Qg_Q1+Qg_Q2)*Fsw, (Qg_Q3+Qg_Q4)*Fsw, (Qg_Q1+Qg_Q2+Qg_Q3+Qg_Q4)*Fsw/2)*IF(Vout&gt;8, Vout, H21)</f>
        <v>0.1584</v>
      </c>
      <c r="AZ21" s="488" t="n">
        <f aca="false">(Vin-Vdd)*Fsw*(Qg_Q1+Qg_Q2)+(RdsonDRT+RdsonDRT2)*Fsw*Qg_Q1*Vdd/(RdsonDRT+2*Rgate1+RdsonDRT2)+(RdsonDRB+RdsonDRB2)*Fsw*Qg_Q2*Vdd/(RdsonDRB+2*Rgate2+RdsonDRB2)</f>
        <v>0.0522</v>
      </c>
      <c r="BA21" s="488" t="n">
        <f aca="false">SUM(AX21:AY21)</f>
        <v>0.1944</v>
      </c>
      <c r="BB21" s="488" t="n">
        <f aca="false">SUM(T21,W21,Z21,AE21,AI21,AN21,AR21, AT21,AU21,BA21,AV21,AW21)</f>
        <v>2.13094885768658</v>
      </c>
      <c r="BC21" s="419" t="n">
        <f aca="false">Vout*K21</f>
        <v>72</v>
      </c>
      <c r="BD21" s="589" t="n">
        <f aca="false">BC21/(BC21+BB21)</f>
        <v>0.971254261674466</v>
      </c>
      <c r="BE21" s="590" t="n">
        <f aca="false">IF(H21&gt;Vout,ThetaJA_Q1*(AE21+AU21),ThetaJA_Q4*(AN21+AU21))</f>
        <v>13.7343268062975</v>
      </c>
      <c r="BF21" s="590" t="n">
        <f aca="false">IF(H21&gt;Vout, AI21*ThetaJA_Q2, ThetaJA_Q3*AR21)</f>
        <v>17.3496485890365</v>
      </c>
      <c r="BG21" s="536"/>
      <c r="BH21" s="385" t="n">
        <f aca="false">BD21*100</f>
        <v>97.1254261674466</v>
      </c>
      <c r="BI21" s="488" t="n">
        <f aca="false">T21</f>
        <v>0.353560551660879</v>
      </c>
      <c r="BJ21" s="488" t="n">
        <f aca="false">AE21+AI21+AN21+AR21+AU21</f>
        <v>1.16503847142322</v>
      </c>
      <c r="BK21" s="488" t="n">
        <f aca="false">AI21+AU21*0.33</f>
        <v>0.039204</v>
      </c>
      <c r="BL21" s="488" t="n">
        <f aca="false">AV21</f>
        <v>0.196600363623468</v>
      </c>
      <c r="BR21" s="591"/>
      <c r="BS21" s="592"/>
    </row>
    <row r="22" customFormat="false" ht="12.75" hidden="false" customHeight="false" outlineLevel="0" collapsed="false">
      <c r="A22" s="613" t="s">
        <v>423</v>
      </c>
      <c r="B22" s="608" t="n">
        <f aca="false">Cin*1000000</f>
        <v>68</v>
      </c>
      <c r="C22" s="614" t="s">
        <v>835</v>
      </c>
      <c r="D22" s="603" t="s">
        <v>836</v>
      </c>
      <c r="G22" s="0" t="n">
        <v>13</v>
      </c>
      <c r="H22" s="586" t="n">
        <f aca="false">VIN_min+(VIN_max-VIN_min)*(G22/200)</f>
        <v>8.86</v>
      </c>
      <c r="I22" s="490" t="str">
        <f aca="false">IF(H22&gt;VIN_BB_to_buck, "BUCK", IF(H22&lt;VIN_boost_to_BB,"BOOST","BUCK-BST"))</f>
        <v>BOOST</v>
      </c>
      <c r="J22" s="419" t="n">
        <f aca="false">IF(I22="BOOST",2, IF(I22="BUCK", 1,3))</f>
        <v>2</v>
      </c>
      <c r="K22" s="0" t="n">
        <f aca="false">Iout</f>
        <v>6</v>
      </c>
      <c r="L22" s="385" t="n">
        <f aca="false">Vout*K22/(H22*Efficiency)</f>
        <v>9.0293453724605</v>
      </c>
      <c r="M22" s="385" t="n">
        <f aca="false">Iout/(1-O22)</f>
        <v>8.18805882261789</v>
      </c>
      <c r="N22" s="488" t="n">
        <f aca="false">CHOOSE(J22,(Vout+(Rdson2+Rs+Rdcr)*K22)/(H22+(Rs+Rdson2-Rdson1)*K22),1,IF(H22&lt;Vout,D_max_buck_BB,Vout/H22*(1-D_min_boost_exitBB_to_buck)))</f>
        <v>1</v>
      </c>
      <c r="O22" s="488" t="n">
        <f aca="false">CHOOSE(J22,0,(Vout+(Rdson3+Rdcr)*L22-H22)/(Vout+(Rdson3-Rdson4-Rs)*L22),IF(H22&gt;Vout,D_min_boost_exitBB_to_buck, (Vout-H22*D_max_buck_BB)/Vout))</f>
        <v>0.26722558667676</v>
      </c>
      <c r="P22" s="385" t="n">
        <f aca="false">MAX(0, CHOOSE(J22, (H22-(Rdson1+Rdcr)*K22-Vout)*N22/(Fsw*Lf), (H22-(Rdson4+Rdcr+Rs)*L22)*O22/(Fsw*Lf), IF(H22&lt;Vout, (H22-(Rdson4+Rdcr+Rs)*L22)*O22/(0.5*Fsw*Lf),(H22-(Rdson1+Rdcr)*K22-Vout)*N22/(0.5*Fsw*Lf))))</f>
        <v>1.65648804428331</v>
      </c>
      <c r="Q22" s="488" t="n">
        <f aca="false">CHOOSE(J22, SQRT(K22^2+(P22^2)/12), SQRT(L22^2+(P22^2)/12), SQRT(M22^2+(P22^2)/12))</f>
        <v>9.0419987046695</v>
      </c>
      <c r="R22" s="488" t="n">
        <f aca="false">(Q22^2*Rdcr*(1+Ltc*Ta-Ltc*25))/(1-Q22^2*Rdcr*Ltc*ThetaCa)</f>
        <v>0.280024058936997</v>
      </c>
      <c r="S22" s="488" t="n">
        <f aca="false">7.759*10^-3*Fsw^0.9458*(0.00787*P22)^2.304</f>
        <v>0.0533829628549476</v>
      </c>
      <c r="T22" s="488" t="n">
        <f aca="false">R22+S22</f>
        <v>0.333407021791945</v>
      </c>
      <c r="U22" s="385" t="n">
        <f aca="false">IF(H22&gt;Vout, P22/SQRT(12), SQRT(O22/(1-O22))*SQRT(K22^2+(P22^2)/12))</f>
        <v>3.63479584700203</v>
      </c>
      <c r="V22" s="488" t="n">
        <f aca="false">RCoutEsr*U22^2</f>
        <v>0.0660587042469161</v>
      </c>
      <c r="W22" s="488" t="n">
        <f aca="false">V22</f>
        <v>0.0660587042469161</v>
      </c>
      <c r="X22" s="488" t="n">
        <f aca="false">IF(H22&gt;Vout, SQRT(N22*(1-N22))*SQRT(K22^2+(P22^2)/12), P22/SQRT(12))</f>
        <v>0.478186909138182</v>
      </c>
      <c r="Y22" s="587" t="n">
        <f aca="false">RCinEsr*X22^2</f>
        <v>0.000457325440142256</v>
      </c>
      <c r="Z22" s="588" t="n">
        <f aca="false">Y22</f>
        <v>0.000457325440142256</v>
      </c>
      <c r="AA22" s="488" t="n">
        <f aca="false">CHOOSE(J22, SQRT(N22)*SQRT(K22^2+(P22^2)/12), SQRT(L22^2+(P22^2)/12), SQRT(N22)*SQRT(M22^2+(P22^2)/12))</f>
        <v>9.0419987046695</v>
      </c>
      <c r="AB22" s="488" t="n">
        <f aca="false">Rdson1*AA22^2</f>
        <v>0.466019121278896</v>
      </c>
      <c r="AC22" s="488" t="n">
        <f aca="false">CHOOSE(J22, (H22*K22/2)*(Fsw)*(Tr_buck+Tf_buck), 0, (H22*M22/2)*(Fsw/2)*(Tr_buck+Tf_buck))</f>
        <v>0</v>
      </c>
      <c r="AD22" s="0" t="n">
        <f aca="false">IF(H22&gt;Vout, IF(K22&gt;P22/2,0,ABS(K22-P22/2)*Vsd_Q1*Deadtime*Fsw),0)</f>
        <v>0</v>
      </c>
      <c r="AE22" s="488" t="n">
        <f aca="false">(AD22+AC22+AB22*(1+RdsonTopTc*Ta-RdsonTopTc*25))/(1-AB22*RdsonTopTc*ThetaJA_Q1)</f>
        <v>0.513918269335915</v>
      </c>
      <c r="AF22" s="488" t="n">
        <f aca="false">CHOOSE(J22, SQRT((1-N22))*SQRT(K22^2+(P22^2)/12), 0, SQRT((1-N22))*SQRT(M22^2+(P22^2)/12))</f>
        <v>0</v>
      </c>
      <c r="AG22" s="488" t="n">
        <f aca="false">Rdson2*AF22^2</f>
        <v>0</v>
      </c>
      <c r="AH22" s="488" t="n">
        <f aca="false">CHOOSE(J22, IF(K22&lt;P22/2,Deadtime*Fsw*IF(VfdSky_Q2&gt;0,0,Vsd_Q2)*(K22+P22/2),2*Deadtime*Fsw*IF(VfdSky_Q2&gt;0,0,Vsd_Q2)*K22),0, IF(K22&lt;P22/2,Deadtime*Fsw/2*IF(VfdSky_Q2&gt;0,0,Vsd_Q2)*(K22+P22/2),2*Deadtime*Fsw/2*IF(VfdSky_Q2&gt;0,0,Vsd_Q2)*K22))</f>
        <v>0</v>
      </c>
      <c r="AI22" s="488" t="n">
        <f aca="false">(AH22+AG22*(1+RdsonBotTc*Ta-RdsonBotTc*25))/(1-AG22*RdsonBotTc*ThetaJA_Q2)</f>
        <v>0</v>
      </c>
      <c r="AJ22" s="488" t="n">
        <f aca="false">CHOOSE(J22, 0, SQRT(O22)*SQRT(L22^2+(P22^2)/12), SQRT(O22)*SQRT(M22^2+(P22^2)/12))</f>
        <v>4.67415876822623</v>
      </c>
      <c r="AK22" s="488" t="n">
        <f aca="false">Rdson4*AJ22^2</f>
        <v>0.0415107443621138</v>
      </c>
      <c r="AL22" s="488" t="n">
        <f aca="false">CHOOSE(J22, 0, (Vout*L22/2)*(Fsw)*(Tr_boost+Tf_boost), (Vout*Iout/2)*(Fsw/2)*(Tr_boost+Tf_boost))</f>
        <v>0.105062985740582</v>
      </c>
      <c r="AM22" s="0" t="n">
        <f aca="false">IF(H22&gt;Vout, 0, IF(L22&gt;P22/2,0,ABS(L22-P22/2)*Vsd_Q4*Deadtime*Fsw))</f>
        <v>0</v>
      </c>
      <c r="AN22" s="488" t="n">
        <f aca="false">(AM22+AL22+AK22*(1+RdsonTopTc*Ta-RdsonTopTc*25))/(1-AK22*RdsonTopTc*ThetaJA_Q4)</f>
        <v>0.147800794300441</v>
      </c>
      <c r="AO22" s="488" t="n">
        <f aca="false">CHOOSE(J22, SQRT(Iout^2+(P22^2)/12), SQRT(1-O22)*SQRT(L22^2+(P22^2)/12), SQRT(1-O22)*SQRT(M22^2+(P22^2)/12))</f>
        <v>7.74015377009131</v>
      </c>
      <c r="AP22" s="488" t="n">
        <f aca="false">Rdson3*AO22^2</f>
        <v>0.113828962730852</v>
      </c>
      <c r="AQ22" s="488" t="n">
        <f aca="false">CHOOSE(J22, 0, IF(L22&lt;P22/2,Deadtime*Fsw*IF(VfdSky_Q3&gt;0,0,Vsd_Q3)*(L22+P22/2), 2*Deadtime*Fsw*IF(VfdSky_Q3&gt;0,0,Vsd_Q3)*L22), IF(L22&lt;P22/2,Deadtime*Fsw/2*IF(VfdSky_Q3&gt;0,0,Vsd_Q3)*(L22+P22/2), 2*Deadtime*Fsw/2*IF(VfdSky_Q3&gt;0,0,Vsd_Q3)*L22))</f>
        <v>0.216704288939052</v>
      </c>
      <c r="AR22" s="488" t="n">
        <f aca="false">(AQ22+AP22*(1+RdsonBotTc*Ta-RdsonBotTc*25))/(1-AP22*RdsonBotTc*ThetaJA_Q3)</f>
        <v>0.338233403158393</v>
      </c>
      <c r="AS22" s="488" t="n">
        <f aca="false">CHOOSE(J22, Rdson3*Q22^2, Rdson1*Q22^2, 0)</f>
        <v>0.466019121278896</v>
      </c>
      <c r="AT22" s="488" t="n">
        <f aca="false">CHOOSE(J22, 2*Deadtime*Fsw*IF(VfdSky_Q2&gt;0,VfdSky_Q2,0)*K22, 2*Deadtime*Fsw*IF(VfdSky_Q3&gt;0,VfdSky_Q3,0)*L22, 2*Deadtime*Fsw/2*IF(VfdSky_Q2&gt;0,VfdSky_Q2,0)*K22+2*Deadtime*Fsw/2*IF(VfdSky_Q3&gt;0,VfdSky_Q3,0)*L22)</f>
        <v>0</v>
      </c>
      <c r="AU22" s="488" t="n">
        <f aca="false">CHOOSE(J22, IF(QrrSky_Q2&gt;0,QrrSky_Q2,Qrr_Q2)*Fsw*(H22-K22*Rdson1), IF(QrrSky_Q3&gt;0,QrrSky_Q3,Qrr_Q3)*Fsw*Vout,  IF(QrrSky_Q2&gt;0,QrrSky_Q2,Qrr_Q2)*Fsw/2*(H22-K22*Rdson1)+IF(QrrSky_Q3&gt;0,QrrSky_Q3,Qrr_Q3)*Fsw/2*Vout)</f>
        <v>0.1188</v>
      </c>
      <c r="AV22" s="488" t="n">
        <f aca="false">CHOOSE(J22, Rs*AF22^2, Rs*AJ22^2, Rs*(AF22^2+AJ22^2))</f>
        <v>0.17478208152469</v>
      </c>
      <c r="AW22" s="488" t="n">
        <f aca="false">Rshunt_std/1000*Iout^2</f>
        <v>0.14832</v>
      </c>
      <c r="AX22" s="488" t="n">
        <f aca="false">IF(Vout&gt;8, Iq*Vout, Iq*H22)</f>
        <v>0.036</v>
      </c>
      <c r="AY22" s="488" t="n">
        <f aca="false">CHOOSE(J22, (Qg_Q1+Qg_Q2)*Fsw, (Qg_Q3+Qg_Q4)*Fsw, (Qg_Q1+Qg_Q2+Qg_Q3+Qg_Q4)*Fsw/2)*IF(Vout&gt;8, Vout, H22)</f>
        <v>0.1584</v>
      </c>
      <c r="AZ22" s="488" t="n">
        <f aca="false">(Vin-Vdd)*Fsw*(Qg_Q1+Qg_Q2)+(RdsonDRT+RdsonDRT2)*Fsw*Qg_Q1*Vdd/(RdsonDRT+2*Rgate1+RdsonDRT2)+(RdsonDRB+RdsonDRB2)*Fsw*Qg_Q2*Vdd/(RdsonDRB+2*Rgate2+RdsonDRB2)</f>
        <v>0.0522</v>
      </c>
      <c r="BA22" s="488" t="n">
        <f aca="false">SUM(AX22:AY22)</f>
        <v>0.1944</v>
      </c>
      <c r="BB22" s="488" t="n">
        <f aca="false">SUM(T22,W22,Z22,AE22,AI22,AN22,AR22, AT22,AU22,BA22,AV22,AW22)</f>
        <v>2.03617759979844</v>
      </c>
      <c r="BC22" s="419" t="n">
        <f aca="false">Vout*K22</f>
        <v>72</v>
      </c>
      <c r="BD22" s="589" t="n">
        <f aca="false">BC22/(BC22+BB22)</f>
        <v>0.972497532074049</v>
      </c>
      <c r="BE22" s="590" t="n">
        <f aca="false">IF(H22&gt;Vout,ThetaJA_Q1*(AE22+AU22),ThetaJA_Q4*(AN22+AU22))</f>
        <v>13.330039715022</v>
      </c>
      <c r="BF22" s="590" t="n">
        <f aca="false">IF(H22&gt;Vout, AI22*ThetaJA_Q2, ThetaJA_Q3*AR22)</f>
        <v>16.9116701579196</v>
      </c>
      <c r="BG22" s="536"/>
      <c r="BH22" s="385" t="n">
        <f aca="false">BD22*100</f>
        <v>97.249753207405</v>
      </c>
      <c r="BI22" s="488" t="n">
        <f aca="false">T22</f>
        <v>0.333407021791945</v>
      </c>
      <c r="BJ22" s="488" t="n">
        <f aca="false">AE22+AI22+AN22+AR22+AU22</f>
        <v>1.11875246679475</v>
      </c>
      <c r="BK22" s="488" t="n">
        <f aca="false">AI22+AU22*0.33</f>
        <v>0.039204</v>
      </c>
      <c r="BL22" s="488" t="n">
        <f aca="false">AV22</f>
        <v>0.17478208152469</v>
      </c>
      <c r="BR22" s="591"/>
      <c r="BS22" s="592"/>
    </row>
    <row r="23" customFormat="false" ht="12.75" hidden="false" customHeight="false" outlineLevel="0" collapsed="false">
      <c r="A23" s="613" t="s">
        <v>430</v>
      </c>
      <c r="B23" s="608" t="n">
        <f aca="false">RCinEsr*1000</f>
        <v>2</v>
      </c>
      <c r="C23" s="609" t="s">
        <v>828</v>
      </c>
      <c r="D23" s="603" t="s">
        <v>617</v>
      </c>
      <c r="G23" s="0" t="n">
        <v>14</v>
      </c>
      <c r="H23" s="586" t="n">
        <f aca="false">VIN_min+(VIN_max-VIN_min)*(G23/200)</f>
        <v>9.08</v>
      </c>
      <c r="I23" s="490" t="str">
        <f aca="false">IF(H23&gt;VIN_BB_to_buck, "BUCK", IF(H23&lt;VIN_boost_to_BB,"BOOST","BUCK-BST"))</f>
        <v>BOOST</v>
      </c>
      <c r="J23" s="419" t="n">
        <f aca="false">IF(I23="BOOST",2, IF(I23="BUCK", 1,3))</f>
        <v>2</v>
      </c>
      <c r="K23" s="0" t="n">
        <f aca="false">Iout</f>
        <v>6</v>
      </c>
      <c r="L23" s="385" t="n">
        <f aca="false">Vout*K23/(H23*Efficiency)</f>
        <v>8.81057268722467</v>
      </c>
      <c r="M23" s="385" t="n">
        <f aca="false">Iout/(1-O23)</f>
        <v>7.98560938928371</v>
      </c>
      <c r="N23" s="488" t="n">
        <f aca="false">CHOOSE(J23,(Vout+(Rdson2+Rs+Rdcr)*K23)/(H23+(Rs+Rdson2-Rdson1)*K23),1,IF(H23&lt;Vout,D_max_buck_BB,Vout/H23*(1-D_min_boost_exitBB_to_buck)))</f>
        <v>1</v>
      </c>
      <c r="O23" s="488" t="n">
        <f aca="false">CHOOSE(J23,0,(Vout+(Rdson3+Rdcr)*L23-H23)/(Vout+(Rdson3-Rdson4-Rs)*L23),IF(H23&gt;Vout,D_min_boost_exitBB_to_buck, (Vout-H23*D_max_buck_BB)/Vout))</f>
        <v>0.248648449039882</v>
      </c>
      <c r="P23" s="385" t="n">
        <f aca="false">MAX(0, CHOOSE(J23, (H23-(Rdson1+Rdcr)*K23-Vout)*N23/(Fsw*Lf), (H23-(Rdson4+Rdcr+Rs)*L23)*O23/(Fsw*Lf), IF(H23&lt;Vout, (H23-(Rdson4+Rdcr+Rs)*L23)*O23/(0.5*Fsw*Lf),(H23-(Rdson1+Rdcr)*K23-Vout)*N23/(0.5*Fsw*Lf))))</f>
        <v>1.58063877690345</v>
      </c>
      <c r="Q23" s="488" t="n">
        <f aca="false">CHOOSE(J23, SQRT(K23^2+(P23^2)/12), SQRT(L23^2+(P23^2)/12), SQRT(M23^2+(P23^2)/12))</f>
        <v>8.82238021485454</v>
      </c>
      <c r="R23" s="488" t="n">
        <f aca="false">(Q23^2*Rdcr*(1+Ltc*Ta-Ltc*25))/(1-Q23^2*Rdcr*Ltc*ThetaCa)</f>
        <v>0.266300134265295</v>
      </c>
      <c r="S23" s="488" t="n">
        <f aca="false">7.759*10^-3*Fsw^0.9458*(0.00787*P23)^2.304</f>
        <v>0.0479184986018239</v>
      </c>
      <c r="T23" s="488" t="n">
        <f aca="false">R23+S23</f>
        <v>0.314218632867119</v>
      </c>
      <c r="U23" s="385" t="n">
        <f aca="false">IF(H23&gt;Vout, P23/SQRT(12), SQRT(O23/(1-O23))*SQRT(K23^2+(P23^2)/12))</f>
        <v>3.46158309215887</v>
      </c>
      <c r="V23" s="488" t="n">
        <f aca="false">RCoutEsr*U23^2</f>
        <v>0.0599127875196007</v>
      </c>
      <c r="W23" s="488" t="n">
        <f aca="false">V23</f>
        <v>0.0599127875196007</v>
      </c>
      <c r="X23" s="488" t="n">
        <f aca="false">IF(H23&gt;Vout, SQRT(N23*(1-N23))*SQRT(K23^2+(P23^2)/12), P23/SQRT(12))</f>
        <v>0.456291111668383</v>
      </c>
      <c r="Y23" s="587" t="n">
        <f aca="false">RCinEsr*X23^2</f>
        <v>0.000416403157175137</v>
      </c>
      <c r="Z23" s="588" t="n">
        <f aca="false">Y23</f>
        <v>0.000416403157175137</v>
      </c>
      <c r="AA23" s="488" t="n">
        <f aca="false">CHOOSE(J23, SQRT(N23)*SQRT(K23^2+(P23^2)/12), SQRT(L23^2+(P23^2)/12), SQRT(N23)*SQRT(M23^2+(P23^2)/12))</f>
        <v>8.82238021485454</v>
      </c>
      <c r="AB23" s="488" t="n">
        <f aca="false">Rdson1*AA23^2</f>
        <v>0.443656038136104</v>
      </c>
      <c r="AC23" s="488" t="n">
        <f aca="false">CHOOSE(J23, (H23*K23/2)*(Fsw)*(Tr_buck+Tf_buck), 0, (H23*M23/2)*(Fsw/2)*(Tr_buck+Tf_buck))</f>
        <v>0</v>
      </c>
      <c r="AD23" s="0" t="n">
        <f aca="false">IF(H23&gt;Vout, IF(K23&gt;P23/2,0,ABS(K23-P23/2)*Vsd_Q1*Deadtime*Fsw),0)</f>
        <v>0</v>
      </c>
      <c r="AE23" s="488" t="n">
        <f aca="false">(AD23+AC23+AB23*(1+RdsonTopTc*Ta-RdsonTopTc*25))/(1-AB23*RdsonTopTc*ThetaJA_Q1)</f>
        <v>0.486855296537594</v>
      </c>
      <c r="AF23" s="488" t="n">
        <f aca="false">CHOOSE(J23, SQRT((1-N23))*SQRT(K23^2+(P23^2)/12), 0, SQRT((1-N23))*SQRT(M23^2+(P23^2)/12))</f>
        <v>0</v>
      </c>
      <c r="AG23" s="488" t="n">
        <f aca="false">Rdson2*AF23^2</f>
        <v>0</v>
      </c>
      <c r="AH23" s="488" t="n">
        <f aca="false">CHOOSE(J23, IF(K23&lt;P23/2,Deadtime*Fsw*IF(VfdSky_Q2&gt;0,0,Vsd_Q2)*(K23+P23/2),2*Deadtime*Fsw*IF(VfdSky_Q2&gt;0,0,Vsd_Q2)*K23),0, IF(K23&lt;P23/2,Deadtime*Fsw/2*IF(VfdSky_Q2&gt;0,0,Vsd_Q2)*(K23+P23/2),2*Deadtime*Fsw/2*IF(VfdSky_Q2&gt;0,0,Vsd_Q2)*K23))</f>
        <v>0</v>
      </c>
      <c r="AI23" s="488" t="n">
        <f aca="false">(AH23+AG23*(1+RdsonBotTc*Ta-RdsonBotTc*25))/(1-AG23*RdsonBotTc*ThetaJA_Q2)</f>
        <v>0</v>
      </c>
      <c r="AJ23" s="488" t="n">
        <f aca="false">CHOOSE(J23, 0, SQRT(O23)*SQRT(L23^2+(P23^2)/12), SQRT(O23)*SQRT(M23^2+(P23^2)/12))</f>
        <v>4.39925005151339</v>
      </c>
      <c r="AK23" s="488" t="n">
        <f aca="false">Rdson4*AJ23^2</f>
        <v>0.036771461929907</v>
      </c>
      <c r="AL23" s="488" t="n">
        <f aca="false">CHOOSE(J23, 0, (Vout*L23/2)*(Fsw)*(Tr_boost+Tf_boost), (Vout*Iout/2)*(Fsw/2)*(Tr_boost+Tf_boost))</f>
        <v>0.102517406790921</v>
      </c>
      <c r="AM23" s="0" t="n">
        <f aca="false">IF(H23&gt;Vout, 0, IF(L23&gt;P23/2,0,ABS(L23-P23/2)*Vsd_Q4*Deadtime*Fsw))</f>
        <v>0</v>
      </c>
      <c r="AN23" s="488" t="n">
        <f aca="false">(AM23+AL23+AK23*(1+RdsonTopTc*Ta-RdsonTopTc*25))/(1-AK23*RdsonTopTc*ThetaJA_Q4)</f>
        <v>0.140320829126064</v>
      </c>
      <c r="AO23" s="488" t="n">
        <f aca="false">CHOOSE(J23, SQRT(Iout^2+(P23^2)/12), SQRT(1-O23)*SQRT(L23^2+(P23^2)/12), SQRT(1-O23)*SQRT(M23^2+(P23^2)/12))</f>
        <v>7.64728655404754</v>
      </c>
      <c r="AP23" s="488" t="n">
        <f aca="false">Rdson3*AO23^2</f>
        <v>0.111113884115461</v>
      </c>
      <c r="AQ23" s="488" t="n">
        <f aca="false">CHOOSE(J23, 0, IF(L23&lt;P23/2,Deadtime*Fsw*IF(VfdSky_Q3&gt;0,0,Vsd_Q3)*(L23+P23/2), 2*Deadtime*Fsw*IF(VfdSky_Q3&gt;0,0,Vsd_Q3)*L23), IF(L23&lt;P23/2,Deadtime*Fsw/2*IF(VfdSky_Q3&gt;0,0,Vsd_Q3)*(L23+P23/2), 2*Deadtime*Fsw/2*IF(VfdSky_Q3&gt;0,0,Vsd_Q3)*L23))</f>
        <v>0.211453744493392</v>
      </c>
      <c r="AR23" s="488" t="n">
        <f aca="false">(AQ23+AP23*(1+RdsonBotTc*Ta-RdsonBotTc*25))/(1-AP23*RdsonBotTc*ThetaJA_Q3)</f>
        <v>0.329898898197684</v>
      </c>
      <c r="AS23" s="488" t="n">
        <f aca="false">CHOOSE(J23, Rdson3*Q23^2, Rdson1*Q23^2, 0)</f>
        <v>0.443656038136104</v>
      </c>
      <c r="AT23" s="488" t="n">
        <f aca="false">CHOOSE(J23, 2*Deadtime*Fsw*IF(VfdSky_Q2&gt;0,VfdSky_Q2,0)*K23, 2*Deadtime*Fsw*IF(VfdSky_Q3&gt;0,VfdSky_Q3,0)*L23, 2*Deadtime*Fsw/2*IF(VfdSky_Q2&gt;0,VfdSky_Q2,0)*K23+2*Deadtime*Fsw/2*IF(VfdSky_Q3&gt;0,VfdSky_Q3,0)*L23)</f>
        <v>0</v>
      </c>
      <c r="AU23" s="488" t="n">
        <f aca="false">CHOOSE(J23, IF(QrrSky_Q2&gt;0,QrrSky_Q2,Qrr_Q2)*Fsw*(H23-K23*Rdson1), IF(QrrSky_Q3&gt;0,QrrSky_Q3,Qrr_Q3)*Fsw*Vout,  IF(QrrSky_Q2&gt;0,QrrSky_Q2,Qrr_Q2)*Fsw/2*(H23-K23*Rdson1)+IF(QrrSky_Q3&gt;0,QrrSky_Q3,Qrr_Q3)*Fsw/2*Vout)</f>
        <v>0.1188</v>
      </c>
      <c r="AV23" s="488" t="n">
        <f aca="false">CHOOSE(J23, Rs*AF23^2, Rs*AJ23^2, Rs*(AF23^2+AJ23^2))</f>
        <v>0.154827208125924</v>
      </c>
      <c r="AW23" s="488" t="n">
        <f aca="false">Rshunt_std/1000*Iout^2</f>
        <v>0.14832</v>
      </c>
      <c r="AX23" s="488" t="n">
        <f aca="false">IF(Vout&gt;8, Iq*Vout, Iq*H23)</f>
        <v>0.036</v>
      </c>
      <c r="AY23" s="488" t="n">
        <f aca="false">CHOOSE(J23, (Qg_Q1+Qg_Q2)*Fsw, (Qg_Q3+Qg_Q4)*Fsw, (Qg_Q1+Qg_Q2+Qg_Q3+Qg_Q4)*Fsw/2)*IF(Vout&gt;8, Vout, H23)</f>
        <v>0.1584</v>
      </c>
      <c r="AZ23" s="488" t="n">
        <f aca="false">(Vin-Vdd)*Fsw*(Qg_Q1+Qg_Q2)+(RdsonDRT+RdsonDRT2)*Fsw*Qg_Q1*Vdd/(RdsonDRT+2*Rgate1+RdsonDRT2)+(RdsonDRB+RdsonDRB2)*Fsw*Qg_Q2*Vdd/(RdsonDRB+2*Rgate2+RdsonDRB2)</f>
        <v>0.0522</v>
      </c>
      <c r="BA23" s="488" t="n">
        <f aca="false">SUM(AX23:AY23)</f>
        <v>0.1944</v>
      </c>
      <c r="BB23" s="488" t="n">
        <f aca="false">SUM(T23,W23,Z23,AE23,AI23,AN23,AR23, AT23,AU23,BA23,AV23,AW23)</f>
        <v>1.94797005553116</v>
      </c>
      <c r="BC23" s="419" t="n">
        <f aca="false">Vout*K23</f>
        <v>72</v>
      </c>
      <c r="BD23" s="589" t="n">
        <f aca="false">BC23/(BC23+BB23)</f>
        <v>0.973657558766409</v>
      </c>
      <c r="BE23" s="590" t="n">
        <f aca="false">IF(H23&gt;Vout,ThetaJA_Q1*(AE23+AU23),ThetaJA_Q4*(AN23+AU23))</f>
        <v>12.9560414563032</v>
      </c>
      <c r="BF23" s="590" t="n">
        <f aca="false">IF(H23&gt;Vout, AI23*ThetaJA_Q2, ThetaJA_Q3*AR23)</f>
        <v>16.4949449098842</v>
      </c>
      <c r="BG23" s="536"/>
      <c r="BH23" s="385" t="n">
        <f aca="false">BD23*100</f>
        <v>97.3657558766409</v>
      </c>
      <c r="BI23" s="488" t="n">
        <f aca="false">T23</f>
        <v>0.314218632867119</v>
      </c>
      <c r="BJ23" s="488" t="n">
        <f aca="false">AE23+AI23+AN23+AR23+AU23</f>
        <v>1.07587502386134</v>
      </c>
      <c r="BK23" s="488" t="n">
        <f aca="false">AI23+AU23*0.33</f>
        <v>0.039204</v>
      </c>
      <c r="BL23" s="488" t="n">
        <f aca="false">AV23</f>
        <v>0.154827208125924</v>
      </c>
      <c r="BR23" s="591"/>
      <c r="BS23" s="592"/>
    </row>
    <row r="24" customFormat="false" ht="12.75" hidden="false" customHeight="false" outlineLevel="0" collapsed="false">
      <c r="A24" s="605" t="s">
        <v>401</v>
      </c>
      <c r="B24" s="608" t="n">
        <f aca="false">Cout*1000000</f>
        <v>400</v>
      </c>
      <c r="C24" s="607" t="s">
        <v>835</v>
      </c>
      <c r="D24" s="603" t="s">
        <v>837</v>
      </c>
      <c r="G24" s="0" t="n">
        <v>15</v>
      </c>
      <c r="H24" s="586" t="n">
        <f aca="false">VIN_min+(VIN_max-VIN_min)*(G24/200)</f>
        <v>9.3</v>
      </c>
      <c r="I24" s="490" t="str">
        <f aca="false">IF(H24&gt;VIN_BB_to_buck, "BUCK", IF(H24&lt;VIN_boost_to_BB,"BOOST","BUCK-BST"))</f>
        <v>BOOST</v>
      </c>
      <c r="J24" s="419" t="n">
        <f aca="false">IF(I24="BOOST",2, IF(I24="BUCK", 1,3))</f>
        <v>2</v>
      </c>
      <c r="K24" s="0" t="n">
        <f aca="false">Iout</f>
        <v>6</v>
      </c>
      <c r="L24" s="385" t="n">
        <f aca="false">Vout*K24/(H24*Efficiency)</f>
        <v>8.60215053763441</v>
      </c>
      <c r="M24" s="385" t="n">
        <f aca="false">Iout/(1-O24)</f>
        <v>7.7930469390144</v>
      </c>
      <c r="N24" s="488" t="n">
        <f aca="false">CHOOSE(J24,(Vout+(Rdson2+Rs+Rdcr)*K24)/(H24+(Rs+Rdson2-Rdson1)*K24),1,IF(H24&lt;Vout,D_max_buck_BB,Vout/H24*(1-D_min_boost_exitBB_to_buck)))</f>
        <v>1</v>
      </c>
      <c r="O24" s="488" t="n">
        <f aca="false">CHOOSE(J24,0,(Vout+(Rdson3+Rdcr)*L24-H24)/(Vout+(Rdson3-Rdson4-Rs)*L24),IF(H24&gt;Vout,D_min_boost_exitBB_to_buck, (Vout-H24*D_max_buck_BB)/Vout))</f>
        <v>0.230082912761355</v>
      </c>
      <c r="P24" s="385" t="n">
        <f aca="false">MAX(0, CHOOSE(J24, (H24-(Rdson1+Rdcr)*K24-Vout)*N24/(Fsw*Lf), (H24-(Rdson4+Rdcr+Rs)*L24)*O24/(Fsw*Lf), IF(H24&lt;Vout, (H24-(Rdson4+Rdcr+Rs)*L24)*O24/(0.5*Fsw*Lf),(H24-(Rdson1+Rdcr)*K24-Vout)*N24/(0.5*Fsw*Lf))))</f>
        <v>1.4989692089684</v>
      </c>
      <c r="Q24" s="488" t="n">
        <f aca="false">CHOOSE(J24, SQRT(K24^2+(P24^2)/12), SQRT(L24^2+(P24^2)/12), SQRT(M24^2+(P24^2)/12))</f>
        <v>8.61302712540198</v>
      </c>
      <c r="R24" s="488" t="n">
        <f aca="false">(Q24^2*Rdcr*(1+Ltc*Ta-Ltc*25))/(1-Q24^2*Rdcr*Ltc*ThetaCa)</f>
        <v>0.253558278786404</v>
      </c>
      <c r="S24" s="488" t="n">
        <f aca="false">7.759*10^-3*Fsw^0.9458*(0.00787*P24)^2.304</f>
        <v>0.042405210767938</v>
      </c>
      <c r="T24" s="488" t="n">
        <f aca="false">R24+S24</f>
        <v>0.295963489554342</v>
      </c>
      <c r="U24" s="385" t="n">
        <f aca="false">IF(H24&gt;Vout, P24/SQRT(12), SQRT(O24/(1-O24))*SQRT(K24^2+(P24^2)/12))</f>
        <v>3.28850077796786</v>
      </c>
      <c r="V24" s="488" t="n">
        <f aca="false">RCoutEsr*U24^2</f>
        <v>0.0540711868334762</v>
      </c>
      <c r="W24" s="488" t="n">
        <f aca="false">V24</f>
        <v>0.0540711868334762</v>
      </c>
      <c r="X24" s="488" t="n">
        <f aca="false">IF(H24&gt;Vout, SQRT(N24*(1-N24))*SQRT(K24^2+(P24^2)/12), P24/SQRT(12))</f>
        <v>0.432715138152432</v>
      </c>
      <c r="Y24" s="587" t="n">
        <f aca="false">RCinEsr*X24^2</f>
        <v>0.000374484781572557</v>
      </c>
      <c r="Z24" s="588" t="n">
        <f aca="false">Y24</f>
        <v>0.000374484781572557</v>
      </c>
      <c r="AA24" s="488" t="n">
        <f aca="false">CHOOSE(J24, SQRT(N24)*SQRT(K24^2+(P24^2)/12), SQRT(L24^2+(P24^2)/12), SQRT(N24)*SQRT(M24^2+(P24^2)/12))</f>
        <v>8.61302712540198</v>
      </c>
      <c r="AB24" s="488" t="n">
        <f aca="false">Rdson1*AA24^2</f>
        <v>0.422850146698588</v>
      </c>
      <c r="AC24" s="488" t="n">
        <f aca="false">CHOOSE(J24, (H24*K24/2)*(Fsw)*(Tr_buck+Tf_buck), 0, (H24*M24/2)*(Fsw/2)*(Tr_buck+Tf_buck))</f>
        <v>0</v>
      </c>
      <c r="AD24" s="0" t="n">
        <f aca="false">IF(H24&gt;Vout, IF(K24&gt;P24/2,0,ABS(K24-P24/2)*Vsd_Q1*Deadtime*Fsw),0)</f>
        <v>0</v>
      </c>
      <c r="AE24" s="488" t="n">
        <f aca="false">(AD24+AC24+AB24*(1+RdsonTopTc*Ta-RdsonTopTc*25))/(1-AB24*RdsonTopTc*ThetaJA_Q1)</f>
        <v>0.461914248223263</v>
      </c>
      <c r="AF24" s="488" t="n">
        <f aca="false">CHOOSE(J24, SQRT((1-N24))*SQRT(K24^2+(P24^2)/12), 0, SQRT((1-N24))*SQRT(M24^2+(P24^2)/12))</f>
        <v>0</v>
      </c>
      <c r="AG24" s="488" t="n">
        <f aca="false">Rdson2*AF24^2</f>
        <v>0</v>
      </c>
      <c r="AH24" s="488" t="n">
        <f aca="false">CHOOSE(J24, IF(K24&lt;P24/2,Deadtime*Fsw*IF(VfdSky_Q2&gt;0,0,Vsd_Q2)*(K24+P24/2),2*Deadtime*Fsw*IF(VfdSky_Q2&gt;0,0,Vsd_Q2)*K24),0, IF(K24&lt;P24/2,Deadtime*Fsw/2*IF(VfdSky_Q2&gt;0,0,Vsd_Q2)*(K24+P24/2),2*Deadtime*Fsw/2*IF(VfdSky_Q2&gt;0,0,Vsd_Q2)*K24))</f>
        <v>0</v>
      </c>
      <c r="AI24" s="488" t="n">
        <f aca="false">(AH24+AG24*(1+RdsonBotTc*Ta-RdsonBotTc*25))/(1-AG24*RdsonBotTc*ThetaJA_Q2)</f>
        <v>0</v>
      </c>
      <c r="AJ24" s="488" t="n">
        <f aca="false">CHOOSE(J24, 0, SQRT(O24)*SQRT(L24^2+(P24^2)/12), SQRT(O24)*SQRT(M24^2+(P24^2)/12))</f>
        <v>4.1314071646773</v>
      </c>
      <c r="AK24" s="488" t="n">
        <f aca="false">Rdson4*AJ24^2</f>
        <v>0.0324301978046592</v>
      </c>
      <c r="AL24" s="488" t="n">
        <f aca="false">CHOOSE(J24, 0, (Vout*L24/2)*(Fsw)*(Tr_boost+Tf_boost), (Vout*Iout/2)*(Fsw/2)*(Tr_boost+Tf_boost))</f>
        <v>0.100092263834576</v>
      </c>
      <c r="AM24" s="0" t="n">
        <f aca="false">IF(H24&gt;Vout, 0, IF(L24&gt;P24/2,0,ABS(L24-P24/2)*Vsd_Q4*Deadtime*Fsw))</f>
        <v>0</v>
      </c>
      <c r="AN24" s="488" t="n">
        <f aca="false">(AM24+AL24+AK24*(1+RdsonTopTc*Ta-RdsonTopTc*25))/(1-AK24*RdsonTopTc*ThetaJA_Q4)</f>
        <v>0.133387619013093</v>
      </c>
      <c r="AO24" s="488" t="n">
        <f aca="false">CHOOSE(J24, SQRT(Iout^2+(P24^2)/12), SQRT(1-O24)*SQRT(L24^2+(P24^2)/12), SQRT(1-O24)*SQRT(M24^2+(P24^2)/12))</f>
        <v>7.55749370509584</v>
      </c>
      <c r="AP24" s="488" t="n">
        <f aca="false">Rdson3*AO24^2</f>
        <v>0.10851985109487</v>
      </c>
      <c r="AQ24" s="488" t="n">
        <f aca="false">CHOOSE(J24, 0, IF(L24&lt;P24/2,Deadtime*Fsw*IF(VfdSky_Q3&gt;0,0,Vsd_Q3)*(L24+P24/2), 2*Deadtime*Fsw*IF(VfdSky_Q3&gt;0,0,Vsd_Q3)*L24), IF(L24&lt;P24/2,Deadtime*Fsw/2*IF(VfdSky_Q3&gt;0,0,Vsd_Q3)*(L24+P24/2), 2*Deadtime*Fsw/2*IF(VfdSky_Q3&gt;0,0,Vsd_Q3)*L24))</f>
        <v>0.206451612903226</v>
      </c>
      <c r="AR24" s="488" t="n">
        <f aca="false">(AQ24+AP24*(1+RdsonBotTc*Ta-RdsonBotTc*25))/(1-AP24*RdsonBotTc*ThetaJA_Q3)</f>
        <v>0.321959258148678</v>
      </c>
      <c r="AS24" s="488" t="n">
        <f aca="false">CHOOSE(J24, Rdson3*Q24^2, Rdson1*Q24^2, 0)</f>
        <v>0.422850146698588</v>
      </c>
      <c r="AT24" s="488" t="n">
        <f aca="false">CHOOSE(J24, 2*Deadtime*Fsw*IF(VfdSky_Q2&gt;0,VfdSky_Q2,0)*K24, 2*Deadtime*Fsw*IF(VfdSky_Q3&gt;0,VfdSky_Q3,0)*L24, 2*Deadtime*Fsw/2*IF(VfdSky_Q2&gt;0,VfdSky_Q2,0)*K24+2*Deadtime*Fsw/2*IF(VfdSky_Q3&gt;0,VfdSky_Q3,0)*L24)</f>
        <v>0</v>
      </c>
      <c r="AU24" s="488" t="n">
        <f aca="false">CHOOSE(J24, IF(QrrSky_Q2&gt;0,QrrSky_Q2,Qrr_Q2)*Fsw*(H24-K24*Rdson1), IF(QrrSky_Q3&gt;0,QrrSky_Q3,Qrr_Q3)*Fsw*Vout,  IF(QrrSky_Q2&gt;0,QrrSky_Q2,Qrr_Q2)*Fsw/2*(H24-K24*Rdson1)+IF(QrrSky_Q3&gt;0,QrrSky_Q3,Qrr_Q3)*Fsw/2*Vout)</f>
        <v>0.1188</v>
      </c>
      <c r="AV24" s="488" t="n">
        <f aca="false">CHOOSE(J24, Rs*AF24^2, Rs*AJ24^2, Rs*(AF24^2+AJ24^2))</f>
        <v>0.136548201282776</v>
      </c>
      <c r="AW24" s="488" t="n">
        <f aca="false">Rshunt_std/1000*Iout^2</f>
        <v>0.14832</v>
      </c>
      <c r="AX24" s="488" t="n">
        <f aca="false">IF(Vout&gt;8, Iq*Vout, Iq*H24)</f>
        <v>0.036</v>
      </c>
      <c r="AY24" s="488" t="n">
        <f aca="false">CHOOSE(J24, (Qg_Q1+Qg_Q2)*Fsw, (Qg_Q3+Qg_Q4)*Fsw, (Qg_Q1+Qg_Q2+Qg_Q3+Qg_Q4)*Fsw/2)*IF(Vout&gt;8, Vout, H24)</f>
        <v>0.1584</v>
      </c>
      <c r="AZ24" s="488" t="n">
        <f aca="false">(Vin-Vdd)*Fsw*(Qg_Q1+Qg_Q2)+(RdsonDRT+RdsonDRT2)*Fsw*Qg_Q1*Vdd/(RdsonDRT+2*Rgate1+RdsonDRT2)+(RdsonDRB+RdsonDRB2)*Fsw*Qg_Q2*Vdd/(RdsonDRB+2*Rgate2+RdsonDRB2)</f>
        <v>0.0522</v>
      </c>
      <c r="BA24" s="488" t="n">
        <f aca="false">SUM(AX24:AY24)</f>
        <v>0.1944</v>
      </c>
      <c r="BB24" s="488" t="n">
        <f aca="false">SUM(T24,W24,Z24,AE24,AI24,AN24,AR24, AT24,AU24,BA24,AV24,AW24)</f>
        <v>1.8657384878372</v>
      </c>
      <c r="BC24" s="419" t="n">
        <f aca="false">Vout*K24</f>
        <v>72</v>
      </c>
      <c r="BD24" s="589" t="n">
        <f aca="false">BC24/(BC24+BB24)</f>
        <v>0.97474149008685</v>
      </c>
      <c r="BE24" s="590" t="n">
        <f aca="false">IF(H24&gt;Vout,ThetaJA_Q1*(AE24+AU24),ThetaJA_Q4*(AN24+AU24))</f>
        <v>12.6093809506547</v>
      </c>
      <c r="BF24" s="590" t="n">
        <f aca="false">IF(H24&gt;Vout, AI24*ThetaJA_Q2, ThetaJA_Q3*AR24)</f>
        <v>16.0979629074339</v>
      </c>
      <c r="BG24" s="536"/>
      <c r="BH24" s="385" t="n">
        <f aca="false">BD24*100</f>
        <v>97.474149008685</v>
      </c>
      <c r="BI24" s="488" t="n">
        <f aca="false">T24</f>
        <v>0.295963489554342</v>
      </c>
      <c r="BJ24" s="488" t="n">
        <f aca="false">AE24+AI24+AN24+AR24+AU24</f>
        <v>1.03606112538503</v>
      </c>
      <c r="BK24" s="488" t="n">
        <f aca="false">AI24+AU24*0.33</f>
        <v>0.039204</v>
      </c>
      <c r="BL24" s="488" t="n">
        <f aca="false">AV24</f>
        <v>0.136548201282776</v>
      </c>
      <c r="BR24" s="591"/>
      <c r="BS24" s="592"/>
    </row>
    <row r="25" customFormat="false" ht="12.75" hidden="false" customHeight="false" outlineLevel="0" collapsed="false">
      <c r="A25" s="605" t="s">
        <v>838</v>
      </c>
      <c r="B25" s="615" t="n">
        <f aca="false">CoutEsr*1000</f>
        <v>5</v>
      </c>
      <c r="C25" s="609" t="s">
        <v>828</v>
      </c>
      <c r="D25" s="603" t="s">
        <v>839</v>
      </c>
      <c r="G25" s="0" t="n">
        <v>16</v>
      </c>
      <c r="H25" s="586" t="n">
        <f aca="false">VIN_min+(VIN_max-VIN_min)*(G25/200)</f>
        <v>9.52</v>
      </c>
      <c r="I25" s="490" t="str">
        <f aca="false">IF(H25&gt;VIN_BB_to_buck, "BUCK", IF(H25&lt;VIN_boost_to_BB,"BOOST","BUCK-BST"))</f>
        <v>BOOST</v>
      </c>
      <c r="J25" s="419" t="n">
        <f aca="false">IF(I25="BOOST",2, IF(I25="BUCK", 1,3))</f>
        <v>2</v>
      </c>
      <c r="K25" s="0" t="n">
        <f aca="false">Iout</f>
        <v>6</v>
      </c>
      <c r="L25" s="385" t="n">
        <f aca="false">Vout*K25/(H25*Efficiency)</f>
        <v>8.40336134453782</v>
      </c>
      <c r="M25" s="385" t="n">
        <f aca="false">Iout/(1-O25)</f>
        <v>7.60965676160875</v>
      </c>
      <c r="N25" s="488" t="n">
        <f aca="false">CHOOSE(J25,(Vout+(Rdson2+Rs+Rdcr)*K25)/(H25+(Rs+Rdson2-Rdson1)*K25),1,IF(H25&lt;Vout,D_max_buck_BB,Vout/H25*(1-D_min_boost_exitBB_to_buck)))</f>
        <v>1</v>
      </c>
      <c r="O25" s="488" t="n">
        <f aca="false">CHOOSE(J25,0,(Vout+(Rdson3+Rdcr)*L25-H25)/(Vout+(Rdson3-Rdson4-Rs)*L25),IF(H25&gt;Vout,D_min_boost_exitBB_to_buck, (Vout-H25*D_max_buck_BB)/Vout))</f>
        <v>0.211528169014085</v>
      </c>
      <c r="P25" s="385" t="n">
        <f aca="false">MAX(0, CHOOSE(J25, (H25-(Rdson1+Rdcr)*K25-Vout)*N25/(Fsw*Lf), (H25-(Rdson4+Rdcr+Rs)*L25)*O25/(Fsw*Lf), IF(H25&lt;Vout, (H25-(Rdson4+Rdcr+Rs)*L25)*O25/(0.5*Fsw*Lf),(H25-(Rdson1+Rdcr)*K25-Vout)*N25/(0.5*Fsw*Lf))))</f>
        <v>1.41148628567399</v>
      </c>
      <c r="Q25" s="488" t="n">
        <f aca="false">CHOOSE(J25, SQRT(K25^2+(P25^2)/12), SQRT(L25^2+(P25^2)/12), SQRT(M25^2+(P25^2)/12))</f>
        <v>8.41323400055489</v>
      </c>
      <c r="R25" s="488" t="n">
        <f aca="false">(Q25^2*Rdcr*(1+Ltc*Ta-Ltc*25))/(1-Q25^2*Rdcr*Ltc*ThetaCa)</f>
        <v>0.241706498865926</v>
      </c>
      <c r="S25" s="488" t="n">
        <f aca="false">7.759*10^-3*Fsw^0.9458*(0.00787*P25)^2.304</f>
        <v>0.0369188231773454</v>
      </c>
      <c r="T25" s="488" t="n">
        <f aca="false">R25+S25</f>
        <v>0.278625322043271</v>
      </c>
      <c r="U25" s="385" t="n">
        <f aca="false">IF(H25&gt;Vout, P25/SQRT(12), SQRT(O25/(1-O25))*SQRT(K25^2+(P25^2)/12))</f>
        <v>3.11488057059739</v>
      </c>
      <c r="V25" s="488" t="n">
        <f aca="false">RCoutEsr*U25^2</f>
        <v>0.0485124048454257</v>
      </c>
      <c r="W25" s="488" t="n">
        <f aca="false">V25</f>
        <v>0.0485124048454257</v>
      </c>
      <c r="X25" s="488" t="n">
        <f aca="false">IF(H25&gt;Vout, SQRT(N25*(1-N25))*SQRT(K25^2+(P25^2)/12), P25/SQRT(12))</f>
        <v>0.407460993495673</v>
      </c>
      <c r="Y25" s="587" t="n">
        <f aca="false">RCinEsr*X25^2</f>
        <v>0.000332048922440962</v>
      </c>
      <c r="Z25" s="588" t="n">
        <f aca="false">Y25</f>
        <v>0.000332048922440962</v>
      </c>
      <c r="AA25" s="488" t="n">
        <f aca="false">CHOOSE(J25, SQRT(N25)*SQRT(K25^2+(P25^2)/12), SQRT(L25^2+(P25^2)/12), SQRT(N25)*SQRT(M25^2+(P25^2)/12))</f>
        <v>8.41323400055489</v>
      </c>
      <c r="AB25" s="488" t="n">
        <f aca="false">Rdson1*AA25^2</f>
        <v>0.40346028618413</v>
      </c>
      <c r="AC25" s="488" t="n">
        <f aca="false">CHOOSE(J25, (H25*K25/2)*(Fsw)*(Tr_buck+Tf_buck), 0, (H25*M25/2)*(Fsw/2)*(Tr_buck+Tf_buck))</f>
        <v>0</v>
      </c>
      <c r="AD25" s="0" t="n">
        <f aca="false">IF(H25&gt;Vout, IF(K25&gt;P25/2,0,ABS(K25-P25/2)*Vsd_Q1*Deadtime*Fsw),0)</f>
        <v>0</v>
      </c>
      <c r="AE25" s="488" t="n">
        <f aca="false">(AD25+AC25+AB25*(1+RdsonTopTc*Ta-RdsonTopTc*25))/(1-AB25*RdsonTopTc*ThetaJA_Q1)</f>
        <v>0.43887392615302</v>
      </c>
      <c r="AF25" s="488" t="n">
        <f aca="false">CHOOSE(J25, SQRT((1-N25))*SQRT(K25^2+(P25^2)/12), 0, SQRT((1-N25))*SQRT(M25^2+(P25^2)/12))</f>
        <v>0</v>
      </c>
      <c r="AG25" s="488" t="n">
        <f aca="false">Rdson2*AF25^2</f>
        <v>0</v>
      </c>
      <c r="AH25" s="488" t="n">
        <f aca="false">CHOOSE(J25, IF(K25&lt;P25/2,Deadtime*Fsw*IF(VfdSky_Q2&gt;0,0,Vsd_Q2)*(K25+P25/2),2*Deadtime*Fsw*IF(VfdSky_Q2&gt;0,0,Vsd_Q2)*K25),0, IF(K25&lt;P25/2,Deadtime*Fsw/2*IF(VfdSky_Q2&gt;0,0,Vsd_Q2)*(K25+P25/2),2*Deadtime*Fsw/2*IF(VfdSky_Q2&gt;0,0,Vsd_Q2)*K25))</f>
        <v>0</v>
      </c>
      <c r="AI25" s="488" t="n">
        <f aca="false">(AH25+AG25*(1+RdsonBotTc*Ta-RdsonBotTc*25))/(1-AG25*RdsonBotTc*ThetaJA_Q2)</f>
        <v>0</v>
      </c>
      <c r="AJ25" s="488" t="n">
        <f aca="false">CHOOSE(J25, 0, SQRT(O25)*SQRT(L25^2+(P25^2)/12), SQRT(O25)*SQRT(M25^2+(P25^2)/12))</f>
        <v>3.86943070309315</v>
      </c>
      <c r="AK25" s="488" t="n">
        <f aca="false">Rdson4*AJ25^2</f>
        <v>0.0284477385354758</v>
      </c>
      <c r="AL25" s="488" t="n">
        <f aca="false">CHOOSE(J25, 0, (Vout*L25/2)*(Fsw)*(Tr_boost+Tf_boost), (Vout*Iout/2)*(Fsw/2)*(Tr_boost+Tf_boost))</f>
        <v>0.0977792073173908</v>
      </c>
      <c r="AM25" s="0" t="n">
        <f aca="false">IF(H25&gt;Vout, 0, IF(L25&gt;P25/2,0,ABS(L25-P25/2)*Vsd_Q4*Deadtime*Fsw))</f>
        <v>0</v>
      </c>
      <c r="AN25" s="488" t="n">
        <f aca="false">(AM25+AL25+AK25*(1+RdsonTopTc*Ta-RdsonTopTc*25))/(1-AK25*RdsonTopTc*ThetaJA_Q4)</f>
        <v>0.126949229550775</v>
      </c>
      <c r="AO25" s="488" t="n">
        <f aca="false">CHOOSE(J25, SQRT(Iout^2+(P25^2)/12), SQRT(1-O25)*SQRT(L25^2+(P25^2)/12), SQRT(1-O25)*SQRT(M25^2+(P25^2)/12))</f>
        <v>7.47060990696563</v>
      </c>
      <c r="AP25" s="488" t="n">
        <f aca="false">Rdson3*AO25^2</f>
        <v>0.106039023525901</v>
      </c>
      <c r="AQ25" s="488" t="n">
        <f aca="false">CHOOSE(J25, 0, IF(L25&lt;P25/2,Deadtime*Fsw*IF(VfdSky_Q3&gt;0,0,Vsd_Q3)*(L25+P25/2), 2*Deadtime*Fsw*IF(VfdSky_Q3&gt;0,0,Vsd_Q3)*L25), IF(L25&lt;P25/2,Deadtime*Fsw/2*IF(VfdSky_Q3&gt;0,0,Vsd_Q3)*(L25+P25/2), 2*Deadtime*Fsw/2*IF(VfdSky_Q3&gt;0,0,Vsd_Q3)*L25))</f>
        <v>0.201680672268908</v>
      </c>
      <c r="AR25" s="488" t="n">
        <f aca="false">(AQ25+AP25*(1+RdsonBotTc*Ta-RdsonBotTc*25))/(1-AP25*RdsonBotTc*ThetaJA_Q3)</f>
        <v>0.314387157227097</v>
      </c>
      <c r="AS25" s="488" t="n">
        <f aca="false">CHOOSE(J25, Rdson3*Q25^2, Rdson1*Q25^2, 0)</f>
        <v>0.40346028618413</v>
      </c>
      <c r="AT25" s="488" t="n">
        <f aca="false">CHOOSE(J25, 2*Deadtime*Fsw*IF(VfdSky_Q2&gt;0,VfdSky_Q2,0)*K25, 2*Deadtime*Fsw*IF(VfdSky_Q3&gt;0,VfdSky_Q3,0)*L25, 2*Deadtime*Fsw/2*IF(VfdSky_Q2&gt;0,VfdSky_Q2,0)*K25+2*Deadtime*Fsw/2*IF(VfdSky_Q3&gt;0,VfdSky_Q3,0)*L25)</f>
        <v>0</v>
      </c>
      <c r="AU25" s="488" t="n">
        <f aca="false">CHOOSE(J25, IF(QrrSky_Q2&gt;0,QrrSky_Q2,Qrr_Q2)*Fsw*(H25-K25*Rdson1), IF(QrrSky_Q3&gt;0,QrrSky_Q3,Qrr_Q3)*Fsw*Vout,  IF(QrrSky_Q2&gt;0,QrrSky_Q2,Qrr_Q2)*Fsw/2*(H25-K25*Rdson1)+IF(QrrSky_Q3&gt;0,QrrSky_Q3,Qrr_Q3)*Fsw/2*Vout)</f>
        <v>0.1188</v>
      </c>
      <c r="AV25" s="488" t="n">
        <f aca="false">CHOOSE(J25, Rs*AF25^2, Rs*AJ25^2, Rs*(AF25^2+AJ25^2))</f>
        <v>0.119779951728319</v>
      </c>
      <c r="AW25" s="488" t="n">
        <f aca="false">Rshunt_std/1000*Iout^2</f>
        <v>0.14832</v>
      </c>
      <c r="AX25" s="488" t="n">
        <f aca="false">IF(Vout&gt;8, Iq*Vout, Iq*H25)</f>
        <v>0.036</v>
      </c>
      <c r="AY25" s="488" t="n">
        <f aca="false">CHOOSE(J25, (Qg_Q1+Qg_Q2)*Fsw, (Qg_Q3+Qg_Q4)*Fsw, (Qg_Q1+Qg_Q2+Qg_Q3+Qg_Q4)*Fsw/2)*IF(Vout&gt;8, Vout, H25)</f>
        <v>0.1584</v>
      </c>
      <c r="AZ25" s="488" t="n">
        <f aca="false">(Vin-Vdd)*Fsw*(Qg_Q1+Qg_Q2)+(RdsonDRT+RdsonDRT2)*Fsw*Qg_Q1*Vdd/(RdsonDRT+2*Rgate1+RdsonDRT2)+(RdsonDRB+RdsonDRB2)*Fsw*Qg_Q2*Vdd/(RdsonDRB+2*Rgate2+RdsonDRB2)</f>
        <v>0.0522</v>
      </c>
      <c r="BA25" s="488" t="n">
        <f aca="false">SUM(AX25:AY25)</f>
        <v>0.1944</v>
      </c>
      <c r="BB25" s="488" t="n">
        <f aca="false">SUM(T25,W25,Z25,AE25,AI25,AN25,AR25, AT25,AU25,BA25,AV25,AW25)</f>
        <v>1.78898004047035</v>
      </c>
      <c r="BC25" s="419" t="n">
        <f aca="false">Vout*K25</f>
        <v>72</v>
      </c>
      <c r="BD25" s="589" t="n">
        <f aca="false">BC25/(BC25+BB25)</f>
        <v>0.975755457800214</v>
      </c>
      <c r="BE25" s="590" t="n">
        <f aca="false">IF(H25&gt;Vout,ThetaJA_Q1*(AE25+AU25),ThetaJA_Q4*(AN25+AU25))</f>
        <v>12.2874614775387</v>
      </c>
      <c r="BF25" s="590" t="n">
        <f aca="false">IF(H25&gt;Vout, AI25*ThetaJA_Q2, ThetaJA_Q3*AR25)</f>
        <v>15.7193578613549</v>
      </c>
      <c r="BG25" s="536"/>
      <c r="BH25" s="385" t="n">
        <f aca="false">BD25*100</f>
        <v>97.5755457800214</v>
      </c>
      <c r="BI25" s="488" t="n">
        <f aca="false">T25</f>
        <v>0.278625322043271</v>
      </c>
      <c r="BJ25" s="488" t="n">
        <f aca="false">AE25+AI25+AN25+AR25+AU25</f>
        <v>0.999010312930892</v>
      </c>
      <c r="BK25" s="488" t="n">
        <f aca="false">AI25+AU25*0.33</f>
        <v>0.039204</v>
      </c>
      <c r="BL25" s="488" t="n">
        <f aca="false">AV25</f>
        <v>0.119779951728319</v>
      </c>
      <c r="BP25" s="0" t="s">
        <v>840</v>
      </c>
      <c r="BQ25" s="0" t="s">
        <v>762</v>
      </c>
      <c r="BR25" s="0" t="s">
        <v>218</v>
      </c>
      <c r="BS25" s="0" t="s">
        <v>216</v>
      </c>
      <c r="BT25" s="0" t="s">
        <v>224</v>
      </c>
      <c r="BU25" s="0" t="s">
        <v>841</v>
      </c>
    </row>
    <row r="26" customFormat="false" ht="12.75" hidden="false" customHeight="false" outlineLevel="0" collapsed="false">
      <c r="A26" s="604" t="s">
        <v>621</v>
      </c>
      <c r="B26" s="616" t="s">
        <v>812</v>
      </c>
      <c r="C26" s="604" t="s">
        <v>697</v>
      </c>
      <c r="D26" s="585" t="s">
        <v>134</v>
      </c>
      <c r="G26" s="0" t="n">
        <v>17</v>
      </c>
      <c r="H26" s="586" t="n">
        <f aca="false">VIN_min+(VIN_max-VIN_min)*(G26/200)</f>
        <v>9.74</v>
      </c>
      <c r="I26" s="490" t="str">
        <f aca="false">IF(H26&gt;VIN_BB_to_buck, "BUCK", IF(H26&lt;VIN_boost_to_BB,"BOOST","BUCK-BST"))</f>
        <v>BOOST</v>
      </c>
      <c r="J26" s="419" t="n">
        <f aca="false">IF(I26="BOOST",2, IF(I26="BUCK", 1,3))</f>
        <v>2</v>
      </c>
      <c r="K26" s="0" t="n">
        <f aca="false">Iout</f>
        <v>6</v>
      </c>
      <c r="L26" s="385" t="n">
        <f aca="false">Vout*K26/(H26*Efficiency)</f>
        <v>8.2135523613963</v>
      </c>
      <c r="M26" s="385" t="n">
        <f aca="false">Iout/(1-O26)</f>
        <v>7.43479206375603</v>
      </c>
      <c r="N26" s="488" t="n">
        <f aca="false">CHOOSE(J26,(Vout+(Rdson2+Rs+Rdcr)*K26)/(H26+(Rs+Rdson2-Rdson1)*K26),1,IF(H26&lt;Vout,D_max_buck_BB,Vout/H26*(1-D_min_boost_exitBB_to_buck)))</f>
        <v>1</v>
      </c>
      <c r="O26" s="488" t="n">
        <f aca="false">CHOOSE(J26,0,(Vout+(Rdson3+Rdcr)*L26-H26)/(Vout+(Rdson3-Rdson4-Rs)*L26),IF(H26&gt;Vout,D_min_boost_exitBB_to_buck, (Vout-H26*D_max_buck_BB)/Vout))</f>
        <v>0.192983482450103</v>
      </c>
      <c r="P26" s="385" t="n">
        <f aca="false">MAX(0, CHOOSE(J26, (H26-(Rdson1+Rdcr)*K26-Vout)*N26/(Fsw*Lf), (H26-(Rdson4+Rdcr+Rs)*L26)*O26/(Fsw*Lf), IF(H26&lt;Vout, (H26-(Rdson4+Rdcr+Rs)*L26)*O26/(0.5*Fsw*Lf),(H26-(Rdson1+Rdcr)*K26-Vout)*N26/(0.5*Fsw*Lf))))</f>
        <v>1.31819631906784</v>
      </c>
      <c r="Q26" s="488" t="n">
        <f aca="false">CHOOSE(J26, SQRT(K26^2+(P26^2)/12), SQRT(L26^2+(P26^2)/12), SQRT(M26^2+(P26^2)/12))</f>
        <v>8.22236254702376</v>
      </c>
      <c r="R26" s="488" t="n">
        <f aca="false">(Q26^2*Rdcr*(1+Ltc*Ta-Ltc*25))/(1-Q26^2*Rdcr*Ltc*ThetaCa)</f>
        <v>0.230663607989605</v>
      </c>
      <c r="S26" s="488" t="n">
        <f aca="false">7.759*10^-3*Fsw^0.9458*(0.00787*P26)^2.304</f>
        <v>0.0315374776575368</v>
      </c>
      <c r="T26" s="488" t="n">
        <f aca="false">R26+S26</f>
        <v>0.262201085647142</v>
      </c>
      <c r="U26" s="385" t="n">
        <f aca="false">IF(H26&gt;Vout, P26/SQRT(12), SQRT(O26/(1-O26))*SQRT(K26^2+(P26^2)/12))</f>
        <v>2.93996250407765</v>
      </c>
      <c r="V26" s="488" t="n">
        <f aca="false">RCoutEsr*U26^2</f>
        <v>0.0432168976269126</v>
      </c>
      <c r="W26" s="488" t="n">
        <f aca="false">V26</f>
        <v>0.0432168976269126</v>
      </c>
      <c r="X26" s="488" t="n">
        <f aca="false">IF(H26&gt;Vout, SQRT(N26*(1-N26))*SQRT(K26^2+(P26^2)/12), P26/SQRT(12))</f>
        <v>0.380530499829296</v>
      </c>
      <c r="Y26" s="587" t="n">
        <f aca="false">RCinEsr*X26^2</f>
        <v>0.000289606922600668</v>
      </c>
      <c r="Z26" s="588" t="n">
        <f aca="false">Y26</f>
        <v>0.000289606922600668</v>
      </c>
      <c r="AA26" s="488" t="n">
        <f aca="false">CHOOSE(J26, SQRT(N26)*SQRT(K26^2+(P26^2)/12), SQRT(L26^2+(P26^2)/12), SQRT(N26)*SQRT(M26^2+(P26^2)/12))</f>
        <v>8.22236254702376</v>
      </c>
      <c r="AB26" s="488" t="n">
        <f aca="false">Rdson1*AA26^2</f>
        <v>0.385361301371785</v>
      </c>
      <c r="AC26" s="488" t="n">
        <f aca="false">CHOOSE(J26, (H26*K26/2)*(Fsw)*(Tr_buck+Tf_buck), 0, (H26*M26/2)*(Fsw/2)*(Tr_buck+Tf_buck))</f>
        <v>0</v>
      </c>
      <c r="AD26" s="0" t="n">
        <f aca="false">IF(H26&gt;Vout, IF(K26&gt;P26/2,0,ABS(K26-P26/2)*Vsd_Q1*Deadtime*Fsw),0)</f>
        <v>0</v>
      </c>
      <c r="AE26" s="488" t="n">
        <f aca="false">(AD26+AC26+AB26*(1+RdsonTopTc*Ta-RdsonTopTc*25))/(1-AB26*RdsonTopTc*ThetaJA_Q1)</f>
        <v>0.41754222436346</v>
      </c>
      <c r="AF26" s="488" t="n">
        <f aca="false">CHOOSE(J26, SQRT((1-N26))*SQRT(K26^2+(P26^2)/12), 0, SQRT((1-N26))*SQRT(M26^2+(P26^2)/12))</f>
        <v>0</v>
      </c>
      <c r="AG26" s="488" t="n">
        <f aca="false">Rdson2*AF26^2</f>
        <v>0</v>
      </c>
      <c r="AH26" s="488" t="n">
        <f aca="false">CHOOSE(J26, IF(K26&lt;P26/2,Deadtime*Fsw*IF(VfdSky_Q2&gt;0,0,Vsd_Q2)*(K26+P26/2),2*Deadtime*Fsw*IF(VfdSky_Q2&gt;0,0,Vsd_Q2)*K26),0, IF(K26&lt;P26/2,Deadtime*Fsw/2*IF(VfdSky_Q2&gt;0,0,Vsd_Q2)*(K26+P26/2),2*Deadtime*Fsw/2*IF(VfdSky_Q2&gt;0,0,Vsd_Q2)*K26))</f>
        <v>0</v>
      </c>
      <c r="AI26" s="488" t="n">
        <f aca="false">(AH26+AG26*(1+RdsonBotTc*Ta-RdsonBotTc*25))/(1-AG26*RdsonBotTc*ThetaJA_Q2)</f>
        <v>0</v>
      </c>
      <c r="AJ26" s="488" t="n">
        <f aca="false">CHOOSE(J26, 0, SQRT(O26)*SQRT(L26^2+(P26^2)/12), SQRT(O26)*SQRT(M26^2+(P26^2)/12))</f>
        <v>3.61207443775736</v>
      </c>
      <c r="AK26" s="488" t="n">
        <f aca="false">Rdson4*AJ26^2</f>
        <v>0.0247894553134103</v>
      </c>
      <c r="AL26" s="488" t="n">
        <f aca="false">CHOOSE(J26, 0, (Vout*L26/2)*(Fsw)*(Tr_boost+Tf_boost), (Vout*Iout/2)*(Fsw/2)*(Tr_boost+Tf_boost))</f>
        <v>0.0955706420597085</v>
      </c>
      <c r="AM26" s="0" t="n">
        <f aca="false">IF(H26&gt;Vout, 0, IF(L26&gt;P26/2,0,ABS(L26-P26/2)*Vsd_Q4*Deadtime*Fsw))</f>
        <v>0</v>
      </c>
      <c r="AN26" s="488" t="n">
        <f aca="false">(AM26+AL26+AK26*(1+RdsonTopTc*Ta-RdsonTopTc*25))/(1-AK26*RdsonTopTc*ThetaJA_Q4)</f>
        <v>0.120959802898855</v>
      </c>
      <c r="AO26" s="488" t="n">
        <f aca="false">CHOOSE(J26, SQRT(Iout^2+(P26^2)/12), SQRT(1-O26)*SQRT(L26^2+(P26^2)/12), SQRT(1-O26)*SQRT(M26^2+(P26^2)/12))</f>
        <v>7.38648523391193</v>
      </c>
      <c r="AP26" s="488" t="n">
        <f aca="false">Rdson3*AO26^2</f>
        <v>0.103664311810518</v>
      </c>
      <c r="AQ26" s="488" t="n">
        <f aca="false">CHOOSE(J26, 0, IF(L26&lt;P26/2,Deadtime*Fsw*IF(VfdSky_Q3&gt;0,0,Vsd_Q3)*(L26+P26/2), 2*Deadtime*Fsw*IF(VfdSky_Q3&gt;0,0,Vsd_Q3)*L26), IF(L26&lt;P26/2,Deadtime*Fsw/2*IF(VfdSky_Q3&gt;0,0,Vsd_Q3)*(L26+P26/2), 2*Deadtime*Fsw/2*IF(VfdSky_Q3&gt;0,0,Vsd_Q3)*L26))</f>
        <v>0.197125256673511</v>
      </c>
      <c r="AR26" s="488" t="n">
        <f aca="false">(AQ26+AP26*(1+RdsonBotTc*Ta-RdsonBotTc*25))/(1-AP26*RdsonBotTc*ThetaJA_Q3)</f>
        <v>0.307157829486209</v>
      </c>
      <c r="AS26" s="488" t="n">
        <f aca="false">CHOOSE(J26, Rdson3*Q26^2, Rdson1*Q26^2, 0)</f>
        <v>0.385361301371785</v>
      </c>
      <c r="AT26" s="488" t="n">
        <f aca="false">CHOOSE(J26, 2*Deadtime*Fsw*IF(VfdSky_Q2&gt;0,VfdSky_Q2,0)*K26, 2*Deadtime*Fsw*IF(VfdSky_Q3&gt;0,VfdSky_Q3,0)*L26, 2*Deadtime*Fsw/2*IF(VfdSky_Q2&gt;0,VfdSky_Q2,0)*K26+2*Deadtime*Fsw/2*IF(VfdSky_Q3&gt;0,VfdSky_Q3,0)*L26)</f>
        <v>0</v>
      </c>
      <c r="AU26" s="488" t="n">
        <f aca="false">CHOOSE(J26, IF(QrrSky_Q2&gt;0,QrrSky_Q2,Qrr_Q2)*Fsw*(H26-K26*Rdson1), IF(QrrSky_Q3&gt;0,QrrSky_Q3,Qrr_Q3)*Fsw*Vout,  IF(QrrSky_Q2&gt;0,QrrSky_Q2,Qrr_Q2)*Fsw/2*(H26-K26*Rdson1)+IF(QrrSky_Q3&gt;0,QrrSky_Q3,Qrr_Q3)*Fsw/2*Vout)</f>
        <v>0.1188</v>
      </c>
      <c r="AV26" s="488" t="n">
        <f aca="false">CHOOSE(J26, Rs*AF26^2, Rs*AJ26^2, Rs*(AF26^2+AJ26^2))</f>
        <v>0.104376653951201</v>
      </c>
      <c r="AW26" s="488" t="n">
        <f aca="false">Rshunt_std/1000*Iout^2</f>
        <v>0.14832</v>
      </c>
      <c r="AX26" s="488" t="n">
        <f aca="false">IF(Vout&gt;8, Iq*Vout, Iq*H26)</f>
        <v>0.036</v>
      </c>
      <c r="AY26" s="488" t="n">
        <f aca="false">CHOOSE(J26, (Qg_Q1+Qg_Q2)*Fsw, (Qg_Q3+Qg_Q4)*Fsw, (Qg_Q1+Qg_Q2+Qg_Q3+Qg_Q4)*Fsw/2)*IF(Vout&gt;8, Vout, H26)</f>
        <v>0.1584</v>
      </c>
      <c r="AZ26" s="488" t="n">
        <f aca="false">(Vin-Vdd)*Fsw*(Qg_Q1+Qg_Q2)+(RdsonDRT+RdsonDRT2)*Fsw*Qg_Q1*Vdd/(RdsonDRT+2*Rgate1+RdsonDRT2)+(RdsonDRB+RdsonDRB2)*Fsw*Qg_Q2*Vdd/(RdsonDRB+2*Rgate2+RdsonDRB2)</f>
        <v>0.0522</v>
      </c>
      <c r="BA26" s="488" t="n">
        <f aca="false">SUM(AX26:AY26)</f>
        <v>0.1944</v>
      </c>
      <c r="BB26" s="488" t="n">
        <f aca="false">SUM(T26,W26,Z26,AE26,AI26,AN26,AR26, AT26,AU26,BA26,AV26,AW26)</f>
        <v>1.71726410089638</v>
      </c>
      <c r="BC26" s="419" t="n">
        <f aca="false">Vout*K26</f>
        <v>72</v>
      </c>
      <c r="BD26" s="589" t="n">
        <f aca="false">BC26/(BC26+BB26)</f>
        <v>0.976704722810304</v>
      </c>
      <c r="BE26" s="590" t="n">
        <f aca="false">IF(H26&gt;Vout,ThetaJA_Q1*(AE26+AU26),ThetaJA_Q4*(AN26+AU26))</f>
        <v>11.9879901449427</v>
      </c>
      <c r="BF26" s="590" t="n">
        <f aca="false">IF(H26&gt;Vout, AI26*ThetaJA_Q2, ThetaJA_Q3*AR26)</f>
        <v>15.3578914743105</v>
      </c>
      <c r="BG26" s="536"/>
      <c r="BH26" s="385" t="n">
        <f aca="false">BD26*100</f>
        <v>97.6704722810304</v>
      </c>
      <c r="BI26" s="488" t="n">
        <f aca="false">T26</f>
        <v>0.262201085647142</v>
      </c>
      <c r="BJ26" s="488" t="n">
        <f aca="false">AE26+AI26+AN26+AR26+AU26</f>
        <v>0.964459856748524</v>
      </c>
      <c r="BK26" s="488" t="n">
        <f aca="false">AI26+AU26*0.33</f>
        <v>0.039204</v>
      </c>
      <c r="BL26" s="488" t="n">
        <f aca="false">AV26</f>
        <v>0.104376653951201</v>
      </c>
      <c r="BP26" s="0" t="s">
        <v>842</v>
      </c>
      <c r="BQ26" s="0" t="n">
        <v>9.998964</v>
      </c>
      <c r="BR26" s="0" t="n">
        <v>0.1027</v>
      </c>
      <c r="BS26" s="0" t="n">
        <v>5.121136</v>
      </c>
      <c r="BT26" s="0" t="n">
        <v>61.870683235325</v>
      </c>
      <c r="BU26" s="0" t="n">
        <v>324.12365701136</v>
      </c>
    </row>
    <row r="27" customFormat="false" ht="12.75" hidden="false" customHeight="false" outlineLevel="0" collapsed="false">
      <c r="A27" s="599" t="s">
        <v>622</v>
      </c>
      <c r="B27" s="596" t="n">
        <f aca="false">RdsonDRT</f>
        <v>1.5</v>
      </c>
      <c r="C27" s="601" t="s">
        <v>40</v>
      </c>
      <c r="D27" s="603" t="s">
        <v>843</v>
      </c>
      <c r="G27" s="0" t="n">
        <v>18</v>
      </c>
      <c r="H27" s="586" t="n">
        <f aca="false">VIN_min+(VIN_max-VIN_min)*(G27/200)</f>
        <v>9.96</v>
      </c>
      <c r="I27" s="490" t="str">
        <f aca="false">IF(H27&gt;VIN_BB_to_buck, "BUCK", IF(H27&lt;VIN_boost_to_BB,"BOOST","BUCK-BST"))</f>
        <v>BOOST</v>
      </c>
      <c r="J27" s="419" t="n">
        <f aca="false">IF(I27="BOOST",2, IF(I27="BUCK", 1,3))</f>
        <v>2</v>
      </c>
      <c r="K27" s="0" t="n">
        <f aca="false">Iout</f>
        <v>6</v>
      </c>
      <c r="L27" s="385" t="n">
        <f aca="false">Vout*K27/(H27*Efficiency)</f>
        <v>8.03212851405623</v>
      </c>
      <c r="M27" s="385" t="n">
        <f aca="false">Iout/(1-O27)</f>
        <v>7.26786602215574</v>
      </c>
      <c r="N27" s="488" t="n">
        <f aca="false">CHOOSE(J27,(Vout+(Rdson2+Rs+Rdcr)*K27)/(H27+(Rs+Rdson2-Rdson1)*K27),1,IF(H27&lt;Vout,D_max_buck_BB,Vout/H27*(1-D_min_boost_exitBB_to_buck)))</f>
        <v>1</v>
      </c>
      <c r="O27" s="488" t="n">
        <f aca="false">CHOOSE(J27,0,(Vout+(Rdson3+Rdcr)*L27-H27)/(Vout+(Rdson3-Rdson4-Rs)*L27),IF(H27&gt;Vout,D_min_boost_exitBB_to_buck, (Vout-H27*D_max_buck_BB)/Vout))</f>
        <v>0.174448183041723</v>
      </c>
      <c r="P27" s="385" t="n">
        <f aca="false">MAX(0, CHOOSE(J27, (H27-(Rdson1+Rdcr)*K27-Vout)*N27/(Fsw*Lf), (H27-(Rdson4+Rdcr+Rs)*L27)*O27/(Fsw*Lf), IF(H27&lt;Vout, (H27-(Rdson4+Rdcr+Rs)*L27)*O27/(0.5*Fsw*Lf),(H27-(Rdson1+Rdcr)*K27-Vout)*N27/(0.5*Fsw*Lf))))</f>
        <v>1.2191050585895</v>
      </c>
      <c r="Q27" s="488" t="n">
        <f aca="false">CHOOSE(J27, SQRT(K27^2+(P27^2)/12), SQRT(L27^2+(P27^2)/12), SQRT(M27^2+(P27^2)/12))</f>
        <v>8.03983456888085</v>
      </c>
      <c r="R27" s="488" t="n">
        <f aca="false">(Q27^2*Rdcr*(1+Ltc*Ta-Ltc*25))/(1-Q27^2*Rdcr*Ltc*ThetaCa)</f>
        <v>0.220357758071833</v>
      </c>
      <c r="S27" s="488" t="n">
        <f aca="false">7.759*10^-3*Fsw^0.9458*(0.00787*P27)^2.304</f>
        <v>0.0263409594133741</v>
      </c>
      <c r="T27" s="488" t="n">
        <f aca="false">R27+S27</f>
        <v>0.246698717485207</v>
      </c>
      <c r="U27" s="385" t="n">
        <f aca="false">IF(H27&gt;Vout, P27/SQRT(12), SQRT(O27/(1-O27))*SQRT(K27^2+(P27^2)/12))</f>
        <v>2.76285491885344</v>
      </c>
      <c r="V27" s="488" t="n">
        <f aca="false">RCoutEsr*U27^2</f>
        <v>0.0381668365131631</v>
      </c>
      <c r="W27" s="488" t="n">
        <f aca="false">V27</f>
        <v>0.0381668365131631</v>
      </c>
      <c r="X27" s="488" t="n">
        <f aca="false">IF(H27&gt;Vout, SQRT(N27*(1-N27))*SQRT(K27^2+(P27^2)/12), P27/SQRT(12))</f>
        <v>0.351925316873542</v>
      </c>
      <c r="Y27" s="587" t="n">
        <f aca="false">RCinEsr*X27^2</f>
        <v>0.000247702857313086</v>
      </c>
      <c r="Z27" s="588" t="n">
        <f aca="false">Y27</f>
        <v>0.000247702857313086</v>
      </c>
      <c r="AA27" s="488" t="n">
        <f aca="false">CHOOSE(J27, SQRT(N27)*SQRT(K27^2+(P27^2)/12), SQRT(L27^2+(P27^2)/12), SQRT(N27)*SQRT(M27^2+(P27^2)/12))</f>
        <v>8.03983456888085</v>
      </c>
      <c r="AB27" s="488" t="n">
        <f aca="false">Rdson1*AA27^2</f>
        <v>0.368441957401338</v>
      </c>
      <c r="AC27" s="488" t="n">
        <f aca="false">CHOOSE(J27, (H27*K27/2)*(Fsw)*(Tr_buck+Tf_buck), 0, (H27*M27/2)*(Fsw/2)*(Tr_buck+Tf_buck))</f>
        <v>0</v>
      </c>
      <c r="AD27" s="0" t="n">
        <f aca="false">IF(H27&gt;Vout, IF(K27&gt;P27/2,0,ABS(K27-P27/2)*Vsd_Q1*Deadtime*Fsw),0)</f>
        <v>0</v>
      </c>
      <c r="AE27" s="488" t="n">
        <f aca="false">(AD27+AC27+AB27*(1+RdsonTopTc*Ta-RdsonTopTc*25))/(1-AB27*RdsonTopTc*ThetaJA_Q1)</f>
        <v>0.397751635640319</v>
      </c>
      <c r="AF27" s="488" t="n">
        <f aca="false">CHOOSE(J27, SQRT((1-N27))*SQRT(K27^2+(P27^2)/12), 0, SQRT((1-N27))*SQRT(M27^2+(P27^2)/12))</f>
        <v>0</v>
      </c>
      <c r="AG27" s="488" t="n">
        <f aca="false">Rdson2*AF27^2</f>
        <v>0</v>
      </c>
      <c r="AH27" s="488" t="n">
        <f aca="false">CHOOSE(J27, IF(K27&lt;P27/2,Deadtime*Fsw*IF(VfdSky_Q2&gt;0,0,Vsd_Q2)*(K27+P27/2),2*Deadtime*Fsw*IF(VfdSky_Q2&gt;0,0,Vsd_Q2)*K27),0, IF(K27&lt;P27/2,Deadtime*Fsw/2*IF(VfdSky_Q2&gt;0,0,Vsd_Q2)*(K27+P27/2),2*Deadtime*Fsw/2*IF(VfdSky_Q2&gt;0,0,Vsd_Q2)*K27))</f>
        <v>0</v>
      </c>
      <c r="AI27" s="488" t="n">
        <f aca="false">(AH27+AG27*(1+RdsonBotTc*Ta-RdsonBotTc*25))/(1-AG27*RdsonBotTc*ThetaJA_Q2)</f>
        <v>0</v>
      </c>
      <c r="AJ27" s="488" t="n">
        <f aca="false">CHOOSE(J27, 0, SQRT(O27)*SQRT(L27^2+(P27^2)/12), SQRT(O27)*SQRT(M27^2+(P27^2)/12))</f>
        <v>3.3579972630157</v>
      </c>
      <c r="AK27" s="488" t="n">
        <f aca="false">Rdson4*AJ27^2</f>
        <v>0.0214246766749997</v>
      </c>
      <c r="AL27" s="488" t="n">
        <f aca="false">CHOOSE(J27, 0, (Vout*L27/2)*(Fsw)*(Tr_boost+Tf_boost), (Vout*Iout/2)*(Fsw/2)*(Tr_boost+Tf_boost))</f>
        <v>0.0934596439419237</v>
      </c>
      <c r="AM27" s="0" t="n">
        <f aca="false">IF(H27&gt;Vout, 0, IF(L27&gt;P27/2,0,ABS(L27-P27/2)*Vsd_Q4*Deadtime*Fsw))</f>
        <v>0</v>
      </c>
      <c r="AN27" s="488" t="n">
        <f aca="false">(AM27+AL27+AK27*(1+RdsonTopTc*Ta-RdsonTopTc*25))/(1-AK27*RdsonTopTc*ThetaJA_Q4)</f>
        <v>0.115378710932304</v>
      </c>
      <c r="AO27" s="488" t="n">
        <f aca="false">CHOOSE(J27, SQRT(Iout^2+(P27^2)/12), SQRT(1-O27)*SQRT(L27^2+(P27^2)/12), SQRT(1-O27)*SQRT(M27^2+(P27^2)/12))</f>
        <v>7.3049842078235</v>
      </c>
      <c r="AP27" s="488" t="n">
        <f aca="false">Rdson3*AO27^2</f>
        <v>0.101389309125446</v>
      </c>
      <c r="AQ27" s="488" t="n">
        <f aca="false">CHOOSE(J27, 0, IF(L27&lt;P27/2,Deadtime*Fsw*IF(VfdSky_Q3&gt;0,0,Vsd_Q3)*(L27+P27/2), 2*Deadtime*Fsw*IF(VfdSky_Q3&gt;0,0,Vsd_Q3)*L27), IF(L27&lt;P27/2,Deadtime*Fsw/2*IF(VfdSky_Q3&gt;0,0,Vsd_Q3)*(L27+P27/2), 2*Deadtime*Fsw/2*IF(VfdSky_Q3&gt;0,0,Vsd_Q3)*L27))</f>
        <v>0.192771084337349</v>
      </c>
      <c r="AR27" s="488" t="n">
        <f aca="false">(AQ27+AP27*(1+RdsonBotTc*Ta-RdsonBotTc*25))/(1-AP27*RdsonBotTc*ThetaJA_Q3)</f>
        <v>0.300248797083198</v>
      </c>
      <c r="AS27" s="488" t="n">
        <f aca="false">CHOOSE(J27, Rdson3*Q27^2, Rdson1*Q27^2, 0)</f>
        <v>0.368441957401338</v>
      </c>
      <c r="AT27" s="488" t="n">
        <f aca="false">CHOOSE(J27, 2*Deadtime*Fsw*IF(VfdSky_Q2&gt;0,VfdSky_Q2,0)*K27, 2*Deadtime*Fsw*IF(VfdSky_Q3&gt;0,VfdSky_Q3,0)*L27, 2*Deadtime*Fsw/2*IF(VfdSky_Q2&gt;0,VfdSky_Q2,0)*K27+2*Deadtime*Fsw/2*IF(VfdSky_Q3&gt;0,VfdSky_Q3,0)*L27)</f>
        <v>0</v>
      </c>
      <c r="AU27" s="488" t="n">
        <f aca="false">CHOOSE(J27, IF(QrrSky_Q2&gt;0,QrrSky_Q2,Qrr_Q2)*Fsw*(H27-K27*Rdson1), IF(QrrSky_Q3&gt;0,QrrSky_Q3,Qrr_Q3)*Fsw*Vout,  IF(QrrSky_Q2&gt;0,QrrSky_Q2,Qrr_Q2)*Fsw/2*(H27-K27*Rdson1)+IF(QrrSky_Q3&gt;0,QrrSky_Q3,Qrr_Q3)*Fsw/2*Vout)</f>
        <v>0.1188</v>
      </c>
      <c r="AV27" s="488" t="n">
        <f aca="false">CHOOSE(J27, Rs*AF27^2, Rs*AJ27^2, Rs*(AF27^2+AJ27^2))</f>
        <v>0.0902091649473673</v>
      </c>
      <c r="AW27" s="488" t="n">
        <f aca="false">Rshunt_std/1000*Iout^2</f>
        <v>0.14832</v>
      </c>
      <c r="AX27" s="488" t="n">
        <f aca="false">IF(Vout&gt;8, Iq*Vout, Iq*H27)</f>
        <v>0.036</v>
      </c>
      <c r="AY27" s="488" t="n">
        <f aca="false">CHOOSE(J27, (Qg_Q1+Qg_Q2)*Fsw, (Qg_Q3+Qg_Q4)*Fsw, (Qg_Q1+Qg_Q2+Qg_Q3+Qg_Q4)*Fsw/2)*IF(Vout&gt;8, Vout, H27)</f>
        <v>0.1584</v>
      </c>
      <c r="AZ27" s="488" t="n">
        <f aca="false">(Vin-Vdd)*Fsw*(Qg_Q1+Qg_Q2)+(RdsonDRT+RdsonDRT2)*Fsw*Qg_Q1*Vdd/(RdsonDRT+2*Rgate1+RdsonDRT2)+(RdsonDRB+RdsonDRB2)*Fsw*Qg_Q2*Vdd/(RdsonDRB+2*Rgate2+RdsonDRB2)</f>
        <v>0.0522</v>
      </c>
      <c r="BA27" s="488" t="n">
        <f aca="false">SUM(AX27:AY27)</f>
        <v>0.1944</v>
      </c>
      <c r="BB27" s="488" t="n">
        <f aca="false">SUM(T27,W27,Z27,AE27,AI27,AN27,AR27, AT27,AU27,BA27,AV27,AW27)</f>
        <v>1.65022156545887</v>
      </c>
      <c r="BC27" s="419" t="n">
        <f aca="false">Vout*K27</f>
        <v>72</v>
      </c>
      <c r="BD27" s="589" t="n">
        <f aca="false">BC27/(BC27+BB27)</f>
        <v>0.977593800393497</v>
      </c>
      <c r="BE27" s="590" t="n">
        <f aca="false">IF(H27&gt;Vout,ThetaJA_Q1*(AE27+AU27),ThetaJA_Q4*(AN27+AU27))</f>
        <v>11.7089355466152</v>
      </c>
      <c r="BF27" s="590" t="n">
        <f aca="false">IF(H27&gt;Vout, AI27*ThetaJA_Q2, ThetaJA_Q3*AR27)</f>
        <v>15.0124398541599</v>
      </c>
      <c r="BG27" s="536"/>
      <c r="BH27" s="385" t="n">
        <f aca="false">BD27*100</f>
        <v>97.7593800393497</v>
      </c>
      <c r="BI27" s="488" t="n">
        <f aca="false">T27</f>
        <v>0.246698717485207</v>
      </c>
      <c r="BJ27" s="488" t="n">
        <f aca="false">AE27+AI27+AN27+AR27+AU27</f>
        <v>0.932179143655821</v>
      </c>
      <c r="BK27" s="488" t="n">
        <f aca="false">AI27+AU27*0.33</f>
        <v>0.039204</v>
      </c>
      <c r="BL27" s="488" t="n">
        <f aca="false">AV27</f>
        <v>0.0902091649473673</v>
      </c>
      <c r="BP27" s="0" t="s">
        <v>844</v>
      </c>
      <c r="BQ27" s="0" t="n">
        <v>9.998667</v>
      </c>
      <c r="BR27" s="0" t="n">
        <v>0.1166</v>
      </c>
      <c r="BS27" s="0" t="n">
        <v>5.121298</v>
      </c>
      <c r="BT27" s="0" t="n">
        <v>64.7294205705582</v>
      </c>
      <c r="BU27" s="0" t="n">
        <v>325.37886459484</v>
      </c>
    </row>
    <row r="28" customFormat="false" ht="12.75" hidden="false" customHeight="false" outlineLevel="0" collapsed="false">
      <c r="A28" s="599" t="s">
        <v>624</v>
      </c>
      <c r="B28" s="596" t="n">
        <f aca="false">RdsonDRT2</f>
        <v>1</v>
      </c>
      <c r="C28" s="601" t="s">
        <v>40</v>
      </c>
      <c r="D28" s="603" t="s">
        <v>845</v>
      </c>
      <c r="G28" s="0" t="n">
        <v>19</v>
      </c>
      <c r="H28" s="586" t="n">
        <f aca="false">VIN_min+(VIN_max-VIN_min)*(G28/200)</f>
        <v>10.18</v>
      </c>
      <c r="I28" s="490" t="str">
        <f aca="false">IF(H28&gt;VIN_BB_to_buck, "BUCK", IF(H28&lt;VIN_boost_to_BB,"BOOST","BUCK-BST"))</f>
        <v>BOOST</v>
      </c>
      <c r="J28" s="419" t="n">
        <f aca="false">IF(I28="BOOST",2, IF(I28="BUCK", 1,3))</f>
        <v>2</v>
      </c>
      <c r="K28" s="0" t="n">
        <f aca="false">Iout</f>
        <v>6</v>
      </c>
      <c r="L28" s="385" t="n">
        <f aca="false">Vout*K28/(H28*Efficiency)</f>
        <v>7.85854616895874</v>
      </c>
      <c r="M28" s="385" t="n">
        <f aca="false">Iout/(1-O28)</f>
        <v>7.10834493489477</v>
      </c>
      <c r="N28" s="488" t="n">
        <f aca="false">CHOOSE(J28,(Vout+(Rdson2+Rs+Rdcr)*K28)/(H28+(Rs+Rdson2-Rdson1)*K28),1,IF(H28&lt;Vout,D_max_buck_BB,Vout/H28*(1-D_min_boost_exitBB_to_buck)))</f>
        <v>1</v>
      </c>
      <c r="O28" s="488" t="n">
        <f aca="false">CHOOSE(J28,0,(Vout+(Rdson3+Rdcr)*L28-H28)/(Vout+(Rdson3-Rdson4-Rs)*L28),IF(H28&gt;Vout,D_min_boost_exitBB_to_buck, (Vout-H28*D_max_buck_BB)/Vout))</f>
        <v>0.155921658986175</v>
      </c>
      <c r="P28" s="385" t="n">
        <f aca="false">MAX(0, CHOOSE(J28, (H28-(Rdson1+Rdcr)*K28-Vout)*N28/(Fsw*Lf), (H28-(Rdson4+Rdcr+Rs)*L28)*O28/(Fsw*Lf), IF(H28&lt;Vout, (H28-(Rdson4+Rdcr+Rs)*L28)*O28/(0.5*Fsw*Lf),(H28-(Rdson1+Rdcr)*K28-Vout)*N28/(0.5*Fsw*Lf))))</f>
        <v>1.11421775238568</v>
      </c>
      <c r="Q28" s="488" t="n">
        <f aca="false">CHOOSE(J28, SQRT(K28^2+(P28^2)/12), SQRT(L28^2+(P28^2)/12), SQRT(M28^2+(P28^2)/12))</f>
        <v>7.86512585126903</v>
      </c>
      <c r="R28" s="488" t="n">
        <f aca="false">(Q28^2*Rdcr*(1+Ltc*Ta-Ltc*25))/(1-Q28^2*Rdcr*Ltc*ThetaCa)</f>
        <v>0.210725200681432</v>
      </c>
      <c r="S28" s="488" t="n">
        <f aca="false">7.759*10^-3*Fsw^0.9458*(0.00787*P28)^2.304</f>
        <v>0.0214097633820825</v>
      </c>
      <c r="T28" s="488" t="n">
        <f aca="false">R28+S28</f>
        <v>0.232134964063514</v>
      </c>
      <c r="U28" s="385" t="n">
        <f aca="false">IF(H28&gt;Vout, P28/SQRT(12), SQRT(O28/(1-O28))*SQRT(K28^2+(P28^2)/12))</f>
        <v>2.58247566750403</v>
      </c>
      <c r="V28" s="488" t="n">
        <f aca="false">RCoutEsr*U28^2</f>
        <v>0.033345902866252</v>
      </c>
      <c r="W28" s="488" t="n">
        <f aca="false">V28</f>
        <v>0.033345902866252</v>
      </c>
      <c r="X28" s="488" t="n">
        <f aca="false">IF(H28&gt;Vout, SQRT(N28*(1-N28))*SQRT(K28^2+(P28^2)/12), P28/SQRT(12))</f>
        <v>0.321646959637866</v>
      </c>
      <c r="Y28" s="587" t="n">
        <f aca="false">RCinEsr*X28^2</f>
        <v>0.000206913533288565</v>
      </c>
      <c r="Z28" s="588" t="n">
        <f aca="false">Y28</f>
        <v>0.000206913533288565</v>
      </c>
      <c r="AA28" s="488" t="n">
        <f aca="false">CHOOSE(J28, SQRT(N28)*SQRT(K28^2+(P28^2)/12), SQRT(L28^2+(P28^2)/12), SQRT(N28)*SQRT(M28^2+(P28^2)/12))</f>
        <v>7.86512585126903</v>
      </c>
      <c r="AB28" s="488" t="n">
        <f aca="false">Rdson1*AA28^2</f>
        <v>0.352603166540912</v>
      </c>
      <c r="AC28" s="488" t="n">
        <f aca="false">CHOOSE(J28, (H28*K28/2)*(Fsw)*(Tr_buck+Tf_buck), 0, (H28*M28/2)*(Fsw/2)*(Tr_buck+Tf_buck))</f>
        <v>0</v>
      </c>
      <c r="AD28" s="0" t="n">
        <f aca="false">IF(H28&gt;Vout, IF(K28&gt;P28/2,0,ABS(K28-P28/2)*Vsd_Q1*Deadtime*Fsw),0)</f>
        <v>0</v>
      </c>
      <c r="AE28" s="488" t="n">
        <f aca="false">(AD28+AC28+AB28*(1+RdsonTopTc*Ta-RdsonTopTc*25))/(1-AB28*RdsonTopTc*ThetaJA_Q1)</f>
        <v>0.379355560947942</v>
      </c>
      <c r="AF28" s="488" t="n">
        <f aca="false">CHOOSE(J28, SQRT((1-N28))*SQRT(K28^2+(P28^2)/12), 0, SQRT((1-N28))*SQRT(M28^2+(P28^2)/12))</f>
        <v>0</v>
      </c>
      <c r="AG28" s="488" t="n">
        <f aca="false">Rdson2*AF28^2</f>
        <v>0</v>
      </c>
      <c r="AH28" s="488" t="n">
        <f aca="false">CHOOSE(J28, IF(K28&lt;P28/2,Deadtime*Fsw*IF(VfdSky_Q2&gt;0,0,Vsd_Q2)*(K28+P28/2),2*Deadtime*Fsw*IF(VfdSky_Q2&gt;0,0,Vsd_Q2)*K28),0, IF(K28&lt;P28/2,Deadtime*Fsw/2*IF(VfdSky_Q2&gt;0,0,Vsd_Q2)*(K28+P28/2),2*Deadtime*Fsw/2*IF(VfdSky_Q2&gt;0,0,Vsd_Q2)*K28))</f>
        <v>0</v>
      </c>
      <c r="AI28" s="488" t="n">
        <f aca="false">(AH28+AG28*(1+RdsonBotTc*Ta-RdsonBotTc*25))/(1-AG28*RdsonBotTc*ThetaJA_Q2)</f>
        <v>0</v>
      </c>
      <c r="AJ28" s="488" t="n">
        <f aca="false">CHOOSE(J28, 0, SQRT(O28)*SQRT(L28^2+(P28^2)/12), SQRT(O28)*SQRT(M28^2+(P28^2)/12))</f>
        <v>3.10569569263228</v>
      </c>
      <c r="AK28" s="488" t="n">
        <f aca="false">Rdson4*AJ28^2</f>
        <v>0.0183261568969459</v>
      </c>
      <c r="AL28" s="488" t="n">
        <f aca="false">CHOOSE(J28, 0, (Vout*L28/2)*(Fsw)*(Tr_boost+Tf_boost), (Vout*Iout/2)*(Fsw/2)*(Tr_boost+Tf_boost))</f>
        <v>0.0914398873930806</v>
      </c>
      <c r="AM28" s="0" t="n">
        <f aca="false">IF(H28&gt;Vout, 0, IF(L28&gt;P28/2,0,ABS(L28-P28/2)*Vsd_Q4*Deadtime*Fsw))</f>
        <v>0</v>
      </c>
      <c r="AN28" s="488" t="n">
        <f aca="false">(AM28+AL28+AK28*(1+RdsonTopTc*Ta-RdsonTopTc*25))/(1-AK28*RdsonTopTc*ThetaJA_Q4)</f>
        <v>0.110169842252914</v>
      </c>
      <c r="AO28" s="488" t="n">
        <f aca="false">CHOOSE(J28, SQRT(Iout^2+(P28^2)/12), SQRT(1-O28)*SQRT(L28^2+(P28^2)/12), SQRT(1-O28)*SQRT(M28^2+(P28^2)/12))</f>
        <v>7.22598497929976</v>
      </c>
      <c r="AP28" s="488" t="n">
        <f aca="false">Rdson3*AO28^2</f>
        <v>0.0992082319500249</v>
      </c>
      <c r="AQ28" s="488" t="n">
        <f aca="false">CHOOSE(J28, 0, IF(L28&lt;P28/2,Deadtime*Fsw*IF(VfdSky_Q3&gt;0,0,Vsd_Q3)*(L28+P28/2), 2*Deadtime*Fsw*IF(VfdSky_Q3&gt;0,0,Vsd_Q3)*L28), IF(L28&lt;P28/2,Deadtime*Fsw/2*IF(VfdSky_Q3&gt;0,0,Vsd_Q3)*(L28+P28/2), 2*Deadtime*Fsw/2*IF(VfdSky_Q3&gt;0,0,Vsd_Q3)*L28))</f>
        <v>0.18860510805501</v>
      </c>
      <c r="AR28" s="488" t="n">
        <f aca="false">(AQ28+AP28*(1+RdsonBotTc*Ta-RdsonBotTc*25))/(1-AP28*RdsonBotTc*ThetaJA_Q3)</f>
        <v>0.293639633784681</v>
      </c>
      <c r="AS28" s="488" t="n">
        <f aca="false">CHOOSE(J28, Rdson3*Q28^2, Rdson1*Q28^2, 0)</f>
        <v>0.352603166540912</v>
      </c>
      <c r="AT28" s="488" t="n">
        <f aca="false">CHOOSE(J28, 2*Deadtime*Fsw*IF(VfdSky_Q2&gt;0,VfdSky_Q2,0)*K28, 2*Deadtime*Fsw*IF(VfdSky_Q3&gt;0,VfdSky_Q3,0)*L28, 2*Deadtime*Fsw/2*IF(VfdSky_Q2&gt;0,VfdSky_Q2,0)*K28+2*Deadtime*Fsw/2*IF(VfdSky_Q3&gt;0,VfdSky_Q3,0)*L28)</f>
        <v>0</v>
      </c>
      <c r="AU28" s="488" t="n">
        <f aca="false">CHOOSE(J28, IF(QrrSky_Q2&gt;0,QrrSky_Q2,Qrr_Q2)*Fsw*(H28-K28*Rdson1), IF(QrrSky_Q3&gt;0,QrrSky_Q3,Qrr_Q3)*Fsw*Vout,  IF(QrrSky_Q2&gt;0,QrrSky_Q2,Qrr_Q2)*Fsw/2*(H28-K28*Rdson1)+IF(QrrSky_Q3&gt;0,QrrSky_Q3,Qrr_Q3)*Fsw/2*Vout)</f>
        <v>0.1188</v>
      </c>
      <c r="AV28" s="488" t="n">
        <f aca="false">CHOOSE(J28, Rs*AF28^2, Rs*AJ28^2, Rs*(AF28^2+AJ28^2))</f>
        <v>0.0771627658818774</v>
      </c>
      <c r="AW28" s="488" t="n">
        <f aca="false">Rshunt_std/1000*Iout^2</f>
        <v>0.14832</v>
      </c>
      <c r="AX28" s="488" t="n">
        <f aca="false">IF(Vout&gt;8, Iq*Vout, Iq*H28)</f>
        <v>0.036</v>
      </c>
      <c r="AY28" s="488" t="n">
        <f aca="false">CHOOSE(J28, (Qg_Q1+Qg_Q2)*Fsw, (Qg_Q3+Qg_Q4)*Fsw, (Qg_Q1+Qg_Q2+Qg_Q3+Qg_Q4)*Fsw/2)*IF(Vout&gt;8, Vout, H28)</f>
        <v>0.1584</v>
      </c>
      <c r="AZ28" s="488" t="n">
        <f aca="false">(Vin-Vdd)*Fsw*(Qg_Q1+Qg_Q2)+(RdsonDRT+RdsonDRT2)*Fsw*Qg_Q1*Vdd/(RdsonDRT+2*Rgate1+RdsonDRT2)+(RdsonDRB+RdsonDRB2)*Fsw*Qg_Q2*Vdd/(RdsonDRB+2*Rgate2+RdsonDRB2)</f>
        <v>0.0522</v>
      </c>
      <c r="BA28" s="488" t="n">
        <f aca="false">SUM(AX28:AY28)</f>
        <v>0.1944</v>
      </c>
      <c r="BB28" s="488" t="n">
        <f aca="false">SUM(T28,W28,Z28,AE28,AI28,AN28,AR28, AT28,AU28,BA28,AV28,AW28)</f>
        <v>1.58753558333047</v>
      </c>
      <c r="BC28" s="419" t="n">
        <f aca="false">Vout*K28</f>
        <v>72</v>
      </c>
      <c r="BD28" s="589" t="n">
        <f aca="false">BC28/(BC28+BB28)</f>
        <v>0.978426569516889</v>
      </c>
      <c r="BE28" s="590" t="n">
        <f aca="false">IF(H28&gt;Vout,ThetaJA_Q1*(AE28+AU28),ThetaJA_Q4*(AN28+AU28))</f>
        <v>11.4484921126457</v>
      </c>
      <c r="BF28" s="590" t="n">
        <f aca="false">IF(H28&gt;Vout, AI28*ThetaJA_Q2, ThetaJA_Q3*AR28)</f>
        <v>14.681981689234</v>
      </c>
      <c r="BG28" s="536"/>
      <c r="BH28" s="385" t="n">
        <f aca="false">BD28*100</f>
        <v>97.8426569516889</v>
      </c>
      <c r="BI28" s="488" t="n">
        <f aca="false">T28</f>
        <v>0.232134964063514</v>
      </c>
      <c r="BJ28" s="488" t="n">
        <f aca="false">AE28+AI28+AN28+AR28+AU28</f>
        <v>0.901965036985537</v>
      </c>
      <c r="BK28" s="488" t="n">
        <f aca="false">AI28+AU28*0.33</f>
        <v>0.039204</v>
      </c>
      <c r="BL28" s="488" t="n">
        <f aca="false">AV28</f>
        <v>0.0771627658818774</v>
      </c>
      <c r="BP28" s="0" t="s">
        <v>846</v>
      </c>
      <c r="BQ28" s="0" t="n">
        <v>9.998766</v>
      </c>
      <c r="BR28" s="0" t="n">
        <v>0.1466</v>
      </c>
      <c r="BS28" s="0" t="n">
        <v>5.121323</v>
      </c>
      <c r="BT28" s="0" t="n">
        <v>69.8853769186918</v>
      </c>
      <c r="BU28" s="0" t="n">
        <v>323.5244619338</v>
      </c>
    </row>
    <row r="29" customFormat="false" ht="12.75" hidden="false" customHeight="false" outlineLevel="0" collapsed="false">
      <c r="A29" s="604" t="s">
        <v>626</v>
      </c>
      <c r="B29" s="583" t="s">
        <v>812</v>
      </c>
      <c r="C29" s="604" t="s">
        <v>697</v>
      </c>
      <c r="D29" s="585" t="s">
        <v>134</v>
      </c>
      <c r="G29" s="0" t="n">
        <v>20</v>
      </c>
      <c r="H29" s="586" t="n">
        <f aca="false">VIN_min+(VIN_max-VIN_min)*(G29/200)</f>
        <v>10.4</v>
      </c>
      <c r="I29" s="490" t="str">
        <f aca="false">IF(H29&gt;VIN_BB_to_buck, "BUCK", IF(H29&lt;VIN_boost_to_BB,"BOOST","BUCK-BST"))</f>
        <v>BOOST</v>
      </c>
      <c r="J29" s="419" t="n">
        <f aca="false">IF(I29="BOOST",2, IF(I29="BUCK", 1,3))</f>
        <v>2</v>
      </c>
      <c r="K29" s="0" t="n">
        <f aca="false">Iout</f>
        <v>6</v>
      </c>
      <c r="L29" s="385" t="n">
        <f aca="false">Vout*K29/(H29*Efficiency)</f>
        <v>7.69230769230769</v>
      </c>
      <c r="M29" s="385" t="n">
        <f aca="false">Iout/(1-O29)</f>
        <v>6.95574229691877</v>
      </c>
      <c r="N29" s="488" t="n">
        <f aca="false">CHOOSE(J29,(Vout+(Rdson2+Rs+Rdcr)*K29)/(H29+(Rs+Rdson2-Rdson1)*K29),1,IF(H29&lt;Vout,D_max_buck_BB,Vout/H29*(1-D_min_boost_exitBB_to_buck)))</f>
        <v>1</v>
      </c>
      <c r="O29" s="488" t="n">
        <f aca="false">CHOOSE(J29,0,(Vout+(Rdson3+Rdcr)*L29-H29)/(Vout+(Rdson3-Rdson4-Rs)*L29),IF(H29&gt;Vout,D_min_boost_exitBB_to_buck, (Vout-H29*D_max_buck_BB)/Vout))</f>
        <v>0.137403350515464</v>
      </c>
      <c r="P29" s="385" t="n">
        <f aca="false">MAX(0, CHOOSE(J29, (H29-(Rdson1+Rdcr)*K29-Vout)*N29/(Fsw*Lf), (H29-(Rdson4+Rdcr+Rs)*L29)*O29/(Fsw*Lf), IF(H29&lt;Vout, (H29-(Rdson4+Rdcr+Rs)*L29)*O29/(0.5*Fsw*Lf),(H29-(Rdson1+Rdcr)*K29-Vout)*N29/(0.5*Fsw*Lf))))</f>
        <v>1.00353920077784</v>
      </c>
      <c r="Q29" s="488" t="n">
        <f aca="false">CHOOSE(J29, SQRT(K29^2+(P29^2)/12), SQRT(L29^2+(P29^2)/12), SQRT(M29^2+(P29^2)/12))</f>
        <v>7.69776083527504</v>
      </c>
      <c r="R29" s="488" t="n">
        <f aca="false">(Q29^2*Rdcr*(1+Ltc*Ta-Ltc*25))/(1-Q29^2*Rdcr*Ltc*ThetaCa)</f>
        <v>0.201709237776976</v>
      </c>
      <c r="S29" s="488" t="n">
        <f aca="false">7.759*10^-3*Fsw^0.9458*(0.00787*P29)^2.304</f>
        <v>0.0168239489329848</v>
      </c>
      <c r="T29" s="488" t="n">
        <f aca="false">R29+S29</f>
        <v>0.218533186709961</v>
      </c>
      <c r="U29" s="385" t="n">
        <f aca="false">IF(H29&gt;Vout, P29/SQRT(12), SQRT(O29/(1-O29))*SQRT(K29^2+(P29^2)/12))</f>
        <v>2.39746159645166</v>
      </c>
      <c r="V29" s="488" t="n">
        <f aca="false">RCoutEsr*U29^2</f>
        <v>0.0287391105323028</v>
      </c>
      <c r="W29" s="488" t="n">
        <f aca="false">V29</f>
        <v>0.0287391105323028</v>
      </c>
      <c r="X29" s="488" t="n">
        <f aca="false">IF(H29&gt;Vout, SQRT(N29*(1-N29))*SQRT(K29^2+(P29^2)/12), P29/SQRT(12))</f>
        <v>0.289696813855713</v>
      </c>
      <c r="Y29" s="587" t="n">
        <f aca="false">RCinEsr*X29^2</f>
        <v>0.000167848487916303</v>
      </c>
      <c r="Z29" s="588" t="n">
        <f aca="false">Y29</f>
        <v>0.000167848487916303</v>
      </c>
      <c r="AA29" s="488" t="n">
        <f aca="false">CHOOSE(J29, SQRT(N29)*SQRT(K29^2+(P29^2)/12), SQRT(L29^2+(P29^2)/12), SQRT(N29)*SQRT(M29^2+(P29^2)/12))</f>
        <v>7.69776083527504</v>
      </c>
      <c r="AB29" s="488" t="n">
        <f aca="false">Rdson1*AA29^2</f>
        <v>0.337756474699437</v>
      </c>
      <c r="AC29" s="488" t="n">
        <f aca="false">CHOOSE(J29, (H29*K29/2)*(Fsw)*(Tr_buck+Tf_buck), 0, (H29*M29/2)*(Fsw/2)*(Tr_buck+Tf_buck))</f>
        <v>0</v>
      </c>
      <c r="AD29" s="0" t="n">
        <f aca="false">IF(H29&gt;Vout, IF(K29&gt;P29/2,0,ABS(K29-P29/2)*Vsd_Q1*Deadtime*Fsw),0)</f>
        <v>0</v>
      </c>
      <c r="AE29" s="488" t="n">
        <f aca="false">(AD29+AC29+AB29*(1+RdsonTopTc*Ta-RdsonTopTc*25))/(1-AB29*RdsonTopTc*ThetaJA_Q1)</f>
        <v>0.362225260077618</v>
      </c>
      <c r="AF29" s="488" t="n">
        <f aca="false">CHOOSE(J29, SQRT((1-N29))*SQRT(K29^2+(P29^2)/12), 0, SQRT((1-N29))*SQRT(M29^2+(P29^2)/12))</f>
        <v>0</v>
      </c>
      <c r="AG29" s="488" t="n">
        <f aca="false">Rdson2*AF29^2</f>
        <v>0</v>
      </c>
      <c r="AH29" s="488" t="n">
        <f aca="false">CHOOSE(J29, IF(K29&lt;P29/2,Deadtime*Fsw*IF(VfdSky_Q2&gt;0,0,Vsd_Q2)*(K29+P29/2),2*Deadtime*Fsw*IF(VfdSky_Q2&gt;0,0,Vsd_Q2)*K29),0, IF(K29&lt;P29/2,Deadtime*Fsw/2*IF(VfdSky_Q2&gt;0,0,Vsd_Q2)*(K29+P29/2),2*Deadtime*Fsw/2*IF(VfdSky_Q2&gt;0,0,Vsd_Q2)*K29))</f>
        <v>0</v>
      </c>
      <c r="AI29" s="488" t="n">
        <f aca="false">(AH29+AG29*(1+RdsonBotTc*Ta-RdsonBotTc*25))/(1-AG29*RdsonBotTc*ThetaJA_Q2)</f>
        <v>0</v>
      </c>
      <c r="AJ29" s="488" t="n">
        <f aca="false">CHOOSE(J29, 0, SQRT(O29)*SQRT(L29^2+(P29^2)/12), SQRT(O29)*SQRT(M29^2+(P29^2)/12))</f>
        <v>2.85340274802824</v>
      </c>
      <c r="AK29" s="488" t="n">
        <f aca="false">Rdson4*AJ29^2</f>
        <v>0.0154696237606647</v>
      </c>
      <c r="AL29" s="488" t="n">
        <f aca="false">CHOOSE(J29, 0, (Vout*L29/2)*(Fsw)*(Tr_boost+Tf_boost), (Vout*Iout/2)*(Fsw/2)*(Tr_boost+Tf_boost))</f>
        <v>0.0895055820828423</v>
      </c>
      <c r="AM29" s="0" t="n">
        <f aca="false">IF(H29&gt;Vout, 0, IF(L29&gt;P29/2,0,ABS(L29-P29/2)*Vsd_Q4*Deadtime*Fsw))</f>
        <v>0</v>
      </c>
      <c r="AN29" s="488" t="n">
        <f aca="false">(AM29+AL29+AK29*(1+RdsonTopTc*Ta-RdsonTopTc*25))/(1-AK29*RdsonTopTc*ThetaJA_Q4)</f>
        <v>0.105300999211392</v>
      </c>
      <c r="AO29" s="488" t="n">
        <f aca="false">CHOOSE(J29, SQRT(Iout^2+(P29^2)/12), SQRT(1-O29)*SQRT(L29^2+(P29^2)/12), SQRT(1-O29)*SQRT(M29^2+(P29^2)/12))</f>
        <v>7.14937861877794</v>
      </c>
      <c r="AP29" s="488" t="n">
        <f aca="false">Rdson3*AO29^2</f>
        <v>0.0971158678058143</v>
      </c>
      <c r="AQ29" s="488" t="n">
        <f aca="false">CHOOSE(J29, 0, IF(L29&lt;P29/2,Deadtime*Fsw*IF(VfdSky_Q3&gt;0,0,Vsd_Q3)*(L29+P29/2), 2*Deadtime*Fsw*IF(VfdSky_Q3&gt;0,0,Vsd_Q3)*L29), IF(L29&lt;P29/2,Deadtime*Fsw/2*IF(VfdSky_Q3&gt;0,0,Vsd_Q3)*(L29+P29/2), 2*Deadtime*Fsw/2*IF(VfdSky_Q3&gt;0,0,Vsd_Q3)*L29))</f>
        <v>0.184615384615385</v>
      </c>
      <c r="AR29" s="488" t="n">
        <f aca="false">(AQ29+AP29*(1+RdsonBotTc*Ta-RdsonBotTc*25))/(1-AP29*RdsonBotTc*ThetaJA_Q3)</f>
        <v>0.287311758574148</v>
      </c>
      <c r="AS29" s="488" t="n">
        <f aca="false">CHOOSE(J29, Rdson3*Q29^2, Rdson1*Q29^2, 0)</f>
        <v>0.337756474699437</v>
      </c>
      <c r="AT29" s="488" t="n">
        <f aca="false">CHOOSE(J29, 2*Deadtime*Fsw*IF(VfdSky_Q2&gt;0,VfdSky_Q2,0)*K29, 2*Deadtime*Fsw*IF(VfdSky_Q3&gt;0,VfdSky_Q3,0)*L29, 2*Deadtime*Fsw/2*IF(VfdSky_Q2&gt;0,VfdSky_Q2,0)*K29+2*Deadtime*Fsw/2*IF(VfdSky_Q3&gt;0,VfdSky_Q3,0)*L29)</f>
        <v>0</v>
      </c>
      <c r="AU29" s="488" t="n">
        <f aca="false">CHOOSE(J29, IF(QrrSky_Q2&gt;0,QrrSky_Q2,Qrr_Q2)*Fsw*(H29-K29*Rdson1), IF(QrrSky_Q3&gt;0,QrrSky_Q3,Qrr_Q3)*Fsw*Vout,  IF(QrrSky_Q2&gt;0,QrrSky_Q2,Qrr_Q2)*Fsw/2*(H29-K29*Rdson1)+IF(QrrSky_Q3&gt;0,QrrSky_Q3,Qrr_Q3)*Fsw/2*Vout)</f>
        <v>0.1188</v>
      </c>
      <c r="AV29" s="488" t="n">
        <f aca="false">CHOOSE(J29, Rs*AF29^2, Rs*AJ29^2, Rs*(AF29^2+AJ29^2))</f>
        <v>0.065135257939641</v>
      </c>
      <c r="AW29" s="488" t="n">
        <f aca="false">Rshunt_std/1000*Iout^2</f>
        <v>0.14832</v>
      </c>
      <c r="AX29" s="488" t="n">
        <f aca="false">IF(Vout&gt;8, Iq*Vout, Iq*H29)</f>
        <v>0.036</v>
      </c>
      <c r="AY29" s="488" t="n">
        <f aca="false">CHOOSE(J29, (Qg_Q1+Qg_Q2)*Fsw, (Qg_Q3+Qg_Q4)*Fsw, (Qg_Q1+Qg_Q2+Qg_Q3+Qg_Q4)*Fsw/2)*IF(Vout&gt;8, Vout, H29)</f>
        <v>0.1584</v>
      </c>
      <c r="AZ29" s="488" t="n">
        <f aca="false">(Vin-Vdd)*Fsw*(Qg_Q1+Qg_Q2)+(RdsonDRT+RdsonDRT2)*Fsw*Qg_Q1*Vdd/(RdsonDRT+2*Rgate1+RdsonDRT2)+(RdsonDRB+RdsonDRB2)*Fsw*Qg_Q2*Vdd/(RdsonDRB+2*Rgate2+RdsonDRB2)</f>
        <v>0.0522</v>
      </c>
      <c r="BA29" s="488" t="n">
        <f aca="false">SUM(AX29:AY29)</f>
        <v>0.1944</v>
      </c>
      <c r="BB29" s="488" t="n">
        <f aca="false">SUM(T29,W29,Z29,AE29,AI29,AN29,AR29, AT29,AU29,BA29,AV29,AW29)</f>
        <v>1.52893342153298</v>
      </c>
      <c r="BC29" s="419" t="n">
        <f aca="false">Vout*K29</f>
        <v>72</v>
      </c>
      <c r="BD29" s="589" t="n">
        <f aca="false">BC29/(BC29+BB29)</f>
        <v>0.979206370194876</v>
      </c>
      <c r="BE29" s="590" t="n">
        <f aca="false">IF(H29&gt;Vout,ThetaJA_Q1*(AE29+AU29),ThetaJA_Q4*(AN29+AU29))</f>
        <v>11.2050499605696</v>
      </c>
      <c r="BF29" s="590" t="n">
        <f aca="false">IF(H29&gt;Vout, AI29*ThetaJA_Q2, ThetaJA_Q3*AR29)</f>
        <v>14.3655879287074</v>
      </c>
      <c r="BG29" s="536"/>
      <c r="BH29" s="385" t="n">
        <f aca="false">BD29*100</f>
        <v>97.9206370194876</v>
      </c>
      <c r="BI29" s="488" t="n">
        <f aca="false">T29</f>
        <v>0.218533186709961</v>
      </c>
      <c r="BJ29" s="488" t="n">
        <f aca="false">AE29+AI29+AN29+AR29+AU29</f>
        <v>0.873638017863157</v>
      </c>
      <c r="BK29" s="488" t="n">
        <f aca="false">AI29+AU29*0.33</f>
        <v>0.039204</v>
      </c>
      <c r="BL29" s="488" t="n">
        <f aca="false">AV29</f>
        <v>0.065135257939641</v>
      </c>
      <c r="BP29" s="0" t="s">
        <v>847</v>
      </c>
      <c r="BQ29" s="0" t="n">
        <v>9.99879</v>
      </c>
      <c r="BR29" s="0" t="n">
        <v>0.1958</v>
      </c>
      <c r="BS29" s="0" t="n">
        <v>5.12176</v>
      </c>
      <c r="BT29" s="0" t="n">
        <v>75.6625165665159</v>
      </c>
      <c r="BU29" s="0" t="n">
        <v>322.571997667</v>
      </c>
    </row>
    <row r="30" customFormat="false" ht="12.75" hidden="false" customHeight="false" outlineLevel="0" collapsed="false">
      <c r="A30" s="599" t="s">
        <v>627</v>
      </c>
      <c r="B30" s="617" t="n">
        <f aca="false">RdsonDRB</f>
        <v>1.5</v>
      </c>
      <c r="C30" s="601" t="s">
        <v>40</v>
      </c>
      <c r="D30" s="603" t="s">
        <v>848</v>
      </c>
      <c r="G30" s="0" t="n">
        <v>21</v>
      </c>
      <c r="H30" s="586" t="n">
        <f aca="false">VIN_min+(VIN_max-VIN_min)*(G30/200)</f>
        <v>10.62</v>
      </c>
      <c r="I30" s="490" t="str">
        <f aca="false">IF(H30&gt;VIN_BB_to_buck, "BUCK", IF(H30&lt;VIN_boost_to_BB,"BOOST","BUCK-BST"))</f>
        <v>BOOST</v>
      </c>
      <c r="J30" s="419" t="n">
        <f aca="false">IF(I30="BOOST",2, IF(I30="BUCK", 1,3))</f>
        <v>2</v>
      </c>
      <c r="K30" s="0" t="n">
        <f aca="false">Iout</f>
        <v>6</v>
      </c>
      <c r="L30" s="385" t="n">
        <f aca="false">Vout*K30/(H30*Efficiency)</f>
        <v>7.53295668549906</v>
      </c>
      <c r="M30" s="385" t="n">
        <f aca="false">Iout/(1-O30)</f>
        <v>6.80961365646179</v>
      </c>
      <c r="N30" s="488" t="n">
        <f aca="false">CHOOSE(J30,(Vout+(Rdson2+Rs+Rdcr)*K30)/(H30+(Rs+Rdson2-Rdson1)*K30),1,IF(H30&lt;Vout,D_max_buck_BB,Vout/H30*(1-D_min_boost_exitBB_to_buck)))</f>
        <v>1</v>
      </c>
      <c r="O30" s="488" t="n">
        <f aca="false">CHOOSE(J30,0,(Vout+(Rdson3+Rdcr)*L30-H30)/(Vout+(Rdson3-Rdson4-Rs)*L30),IF(H30&gt;Vout,D_min_boost_exitBB_to_buck, (Vout-H30*D_max_buck_BB)/Vout))</f>
        <v>0.118892744479495</v>
      </c>
      <c r="P30" s="385" t="n">
        <f aca="false">MAX(0, CHOOSE(J30, (H30-(Rdson1+Rdcr)*K30-Vout)*N30/(Fsw*Lf), (H30-(Rdson4+Rdcr+Rs)*L30)*O30/(Fsw*Lf), IF(H30&lt;Vout, (H30-(Rdson4+Rdcr+Rs)*L30)*O30/(0.5*Fsw*Lf),(H30-(Rdson1+Rdcr)*K30-Vout)*N30/(0.5*Fsw*Lf))))</f>
        <v>0.887073803029539</v>
      </c>
      <c r="Q30" s="488" t="n">
        <f aca="false">CHOOSE(J30, SQRT(K30^2+(P30^2)/12), SQRT(L30^2+(P30^2)/12), SQRT(M30^2+(P30^2)/12))</f>
        <v>7.53730796902581</v>
      </c>
      <c r="R30" s="488" t="n">
        <f aca="false">(Q30^2*Rdcr*(1+Ltc*Ta-Ltc*25))/(1-Q30^2*Rdcr*Ltc*ThetaCa)</f>
        <v>0.193259329392526</v>
      </c>
      <c r="S30" s="488" t="n">
        <f aca="false">7.759*10^-3*Fsw^0.9458*(0.00787*P30)^2.304</f>
        <v>0.0126617020863984</v>
      </c>
      <c r="T30" s="488" t="n">
        <f aca="false">R30+S30</f>
        <v>0.205921031478924</v>
      </c>
      <c r="U30" s="385" t="n">
        <f aca="false">IF(H30&gt;Vout, P30/SQRT(12), SQRT(O30/(1-O30))*SQRT(K30^2+(P30^2)/12))</f>
        <v>2.20602138262381</v>
      </c>
      <c r="V30" s="488" t="n">
        <f aca="false">RCoutEsr*U30^2</f>
        <v>0.0243326517029672</v>
      </c>
      <c r="W30" s="488" t="n">
        <f aca="false">V30</f>
        <v>0.0243326517029672</v>
      </c>
      <c r="X30" s="488" t="n">
        <f aca="false">IF(H30&gt;Vout, SQRT(N30*(1-N30))*SQRT(K30^2+(P30^2)/12), P30/SQRT(12))</f>
        <v>0.256076149485085</v>
      </c>
      <c r="Y30" s="587" t="n">
        <f aca="false">RCinEsr*X30^2</f>
        <v>0.000131149988670215</v>
      </c>
      <c r="Z30" s="588" t="n">
        <f aca="false">Y30</f>
        <v>0.000131149988670215</v>
      </c>
      <c r="AA30" s="488" t="n">
        <f aca="false">CHOOSE(J30, SQRT(N30)*SQRT(K30^2+(P30^2)/12), SQRT(L30^2+(P30^2)/12), SQRT(N30)*SQRT(M30^2+(P30^2)/12))</f>
        <v>7.53730796902581</v>
      </c>
      <c r="AB30" s="488" t="n">
        <f aca="false">Rdson1*AA30^2</f>
        <v>0.323822765093658</v>
      </c>
      <c r="AC30" s="488" t="n">
        <f aca="false">CHOOSE(J30, (H30*K30/2)*(Fsw)*(Tr_buck+Tf_buck), 0, (H30*M30/2)*(Fsw/2)*(Tr_buck+Tf_buck))</f>
        <v>0</v>
      </c>
      <c r="AD30" s="0" t="n">
        <f aca="false">IF(H30&gt;Vout, IF(K30&gt;P30/2,0,ABS(K30-P30/2)*Vsd_Q1*Deadtime*Fsw),0)</f>
        <v>0</v>
      </c>
      <c r="AE30" s="488" t="n">
        <f aca="false">(AD30+AC30+AB30*(1+RdsonTopTc*Ta-RdsonTopTc*25))/(1-AB30*RdsonTopTc*ThetaJA_Q1)</f>
        <v>0.346247317869405</v>
      </c>
      <c r="AF30" s="488" t="n">
        <f aca="false">CHOOSE(J30, SQRT((1-N30))*SQRT(K30^2+(P30^2)/12), 0, SQRT((1-N30))*SQRT(M30^2+(P30^2)/12))</f>
        <v>0</v>
      </c>
      <c r="AG30" s="488" t="n">
        <f aca="false">Rdson2*AF30^2</f>
        <v>0</v>
      </c>
      <c r="AH30" s="488" t="n">
        <f aca="false">CHOOSE(J30, IF(K30&lt;P30/2,Deadtime*Fsw*IF(VfdSky_Q2&gt;0,0,Vsd_Q2)*(K30+P30/2),2*Deadtime*Fsw*IF(VfdSky_Q2&gt;0,0,Vsd_Q2)*K30),0, IF(K30&lt;P30/2,Deadtime*Fsw/2*IF(VfdSky_Q2&gt;0,0,Vsd_Q2)*(K30+P30/2),2*Deadtime*Fsw/2*IF(VfdSky_Q2&gt;0,0,Vsd_Q2)*K30))</f>
        <v>0</v>
      </c>
      <c r="AI30" s="488" t="n">
        <f aca="false">(AH30+AG30*(1+RdsonBotTc*Ta-RdsonBotTc*25))/(1-AG30*RdsonBotTc*ThetaJA_Q2)</f>
        <v>0</v>
      </c>
      <c r="AJ30" s="488" t="n">
        <f aca="false">CHOOSE(J30, 0, SQRT(O30)*SQRT(L30^2+(P30^2)/12), SQRT(O30)*SQRT(M30^2+(P30^2)/12))</f>
        <v>2.59892613676738</v>
      </c>
      <c r="AK30" s="488" t="n">
        <f aca="false">Rdson4*AJ30^2</f>
        <v>0.012833392422308</v>
      </c>
      <c r="AL30" s="488" t="n">
        <f aca="false">CHOOSE(J30, 0, (Vout*L30/2)*(Fsw)*(Tr_boost+Tf_boost), (Vout*Iout/2)*(Fsw/2)*(Tr_boost+Tf_boost))</f>
        <v>0.0876514174822562</v>
      </c>
      <c r="AM30" s="0" t="n">
        <f aca="false">IF(H30&gt;Vout, 0, IF(L30&gt;P30/2,0,ABS(L30-P30/2)*Vsd_Q4*Deadtime*Fsw))</f>
        <v>0</v>
      </c>
      <c r="AN30" s="488" t="n">
        <f aca="false">(AM30+AL30+AK30*(1+RdsonTopTc*Ta-RdsonTopTc*25))/(1-AK30*RdsonTopTc*ThetaJA_Q4)</f>
        <v>0.100743385785311</v>
      </c>
      <c r="AO30" s="488" t="n">
        <f aca="false">CHOOSE(J30, SQRT(Iout^2+(P30^2)/12), SQRT(1-O30)*SQRT(L30^2+(P30^2)/12), SQRT(1-O30)*SQRT(M30^2+(P30^2)/12))</f>
        <v>7.07506850536215</v>
      </c>
      <c r="AP30" s="488" t="n">
        <f aca="false">Rdson3*AO30^2</f>
        <v>0.0951075292755781</v>
      </c>
      <c r="AQ30" s="488" t="n">
        <f aca="false">CHOOSE(J30, 0, IF(L30&lt;P30/2,Deadtime*Fsw*IF(VfdSky_Q3&gt;0,0,Vsd_Q3)*(L30+P30/2), 2*Deadtime*Fsw*IF(VfdSky_Q3&gt;0,0,Vsd_Q3)*L30), IF(L30&lt;P30/2,Deadtime*Fsw/2*IF(VfdSky_Q3&gt;0,0,Vsd_Q3)*(L30+P30/2), 2*Deadtime*Fsw/2*IF(VfdSky_Q3&gt;0,0,Vsd_Q3)*L30))</f>
        <v>0.180790960451977</v>
      </c>
      <c r="AR30" s="488" t="n">
        <f aca="false">(AQ30+AP30*(1+RdsonBotTc*Ta-RdsonBotTc*25))/(1-AP30*RdsonBotTc*ThetaJA_Q3)</f>
        <v>0.28124825505788</v>
      </c>
      <c r="AS30" s="488" t="n">
        <f aca="false">CHOOSE(J30, Rdson3*Q30^2, Rdson1*Q30^2, 0)</f>
        <v>0.323822765093658</v>
      </c>
      <c r="AT30" s="488" t="n">
        <f aca="false">CHOOSE(J30, 2*Deadtime*Fsw*IF(VfdSky_Q2&gt;0,VfdSky_Q2,0)*K30, 2*Deadtime*Fsw*IF(VfdSky_Q3&gt;0,VfdSky_Q3,0)*L30, 2*Deadtime*Fsw/2*IF(VfdSky_Q2&gt;0,VfdSky_Q2,0)*K30+2*Deadtime*Fsw/2*IF(VfdSky_Q3&gt;0,VfdSky_Q3,0)*L30)</f>
        <v>0</v>
      </c>
      <c r="AU30" s="488" t="n">
        <f aca="false">CHOOSE(J30, IF(QrrSky_Q2&gt;0,QrrSky_Q2,Qrr_Q2)*Fsw*(H30-K30*Rdson1), IF(QrrSky_Q3&gt;0,QrrSky_Q3,Qrr_Q3)*Fsw*Vout,  IF(QrrSky_Q2&gt;0,QrrSky_Q2,Qrr_Q2)*Fsw/2*(H30-K30*Rdson1)+IF(QrrSky_Q3&gt;0,QrrSky_Q3,Qrr_Q3)*Fsw/2*Vout)</f>
        <v>0.1188</v>
      </c>
      <c r="AV30" s="488" t="n">
        <f aca="false">CHOOSE(J30, Rs*AF30^2, Rs*AJ30^2, Rs*(AF30^2+AJ30^2))</f>
        <v>0.0540353365149809</v>
      </c>
      <c r="AW30" s="488" t="n">
        <f aca="false">Rshunt_std/1000*Iout^2</f>
        <v>0.14832</v>
      </c>
      <c r="AX30" s="488" t="n">
        <f aca="false">IF(Vout&gt;8, Iq*Vout, Iq*H30)</f>
        <v>0.036</v>
      </c>
      <c r="AY30" s="488" t="n">
        <f aca="false">CHOOSE(J30, (Qg_Q1+Qg_Q2)*Fsw, (Qg_Q3+Qg_Q4)*Fsw, (Qg_Q1+Qg_Q2+Qg_Q3+Qg_Q4)*Fsw/2)*IF(Vout&gt;8, Vout, H30)</f>
        <v>0.1584</v>
      </c>
      <c r="AZ30" s="488" t="n">
        <f aca="false">(Vin-Vdd)*Fsw*(Qg_Q1+Qg_Q2)+(RdsonDRT+RdsonDRT2)*Fsw*Qg_Q1*Vdd/(RdsonDRT+2*Rgate1+RdsonDRT2)+(RdsonDRB+RdsonDRB2)*Fsw*Qg_Q2*Vdd/(RdsonDRB+2*Rgate2+RdsonDRB2)</f>
        <v>0.0522</v>
      </c>
      <c r="BA30" s="488" t="n">
        <f aca="false">SUM(AX30:AY30)</f>
        <v>0.1944</v>
      </c>
      <c r="BB30" s="488" t="n">
        <f aca="false">SUM(T30,W30,Z30,AE30,AI30,AN30,AR30, AT30,AU30,BA30,AV30,AW30)</f>
        <v>1.47417912839814</v>
      </c>
      <c r="BC30" s="419" t="n">
        <f aca="false">Vout*K30</f>
        <v>72</v>
      </c>
      <c r="BD30" s="589" t="n">
        <f aca="false">BC30/(BC30+BB30)</f>
        <v>0.97993609257176</v>
      </c>
      <c r="BE30" s="590" t="n">
        <f aca="false">IF(H30&gt;Vout,ThetaJA_Q1*(AE30+AU30),ThetaJA_Q4*(AN30+AU30))</f>
        <v>10.9771692892656</v>
      </c>
      <c r="BF30" s="590" t="n">
        <f aca="false">IF(H30&gt;Vout, AI30*ThetaJA_Q2, ThetaJA_Q3*AR30)</f>
        <v>14.062412752894</v>
      </c>
      <c r="BG30" s="536"/>
      <c r="BH30" s="385" t="n">
        <f aca="false">BD30*100</f>
        <v>97.993609257176</v>
      </c>
      <c r="BI30" s="488" t="n">
        <f aca="false">T30</f>
        <v>0.205921031478924</v>
      </c>
      <c r="BJ30" s="488" t="n">
        <f aca="false">AE30+AI30+AN30+AR30+AU30</f>
        <v>0.847038958712596</v>
      </c>
      <c r="BK30" s="488" t="n">
        <f aca="false">AI30+AU30*0.33</f>
        <v>0.039204</v>
      </c>
      <c r="BL30" s="488" t="n">
        <f aca="false">AV30</f>
        <v>0.0540353365149809</v>
      </c>
      <c r="BQ30" s="0" t="n">
        <v>9.998766</v>
      </c>
      <c r="BR30" s="0" t="n">
        <v>0.2681</v>
      </c>
      <c r="BS30" s="0" t="n">
        <v>5.122408</v>
      </c>
      <c r="BT30" s="0" t="n">
        <v>80.9575534458877</v>
      </c>
      <c r="BU30" s="0" t="n">
        <v>323.0250606832</v>
      </c>
    </row>
    <row r="31" customFormat="false" ht="12.75" hidden="false" customHeight="false" outlineLevel="0" collapsed="false">
      <c r="A31" s="599" t="s">
        <v>629</v>
      </c>
      <c r="B31" s="617" t="n">
        <v>1</v>
      </c>
      <c r="C31" s="601" t="s">
        <v>40</v>
      </c>
      <c r="D31" s="603" t="s">
        <v>849</v>
      </c>
      <c r="G31" s="0" t="n">
        <v>22</v>
      </c>
      <c r="H31" s="586" t="n">
        <f aca="false">VIN_min+(VIN_max-VIN_min)*(G31/200)</f>
        <v>10.84</v>
      </c>
      <c r="I31" s="490" t="str">
        <f aca="false">IF(H31&gt;VIN_BB_to_buck, "BUCK", IF(H31&lt;VIN_boost_to_BB,"BOOST","BUCK-BST"))</f>
        <v>BOOST</v>
      </c>
      <c r="J31" s="419" t="n">
        <f aca="false">IF(I31="BOOST",2, IF(I31="BUCK", 1,3))</f>
        <v>2</v>
      </c>
      <c r="K31" s="0" t="n">
        <f aca="false">Iout</f>
        <v>6</v>
      </c>
      <c r="L31" s="385" t="n">
        <f aca="false">Vout*K31/(H31*Efficiency)</f>
        <v>7.38007380073801</v>
      </c>
      <c r="M31" s="385" t="n">
        <f aca="false">Iout/(1-O31)</f>
        <v>6.66955213421546</v>
      </c>
      <c r="N31" s="488" t="n">
        <f aca="false">CHOOSE(J31,(Vout+(Rdson2+Rs+Rdcr)*K31)/(H31+(Rs+Rdson2-Rdson1)*K31),1,IF(H31&lt;Vout,D_max_buck_BB,Vout/H31*(1-D_min_boost_exitBB_to_buck)))</f>
        <v>1</v>
      </c>
      <c r="O31" s="488" t="n">
        <f aca="false">CHOOSE(J31,0,(Vout+(Rdson3+Rdcr)*L31-H31)/(Vout+(Rdson3-Rdson4-Rs)*L31),IF(H31&gt;Vout,D_min_boost_exitBB_to_buck, (Vout-H31*D_max_buck_BB)/Vout))</f>
        <v>0.100389369592089</v>
      </c>
      <c r="P31" s="385" t="n">
        <f aca="false">MAX(0, CHOOSE(J31, (H31-(Rdson1+Rdcr)*K31-Vout)*N31/(Fsw*Lf), (H31-(Rdson4+Rdcr+Rs)*L31)*O31/(Fsw*Lf), IF(H31&lt;Vout, (H31-(Rdson4+Rdcr+Rs)*L31)*O31/(0.5*Fsw*Lf),(H31-(Rdson1+Rdcr)*K31-Vout)*N31/(0.5*Fsw*Lf))))</f>
        <v>0.764825598373018</v>
      </c>
      <c r="Q31" s="488" t="n">
        <f aca="false">CHOOSE(J31, SQRT(K31^2+(P31^2)/12), SQRT(L31^2+(P31^2)/12), SQRT(M31^2+(P31^2)/12))</f>
        <v>7.38337563859965</v>
      </c>
      <c r="R31" s="488" t="n">
        <f aca="false">(Q31^2*Rdcr*(1+Ltc*Ta-Ltc*25))/(1-Q31^2*Rdcr*Ltc*ThetaCa)</f>
        <v>0.185330331899225</v>
      </c>
      <c r="S31" s="488" t="n">
        <f aca="false">7.759*10^-3*Fsw^0.9458*(0.00787*P31)^2.304</f>
        <v>0.00899747445801282</v>
      </c>
      <c r="T31" s="488" t="n">
        <f aca="false">R31+S31</f>
        <v>0.194327806357237</v>
      </c>
      <c r="U31" s="385" t="n">
        <f aca="false">IF(H31&gt;Vout, P31/SQRT(12), SQRT(O31/(1-O31))*SQRT(K31^2+(P31^2)/12))</f>
        <v>2.00568006612051</v>
      </c>
      <c r="V31" s="488" t="n">
        <f aca="false">RCoutEsr*U31^2</f>
        <v>0.0201137626381659</v>
      </c>
      <c r="W31" s="488" t="n">
        <f aca="false">V31</f>
        <v>0.0201137626381659</v>
      </c>
      <c r="X31" s="488" t="n">
        <f aca="false">IF(H31&gt;Vout, SQRT(N31*(1-N31))*SQRT(K31^2+(P31^2)/12), P31/SQRT(12))</f>
        <v>0.220786132551889</v>
      </c>
      <c r="Y31" s="587" t="n">
        <f aca="false">RCinEsr*X31^2</f>
        <v>9.74930326544408E-005</v>
      </c>
      <c r="Z31" s="588" t="n">
        <f aca="false">Y31</f>
        <v>9.74930326544408E-005</v>
      </c>
      <c r="AA31" s="488" t="n">
        <f aca="false">CHOOSE(J31, SQRT(N31)*SQRT(K31^2+(P31^2)/12), SQRT(L31^2+(P31^2)/12), SQRT(N31)*SQRT(M31^2+(P31^2)/12))</f>
        <v>7.38337563859965</v>
      </c>
      <c r="AB31" s="488" t="n">
        <f aca="false">Rdson1*AA31^2</f>
        <v>0.3107311441778</v>
      </c>
      <c r="AC31" s="488" t="n">
        <f aca="false">CHOOSE(J31, (H31*K31/2)*(Fsw)*(Tr_buck+Tf_buck), 0, (H31*M31/2)*(Fsw/2)*(Tr_buck+Tf_buck))</f>
        <v>0</v>
      </c>
      <c r="AD31" s="0" t="n">
        <f aca="false">IF(H31&gt;Vout, IF(K31&gt;P31/2,0,ABS(K31-P31/2)*Vsd_Q1*Deadtime*Fsw),0)</f>
        <v>0</v>
      </c>
      <c r="AE31" s="488" t="n">
        <f aca="false">(AD31+AC31+AB31*(1+RdsonTopTc*Ta-RdsonTopTc*25))/(1-AB31*RdsonTopTc*ThetaJA_Q1)</f>
        <v>0.331321527653502</v>
      </c>
      <c r="AF31" s="488" t="n">
        <f aca="false">CHOOSE(J31, SQRT((1-N31))*SQRT(K31^2+(P31^2)/12), 0, SQRT((1-N31))*SQRT(M31^2+(P31^2)/12))</f>
        <v>0</v>
      </c>
      <c r="AG31" s="488" t="n">
        <f aca="false">Rdson2*AF31^2</f>
        <v>0</v>
      </c>
      <c r="AH31" s="488" t="n">
        <f aca="false">CHOOSE(J31, IF(K31&lt;P31/2,Deadtime*Fsw*IF(VfdSky_Q2&gt;0,0,Vsd_Q2)*(K31+P31/2),2*Deadtime*Fsw*IF(VfdSky_Q2&gt;0,0,Vsd_Q2)*K31),0, IF(K31&lt;P31/2,Deadtime*Fsw/2*IF(VfdSky_Q2&gt;0,0,Vsd_Q2)*(K31+P31/2),2*Deadtime*Fsw/2*IF(VfdSky_Q2&gt;0,0,Vsd_Q2)*K31))</f>
        <v>0</v>
      </c>
      <c r="AI31" s="488" t="n">
        <f aca="false">(AH31+AG31*(1+RdsonBotTc*Ta-RdsonBotTc*25))/(1-AG31*RdsonBotTc*ThetaJA_Q2)</f>
        <v>0</v>
      </c>
      <c r="AJ31" s="488" t="n">
        <f aca="false">CHOOSE(J31, 0, SQRT(O31)*SQRT(L31^2+(P31^2)/12), SQRT(O31)*SQRT(M31^2+(P31^2)/12))</f>
        <v>2.33936952357493</v>
      </c>
      <c r="AK31" s="488" t="n">
        <f aca="false">Rdson4*AJ31^2</f>
        <v>0.0103980345588793</v>
      </c>
      <c r="AL31" s="488" t="n">
        <f aca="false">CHOOSE(J31, 0, (Vout*L31/2)*(Fsw)*(Tr_boost+Tf_boost), (Vout*Iout/2)*(Fsw/2)*(Tr_boost+Tf_boost))</f>
        <v>0.0858725141754207</v>
      </c>
      <c r="AM31" s="0" t="n">
        <f aca="false">IF(H31&gt;Vout, 0, IF(L31&gt;P31/2,0,ABS(L31-P31/2)*Vsd_Q4*Deadtime*Fsw))</f>
        <v>0</v>
      </c>
      <c r="AN31" s="488" t="n">
        <f aca="false">(AM31+AL31+AK31*(1+RdsonTopTc*Ta-RdsonTopTc*25))/(1-AK31*RdsonTopTc*ThetaJA_Q4)</f>
        <v>0.0964711708479826</v>
      </c>
      <c r="AO31" s="488" t="n">
        <f aca="false">CHOOSE(J31, SQRT(Iout^2+(P31^2)/12), SQRT(1-O31)*SQRT(L31^2+(P31^2)/12), SQRT(1-O31)*SQRT(M31^2+(P31^2)/12))</f>
        <v>7.00296980236496</v>
      </c>
      <c r="AP31" s="488" t="n">
        <f aca="false">Rdson3*AO31^2</f>
        <v>0.0931790135003875</v>
      </c>
      <c r="AQ31" s="488" t="n">
        <f aca="false">CHOOSE(J31, 0, IF(L31&lt;P31/2,Deadtime*Fsw*IF(VfdSky_Q3&gt;0,0,Vsd_Q3)*(L31+P31/2), 2*Deadtime*Fsw*IF(VfdSky_Q3&gt;0,0,Vsd_Q3)*L31), IF(L31&lt;P31/2,Deadtime*Fsw/2*IF(VfdSky_Q3&gt;0,0,Vsd_Q3)*(L31+P31/2), 2*Deadtime*Fsw/2*IF(VfdSky_Q3&gt;0,0,Vsd_Q3)*L31))</f>
        <v>0.177121771217712</v>
      </c>
      <c r="AR31" s="488" t="n">
        <f aca="false">(AQ31+AP31*(1+RdsonBotTc*Ta-RdsonBotTc*25))/(1-AP31*RdsonBotTc*ThetaJA_Q3)</f>
        <v>0.275433713051477</v>
      </c>
      <c r="AS31" s="488" t="n">
        <f aca="false">CHOOSE(J31, Rdson3*Q31^2, Rdson1*Q31^2, 0)</f>
        <v>0.3107311441778</v>
      </c>
      <c r="AT31" s="488" t="n">
        <f aca="false">CHOOSE(J31, 2*Deadtime*Fsw*IF(VfdSky_Q2&gt;0,VfdSky_Q2,0)*K31, 2*Deadtime*Fsw*IF(VfdSky_Q3&gt;0,VfdSky_Q3,0)*L31, 2*Deadtime*Fsw/2*IF(VfdSky_Q2&gt;0,VfdSky_Q2,0)*K31+2*Deadtime*Fsw/2*IF(VfdSky_Q3&gt;0,VfdSky_Q3,0)*L31)</f>
        <v>0</v>
      </c>
      <c r="AU31" s="488" t="n">
        <f aca="false">CHOOSE(J31, IF(QrrSky_Q2&gt;0,QrrSky_Q2,Qrr_Q2)*Fsw*(H31-K31*Rdson1), IF(QrrSky_Q3&gt;0,QrrSky_Q3,Qrr_Q3)*Fsw*Vout,  IF(QrrSky_Q2&gt;0,QrrSky_Q2,Qrr_Q2)*Fsw/2*(H31-K31*Rdson1)+IF(QrrSky_Q3&gt;0,QrrSky_Q3,Qrr_Q3)*Fsw/2*Vout)</f>
        <v>0.1188</v>
      </c>
      <c r="AV31" s="488" t="n">
        <f aca="false">CHOOSE(J31, Rs*AF31^2, Rs*AJ31^2, Rs*(AF31^2+AJ31^2))</f>
        <v>0.0437811981426497</v>
      </c>
      <c r="AW31" s="488" t="n">
        <f aca="false">Rshunt_std/1000*Iout^2</f>
        <v>0.14832</v>
      </c>
      <c r="AX31" s="488" t="n">
        <f aca="false">IF(Vout&gt;8, Iq*Vout, Iq*H31)</f>
        <v>0.036</v>
      </c>
      <c r="AY31" s="488" t="n">
        <f aca="false">CHOOSE(J31, (Qg_Q1+Qg_Q2)*Fsw, (Qg_Q3+Qg_Q4)*Fsw, (Qg_Q1+Qg_Q2+Qg_Q3+Qg_Q4)*Fsw/2)*IF(Vout&gt;8, Vout, H31)</f>
        <v>0.1584</v>
      </c>
      <c r="AZ31" s="488" t="n">
        <f aca="false">(Vin-Vdd)*Fsw*(Qg_Q1+Qg_Q2)+(RdsonDRT+RdsonDRT2)*Fsw*Qg_Q1*Vdd/(RdsonDRT+2*Rgate1+RdsonDRT2)+(RdsonDRB+RdsonDRB2)*Fsw*Qg_Q2*Vdd/(RdsonDRB+2*Rgate2+RdsonDRB2)</f>
        <v>0.0522</v>
      </c>
      <c r="BA31" s="488" t="n">
        <f aca="false">SUM(AX31:AY31)</f>
        <v>0.1944</v>
      </c>
      <c r="BB31" s="488" t="n">
        <f aca="false">SUM(T31,W31,Z31,AE31,AI31,AN31,AR31, AT31,AU31,BA31,AV31,AW31)</f>
        <v>1.42306667172367</v>
      </c>
      <c r="BC31" s="419" t="n">
        <f aca="false">Vout*K31</f>
        <v>72</v>
      </c>
      <c r="BD31" s="589" t="n">
        <f aca="false">BC31/(BC31+BB31)</f>
        <v>0.980618261586836</v>
      </c>
      <c r="BE31" s="590" t="n">
        <f aca="false">IF(H31&gt;Vout,ThetaJA_Q1*(AE31+AU31),ThetaJA_Q4*(AN31+AU31))</f>
        <v>10.7635585423991</v>
      </c>
      <c r="BF31" s="590" t="n">
        <f aca="false">IF(H31&gt;Vout, AI31*ThetaJA_Q2, ThetaJA_Q3*AR31)</f>
        <v>13.7716856525738</v>
      </c>
      <c r="BG31" s="536"/>
      <c r="BH31" s="385" t="n">
        <f aca="false">BD31*100</f>
        <v>98.0618261586836</v>
      </c>
      <c r="BI31" s="488" t="n">
        <f aca="false">T31</f>
        <v>0.194327806357237</v>
      </c>
      <c r="BJ31" s="488" t="n">
        <f aca="false">AE31+AI31+AN31+AR31+AU31</f>
        <v>0.822026411552962</v>
      </c>
      <c r="BK31" s="488" t="n">
        <f aca="false">AI31+AU31*0.33</f>
        <v>0.039204</v>
      </c>
      <c r="BL31" s="488" t="n">
        <f aca="false">AV31</f>
        <v>0.0437811981426497</v>
      </c>
      <c r="BQ31" s="0" t="n">
        <v>9.998704</v>
      </c>
      <c r="BR31" s="0" t="n">
        <v>0.3655</v>
      </c>
      <c r="BS31" s="0" t="n">
        <v>5.123094</v>
      </c>
      <c r="BT31" s="0" t="n">
        <v>85.4190222732131</v>
      </c>
      <c r="BU31" s="0" t="n">
        <v>319.6330069232</v>
      </c>
    </row>
    <row r="32" customFormat="false" ht="12.75" hidden="false" customHeight="false" outlineLevel="0" collapsed="false">
      <c r="A32" s="604" t="s">
        <v>631</v>
      </c>
      <c r="B32" s="583" t="s">
        <v>812</v>
      </c>
      <c r="C32" s="604" t="s">
        <v>697</v>
      </c>
      <c r="D32" s="585" t="s">
        <v>134</v>
      </c>
      <c r="E32" s="517"/>
      <c r="G32" s="0" t="n">
        <v>23</v>
      </c>
      <c r="H32" s="586" t="n">
        <f aca="false">VIN_min+(VIN_max-VIN_min)*(G32/200)</f>
        <v>11.06</v>
      </c>
      <c r="I32" s="490" t="str">
        <f aca="false">IF(H32&gt;VIN_BB_to_buck, "BUCK", IF(H32&lt;VIN_boost_to_BB,"BOOST","BUCK-BST"))</f>
        <v>BUCK-BST</v>
      </c>
      <c r="J32" s="419" t="n">
        <f aca="false">IF(I32="BOOST",2, IF(I32="BUCK", 1,3))</f>
        <v>3</v>
      </c>
      <c r="K32" s="0" t="n">
        <f aca="false">Iout</f>
        <v>6</v>
      </c>
      <c r="L32" s="385" t="n">
        <f aca="false">Vout*K32/(H32*Efficiency)</f>
        <v>7.23327305605787</v>
      </c>
      <c r="M32" s="385" t="n">
        <f aca="false">Iout/(1-O32)</f>
        <v>6.81669712089223</v>
      </c>
      <c r="N32" s="488" t="n">
        <f aca="false">CHOOSE(J32,(Vout+(Rdson2+Rs+Rdcr)*K32)/(H32+(Rs+Rdson2-Rdson1)*K32),1,IF(H32&lt;Vout,D_max_buck_BB,Vout/H32*(1-D_min_boost_exitBB_to_buck)))</f>
        <v>0.955</v>
      </c>
      <c r="O32" s="488" t="n">
        <f aca="false">CHOOSE(J32,0,(Vout+(Rdson3+Rdcr)*L32-H32)/(Vout+(Rdson3-Rdson4-Rs)*L32),IF(H32&gt;Vout,D_min_boost_exitBB_to_buck, (Vout-H32*D_max_buck_BB)/Vout))</f>
        <v>0.119808333333333</v>
      </c>
      <c r="P32" s="385" t="n">
        <f aca="false">MAX(0, CHOOSE(J32, (H32-(Rdson1+Rdcr)*K32-Vout)*N32/(Fsw*Lf), (H32-(Rdson4+Rdcr+Rs)*L32)*O32/(Fsw*Lf), IF(H32&lt;Vout, (H32-(Rdson4+Rdcr+Rs)*L32)*O32/(0.5*Fsw*Lf),(H32-(Rdson1+Rdcr)*K32-Vout)*N32/(0.5*Fsw*Lf))))</f>
        <v>1.86325905249253</v>
      </c>
      <c r="Q32" s="488" t="n">
        <f aca="false">CHOOSE(J32, SQRT(K32^2+(P32^2)/12), SQRT(L32^2+(P32^2)/12), SQRT(M32^2+(P32^2)/12))</f>
        <v>6.83788496754455</v>
      </c>
      <c r="R32" s="488" t="n">
        <f aca="false">(Q32^2*Rdcr*(1+Ltc*Ta-Ltc*25))/(1-Q32^2*Rdcr*Ltc*ThetaCa)</f>
        <v>0.15862251231774</v>
      </c>
      <c r="S32" s="488" t="n">
        <f aca="false">7.759*10^-3*Fsw^0.9458*(0.00787*P32)^2.304</f>
        <v>0.0700006967297071</v>
      </c>
      <c r="T32" s="488" t="n">
        <f aca="false">R32+S32</f>
        <v>0.228623209047447</v>
      </c>
      <c r="U32" s="385" t="n">
        <f aca="false">IF(H32&gt;Vout, P32/SQRT(12), SQRT(O32/(1-O32))*SQRT(K32^2+(P32^2)/12))</f>
        <v>2.22251269097132</v>
      </c>
      <c r="V32" s="488" t="n">
        <f aca="false">RCoutEsr*U32^2</f>
        <v>0.0246978133076428</v>
      </c>
      <c r="W32" s="488" t="n">
        <f aca="false">V32</f>
        <v>0.0246978133076428</v>
      </c>
      <c r="X32" s="488" t="n">
        <f aca="false">IF(H32&gt;Vout, SQRT(N32*(1-N32))*SQRT(K32^2+(P32^2)/12), P32/SQRT(12))</f>
        <v>0.537876557763284</v>
      </c>
      <c r="Y32" s="587" t="n">
        <f aca="false">RCinEsr*X32^2</f>
        <v>0.00057862238278256</v>
      </c>
      <c r="Z32" s="588" t="n">
        <f aca="false">Y32</f>
        <v>0.00057862238278256</v>
      </c>
      <c r="AA32" s="488" t="n">
        <f aca="false">CHOOSE(J32, SQRT(N32)*SQRT(K32^2+(P32^2)/12), SQRT(L32^2+(P32^2)/12), SQRT(N32)*SQRT(M32^2+(P32^2)/12))</f>
        <v>6.68226164124468</v>
      </c>
      <c r="AB32" s="488" t="n">
        <f aca="false">Rdson1*AA32^2</f>
        <v>0.254519937659685</v>
      </c>
      <c r="AC32" s="488" t="n">
        <f aca="false">CHOOSE(J32, (H32*K32/2)*(Fsw)*(Tr_buck+Tf_buck), 0, (H32*M32/2)*(Fsw/2)*(Tr_buck+Tf_buck))</f>
        <v>0.038388606368355</v>
      </c>
      <c r="AD32" s="0" t="n">
        <f aca="false">IF(H32&gt;Vout, IF(K32&gt;P32/2,0,ABS(K32-P32/2)*Vsd_Q1*Deadtime*Fsw),0)</f>
        <v>0</v>
      </c>
      <c r="AE32" s="488" t="n">
        <f aca="false">(AD32+AC32+AB32*(1+RdsonTopTc*Ta-RdsonTopTc*25))/(1-AB32*RdsonTopTc*ThetaJA_Q1)</f>
        <v>0.308618453960575</v>
      </c>
      <c r="AF32" s="488" t="n">
        <f aca="false">CHOOSE(J32, SQRT((1-N32))*SQRT(K32^2+(P32^2)/12), 0, SQRT((1-N32))*SQRT(M32^2+(P32^2)/12))</f>
        <v>1.45053444885729</v>
      </c>
      <c r="AG32" s="488" t="n">
        <f aca="false">Rdson2*AF32^2</f>
        <v>0.0119930860677339</v>
      </c>
      <c r="AH32" s="488" t="n">
        <f aca="false">CHOOSE(J32, IF(K32&lt;P32/2,Deadtime*Fsw*IF(VfdSky_Q2&gt;0,0,Vsd_Q2)*(K32+P32/2),2*Deadtime*Fsw*IF(VfdSky_Q2&gt;0,0,Vsd_Q2)*K32),0, IF(K32&lt;P32/2,Deadtime*Fsw/2*IF(VfdSky_Q2&gt;0,0,Vsd_Q2)*(K32+P32/2),2*Deadtime*Fsw/2*IF(VfdSky_Q2&gt;0,0,Vsd_Q2)*K32))</f>
        <v>0.072</v>
      </c>
      <c r="AI32" s="488" t="n">
        <f aca="false">(AH32+AG32*(1+RdsonBotTc*Ta-RdsonBotTc*25))/(1-AG32*RdsonBotTc*ThetaJA_Q2)</f>
        <v>0.0841950377345391</v>
      </c>
      <c r="AJ32" s="488" t="n">
        <f aca="false">CHOOSE(J32, 0, SQRT(O32)*SQRT(L32^2+(P32^2)/12), SQRT(O32)*SQRT(M32^2+(P32^2)/12))</f>
        <v>2.36682039966752</v>
      </c>
      <c r="AK32" s="488" t="n">
        <f aca="false">Rdson4*AJ32^2</f>
        <v>0.0106434937281364</v>
      </c>
      <c r="AL32" s="488" t="n">
        <f aca="false">CHOOSE(J32, 0, (Vout*L32/2)*(Fsw)*(Tr_boost+Tf_boost), (Vout*Iout/2)*(Fsw/2)*(Tr_boost+Tf_boost))</f>
        <v>0.0349071770123085</v>
      </c>
      <c r="AM32" s="0" t="n">
        <f aca="false">IF(H32&gt;Vout, 0, IF(L32&gt;P32/2,0,ABS(L32-P32/2)*Vsd_Q4*Deadtime*Fsw))</f>
        <v>0</v>
      </c>
      <c r="AN32" s="488" t="n">
        <f aca="false">(AM32+AL32+AK32*(1+RdsonTopTc*Ta-RdsonTopTc*25))/(1-AK32*RdsonTopTc*ThetaJA_Q4)</f>
        <v>0.0456478412428391</v>
      </c>
      <c r="AO32" s="488" t="n">
        <f aca="false">CHOOSE(J32, SQRT(Iout^2+(P32^2)/12), SQRT(1-O32)*SQRT(L32^2+(P32^2)/12), SQRT(1-O32)*SQRT(M32^2+(P32^2)/12))</f>
        <v>6.41520319437268</v>
      </c>
      <c r="AP32" s="488" t="n">
        <f aca="false">Rdson3*AO32^2</f>
        <v>0.0781941808476698</v>
      </c>
      <c r="AQ32" s="488" t="n">
        <f aca="false">CHOOSE(J32, 0, IF(L32&lt;P32/2,Deadtime*Fsw*IF(VfdSky_Q3&gt;0,0,Vsd_Q3)*(L32+P32/2), 2*Deadtime*Fsw*IF(VfdSky_Q3&gt;0,0,Vsd_Q3)*L32), IF(L32&lt;P32/2,Deadtime*Fsw/2*IF(VfdSky_Q3&gt;0,0,Vsd_Q3)*(L32+P32/2), 2*Deadtime*Fsw/2*IF(VfdSky_Q3&gt;0,0,Vsd_Q3)*L32))</f>
        <v>0.0867992766726944</v>
      </c>
      <c r="AR32" s="488" t="n">
        <f aca="false">(AQ32+AP32*(1+RdsonBotTc*Ta-RdsonBotTc*25))/(1-AP32*RdsonBotTc*ThetaJA_Q3)</f>
        <v>0.167614757248571</v>
      </c>
      <c r="AS32" s="488" t="n">
        <f aca="false">CHOOSE(J32, Rdson3*Q32^2, Rdson1*Q32^2, 0)</f>
        <v>0</v>
      </c>
      <c r="AT32" s="488" t="n">
        <f aca="false">CHOOSE(J32, 2*Deadtime*Fsw*IF(VfdSky_Q2&gt;0,VfdSky_Q2,0)*K32, 2*Deadtime*Fsw*IF(VfdSky_Q3&gt;0,VfdSky_Q3,0)*L32, 2*Deadtime*Fsw/2*IF(VfdSky_Q2&gt;0,VfdSky_Q2,0)*K32+2*Deadtime*Fsw/2*IF(VfdSky_Q3&gt;0,VfdSky_Q3,0)*L32)</f>
        <v>0</v>
      </c>
      <c r="AU32" s="488" t="n">
        <f aca="false">CHOOSE(J32, IF(QrrSky_Q2&gt;0,QrrSky_Q2,Qrr_Q2)*Fsw*(H32-K32*Rdson1), IF(QrrSky_Q3&gt;0,QrrSky_Q3,Qrr_Q3)*Fsw*Vout,  IF(QrrSky_Q2&gt;0,QrrSky_Q2,Qrr_Q2)*Fsw/2*(H32-K32*Rdson1)+IF(QrrSky_Q3&gt;0,QrrSky_Q3,Qrr_Q3)*Fsw/2*Vout)</f>
        <v>0.16359381</v>
      </c>
      <c r="AV32" s="488" t="n">
        <f aca="false">CHOOSE(J32, Rs*AF32^2, Rs*AJ32^2, Rs*(AF32^2+AJ32^2))</f>
        <v>0.0616471119328323</v>
      </c>
      <c r="AW32" s="488" t="n">
        <f aca="false">Rshunt_std/1000*Iout^2</f>
        <v>0.14832</v>
      </c>
      <c r="AX32" s="488" t="n">
        <f aca="false">IF(Vout&gt;8, Iq*Vout, Iq*H32)</f>
        <v>0.036</v>
      </c>
      <c r="AY32" s="488" t="n">
        <f aca="false">CHOOSE(J32, (Qg_Q1+Qg_Q2)*Fsw, (Qg_Q3+Qg_Q4)*Fsw, (Qg_Q1+Qg_Q2+Qg_Q3+Qg_Q4)*Fsw/2)*IF(Vout&gt;8, Vout, H32)</f>
        <v>0.1188</v>
      </c>
      <c r="AZ32" s="488" t="n">
        <f aca="false">(Vin-Vdd)*Fsw*(Qg_Q1+Qg_Q2)+(RdsonDRT+RdsonDRT2)*Fsw*Qg_Q1*Vdd/(RdsonDRT+2*Rgate1+RdsonDRT2)+(RdsonDRB+RdsonDRB2)*Fsw*Qg_Q2*Vdd/(RdsonDRB+2*Rgate2+RdsonDRB2)</f>
        <v>0.0522</v>
      </c>
      <c r="BA32" s="488" t="n">
        <f aca="false">SUM(AX32:AY32)</f>
        <v>0.1548</v>
      </c>
      <c r="BB32" s="488" t="n">
        <f aca="false">SUM(T32,W32,Z32,AE32,AI32,AN32,AR32, AT32,AU32,BA32,AV32,AW32)</f>
        <v>1.38833665685723</v>
      </c>
      <c r="BC32" s="419" t="n">
        <f aca="false">Vout*K32</f>
        <v>72</v>
      </c>
      <c r="BD32" s="589" t="n">
        <f aca="false">BC32/(BC32+BB32)</f>
        <v>0.981082325610557</v>
      </c>
      <c r="BE32" s="590" t="n">
        <f aca="false">IF(H32&gt;Vout,ThetaJA_Q1*(AE32+AU32),ThetaJA_Q4*(AN32+AU32))</f>
        <v>10.462082562142</v>
      </c>
      <c r="BF32" s="590" t="n">
        <f aca="false">IF(H32&gt;Vout, AI32*ThetaJA_Q2, ThetaJA_Q3*AR32)</f>
        <v>8.38073786242854</v>
      </c>
      <c r="BG32" s="536"/>
      <c r="BH32" s="385" t="n">
        <f aca="false">BD32*100</f>
        <v>98.1082325610557</v>
      </c>
      <c r="BI32" s="488" t="n">
        <f aca="false">T32</f>
        <v>0.228623209047447</v>
      </c>
      <c r="BJ32" s="488" t="n">
        <f aca="false">AE32+AI32+AN32+AR32+AU32</f>
        <v>0.769669900186524</v>
      </c>
      <c r="BK32" s="488" t="n">
        <f aca="false">AI32+AU32*0.33</f>
        <v>0.138180995034539</v>
      </c>
      <c r="BL32" s="488" t="n">
        <f aca="false">AV32</f>
        <v>0.0616471119328323</v>
      </c>
      <c r="BQ32" s="0" t="n">
        <v>9.998729</v>
      </c>
      <c r="BR32" s="0" t="n">
        <v>0.4906</v>
      </c>
      <c r="BS32" s="0" t="n">
        <v>5.123817</v>
      </c>
      <c r="BT32" s="0" t="n">
        <v>88.5518502670522</v>
      </c>
      <c r="BU32" s="0" t="n">
        <v>324.981531842301</v>
      </c>
    </row>
    <row r="33" customFormat="false" ht="12.75" hidden="false" customHeight="false" outlineLevel="0" collapsed="false">
      <c r="A33" s="599" t="s">
        <v>631</v>
      </c>
      <c r="B33" s="596" t="n">
        <f aca="false">Deadtime*1000000000</f>
        <v>50</v>
      </c>
      <c r="C33" s="597" t="s">
        <v>850</v>
      </c>
      <c r="D33" s="598" t="s">
        <v>632</v>
      </c>
      <c r="E33" s="517"/>
      <c r="G33" s="0" t="n">
        <v>24</v>
      </c>
      <c r="H33" s="586" t="n">
        <f aca="false">VIN_min+(VIN_max-VIN_min)*(G33/200)</f>
        <v>11.28</v>
      </c>
      <c r="I33" s="490" t="str">
        <f aca="false">IF(H33&gt;VIN_BB_to_buck, "BUCK", IF(H33&lt;VIN_boost_to_BB,"BOOST","BUCK-BST"))</f>
        <v>BUCK-BST</v>
      </c>
      <c r="J33" s="419" t="n">
        <f aca="false">IF(I33="BOOST",2, IF(I33="BUCK", 1,3))</f>
        <v>3</v>
      </c>
      <c r="K33" s="0" t="n">
        <f aca="false">Iout</f>
        <v>6</v>
      </c>
      <c r="L33" s="385" t="n">
        <f aca="false">Vout*K33/(H33*Efficiency)</f>
        <v>7.09219858156028</v>
      </c>
      <c r="M33" s="385" t="n">
        <f aca="false">Iout/(1-O33)</f>
        <v>6.68374735435001</v>
      </c>
      <c r="N33" s="488" t="n">
        <f aca="false">CHOOSE(J33,(Vout+(Rdson2+Rs+Rdcr)*K33)/(H33+(Rs+Rdson2-Rdson1)*K33),1,IF(H33&lt;Vout,D_max_buck_BB,Vout/H33*(1-D_min_boost_exitBB_to_buck)))</f>
        <v>0.955</v>
      </c>
      <c r="O33" s="488" t="n">
        <f aca="false">CHOOSE(J33,0,(Vout+(Rdson3+Rdcr)*L33-H33)/(Vout+(Rdson3-Rdson4-Rs)*L33),IF(H33&gt;Vout,D_min_boost_exitBB_to_buck, (Vout-H33*D_max_buck_BB)/Vout))</f>
        <v>0.1023</v>
      </c>
      <c r="P33" s="385" t="n">
        <f aca="false">MAX(0, CHOOSE(J33, (H33-(Rdson1+Rdcr)*K33-Vout)*N33/(Fsw*Lf), (H33-(Rdson4+Rdcr+Rs)*L33)*O33/(Fsw*Lf), IF(H33&lt;Vout, (H33-(Rdson4+Rdcr+Rs)*L33)*O33/(0.5*Fsw*Lf),(H33-(Rdson1+Rdcr)*K33-Vout)*N33/(0.5*Fsw*Lf))))</f>
        <v>1.62316411649314</v>
      </c>
      <c r="Q33" s="488" t="n">
        <f aca="false">CHOOSE(J33, SQRT(K33^2+(P33^2)/12), SQRT(L33^2+(P33^2)/12), SQRT(M33^2+(P33^2)/12))</f>
        <v>6.70015177757464</v>
      </c>
      <c r="R33" s="488" t="n">
        <f aca="false">(Q33^2*Rdcr*(1+Ltc*Ta-Ltc*25))/(1-Q33^2*Rdcr*Ltc*ThetaCa)</f>
        <v>0.15221967822614</v>
      </c>
      <c r="S33" s="488" t="n">
        <f aca="false">7.759*10^-3*Fsw^0.9458*(0.00787*P33)^2.304</f>
        <v>0.0509410466492463</v>
      </c>
      <c r="T33" s="488" t="n">
        <f aca="false">R33+S33</f>
        <v>0.203160724875387</v>
      </c>
      <c r="U33" s="385" t="n">
        <f aca="false">IF(H33&gt;Vout, P33/SQRT(12), SQRT(O33/(1-O33))*SQRT(K33^2+(P33^2)/12))</f>
        <v>2.03162599111503</v>
      </c>
      <c r="V33" s="488" t="n">
        <f aca="false">RCoutEsr*U33^2</f>
        <v>0.0206375208388706</v>
      </c>
      <c r="W33" s="488" t="n">
        <f aca="false">V33</f>
        <v>0.0206375208388706</v>
      </c>
      <c r="X33" s="488" t="n">
        <f aca="false">IF(H33&gt;Vout, SQRT(N33*(1-N33))*SQRT(K33^2+(P33^2)/12), P33/SQRT(12))</f>
        <v>0.468567119798126</v>
      </c>
      <c r="Y33" s="587" t="n">
        <f aca="false">RCinEsr*X33^2</f>
        <v>0.000439110291511823</v>
      </c>
      <c r="Z33" s="588" t="n">
        <f aca="false">Y33</f>
        <v>0.000439110291511823</v>
      </c>
      <c r="AA33" s="488" t="n">
        <f aca="false">CHOOSE(J33, SQRT(N33)*SQRT(K33^2+(P33^2)/12), SQRT(L33^2+(P33^2)/12), SQRT(N33)*SQRT(M33^2+(P33^2)/12))</f>
        <v>6.54766311897783</v>
      </c>
      <c r="AB33" s="488" t="n">
        <f aca="false">Rdson1*AA33^2</f>
        <v>0.244369786221848</v>
      </c>
      <c r="AC33" s="488" t="n">
        <f aca="false">CHOOSE(J33, (H33*K33/2)*(Fsw)*(Tr_buck+Tf_buck), 0, (H33*M33/2)*(Fsw/2)*(Tr_buck+Tf_buck))</f>
        <v>0.038388606368355</v>
      </c>
      <c r="AD33" s="0" t="n">
        <f aca="false">IF(H33&gt;Vout, IF(K33&gt;P33/2,0,ABS(K33-P33/2)*Vsd_Q1*Deadtime*Fsw),0)</f>
        <v>0</v>
      </c>
      <c r="AE33" s="488" t="n">
        <f aca="false">(AD33+AC33+AB33*(1+RdsonTopTc*Ta-RdsonTopTc*25))/(1-AB33*RdsonTopTc*ThetaJA_Q1)</f>
        <v>0.297288035317577</v>
      </c>
      <c r="AF33" s="488" t="n">
        <f aca="false">CHOOSE(J33, SQRT((1-N33))*SQRT(K33^2+(P33^2)/12), 0, SQRT((1-N33))*SQRT(M33^2+(P33^2)/12))</f>
        <v>1.42131682707064</v>
      </c>
      <c r="AG33" s="488" t="n">
        <f aca="false">Rdson2*AF33^2</f>
        <v>0.0115148066806107</v>
      </c>
      <c r="AH33" s="488" t="n">
        <f aca="false">CHOOSE(J33, IF(K33&lt;P33/2,Deadtime*Fsw*IF(VfdSky_Q2&gt;0,0,Vsd_Q2)*(K33+P33/2),2*Deadtime*Fsw*IF(VfdSky_Q2&gt;0,0,Vsd_Q2)*K33),0, IF(K33&lt;P33/2,Deadtime*Fsw/2*IF(VfdSky_Q2&gt;0,0,Vsd_Q2)*(K33+P33/2),2*Deadtime*Fsw/2*IF(VfdSky_Q2&gt;0,0,Vsd_Q2)*K33))</f>
        <v>0.072</v>
      </c>
      <c r="AI33" s="488" t="n">
        <f aca="false">(AH33+AG33*(1+RdsonBotTc*Ta-RdsonBotTc*25))/(1-AG33*RdsonBotTc*ThetaJA_Q2)</f>
        <v>0.0837075820055096</v>
      </c>
      <c r="AJ33" s="488" t="n">
        <f aca="false">CHOOSE(J33, 0, SQRT(O33)*SQRT(L33^2+(P33^2)/12), SQRT(O33)*SQRT(M33^2+(P33^2)/12))</f>
        <v>2.14300141439326</v>
      </c>
      <c r="AK33" s="488" t="n">
        <f aca="false">Rdson4*AJ33^2</f>
        <v>0.00872566461797385</v>
      </c>
      <c r="AL33" s="488" t="n">
        <f aca="false">CHOOSE(J33, 0, (Vout*L33/2)*(Fsw)*(Tr_boost+Tf_boost), (Vout*Iout/2)*(Fsw/2)*(Tr_boost+Tf_boost))</f>
        <v>0.0349071770123085</v>
      </c>
      <c r="AM33" s="0" t="n">
        <f aca="false">IF(H33&gt;Vout, 0, IF(L33&gt;P33/2,0,ABS(L33-P33/2)*Vsd_Q4*Deadtime*Fsw))</f>
        <v>0</v>
      </c>
      <c r="AN33" s="488" t="n">
        <f aca="false">(AM33+AL33+AK33*(1+RdsonTopTc*Ta-RdsonTopTc*25))/(1-AK33*RdsonTopTc*ThetaJA_Q4)</f>
        <v>0.0437091198544016</v>
      </c>
      <c r="AO33" s="488" t="n">
        <f aca="false">CHOOSE(J33, SQRT(Iout^2+(P33^2)/12), SQRT(1-O33)*SQRT(L33^2+(P33^2)/12), SQRT(1-O33)*SQRT(M33^2+(P33^2)/12))</f>
        <v>6.34819492300332</v>
      </c>
      <c r="AP33" s="488" t="n">
        <f aca="false">Rdson3*AO33^2</f>
        <v>0.0765691996828457</v>
      </c>
      <c r="AQ33" s="488" t="n">
        <f aca="false">CHOOSE(J33, 0, IF(L33&lt;P33/2,Deadtime*Fsw*IF(VfdSky_Q3&gt;0,0,Vsd_Q3)*(L33+P33/2), 2*Deadtime*Fsw*IF(VfdSky_Q3&gt;0,0,Vsd_Q3)*L33), IF(L33&lt;P33/2,Deadtime*Fsw/2*IF(VfdSky_Q3&gt;0,0,Vsd_Q3)*(L33+P33/2), 2*Deadtime*Fsw/2*IF(VfdSky_Q3&gt;0,0,Vsd_Q3)*L33))</f>
        <v>0.0851063829787234</v>
      </c>
      <c r="AR33" s="488" t="n">
        <f aca="false">(AQ33+AP33*(1+RdsonBotTc*Ta-RdsonBotTc*25))/(1-AP33*RdsonBotTc*ThetaJA_Q3)</f>
        <v>0.164189961450412</v>
      </c>
      <c r="AS33" s="488" t="n">
        <f aca="false">CHOOSE(J33, Rdson3*Q33^2, Rdson1*Q33^2, 0)</f>
        <v>0</v>
      </c>
      <c r="AT33" s="488" t="n">
        <f aca="false">CHOOSE(J33, 2*Deadtime*Fsw*IF(VfdSky_Q2&gt;0,VfdSky_Q2,0)*K33, 2*Deadtime*Fsw*IF(VfdSky_Q3&gt;0,VfdSky_Q3,0)*L33, 2*Deadtime*Fsw/2*IF(VfdSky_Q2&gt;0,VfdSky_Q2,0)*K33+2*Deadtime*Fsw/2*IF(VfdSky_Q3&gt;0,VfdSky_Q3,0)*L33)</f>
        <v>0</v>
      </c>
      <c r="AU33" s="488" t="n">
        <f aca="false">CHOOSE(J33, IF(QrrSky_Q2&gt;0,QrrSky_Q2,Qrr_Q2)*Fsw*(H33-K33*Rdson1), IF(QrrSky_Q3&gt;0,QrrSky_Q3,Qrr_Q3)*Fsw*Vout,  IF(QrrSky_Q2&gt;0,QrrSky_Q2,Qrr_Q2)*Fsw/2*(H33-K33*Rdson1)+IF(QrrSky_Q3&gt;0,QrrSky_Q3,Qrr_Q3)*Fsw/2*Vout)</f>
        <v>0.16567281</v>
      </c>
      <c r="AV33" s="488" t="n">
        <f aca="false">CHOOSE(J33, Rs*AF33^2, Rs*AJ33^2, Rs*(AF33^2+AJ33^2))</f>
        <v>0.0529007726800452</v>
      </c>
      <c r="AW33" s="488" t="n">
        <f aca="false">Rshunt_std/1000*Iout^2</f>
        <v>0.14832</v>
      </c>
      <c r="AX33" s="488" t="n">
        <f aca="false">IF(Vout&gt;8, Iq*Vout, Iq*H33)</f>
        <v>0.036</v>
      </c>
      <c r="AY33" s="488" t="n">
        <f aca="false">CHOOSE(J33, (Qg_Q1+Qg_Q2)*Fsw, (Qg_Q3+Qg_Q4)*Fsw, (Qg_Q1+Qg_Q2+Qg_Q3+Qg_Q4)*Fsw/2)*IF(Vout&gt;8, Vout, H33)</f>
        <v>0.1188</v>
      </c>
      <c r="AZ33" s="488" t="n">
        <f aca="false">(Vin-Vdd)*Fsw*(Qg_Q1+Qg_Q2)+(RdsonDRT+RdsonDRT2)*Fsw*Qg_Q1*Vdd/(RdsonDRT+2*Rgate1+RdsonDRT2)+(RdsonDRB+RdsonDRB2)*Fsw*Qg_Q2*Vdd/(RdsonDRB+2*Rgate2+RdsonDRB2)</f>
        <v>0.0522</v>
      </c>
      <c r="BA33" s="488" t="n">
        <f aca="false">SUM(AX33:AY33)</f>
        <v>0.1548</v>
      </c>
      <c r="BB33" s="488" t="n">
        <f aca="false">SUM(T33,W33,Z33,AE33,AI33,AN33,AR33, AT33,AU33,BA33,AV33,AW33)</f>
        <v>1.33482563731371</v>
      </c>
      <c r="BC33" s="419" t="n">
        <f aca="false">Vout*K33</f>
        <v>72</v>
      </c>
      <c r="BD33" s="589" t="n">
        <f aca="false">BC33/(BC33+BB33)</f>
        <v>0.981798202617741</v>
      </c>
      <c r="BE33" s="590" t="n">
        <f aca="false">IF(H33&gt;Vout,ThetaJA_Q1*(AE33+AU33),ThetaJA_Q4*(AN33+AU33))</f>
        <v>10.4690964927201</v>
      </c>
      <c r="BF33" s="590" t="n">
        <f aca="false">IF(H33&gt;Vout, AI33*ThetaJA_Q2, ThetaJA_Q3*AR33)</f>
        <v>8.20949807252061</v>
      </c>
      <c r="BG33" s="536"/>
      <c r="BH33" s="385" t="n">
        <f aca="false">BD33*100</f>
        <v>98.1798202617741</v>
      </c>
      <c r="BI33" s="488" t="n">
        <f aca="false">T33</f>
        <v>0.203160724875387</v>
      </c>
      <c r="BJ33" s="488" t="n">
        <f aca="false">AE33+AI33+AN33+AR33+AU33</f>
        <v>0.754567508627901</v>
      </c>
      <c r="BK33" s="488" t="n">
        <f aca="false">AI33+AU33*0.33</f>
        <v>0.13837960930551</v>
      </c>
      <c r="BL33" s="488" t="n">
        <f aca="false">AV33</f>
        <v>0.0529007726800452</v>
      </c>
      <c r="BQ33" s="0" t="n">
        <v>9.998642</v>
      </c>
      <c r="BR33" s="0" t="n">
        <v>0.6455</v>
      </c>
      <c r="BS33" s="0" t="n">
        <v>5.12373</v>
      </c>
      <c r="BT33" s="0" t="n">
        <v>90.4189385711991</v>
      </c>
      <c r="BU33" s="0" t="n">
        <v>350.4584847366</v>
      </c>
    </row>
    <row r="34" customFormat="false" ht="12.75" hidden="false" customHeight="false" outlineLevel="0" collapsed="false">
      <c r="A34" s="604" t="s">
        <v>634</v>
      </c>
      <c r="B34" s="583" t="s">
        <v>812</v>
      </c>
      <c r="C34" s="604" t="s">
        <v>697</v>
      </c>
      <c r="D34" s="585" t="s">
        <v>134</v>
      </c>
      <c r="E34" s="517"/>
      <c r="G34" s="0" t="n">
        <v>25</v>
      </c>
      <c r="H34" s="586" t="n">
        <f aca="false">VIN_min+(VIN_max-VIN_min)*(G34/200)</f>
        <v>11.5</v>
      </c>
      <c r="I34" s="385" t="str">
        <f aca="false">IF(H34&gt;VIN_BB_to_buck, "BUCK", IF(H34&lt;VIN_boost_to_BB,"BOOST","BUCK-BST"))</f>
        <v>BUCK-BST</v>
      </c>
      <c r="J34" s="419" t="n">
        <f aca="false">IF(I34="BOOST",2, IF(I34="BUCK", 1,3))</f>
        <v>3</v>
      </c>
      <c r="K34" s="0" t="n">
        <f aca="false">Iout</f>
        <v>6</v>
      </c>
      <c r="L34" s="385" t="n">
        <f aca="false">Vout*K34/(H34*Efficiency)</f>
        <v>6.95652173913044</v>
      </c>
      <c r="M34" s="385" t="n">
        <f aca="false">Iout/(1-O34)</f>
        <v>6.55588436148418</v>
      </c>
      <c r="N34" s="488" t="n">
        <f aca="false">CHOOSE(J34,(Vout+(Rdson2+Rs+Rdcr)*K34)/(H34+(Rs+Rdson2-Rdson1)*K34),1,IF(H34&lt;Vout,D_max_buck_BB,Vout/H34*(1-D_min_boost_exitBB_to_buck)))</f>
        <v>0.955</v>
      </c>
      <c r="O34" s="488" t="n">
        <f aca="false">CHOOSE(J34,0,(Vout+(Rdson3+Rdcr)*L34-H34)/(Vout+(Rdson3-Rdson4-Rs)*L34),IF(H34&gt;Vout,D_min_boost_exitBB_to_buck, (Vout-H34*D_max_buck_BB)/Vout))</f>
        <v>0.0847916666666667</v>
      </c>
      <c r="P34" s="385" t="n">
        <f aca="false">MAX(0, CHOOSE(J34, (H34-(Rdson1+Rdcr)*K34-Vout)*N34/(Fsw*Lf), (H34-(Rdson4+Rdcr+Rs)*L34)*O34/(Fsw*Lf), IF(H34&lt;Vout, (H34-(Rdson4+Rdcr+Rs)*L34)*O34/(0.5*Fsw*Lf),(H34-(Rdson1+Rdcr)*K34-Vout)*N34/(0.5*Fsw*Lf))))</f>
        <v>1.3720405488745</v>
      </c>
      <c r="Q34" s="488" t="n">
        <f aca="false">CHOOSE(J34, SQRT(K34^2+(P34^2)/12), SQRT(L34^2+(P34^2)/12), SQRT(M34^2+(P34^2)/12))</f>
        <v>6.56783787610498</v>
      </c>
      <c r="R34" s="488" t="n">
        <f aca="false">(Q34^2*Rdcr*(1+Ltc*Ta-Ltc*25))/(1-Q34^2*Rdcr*Ltc*ThetaCa)</f>
        <v>0.146197382739408</v>
      </c>
      <c r="S34" s="488" t="n">
        <f aca="false">7.759*10^-3*Fsw^0.9458*(0.00787*P34)^2.304</f>
        <v>0.0345848791795524</v>
      </c>
      <c r="T34" s="488" t="n">
        <f aca="false">R34+S34</f>
        <v>0.18078226191896</v>
      </c>
      <c r="U34" s="385" t="n">
        <f aca="false">IF(H34&gt;Vout, P34/SQRT(12), SQRT(O34/(1-O34))*SQRT(K34^2+(P34^2)/12))</f>
        <v>1.83025686509769</v>
      </c>
      <c r="V34" s="488" t="n">
        <f aca="false">RCoutEsr*U34^2</f>
        <v>0.016749200961186</v>
      </c>
      <c r="W34" s="488" t="n">
        <f aca="false">V34</f>
        <v>0.016749200961186</v>
      </c>
      <c r="X34" s="488" t="n">
        <f aca="false">IF(H34&gt;Vout, SQRT(N34*(1-N34))*SQRT(K34^2+(P34^2)/12), P34/SQRT(12))</f>
        <v>0.396073990115887</v>
      </c>
      <c r="Y34" s="587" t="n">
        <f aca="false">RCinEsr*X34^2</f>
        <v>0.00031374921129264</v>
      </c>
      <c r="Z34" s="588" t="n">
        <f aca="false">Y34</f>
        <v>0.00031374921129264</v>
      </c>
      <c r="AA34" s="488" t="n">
        <f aca="false">CHOOSE(J34, SQRT(N34)*SQRT(K34^2+(P34^2)/12), SQRT(L34^2+(P34^2)/12), SQRT(N34)*SQRT(M34^2+(P34^2)/12))</f>
        <v>6.41836054770166</v>
      </c>
      <c r="AB34" s="488" t="n">
        <f aca="false">Rdson1*AA34^2</f>
        <v>0.234813507085671</v>
      </c>
      <c r="AC34" s="488" t="n">
        <f aca="false">CHOOSE(J34, (H34*K34/2)*(Fsw)*(Tr_buck+Tf_buck), 0, (H34*M34/2)*(Fsw/2)*(Tr_buck+Tf_buck))</f>
        <v>0.038388606368355</v>
      </c>
      <c r="AD34" s="0" t="n">
        <f aca="false">IF(H34&gt;Vout, IF(K34&gt;P34/2,0,ABS(K34-P34/2)*Vsd_Q1*Deadtime*Fsw),0)</f>
        <v>0</v>
      </c>
      <c r="AE34" s="488" t="n">
        <f aca="false">(AD34+AC34+AB34*(1+RdsonTopTc*Ta-RdsonTopTc*25))/(1-AB34*RdsonTopTc*ThetaJA_Q1)</f>
        <v>0.286664660302664</v>
      </c>
      <c r="AF34" s="488" t="n">
        <f aca="false">CHOOSE(J34, SQRT((1-N34))*SQRT(K34^2+(P34^2)/12), 0, SQRT((1-N34))*SQRT(M34^2+(P34^2)/12))</f>
        <v>1.39324880997831</v>
      </c>
      <c r="AG34" s="488" t="n">
        <f aca="false">Rdson2*AF34^2</f>
        <v>0.011064510805084</v>
      </c>
      <c r="AH34" s="488" t="n">
        <f aca="false">CHOOSE(J34, IF(K34&lt;P34/2,Deadtime*Fsw*IF(VfdSky_Q2&gt;0,0,Vsd_Q2)*(K34+P34/2),2*Deadtime*Fsw*IF(VfdSky_Q2&gt;0,0,Vsd_Q2)*K34),0, IF(K34&lt;P34/2,Deadtime*Fsw/2*IF(VfdSky_Q2&gt;0,0,Vsd_Q2)*(K34+P34/2),2*Deadtime*Fsw/2*IF(VfdSky_Q2&gt;0,0,Vsd_Q2)*K34))</f>
        <v>0.072</v>
      </c>
      <c r="AI34" s="488" t="n">
        <f aca="false">(AH34+AG34*(1+RdsonBotTc*Ta-RdsonBotTc*25))/(1-AG34*RdsonBotTc*ThetaJA_Q2)</f>
        <v>0.0832487321042594</v>
      </c>
      <c r="AJ34" s="488" t="n">
        <f aca="false">CHOOSE(J34, 0, SQRT(O34)*SQRT(L34^2+(P34^2)/12), SQRT(O34)*SQRT(M34^2+(P34^2)/12))</f>
        <v>1.91248928141262</v>
      </c>
      <c r="AK34" s="488" t="n">
        <f aca="false">Rdson4*AJ34^2</f>
        <v>0.00694946897788454</v>
      </c>
      <c r="AL34" s="488" t="n">
        <f aca="false">CHOOSE(J34, 0, (Vout*L34/2)*(Fsw)*(Tr_boost+Tf_boost), (Vout*Iout/2)*(Fsw/2)*(Tr_boost+Tf_boost))</f>
        <v>0.0349071770123085</v>
      </c>
      <c r="AM34" s="0" t="n">
        <f aca="false">IF(H34&gt;Vout, 0, IF(L34&gt;P34/2,0,ABS(L34-P34/2)*Vsd_Q4*Deadtime*Fsw))</f>
        <v>0</v>
      </c>
      <c r="AN34" s="488" t="n">
        <f aca="false">(AM34+AL34+AK34*(1+RdsonTopTc*Ta-RdsonTopTc*25))/(1-AK34*RdsonTopTc*ThetaJA_Q4)</f>
        <v>0.0419149032541682</v>
      </c>
      <c r="AO34" s="488" t="n">
        <f aca="false">CHOOSE(J34, SQRT(Iout^2+(P34^2)/12), SQRT(1-O34)*SQRT(L34^2+(P34^2)/12), SQRT(1-O34)*SQRT(M34^2+(P34^2)/12))</f>
        <v>6.28322203294464</v>
      </c>
      <c r="AP34" s="488" t="n">
        <f aca="false">Rdson3*AO34^2</f>
        <v>0.0750098703190338</v>
      </c>
      <c r="AQ34" s="488" t="n">
        <f aca="false">CHOOSE(J34, 0, IF(L34&lt;P34/2,Deadtime*Fsw*IF(VfdSky_Q3&gt;0,0,Vsd_Q3)*(L34+P34/2), 2*Deadtime*Fsw*IF(VfdSky_Q3&gt;0,0,Vsd_Q3)*L34), IF(L34&lt;P34/2,Deadtime*Fsw/2*IF(VfdSky_Q3&gt;0,0,Vsd_Q3)*(L34+P34/2), 2*Deadtime*Fsw/2*IF(VfdSky_Q3&gt;0,0,Vsd_Q3)*L34))</f>
        <v>0.0834782608695652</v>
      </c>
      <c r="AR34" s="488" t="n">
        <f aca="false">(AQ34+AP34*(1+RdsonBotTc*Ta-RdsonBotTc*25))/(1-AP34*RdsonBotTc*ThetaJA_Q3)</f>
        <v>0.160901978496824</v>
      </c>
      <c r="AS34" s="488" t="n">
        <f aca="false">CHOOSE(J34, Rdson3*Q34^2, Rdson1*Q34^2, 0)</f>
        <v>0</v>
      </c>
      <c r="AT34" s="488" t="n">
        <f aca="false">CHOOSE(J34, 2*Deadtime*Fsw*IF(VfdSky_Q2&gt;0,VfdSky_Q2,0)*K34, 2*Deadtime*Fsw*IF(VfdSky_Q3&gt;0,VfdSky_Q3,0)*L34, 2*Deadtime*Fsw/2*IF(VfdSky_Q2&gt;0,VfdSky_Q2,0)*K34+2*Deadtime*Fsw/2*IF(VfdSky_Q3&gt;0,VfdSky_Q3,0)*L34)</f>
        <v>0</v>
      </c>
      <c r="AU34" s="488" t="n">
        <f aca="false">CHOOSE(J34, IF(QrrSky_Q2&gt;0,QrrSky_Q2,Qrr_Q2)*Fsw*(H34-K34*Rdson1), IF(QrrSky_Q3&gt;0,QrrSky_Q3,Qrr_Q3)*Fsw*Vout,  IF(QrrSky_Q2&gt;0,QrrSky_Q2,Qrr_Q2)*Fsw/2*(H34-K34*Rdson1)+IF(QrrSky_Q3&gt;0,QrrSky_Q3,Qrr_Q3)*Fsw/2*Vout)</f>
        <v>0.16775181</v>
      </c>
      <c r="AV34" s="488" t="n">
        <f aca="false">CHOOSE(J34, Rs*AF34^2, Rs*AJ34^2, Rs*(AF34^2+AJ34^2))</f>
        <v>0.0447900599841931</v>
      </c>
      <c r="AW34" s="488" t="n">
        <f aca="false">Rshunt_std/1000*Iout^2</f>
        <v>0.14832</v>
      </c>
      <c r="AX34" s="488" t="n">
        <f aca="false">IF(Vout&gt;8, Iq*Vout, Iq*H34)</f>
        <v>0.036</v>
      </c>
      <c r="AY34" s="488" t="n">
        <f aca="false">CHOOSE(J34, (Qg_Q1+Qg_Q2)*Fsw, (Qg_Q3+Qg_Q4)*Fsw, (Qg_Q1+Qg_Q2+Qg_Q3+Qg_Q4)*Fsw/2)*IF(Vout&gt;8, Vout, H34)</f>
        <v>0.1188</v>
      </c>
      <c r="AZ34" s="488" t="n">
        <f aca="false">(Vin-Vdd)*Fsw*(Qg_Q1+Qg_Q2)+(RdsonDRT+RdsonDRT2)*Fsw*Qg_Q1*Vdd/(RdsonDRT+2*Rgate1+RdsonDRT2)+(RdsonDRB+RdsonDRB2)*Fsw*Qg_Q2*Vdd/(RdsonDRB+2*Rgate2+RdsonDRB2)</f>
        <v>0.0522</v>
      </c>
      <c r="BA34" s="488" t="n">
        <f aca="false">SUM(AX34:AY34)</f>
        <v>0.1548</v>
      </c>
      <c r="BB34" s="488" t="n">
        <f aca="false">SUM(T34,W34,Z34,AE34,AI34,AN34,AR34, AT34,AU34,BA34,AV34,AW34)</f>
        <v>1.28623735623355</v>
      </c>
      <c r="BC34" s="419" t="n">
        <f aca="false">Vout*K34</f>
        <v>72</v>
      </c>
      <c r="BD34" s="589" t="n">
        <f aca="false">BC34/(BC34+BB34)</f>
        <v>0.982449128204231</v>
      </c>
      <c r="BE34" s="590" t="n">
        <f aca="false">IF(H34&gt;Vout,ThetaJA_Q1*(AE34+AU34),ThetaJA_Q4*(AN34+AU34))</f>
        <v>10.4833356627084</v>
      </c>
      <c r="BF34" s="590" t="n">
        <f aca="false">IF(H34&gt;Vout, AI34*ThetaJA_Q2, ThetaJA_Q3*AR34)</f>
        <v>8.04509892484118</v>
      </c>
      <c r="BG34" s="536"/>
      <c r="BH34" s="385" t="n">
        <f aca="false">BD34*100</f>
        <v>98.2449128204231</v>
      </c>
      <c r="BI34" s="488" t="n">
        <f aca="false">T34</f>
        <v>0.18078226191896</v>
      </c>
      <c r="BJ34" s="488" t="n">
        <f aca="false">AE34+AI34+AN34+AR34+AU34</f>
        <v>0.740482084157916</v>
      </c>
      <c r="BK34" s="488" t="n">
        <f aca="false">AI34+AU34*0.33</f>
        <v>0.138606829404259</v>
      </c>
      <c r="BL34" s="488" t="n">
        <f aca="false">AV34</f>
        <v>0.0447900599841931</v>
      </c>
      <c r="BQ34" s="0" t="n">
        <v>9.998605</v>
      </c>
      <c r="BR34" s="0" t="n">
        <v>0.8324</v>
      </c>
      <c r="BS34" s="0" t="n">
        <v>5.123156</v>
      </c>
      <c r="BT34" s="0" t="n">
        <v>91.6789463611051</v>
      </c>
      <c r="BU34" s="0" t="n">
        <v>387.059960352</v>
      </c>
    </row>
    <row r="35" customFormat="false" ht="12.75" hidden="false" customHeight="false" outlineLevel="0" collapsed="false">
      <c r="A35" s="599" t="s">
        <v>635</v>
      </c>
      <c r="B35" s="596" t="n">
        <f aca="false">Iq*1000</f>
        <v>3</v>
      </c>
      <c r="C35" s="597" t="s">
        <v>454</v>
      </c>
      <c r="D35" s="598" t="s">
        <v>851</v>
      </c>
      <c r="G35" s="0" t="n">
        <v>26</v>
      </c>
      <c r="H35" s="586" t="n">
        <f aca="false">VIN_min+(VIN_max-VIN_min)*(G35/200)</f>
        <v>11.72</v>
      </c>
      <c r="I35" s="385" t="str">
        <f aca="false">IF(H35&gt;VIN_BB_to_buck, "BUCK", IF(H35&lt;VIN_boost_to_BB,"BOOST","BUCK-BST"))</f>
        <v>BUCK-BST</v>
      </c>
      <c r="J35" s="419" t="n">
        <f aca="false">IF(I35="BOOST",2, IF(I35="BUCK", 1,3))</f>
        <v>3</v>
      </c>
      <c r="K35" s="0" t="n">
        <f aca="false">Iout</f>
        <v>6</v>
      </c>
      <c r="L35" s="385" t="n">
        <f aca="false">Vout*K35/(H35*Efficiency)</f>
        <v>6.8259385665529</v>
      </c>
      <c r="M35" s="385" t="n">
        <f aca="false">Iout/(1-O35)</f>
        <v>6.43282168575666</v>
      </c>
      <c r="N35" s="488" t="n">
        <f aca="false">CHOOSE(J35,(Vout+(Rdson2+Rs+Rdcr)*K35)/(H35+(Rs+Rdson2-Rdson1)*K35),1,IF(H35&lt;Vout,D_max_buck_BB,Vout/H35*(1-D_min_boost_exitBB_to_buck)))</f>
        <v>0.955</v>
      </c>
      <c r="O35" s="488" t="n">
        <f aca="false">CHOOSE(J35,0,(Vout+(Rdson3+Rdcr)*L35-H35)/(Vout+(Rdson3-Rdson4-Rs)*L35),IF(H35&gt;Vout,D_min_boost_exitBB_to_buck, (Vout-H35*D_max_buck_BB)/Vout))</f>
        <v>0.0672833333333333</v>
      </c>
      <c r="P35" s="385" t="n">
        <f aca="false">MAX(0, CHOOSE(J35, (H35-(Rdson1+Rdcr)*K35-Vout)*N35/(Fsw*Lf), (H35-(Rdson4+Rdcr+Rs)*L35)*O35/(Fsw*Lf), IF(H35&lt;Vout, (H35-(Rdson4+Rdcr+Rs)*L35)*O35/(0.5*Fsw*Lf),(H35-(Rdson1+Rdcr)*K35-Vout)*N35/(0.5*Fsw*Lf))))</f>
        <v>1.10989406240166</v>
      </c>
      <c r="Q35" s="488" t="n">
        <f aca="false">CHOOSE(J35, SQRT(K35^2+(P35^2)/12), SQRT(L35^2+(P35^2)/12), SQRT(M35^2+(P35^2)/12))</f>
        <v>6.44079577717076</v>
      </c>
      <c r="R35" s="488" t="n">
        <f aca="false">(Q35^2*Rdcr*(1+Ltc*Ta-Ltc*25))/(1-Q35^2*Rdcr*Ltc*ThetaCa)</f>
        <v>0.140533301446401</v>
      </c>
      <c r="S35" s="488" t="n">
        <f aca="false">7.759*10^-3*Fsw^0.9458*(0.00787*P35)^2.304</f>
        <v>0.0212188312323945</v>
      </c>
      <c r="T35" s="488" t="n">
        <f aca="false">R35+S35</f>
        <v>0.161752132678796</v>
      </c>
      <c r="U35" s="385" t="n">
        <f aca="false">IF(H35&gt;Vout, P35/SQRT(12), SQRT(O35/(1-O35))*SQRT(K35^2+(P35^2)/12))</f>
        <v>1.61379532838962</v>
      </c>
      <c r="V35" s="488" t="n">
        <f aca="false">RCoutEsr*U35^2</f>
        <v>0.0130216768096608</v>
      </c>
      <c r="W35" s="488" t="n">
        <f aca="false">V35</f>
        <v>0.0130216768096608</v>
      </c>
      <c r="X35" s="488" t="n">
        <f aca="false">IF(H35&gt;Vout, SQRT(N35*(1-N35))*SQRT(K35^2+(P35^2)/12), P35/SQRT(12))</f>
        <v>0.320398817849784</v>
      </c>
      <c r="Y35" s="587" t="n">
        <f aca="false">RCinEsr*X35^2</f>
        <v>0.000205310804959079</v>
      </c>
      <c r="Z35" s="588" t="n">
        <f aca="false">Y35</f>
        <v>0.000205310804959079</v>
      </c>
      <c r="AA35" s="488" t="n">
        <f aca="false">CHOOSE(J35, SQRT(N35)*SQRT(K35^2+(P35^2)/12), SQRT(L35^2+(P35^2)/12), SQRT(N35)*SQRT(M35^2+(P35^2)/12))</f>
        <v>6.29420979808234</v>
      </c>
      <c r="AB35" s="488" t="n">
        <f aca="false">Rdson1*AA35^2</f>
        <v>0.225817338798972</v>
      </c>
      <c r="AC35" s="488" t="n">
        <f aca="false">CHOOSE(J35, (H35*K35/2)*(Fsw)*(Tr_buck+Tf_buck), 0, (H35*M35/2)*(Fsw/2)*(Tr_buck+Tf_buck))</f>
        <v>0.038388606368355</v>
      </c>
      <c r="AD35" s="0" t="n">
        <f aca="false">IF(H35&gt;Vout, IF(K35&gt;P35/2,0,ABS(K35-P35/2)*Vsd_Q1*Deadtime*Fsw),0)</f>
        <v>0</v>
      </c>
      <c r="AE35" s="488" t="n">
        <f aca="false">(AD35+AC35+AB35*(1+RdsonTopTc*Ta-RdsonTopTc*25))/(1-AB35*RdsonTopTc*ThetaJA_Q1)</f>
        <v>0.276702803303363</v>
      </c>
      <c r="AF35" s="488" t="n">
        <f aca="false">CHOOSE(J35, SQRT((1-N35))*SQRT(K35^2+(P35^2)/12), 0, SQRT((1-N35))*SQRT(M35^2+(P35^2)/12))</f>
        <v>1.36629911108254</v>
      </c>
      <c r="AG35" s="488" t="n">
        <f aca="false">Rdson2*AF35^2</f>
        <v>0.0106406075873861</v>
      </c>
      <c r="AH35" s="488" t="n">
        <f aca="false">CHOOSE(J35, IF(K35&lt;P35/2,Deadtime*Fsw*IF(VfdSky_Q2&gt;0,0,Vsd_Q2)*(K35+P35/2),2*Deadtime*Fsw*IF(VfdSky_Q2&gt;0,0,Vsd_Q2)*K35),0, IF(K35&lt;P35/2,Deadtime*Fsw/2*IF(VfdSky_Q2&gt;0,0,Vsd_Q2)*(K35+P35/2),2*Deadtime*Fsw/2*IF(VfdSky_Q2&gt;0,0,Vsd_Q2)*K35))</f>
        <v>0.072</v>
      </c>
      <c r="AI35" s="488" t="n">
        <f aca="false">(AH35+AG35*(1+RdsonBotTc*Ta-RdsonBotTc*25))/(1-AG35*RdsonBotTc*ThetaJA_Q2)</f>
        <v>0.0828168519119497</v>
      </c>
      <c r="AJ35" s="488" t="n">
        <f aca="false">CHOOSE(J35, 0, SQRT(O35)*SQRT(L35^2+(P35^2)/12), SQRT(O35)*SQRT(M35^2+(P35^2)/12))</f>
        <v>1.67068001839511</v>
      </c>
      <c r="AK35" s="488" t="n">
        <f aca="false">Rdson4*AJ35^2</f>
        <v>0.00530322627534292</v>
      </c>
      <c r="AL35" s="488" t="n">
        <f aca="false">CHOOSE(J35, 0, (Vout*L35/2)*(Fsw)*(Tr_boost+Tf_boost), (Vout*Iout/2)*(Fsw/2)*(Tr_boost+Tf_boost))</f>
        <v>0.0349071770123085</v>
      </c>
      <c r="AM35" s="0" t="n">
        <f aca="false">IF(H35&gt;Vout, 0, IF(L35&gt;P35/2,0,ABS(L35-P35/2)*Vsd_Q4*Deadtime*Fsw))</f>
        <v>0</v>
      </c>
      <c r="AN35" s="488" t="n">
        <f aca="false">(AM35+AL35+AK35*(1+RdsonTopTc*Ta-RdsonTopTc*25))/(1-AK35*RdsonTopTc*ThetaJA_Q4)</f>
        <v>0.0402530975445639</v>
      </c>
      <c r="AO35" s="488" t="n">
        <f aca="false">CHOOSE(J35, SQRT(Iout^2+(P35^2)/12), SQRT(1-O35)*SQRT(L35^2+(P35^2)/12), SQRT(1-O35)*SQRT(M35^2+(P35^2)/12))</f>
        <v>6.22034392291584</v>
      </c>
      <c r="AP35" s="488" t="n">
        <f aca="false">Rdson3*AO35^2</f>
        <v>0.0735160891867764</v>
      </c>
      <c r="AQ35" s="488" t="n">
        <f aca="false">CHOOSE(J35, 0, IF(L35&lt;P35/2,Deadtime*Fsw*IF(VfdSky_Q3&gt;0,0,Vsd_Q3)*(L35+P35/2), 2*Deadtime*Fsw*IF(VfdSky_Q3&gt;0,0,Vsd_Q3)*L35), IF(L35&lt;P35/2,Deadtime*Fsw/2*IF(VfdSky_Q3&gt;0,0,Vsd_Q3)*(L35+P35/2), 2*Deadtime*Fsw/2*IF(VfdSky_Q3&gt;0,0,Vsd_Q3)*L35))</f>
        <v>0.0819112627986348</v>
      </c>
      <c r="AR35" s="488" t="n">
        <f aca="false">(AQ35+AP35*(1+RdsonBotTc*Ta-RdsonBotTc*25))/(1-AP35*RdsonBotTc*ThetaJA_Q3)</f>
        <v>0.157746736617023</v>
      </c>
      <c r="AS35" s="488" t="n">
        <f aca="false">CHOOSE(J35, Rdson3*Q35^2, Rdson1*Q35^2, 0)</f>
        <v>0</v>
      </c>
      <c r="AT35" s="488" t="n">
        <f aca="false">CHOOSE(J35, 2*Deadtime*Fsw*IF(VfdSky_Q2&gt;0,VfdSky_Q2,0)*K35, 2*Deadtime*Fsw*IF(VfdSky_Q3&gt;0,VfdSky_Q3,0)*L35, 2*Deadtime*Fsw/2*IF(VfdSky_Q2&gt;0,VfdSky_Q2,0)*K35+2*Deadtime*Fsw/2*IF(VfdSky_Q3&gt;0,VfdSky_Q3,0)*L35)</f>
        <v>0</v>
      </c>
      <c r="AU35" s="488" t="n">
        <f aca="false">CHOOSE(J35, IF(QrrSky_Q2&gt;0,QrrSky_Q2,Qrr_Q2)*Fsw*(H35-K35*Rdson1), IF(QrrSky_Q3&gt;0,QrrSky_Q3,Qrr_Q3)*Fsw*Vout,  IF(QrrSky_Q2&gt;0,QrrSky_Q2,Qrr_Q2)*Fsw/2*(H35-K35*Rdson1)+IF(QrrSky_Q3&gt;0,QrrSky_Q3,Qrr_Q3)*Fsw/2*Vout)</f>
        <v>0.16983081</v>
      </c>
      <c r="AV35" s="488" t="n">
        <f aca="false">CHOOSE(J35, Rs*AF35^2, Rs*AJ35^2, Rs*(AF35^2+AJ35^2))</f>
        <v>0.037263559878477</v>
      </c>
      <c r="AW35" s="488" t="n">
        <f aca="false">Rshunt_std/1000*Iout^2</f>
        <v>0.14832</v>
      </c>
      <c r="AX35" s="488" t="n">
        <f aca="false">IF(Vout&gt;8, Iq*Vout, Iq*H35)</f>
        <v>0.036</v>
      </c>
      <c r="AY35" s="488" t="n">
        <f aca="false">CHOOSE(J35, (Qg_Q1+Qg_Q2)*Fsw, (Qg_Q3+Qg_Q4)*Fsw, (Qg_Q1+Qg_Q2+Qg_Q3+Qg_Q4)*Fsw/2)*IF(Vout&gt;8, Vout, H35)</f>
        <v>0.1188</v>
      </c>
      <c r="AZ35" s="488" t="n">
        <f aca="false">(Vin-Vdd)*Fsw*(Qg_Q1+Qg_Q2)+(RdsonDRT+RdsonDRT2)*Fsw*Qg_Q1*Vdd/(RdsonDRT+2*Rgate1+RdsonDRT2)+(RdsonDRB+RdsonDRB2)*Fsw*Qg_Q2*Vdd/(RdsonDRB+2*Rgate2+RdsonDRB2)</f>
        <v>0.0522</v>
      </c>
      <c r="BA35" s="488" t="n">
        <f aca="false">SUM(AX35:AY35)</f>
        <v>0.1548</v>
      </c>
      <c r="BB35" s="488" t="n">
        <f aca="false">SUM(T35,W35,Z35,AE35,AI35,AN35,AR35, AT35,AU35,BA35,AV35,AW35)</f>
        <v>1.24271297954879</v>
      </c>
      <c r="BC35" s="419" t="n">
        <f aca="false">Vout*K35</f>
        <v>72</v>
      </c>
      <c r="BD35" s="589" t="n">
        <f aca="false">BC35/(BC35+BB35)</f>
        <v>0.983032947183486</v>
      </c>
      <c r="BE35" s="590" t="n">
        <f aca="false">IF(H35&gt;Vout,ThetaJA_Q1*(AE35+AU35),ThetaJA_Q4*(AN35+AU35))</f>
        <v>10.5041953772282</v>
      </c>
      <c r="BF35" s="590" t="n">
        <f aca="false">IF(H35&gt;Vout, AI35*ThetaJA_Q2, ThetaJA_Q3*AR35)</f>
        <v>7.88733683085116</v>
      </c>
      <c r="BG35" s="536"/>
      <c r="BH35" s="385" t="n">
        <f aca="false">BD35*100</f>
        <v>98.3032947183486</v>
      </c>
      <c r="BI35" s="488" t="n">
        <f aca="false">T35</f>
        <v>0.161752132678796</v>
      </c>
      <c r="BJ35" s="488" t="n">
        <f aca="false">AE35+AI35+AN35+AR35+AU35</f>
        <v>0.7273502993769</v>
      </c>
      <c r="BK35" s="488" t="n">
        <f aca="false">AI35+AU35*0.33</f>
        <v>0.13886101921195</v>
      </c>
      <c r="BL35" s="488" t="n">
        <f aca="false">AV35</f>
        <v>0.037263559878477</v>
      </c>
      <c r="BQ35" s="0" t="n">
        <v>9.998605</v>
      </c>
      <c r="BR35" s="0" t="n">
        <v>1.0529</v>
      </c>
      <c r="BS35" s="0" t="n">
        <v>5.121822</v>
      </c>
      <c r="BT35" s="0" t="n">
        <v>92.8899389662922</v>
      </c>
      <c r="BU35" s="0" t="n">
        <v>412.777629817</v>
      </c>
    </row>
    <row r="36" customFormat="false" ht="12.75" hidden="false" customHeight="false" outlineLevel="0" collapsed="false">
      <c r="A36" s="604" t="s">
        <v>852</v>
      </c>
      <c r="B36" s="583" t="s">
        <v>812</v>
      </c>
      <c r="C36" s="604" t="s">
        <v>697</v>
      </c>
      <c r="D36" s="585" t="s">
        <v>134</v>
      </c>
      <c r="G36" s="0" t="n">
        <v>27</v>
      </c>
      <c r="H36" s="586" t="n">
        <f aca="false">VIN_min+(VIN_max-VIN_min)*(G36/200)</f>
        <v>11.94</v>
      </c>
      <c r="I36" s="385" t="str">
        <f aca="false">IF(H36&gt;VIN_BB_to_buck, "BUCK", IF(H36&lt;VIN_boost_to_BB,"BOOST","BUCK-BST"))</f>
        <v>BUCK-BST</v>
      </c>
      <c r="J36" s="419" t="n">
        <f aca="false">IF(I36="BOOST",2, IF(I36="BUCK", 1,3))</f>
        <v>3</v>
      </c>
      <c r="K36" s="0" t="n">
        <f aca="false">Iout</f>
        <v>6</v>
      </c>
      <c r="L36" s="385" t="n">
        <f aca="false">Vout*K36/(H36*Efficiency)</f>
        <v>6.7001675041876</v>
      </c>
      <c r="M36" s="385" t="n">
        <f aca="false">Iout/(1-O36)</f>
        <v>6.31429398300403</v>
      </c>
      <c r="N36" s="488" t="n">
        <f aca="false">CHOOSE(J36,(Vout+(Rdson2+Rs+Rdcr)*K36)/(H36+(Rs+Rdson2-Rdson1)*K36),1,IF(H36&lt;Vout,D_max_buck_BB,Vout/H36*(1-D_min_boost_exitBB_to_buck)))</f>
        <v>0.955</v>
      </c>
      <c r="O36" s="488" t="n">
        <f aca="false">CHOOSE(J36,0,(Vout+(Rdson3+Rdcr)*L36-H36)/(Vout+(Rdson3-Rdson4-Rs)*L36),IF(H36&gt;Vout,D_min_boost_exitBB_to_buck, (Vout-H36*D_max_buck_BB)/Vout))</f>
        <v>0.0497749999999999</v>
      </c>
      <c r="P36" s="385" t="n">
        <f aca="false">MAX(0, CHOOSE(J36, (H36-(Rdson1+Rdcr)*K36-Vout)*N36/(Fsw*Lf), (H36-(Rdson4+Rdcr+Rs)*L36)*O36/(Fsw*Lf), IF(H36&lt;Vout, (H36-(Rdson4+Rdcr+Rs)*L36)*O36/(0.5*Fsw*Lf),(H36-(Rdson1+Rdcr)*K36-Vout)*N36/(0.5*Fsw*Lf))))</f>
        <v>0.836729948798364</v>
      </c>
      <c r="Q36" s="488" t="n">
        <f aca="false">CHOOSE(J36, SQRT(K36^2+(P36^2)/12), SQRT(L36^2+(P36^2)/12), SQRT(M36^2+(P36^2)/12))</f>
        <v>6.31891221554276</v>
      </c>
      <c r="R36" s="488" t="n">
        <f aca="false">(Q36^2*Rdcr*(1+Ltc*Ta-Ltc*25))/(1-Q36^2*Rdcr*Ltc*ThetaCa)</f>
        <v>0.135207825347174</v>
      </c>
      <c r="S36" s="488" t="n">
        <f aca="false">7.759*10^-3*Fsw^0.9458*(0.00787*P36)^2.304</f>
        <v>0.0110669865206292</v>
      </c>
      <c r="T36" s="488" t="n">
        <f aca="false">R36+S36</f>
        <v>0.146274811867803</v>
      </c>
      <c r="U36" s="385" t="n">
        <f aca="false">IF(H36&gt;Vout, P36/SQRT(12), SQRT(O36/(1-O36))*SQRT(K36^2+(P36^2)/12))</f>
        <v>1.3743434959024</v>
      </c>
      <c r="V36" s="488" t="n">
        <f aca="false">RCoutEsr*U36^2</f>
        <v>0.00944410022364622</v>
      </c>
      <c r="W36" s="488" t="n">
        <f aca="false">V36</f>
        <v>0.00944410022364622</v>
      </c>
      <c r="X36" s="488" t="n">
        <f aca="false">IF(H36&gt;Vout, SQRT(N36*(1-N36))*SQRT(K36^2+(P36^2)/12), P36/SQRT(12))</f>
        <v>0.241543130588879</v>
      </c>
      <c r="Y36" s="587" t="n">
        <f aca="false">RCinEsr*X36^2</f>
        <v>0.000116686167869352</v>
      </c>
      <c r="Z36" s="588" t="n">
        <f aca="false">Y36</f>
        <v>0.000116686167869352</v>
      </c>
      <c r="AA36" s="488" t="n">
        <f aca="false">CHOOSE(J36, SQRT(N36)*SQRT(K36^2+(P36^2)/12), SQRT(L36^2+(P36^2)/12), SQRT(N36)*SQRT(M36^2+(P36^2)/12))</f>
        <v>6.17510018269238</v>
      </c>
      <c r="AB36" s="488" t="n">
        <f aca="false">Rdson1*AA36^2</f>
        <v>0.217351614917838</v>
      </c>
      <c r="AC36" s="488" t="n">
        <f aca="false">CHOOSE(J36, (H36*K36/2)*(Fsw)*(Tr_buck+Tf_buck), 0, (H36*M36/2)*(Fsw/2)*(Tr_buck+Tf_buck))</f>
        <v>0.038388606368355</v>
      </c>
      <c r="AD36" s="0" t="n">
        <f aca="false">IF(H36&gt;Vout, IF(K36&gt;P36/2,0,ABS(K36-P36/2)*Vsd_Q1*Deadtime*Fsw),0)</f>
        <v>0</v>
      </c>
      <c r="AE36" s="488" t="n">
        <f aca="false">(AD36+AC36+AB36*(1+RdsonTopTc*Ta-RdsonTopTc*25))/(1-AB36*RdsonTopTc*ThetaJA_Q1)</f>
        <v>0.26736255803781</v>
      </c>
      <c r="AF36" s="488" t="n">
        <f aca="false">CHOOSE(J36, SQRT((1-N36))*SQRT(K36^2+(P36^2)/12), 0, SQRT((1-N36))*SQRT(M36^2+(P36^2)/12))</f>
        <v>1.34044370319984</v>
      </c>
      <c r="AG36" s="488" t="n">
        <f aca="false">Rdson2*AF36^2</f>
        <v>0.0102416991322542</v>
      </c>
      <c r="AH36" s="488" t="n">
        <f aca="false">CHOOSE(J36, IF(K36&lt;P36/2,Deadtime*Fsw*IF(VfdSky_Q2&gt;0,0,Vsd_Q2)*(K36+P36/2),2*Deadtime*Fsw*IF(VfdSky_Q2&gt;0,0,Vsd_Q2)*K36),0, IF(K36&lt;P36/2,Deadtime*Fsw/2*IF(VfdSky_Q2&gt;0,0,Vsd_Q2)*(K36+P36/2),2*Deadtime*Fsw/2*IF(VfdSky_Q2&gt;0,0,Vsd_Q2)*K36))</f>
        <v>0.072</v>
      </c>
      <c r="AI36" s="488" t="n">
        <f aca="false">(AH36+AG36*(1+RdsonBotTc*Ta-RdsonBotTc*25))/(1-AG36*RdsonBotTc*ThetaJA_Q2)</f>
        <v>0.0824105038494068</v>
      </c>
      <c r="AJ36" s="488" t="n">
        <f aca="false">CHOOSE(J36, 0, SQRT(O36)*SQRT(L36^2+(P36^2)/12), SQRT(O36)*SQRT(M36^2+(P36^2)/12))</f>
        <v>1.40976899979377</v>
      </c>
      <c r="AK36" s="488" t="n">
        <f aca="false">Rdson4*AJ36^2</f>
        <v>0.00377615240228111</v>
      </c>
      <c r="AL36" s="488" t="n">
        <f aca="false">CHOOSE(J36, 0, (Vout*L36/2)*(Fsw)*(Tr_boost+Tf_boost), (Vout*Iout/2)*(Fsw/2)*(Tr_boost+Tf_boost))</f>
        <v>0.0349071770123085</v>
      </c>
      <c r="AM36" s="0" t="n">
        <f aca="false">IF(H36&gt;Vout, 0, IF(L36&gt;P36/2,0,ABS(L36-P36/2)*Vsd_Q4*Deadtime*Fsw))</f>
        <v>0</v>
      </c>
      <c r="AN36" s="488" t="n">
        <f aca="false">(AM36+AL36+AK36*(1+RdsonTopTc*Ta-RdsonTopTc*25))/(1-AK36*RdsonTopTc*ThetaJA_Q4)</f>
        <v>0.0387125663246547</v>
      </c>
      <c r="AO36" s="488" t="n">
        <f aca="false">CHOOSE(J36, SQRT(Iout^2+(P36^2)/12), SQRT(1-O36)*SQRT(L36^2+(P36^2)/12), SQRT(1-O36)*SQRT(M36^2+(P36^2)/12))</f>
        <v>6.15964308665332</v>
      </c>
      <c r="AP36" s="488" t="n">
        <f aca="false">Rdson3*AO36^2</f>
        <v>0.0720882856144164</v>
      </c>
      <c r="AQ36" s="488" t="n">
        <f aca="false">CHOOSE(J36, 0, IF(L36&lt;P36/2,Deadtime*Fsw*IF(VfdSky_Q3&gt;0,0,Vsd_Q3)*(L36+P36/2), 2*Deadtime*Fsw*IF(VfdSky_Q3&gt;0,0,Vsd_Q3)*L36), IF(L36&lt;P36/2,Deadtime*Fsw/2*IF(VfdSky_Q3&gt;0,0,Vsd_Q3)*(L36+P36/2), 2*Deadtime*Fsw/2*IF(VfdSky_Q3&gt;0,0,Vsd_Q3)*L36))</f>
        <v>0.0804020100502512</v>
      </c>
      <c r="AR36" s="488" t="n">
        <f aca="false">(AQ36+AP36*(1+RdsonBotTc*Ta-RdsonBotTc*25))/(1-AP36*RdsonBotTc*ThetaJA_Q3)</f>
        <v>0.154721010138551</v>
      </c>
      <c r="AS36" s="488" t="n">
        <f aca="false">CHOOSE(J36, Rdson3*Q36^2, Rdson1*Q36^2, 0)</f>
        <v>0</v>
      </c>
      <c r="AT36" s="488" t="n">
        <f aca="false">CHOOSE(J36, 2*Deadtime*Fsw*IF(VfdSky_Q2&gt;0,VfdSky_Q2,0)*K36, 2*Deadtime*Fsw*IF(VfdSky_Q3&gt;0,VfdSky_Q3,0)*L36, 2*Deadtime*Fsw/2*IF(VfdSky_Q2&gt;0,VfdSky_Q2,0)*K36+2*Deadtime*Fsw/2*IF(VfdSky_Q3&gt;0,VfdSky_Q3,0)*L36)</f>
        <v>0</v>
      </c>
      <c r="AU36" s="488" t="n">
        <f aca="false">CHOOSE(J36, IF(QrrSky_Q2&gt;0,QrrSky_Q2,Qrr_Q2)*Fsw*(H36-K36*Rdson1), IF(QrrSky_Q3&gt;0,QrrSky_Q3,Qrr_Q3)*Fsw*Vout,  IF(QrrSky_Q2&gt;0,QrrSky_Q2,Qrr_Q2)*Fsw/2*(H36-K36*Rdson1)+IF(QrrSky_Q3&gt;0,QrrSky_Q3,Qrr_Q3)*Fsw/2*Vout)</f>
        <v>0.17190981</v>
      </c>
      <c r="AV36" s="488" t="n">
        <f aca="false">CHOOSE(J36, Rs*AF36^2, Rs*AJ36^2, Rs*(AF36^2+AJ36^2))</f>
        <v>0.030273903633821</v>
      </c>
      <c r="AW36" s="488" t="n">
        <f aca="false">Rshunt_std/1000*Iout^2</f>
        <v>0.14832</v>
      </c>
      <c r="AX36" s="488" t="n">
        <f aca="false">IF(Vout&gt;8, Iq*Vout, Iq*H36)</f>
        <v>0.036</v>
      </c>
      <c r="AY36" s="488" t="n">
        <f aca="false">CHOOSE(J36, (Qg_Q1+Qg_Q2)*Fsw, (Qg_Q3+Qg_Q4)*Fsw, (Qg_Q1+Qg_Q2+Qg_Q3+Qg_Q4)*Fsw/2)*IF(Vout&gt;8, Vout, H36)</f>
        <v>0.1188</v>
      </c>
      <c r="AZ36" s="488" t="n">
        <f aca="false">(Vin-Vdd)*Fsw*(Qg_Q1+Qg_Q2)+(RdsonDRT+RdsonDRT2)*Fsw*Qg_Q1*Vdd/(RdsonDRT+2*Rgate1+RdsonDRT2)+(RdsonDRB+RdsonDRB2)*Fsw*Qg_Q2*Vdd/(RdsonDRB+2*Rgate2+RdsonDRB2)</f>
        <v>0.0522</v>
      </c>
      <c r="BA36" s="488" t="n">
        <f aca="false">SUM(AX36:AY36)</f>
        <v>0.1548</v>
      </c>
      <c r="BB36" s="488" t="n">
        <f aca="false">SUM(T36,W36,Z36,AE36,AI36,AN36,AR36, AT36,AU36,BA36,AV36,AW36)</f>
        <v>1.20434595024356</v>
      </c>
      <c r="BC36" s="419" t="n">
        <f aca="false">Vout*K36</f>
        <v>72</v>
      </c>
      <c r="BD36" s="589" t="n">
        <f aca="false">BC36/(BC36+BB36)</f>
        <v>0.98354816323252</v>
      </c>
      <c r="BE36" s="590" t="n">
        <f aca="false">IF(H36&gt;Vout,ThetaJA_Q1*(AE36+AU36),ThetaJA_Q4*(AN36+AU36))</f>
        <v>10.5311188162327</v>
      </c>
      <c r="BF36" s="590" t="n">
        <f aca="false">IF(H36&gt;Vout, AI36*ThetaJA_Q2, ThetaJA_Q3*AR36)</f>
        <v>7.73605050692757</v>
      </c>
      <c r="BG36" s="536"/>
      <c r="BH36" s="385" t="n">
        <f aca="false">BD36*100</f>
        <v>98.354816323252</v>
      </c>
      <c r="BI36" s="488" t="n">
        <f aca="false">T36</f>
        <v>0.146274811867803</v>
      </c>
      <c r="BJ36" s="488" t="n">
        <f aca="false">AE36+AI36+AN36+AR36+AU36</f>
        <v>0.715116448350422</v>
      </c>
      <c r="BK36" s="488" t="n">
        <f aca="false">AI36+AU36*0.33</f>
        <v>0.139140741149407</v>
      </c>
      <c r="BL36" s="488" t="n">
        <f aca="false">AV36</f>
        <v>0.030273903633821</v>
      </c>
      <c r="BQ36" s="0" t="n">
        <v>9.998667</v>
      </c>
      <c r="BR36" s="0" t="n">
        <v>1.3093</v>
      </c>
      <c r="BS36" s="0" t="n">
        <v>5.119565</v>
      </c>
      <c r="BT36" s="0" t="n">
        <v>93.6903642149233</v>
      </c>
      <c r="BU36" s="0" t="n">
        <v>451.4207278807</v>
      </c>
    </row>
    <row r="37" customFormat="false" ht="12.75" hidden="false" customHeight="false" outlineLevel="0" collapsed="false">
      <c r="A37" s="600" t="s">
        <v>853</v>
      </c>
      <c r="B37" s="596" t="n">
        <f aca="false">Rdson1*1000</f>
        <v>5.7</v>
      </c>
      <c r="C37" s="609" t="s">
        <v>828</v>
      </c>
      <c r="D37" s="603" t="s">
        <v>854</v>
      </c>
      <c r="G37" s="0" t="n">
        <v>28</v>
      </c>
      <c r="H37" s="586" t="n">
        <f aca="false">VIN_min+(VIN_max-VIN_min)*(G37/200)</f>
        <v>12.16</v>
      </c>
      <c r="I37" s="385" t="str">
        <f aca="false">IF(H37&gt;VIN_BB_to_buck, "BUCK", IF(H37&lt;VIN_boost_to_BB,"BOOST","BUCK-BST"))</f>
        <v>BUCK-BST</v>
      </c>
      <c r="J37" s="419" t="n">
        <f aca="false">IF(I37="BOOST",2, IF(I37="BUCK", 1,3))</f>
        <v>3</v>
      </c>
      <c r="K37" s="0" t="n">
        <f aca="false">Iout</f>
        <v>6</v>
      </c>
      <c r="L37" s="385" t="n">
        <f aca="false">Vout*K37/(H37*Efficiency)</f>
        <v>6.57894736842105</v>
      </c>
      <c r="M37" s="385" t="n">
        <f aca="false">Iout/(1-O37)</f>
        <v>6.28272251308901</v>
      </c>
      <c r="N37" s="488" t="n">
        <f aca="false">CHOOSE(J37,(Vout+(Rdson2+Rs+Rdcr)*K37)/(H37+(Rs+Rdson2-Rdson1)*K37),1,IF(H37&lt;Vout,D_max_buck_BB,Vout/H37*(1-D_min_boost_exitBB_to_buck)))</f>
        <v>0.942434210526316</v>
      </c>
      <c r="O37" s="488" t="n">
        <f aca="false">CHOOSE(J37,0,(Vout+(Rdson3+Rdcr)*L37-H37)/(Vout+(Rdson3-Rdson4-Rs)*L37),IF(H37&gt;Vout,D_min_boost_exitBB_to_buck, (Vout-H37*D_max_buck_BB)/Vout))</f>
        <v>0.045</v>
      </c>
      <c r="P37" s="385" t="n">
        <f aca="false">MAX(0, CHOOSE(J37, (H37-(Rdson1+Rdcr)*K37-Vout)*N37/(Fsw*Lf), (H37-(Rdson4+Rdcr+Rs)*L37)*O37/(Fsw*Lf), IF(H37&lt;Vout, (H37-(Rdson4+Rdcr+Rs)*L37)*O37/(0.5*Fsw*Lf),(H37-(Rdson1+Rdcr)*K37-Vout)*N37/(0.5*Fsw*Lf))))</f>
        <v>0.141298292273237</v>
      </c>
      <c r="Q37" s="488" t="n">
        <f aca="false">CHOOSE(J37, SQRT(K37^2+(P37^2)/12), SQRT(L37^2+(P37^2)/12), SQRT(M37^2+(P37^2)/12))</f>
        <v>6.28285491984008</v>
      </c>
      <c r="R37" s="488" t="n">
        <f aca="false">(Q37^2*Rdcr*(1+Ltc*Ta-Ltc*25))/(1-Q37^2*Rdcr*Ltc*ThetaCa)</f>
        <v>0.133652716805383</v>
      </c>
      <c r="S37" s="488" t="n">
        <f aca="false">7.759*10^-3*Fsw^0.9458*(0.00787*P37)^2.304</f>
        <v>0.000183784239493776</v>
      </c>
      <c r="T37" s="488" t="n">
        <f aca="false">R37+S37</f>
        <v>0.133836501044877</v>
      </c>
      <c r="U37" s="385" t="n">
        <f aca="false">IF(H37&gt;Vout, P37/SQRT(12), SQRT(O37/(1-O37))*SQRT(K37^2+(P37^2)/12))</f>
        <v>0.0407893035399939</v>
      </c>
      <c r="V37" s="488" t="n">
        <f aca="false">RCoutEsr*U37^2</f>
        <v>8.3188364163888E-006</v>
      </c>
      <c r="W37" s="488" t="n">
        <f aca="false">V37</f>
        <v>8.3188364163888E-006</v>
      </c>
      <c r="X37" s="488" t="n">
        <f aca="false">IF(H37&gt;Vout, SQRT(N37*(1-N37))*SQRT(K37^2+(P37^2)/12), P37/SQRT(12))</f>
        <v>1.39755542268136</v>
      </c>
      <c r="Y37" s="587" t="n">
        <f aca="false">RCinEsr*X37^2</f>
        <v>0.00390632231893215</v>
      </c>
      <c r="Z37" s="588" t="n">
        <f aca="false">Y37</f>
        <v>0.00390632231893215</v>
      </c>
      <c r="AA37" s="488" t="n">
        <f aca="false">CHOOSE(J37, SQRT(N37)*SQRT(K37^2+(P37^2)/12), SQRT(L37^2+(P37^2)/12), SQRT(N37)*SQRT(M37^2+(P37^2)/12))</f>
        <v>6.09933591965651</v>
      </c>
      <c r="AB37" s="488" t="n">
        <f aca="false">Rdson1*AA37^2</f>
        <v>0.212050822366629</v>
      </c>
      <c r="AC37" s="488" t="n">
        <f aca="false">CHOOSE(J37, (H37*K37/2)*(Fsw)*(Tr_buck+Tf_buck), 0, (H37*M37/2)*(Fsw/2)*(Tr_buck+Tf_buck))</f>
        <v>0.0389004544532664</v>
      </c>
      <c r="AD37" s="0" t="n">
        <f aca="false">IF(H37&gt;Vout, IF(K37&gt;P37/2,0,ABS(K37-P37/2)*Vsd_Q1*Deadtime*Fsw),0)</f>
        <v>0</v>
      </c>
      <c r="AE37" s="488" t="n">
        <f aca="false">(AD37+AC37+AB37*(1+RdsonTopTc*Ta-RdsonTopTc*25))/(1-AB37*RdsonTopTc*ThetaJA_Q1)</f>
        <v>0.262065518565025</v>
      </c>
      <c r="AF37" s="488" t="n">
        <f aca="false">CHOOSE(J37, SQRT((1-N37))*SQRT(K37^2+(P37^2)/12), 0, SQRT((1-N37))*SQRT(M37^2+(P37^2)/12))</f>
        <v>1.50743732305746</v>
      </c>
      <c r="AG37" s="488" t="n">
        <f aca="false">Rdson2*AF37^2</f>
        <v>0.0129524935127958</v>
      </c>
      <c r="AH37" s="488" t="n">
        <f aca="false">CHOOSE(J37, IF(K37&lt;P37/2,Deadtime*Fsw*IF(VfdSky_Q2&gt;0,0,Vsd_Q2)*(K37+P37/2),2*Deadtime*Fsw*IF(VfdSky_Q2&gt;0,0,Vsd_Q2)*K37),0, IF(K37&lt;P37/2,Deadtime*Fsw/2*IF(VfdSky_Q2&gt;0,0,Vsd_Q2)*(K37+P37/2),2*Deadtime*Fsw/2*IF(VfdSky_Q2&gt;0,0,Vsd_Q2)*K37))</f>
        <v>0.072</v>
      </c>
      <c r="AI37" s="488" t="n">
        <f aca="false">(AH37+AG37*(1+RdsonBotTc*Ta-RdsonBotTc*25))/(1-AG37*RdsonBotTc*ThetaJA_Q2)</f>
        <v>0.08517313440697</v>
      </c>
      <c r="AJ37" s="488" t="n">
        <f aca="false">CHOOSE(J37, 0, SQRT(O37)*SQRT(L37^2+(P37^2)/12), SQRT(O37)*SQRT(M37^2+(P37^2)/12))</f>
        <v>1.33279479570906</v>
      </c>
      <c r="AK37" s="488" t="n">
        <f aca="false">Rdson4*AJ37^2</f>
        <v>0.00337504973819137</v>
      </c>
      <c r="AL37" s="488" t="n">
        <f aca="false">CHOOSE(J37, 0, (Vout*L37/2)*(Fsw)*(Tr_boost+Tf_boost), (Vout*Iout/2)*(Fsw/2)*(Tr_boost+Tf_boost))</f>
        <v>0.0349071770123085</v>
      </c>
      <c r="AM37" s="0" t="n">
        <f aca="false">IF(H37&gt;Vout, 0, IF(L37&gt;P37/2,0,ABS(L37-P37/2)*Vsd_Q4*Deadtime*Fsw))</f>
        <v>0</v>
      </c>
      <c r="AN37" s="488" t="n">
        <f aca="false">(AM37+AL37+AK37*(1+RdsonTopTc*Ta-RdsonTopTc*25))/(1-AK37*RdsonTopTc*ThetaJA_Q4)</f>
        <v>0.0383080850890099</v>
      </c>
      <c r="AO37" s="488" t="n">
        <f aca="false">CHOOSE(J37, SQRT(Iout^2+(P37^2)/12), SQRT(1-O37)*SQRT(L37^2+(P37^2)/12), SQRT(1-O37)*SQRT(M37^2+(P37^2)/12))</f>
        <v>6.13986351446753</v>
      </c>
      <c r="AP37" s="488" t="n">
        <f aca="false">Rdson3*AO37^2</f>
        <v>0.0716260555549502</v>
      </c>
      <c r="AQ37" s="488" t="n">
        <f aca="false">CHOOSE(J37, 0, IF(L37&lt;P37/2,Deadtime*Fsw*IF(VfdSky_Q3&gt;0,0,Vsd_Q3)*(L37+P37/2), 2*Deadtime*Fsw*IF(VfdSky_Q3&gt;0,0,Vsd_Q3)*L37), IF(L37&lt;P37/2,Deadtime*Fsw/2*IF(VfdSky_Q3&gt;0,0,Vsd_Q3)*(L37+P37/2), 2*Deadtime*Fsw/2*IF(VfdSky_Q3&gt;0,0,Vsd_Q3)*L37))</f>
        <v>0.0789473684210526</v>
      </c>
      <c r="AR37" s="488" t="n">
        <f aca="false">(AQ37+AP37*(1+RdsonBotTc*Ta-RdsonBotTc*25))/(1-AP37*RdsonBotTc*ThetaJA_Q3)</f>
        <v>0.152761768560318</v>
      </c>
      <c r="AS37" s="488" t="n">
        <f aca="false">CHOOSE(J37, Rdson3*Q37^2, Rdson1*Q37^2, 0)</f>
        <v>0</v>
      </c>
      <c r="AT37" s="488" t="n">
        <f aca="false">CHOOSE(J37, 2*Deadtime*Fsw*IF(VfdSky_Q2&gt;0,VfdSky_Q2,0)*K37, 2*Deadtime*Fsw*IF(VfdSky_Q3&gt;0,VfdSky_Q3,0)*L37, 2*Deadtime*Fsw/2*IF(VfdSky_Q2&gt;0,VfdSky_Q2,0)*K37+2*Deadtime*Fsw/2*IF(VfdSky_Q3&gt;0,VfdSky_Q3,0)*L37)</f>
        <v>0</v>
      </c>
      <c r="AU37" s="488" t="n">
        <f aca="false">CHOOSE(J37, IF(QrrSky_Q2&gt;0,QrrSky_Q2,Qrr_Q2)*Fsw*(H37-K37*Rdson1), IF(QrrSky_Q3&gt;0,QrrSky_Q3,Qrr_Q3)*Fsw*Vout,  IF(QrrSky_Q2&gt;0,QrrSky_Q2,Qrr_Q2)*Fsw/2*(H37-K37*Rdson1)+IF(QrrSky_Q3&gt;0,QrrSky_Q3,Qrr_Q3)*Fsw/2*Vout)</f>
        <v>0.17398881</v>
      </c>
      <c r="AV37" s="488" t="n">
        <f aca="false">CHOOSE(J37, Rs*AF37^2, Rs*AJ37^2, Rs*(AF37^2+AJ37^2))</f>
        <v>0.0323896740033263</v>
      </c>
      <c r="AW37" s="488" t="n">
        <f aca="false">Rshunt_std/1000*Iout^2</f>
        <v>0.14832</v>
      </c>
      <c r="AX37" s="488" t="n">
        <f aca="false">IF(Vout&gt;8, Iq*Vout, Iq*H37)</f>
        <v>0.036</v>
      </c>
      <c r="AY37" s="488" t="n">
        <f aca="false">CHOOSE(J37, (Qg_Q1+Qg_Q2)*Fsw, (Qg_Q3+Qg_Q4)*Fsw, (Qg_Q1+Qg_Q2+Qg_Q3+Qg_Q4)*Fsw/2)*IF(Vout&gt;8, Vout, H37)</f>
        <v>0.1188</v>
      </c>
      <c r="AZ37" s="488" t="n">
        <f aca="false">(Vin-Vdd)*Fsw*(Qg_Q1+Qg_Q2)+(RdsonDRT+RdsonDRT2)*Fsw*Qg_Q1*Vdd/(RdsonDRT+2*Rgate1+RdsonDRT2)+(RdsonDRB+RdsonDRB2)*Fsw*Qg_Q2*Vdd/(RdsonDRB+2*Rgate2+RdsonDRB2)</f>
        <v>0.0522</v>
      </c>
      <c r="BA37" s="488" t="n">
        <f aca="false">SUM(AX37:AY37)</f>
        <v>0.1548</v>
      </c>
      <c r="BB37" s="488" t="n">
        <f aca="false">SUM(T37,W37,Z37,AE37,AI37,AN37,AR37, AT37,AU37,BA37,AV37,AW37)</f>
        <v>1.18555813282487</v>
      </c>
      <c r="BC37" s="419" t="n">
        <f aca="false">Vout*K37</f>
        <v>72</v>
      </c>
      <c r="BD37" s="589" t="n">
        <f aca="false">BC37/(BC37+BB37)</f>
        <v>0.983800654622689</v>
      </c>
      <c r="BE37" s="590" t="n">
        <f aca="false">IF(H37&gt;Vout,ThetaJA_Q1*(AE37+AU37),ThetaJA_Q4*(AN37+AU37))</f>
        <v>21.8027164282513</v>
      </c>
      <c r="BF37" s="590" t="n">
        <f aca="false">IF(H37&gt;Vout, AI37*ThetaJA_Q2, ThetaJA_Q3*AR37)</f>
        <v>4.2586567203485</v>
      </c>
      <c r="BG37" s="536"/>
      <c r="BH37" s="385" t="n">
        <f aca="false">BD37*100</f>
        <v>98.3800654622689</v>
      </c>
      <c r="BI37" s="488" t="n">
        <f aca="false">T37</f>
        <v>0.133836501044877</v>
      </c>
      <c r="BJ37" s="488" t="n">
        <f aca="false">AE37+AI37+AN37+AR37+AU37</f>
        <v>0.712297316621323</v>
      </c>
      <c r="BK37" s="488" t="n">
        <f aca="false">AI37+AU37*0.33</f>
        <v>0.14258944170697</v>
      </c>
      <c r="BL37" s="488" t="n">
        <f aca="false">AV37</f>
        <v>0.0323896740033263</v>
      </c>
      <c r="BQ37" s="0" t="n">
        <v>9.998543</v>
      </c>
      <c r="BR37" s="0" t="n">
        <v>1.602</v>
      </c>
      <c r="BS37" s="0" t="n">
        <v>5.118281</v>
      </c>
      <c r="BT37" s="0" t="n">
        <v>93.8644733277484</v>
      </c>
      <c r="BU37" s="0" t="n">
        <v>535.9658971675</v>
      </c>
    </row>
    <row r="38" customFormat="false" ht="12.75" hidden="false" customHeight="false" outlineLevel="0" collapsed="false">
      <c r="A38" s="599" t="s">
        <v>642</v>
      </c>
      <c r="B38" s="596" t="n">
        <f aca="false">RdsonTopTc*1000000</f>
        <v>4000</v>
      </c>
      <c r="C38" s="597" t="s">
        <v>831</v>
      </c>
      <c r="D38" s="598" t="s">
        <v>855</v>
      </c>
      <c r="G38" s="0" t="n">
        <v>29</v>
      </c>
      <c r="H38" s="586" t="n">
        <f aca="false">VIN_min+(VIN_max-VIN_min)*(G38/200)</f>
        <v>12.38</v>
      </c>
      <c r="I38" s="385" t="str">
        <f aca="false">IF(H38&gt;VIN_BB_to_buck, "BUCK", IF(H38&lt;VIN_boost_to_BB,"BOOST","BUCK-BST"))</f>
        <v>BUCK-BST</v>
      </c>
      <c r="J38" s="419" t="n">
        <f aca="false">IF(I38="BOOST",2, IF(I38="BUCK", 1,3))</f>
        <v>3</v>
      </c>
      <c r="K38" s="0" t="n">
        <f aca="false">Iout</f>
        <v>6</v>
      </c>
      <c r="L38" s="385" t="n">
        <f aca="false">Vout*K38/(H38*Efficiency)</f>
        <v>6.46203554119548</v>
      </c>
      <c r="M38" s="385" t="n">
        <f aca="false">Iout/(1-O38)</f>
        <v>6.28272251308901</v>
      </c>
      <c r="N38" s="488" t="n">
        <f aca="false">CHOOSE(J38,(Vout+(Rdson2+Rs+Rdcr)*K38)/(H38+(Rs+Rdson2-Rdson1)*K38),1,IF(H38&lt;Vout,D_max_buck_BB,Vout/H38*(1-D_min_boost_exitBB_to_buck)))</f>
        <v>0.925686591276252</v>
      </c>
      <c r="O38" s="488" t="n">
        <f aca="false">CHOOSE(J38,0,(Vout+(Rdson3+Rdcr)*L38-H38)/(Vout+(Rdson3-Rdson4-Rs)*L38),IF(H38&gt;Vout,D_min_boost_exitBB_to_buck, (Vout-H38*D_max_buck_BB)/Vout))</f>
        <v>0.045</v>
      </c>
      <c r="P38" s="385" t="n">
        <f aca="false">MAX(0, CHOOSE(J38, (H38-(Rdson1+Rdcr)*K38-Vout)*N38/(Fsw*Lf), (H38-(Rdson4+Rdcr+Rs)*L38)*O38/(Fsw*Lf), IF(H38&lt;Vout, (H38-(Rdson4+Rdcr+Rs)*L38)*O38/(0.5*Fsw*Lf),(H38-(Rdson1+Rdcr)*K38-Vout)*N38/(0.5*Fsw*Lf))))</f>
        <v>0.427654074863369</v>
      </c>
      <c r="Q38" s="488" t="n">
        <f aca="false">CHOOSE(J38, SQRT(K38^2+(P38^2)/12), SQRT(L38^2+(P38^2)/12), SQRT(M38^2+(P38^2)/12))</f>
        <v>6.28393529914079</v>
      </c>
      <c r="R38" s="488" t="n">
        <f aca="false">(Q38^2*Rdcr*(1+Ltc*Ta-Ltc*25))/(1-Q38^2*Rdcr*Ltc*ThetaCa)</f>
        <v>0.133699177411084</v>
      </c>
      <c r="S38" s="488" t="n">
        <f aca="false">7.759*10^-3*Fsw^0.9458*(0.00787*P38)^2.304</f>
        <v>0.0023573832955677</v>
      </c>
      <c r="T38" s="488" t="n">
        <f aca="false">R38+S38</f>
        <v>0.136056560706652</v>
      </c>
      <c r="U38" s="385" t="n">
        <f aca="false">IF(H38&gt;Vout, P38/SQRT(12), SQRT(O38/(1-O38))*SQRT(K38^2+(P38^2)/12))</f>
        <v>0.123453097621203</v>
      </c>
      <c r="V38" s="488" t="n">
        <f aca="false">RCoutEsr*U38^2</f>
        <v>7.62033365613515E-005</v>
      </c>
      <c r="W38" s="488" t="n">
        <f aca="false">V38</f>
        <v>7.62033365613515E-005</v>
      </c>
      <c r="X38" s="488" t="n">
        <f aca="false">IF(H38&gt;Vout, SQRT(N38*(1-N38))*SQRT(K38^2+(P38^2)/12), P38/SQRT(12))</f>
        <v>1.57401453484114</v>
      </c>
      <c r="Y38" s="587" t="n">
        <f aca="false">RCinEsr*X38^2</f>
        <v>0.00495504351178234</v>
      </c>
      <c r="Z38" s="588" t="n">
        <f aca="false">Y38</f>
        <v>0.00495504351178234</v>
      </c>
      <c r="AA38" s="488" t="n">
        <f aca="false">CHOOSE(J38, SQRT(N38)*SQRT(K38^2+(P38^2)/12), SQRT(L38^2+(P38^2)/12), SQRT(N38)*SQRT(M38^2+(P38^2)/12))</f>
        <v>6.04593802804149</v>
      </c>
      <c r="AB38" s="488" t="n">
        <f aca="false">Rdson1*AA38^2</f>
        <v>0.208354189841834</v>
      </c>
      <c r="AC38" s="488" t="n">
        <f aca="false">CHOOSE(J38, (H38*K38/2)*(Fsw)*(Tr_buck+Tf_buck), 0, (H38*M38/2)*(Fsw/2)*(Tr_buck+Tf_buck))</f>
        <v>0.0396042455700196</v>
      </c>
      <c r="AD38" s="0" t="n">
        <f aca="false">IF(H38&gt;Vout, IF(K38&gt;P38/2,0,ABS(K38-P38/2)*Vsd_Q1*Deadtime*Fsw),0)</f>
        <v>0</v>
      </c>
      <c r="AE38" s="488" t="n">
        <f aca="false">(AD38+AC38+AB38*(1+RdsonTopTc*Ta-RdsonTopTc*25))/(1-AB38*RdsonTopTc*ThetaJA_Q1)</f>
        <v>0.258740363161012</v>
      </c>
      <c r="AF38" s="488" t="n">
        <f aca="false">CHOOSE(J38, SQRT((1-N38))*SQRT(K38^2+(P38^2)/12), 0, SQRT((1-N38))*SQRT(M38^2+(P38^2)/12))</f>
        <v>1.71303129126981</v>
      </c>
      <c r="AG38" s="488" t="n">
        <f aca="false">Rdson2*AF38^2</f>
        <v>0.0167265143677563</v>
      </c>
      <c r="AH38" s="488" t="n">
        <f aca="false">CHOOSE(J38, IF(K38&lt;P38/2,Deadtime*Fsw*IF(VfdSky_Q2&gt;0,0,Vsd_Q2)*(K38+P38/2),2*Deadtime*Fsw*IF(VfdSky_Q2&gt;0,0,Vsd_Q2)*K38),0, IF(K38&lt;P38/2,Deadtime*Fsw/2*IF(VfdSky_Q2&gt;0,0,Vsd_Q2)*(K38+P38/2),2*Deadtime*Fsw/2*IF(VfdSky_Q2&gt;0,0,Vsd_Q2)*K38))</f>
        <v>0.072</v>
      </c>
      <c r="AI38" s="488" t="n">
        <f aca="false">(AH38+AG38*(1+RdsonBotTc*Ta-RdsonBotTc*25))/(1-AG38*RdsonBotTc*ThetaJA_Q2)</f>
        <v>0.0890243277070506</v>
      </c>
      <c r="AJ38" s="488" t="n">
        <f aca="false">CHOOSE(J38, 0, SQRT(O38)*SQRT(L38^2+(P38^2)/12), SQRT(O38)*SQRT(M38^2+(P38^2)/12))</f>
        <v>1.33302397876799</v>
      </c>
      <c r="AK38" s="488" t="n">
        <f aca="false">Rdson4*AJ38^2</f>
        <v>0.00337621056314385</v>
      </c>
      <c r="AL38" s="488" t="n">
        <f aca="false">CHOOSE(J38, 0, (Vout*L38/2)*(Fsw)*(Tr_boost+Tf_boost), (Vout*Iout/2)*(Fsw/2)*(Tr_boost+Tf_boost))</f>
        <v>0.0349071770123085</v>
      </c>
      <c r="AM38" s="0" t="n">
        <f aca="false">IF(H38&gt;Vout, 0, IF(L38&gt;P38/2,0,ABS(L38-P38/2)*Vsd_Q4*Deadtime*Fsw))</f>
        <v>0</v>
      </c>
      <c r="AN38" s="488" t="n">
        <f aca="false">(AM38+AL38+AK38*(1+RdsonTopTc*Ta-RdsonTopTc*25))/(1-AK38*RdsonTopTc*ThetaJA_Q4)</f>
        <v>0.0383092555981357</v>
      </c>
      <c r="AO38" s="488" t="n">
        <f aca="false">CHOOSE(J38, SQRT(Iout^2+(P38^2)/12), SQRT(1-O38)*SQRT(L38^2+(P38^2)/12), SQRT(1-O38)*SQRT(M38^2+(P38^2)/12))</f>
        <v>6.14091930543117</v>
      </c>
      <c r="AP38" s="488" t="n">
        <f aca="false">Rdson3*AO38^2</f>
        <v>0.0716506908400528</v>
      </c>
      <c r="AQ38" s="488" t="n">
        <f aca="false">CHOOSE(J38, 0, IF(L38&lt;P38/2,Deadtime*Fsw*IF(VfdSky_Q3&gt;0,0,Vsd_Q3)*(L38+P38/2), 2*Deadtime*Fsw*IF(VfdSky_Q3&gt;0,0,Vsd_Q3)*L38), IF(L38&lt;P38/2,Deadtime*Fsw/2*IF(VfdSky_Q3&gt;0,0,Vsd_Q3)*(L38+P38/2), 2*Deadtime*Fsw/2*IF(VfdSky_Q3&gt;0,0,Vsd_Q3)*L38))</f>
        <v>0.0775444264943457</v>
      </c>
      <c r="AR38" s="488" t="n">
        <f aca="false">(AQ38+AP38*(1+RdsonBotTc*Ta-RdsonBotTc*25))/(1-AP38*RdsonBotTc*ThetaJA_Q3)</f>
        <v>0.151364187048492</v>
      </c>
      <c r="AS38" s="488" t="n">
        <f aca="false">CHOOSE(J38, Rdson3*Q38^2, Rdson1*Q38^2, 0)</f>
        <v>0</v>
      </c>
      <c r="AT38" s="488" t="n">
        <f aca="false">CHOOSE(J38, 2*Deadtime*Fsw*IF(VfdSky_Q2&gt;0,VfdSky_Q2,0)*K38, 2*Deadtime*Fsw*IF(VfdSky_Q3&gt;0,VfdSky_Q3,0)*L38, 2*Deadtime*Fsw/2*IF(VfdSky_Q2&gt;0,VfdSky_Q2,0)*K38+2*Deadtime*Fsw/2*IF(VfdSky_Q3&gt;0,VfdSky_Q3,0)*L38)</f>
        <v>0</v>
      </c>
      <c r="AU38" s="488" t="n">
        <f aca="false">CHOOSE(J38, IF(QrrSky_Q2&gt;0,QrrSky_Q2,Qrr_Q2)*Fsw*(H38-K38*Rdson1), IF(QrrSky_Q3&gt;0,QrrSky_Q3,Qrr_Q3)*Fsw*Vout,  IF(QrrSky_Q2&gt;0,QrrSky_Q2,Qrr_Q2)*Fsw/2*(H38-K38*Rdson1)+IF(QrrSky_Q3&gt;0,QrrSky_Q3,Qrr_Q3)*Fsw/2*Vout)</f>
        <v>0.17606781</v>
      </c>
      <c r="AV38" s="488" t="n">
        <f aca="false">CHOOSE(J38, Rs*AF38^2, Rs*AJ38^2, Rs*(AF38^2+AJ38^2))</f>
        <v>0.0376914330627197</v>
      </c>
      <c r="AW38" s="488" t="n">
        <f aca="false">Rshunt_std/1000*Iout^2</f>
        <v>0.14832</v>
      </c>
      <c r="AX38" s="488" t="n">
        <f aca="false">IF(Vout&gt;8, Iq*Vout, Iq*H38)</f>
        <v>0.036</v>
      </c>
      <c r="AY38" s="488" t="n">
        <f aca="false">CHOOSE(J38, (Qg_Q1+Qg_Q2)*Fsw, (Qg_Q3+Qg_Q4)*Fsw, (Qg_Q1+Qg_Q2+Qg_Q3+Qg_Q4)*Fsw/2)*IF(Vout&gt;8, Vout, H38)</f>
        <v>0.1188</v>
      </c>
      <c r="AZ38" s="488" t="n">
        <f aca="false">(Vin-Vdd)*Fsw*(Qg_Q1+Qg_Q2)+(RdsonDRT+RdsonDRT2)*Fsw*Qg_Q1*Vdd/(RdsonDRT+2*Rgate1+RdsonDRT2)+(RdsonDRB+RdsonDRB2)*Fsw*Qg_Q2*Vdd/(RdsonDRB+2*Rgate2+RdsonDRB2)</f>
        <v>0.0522</v>
      </c>
      <c r="BA38" s="488" t="n">
        <f aca="false">SUM(AX38:AY38)</f>
        <v>0.1548</v>
      </c>
      <c r="BB38" s="488" t="n">
        <f aca="false">SUM(T38,W38,Z38,AE38,AI38,AN38,AR38, AT38,AU38,BA38,AV38,AW38)</f>
        <v>1.19540518413241</v>
      </c>
      <c r="BC38" s="419" t="n">
        <f aca="false">Vout*K38</f>
        <v>72</v>
      </c>
      <c r="BD38" s="589" t="n">
        <f aca="false">BC38/(BC38+BB38)</f>
        <v>0.983668302933426</v>
      </c>
      <c r="BE38" s="590" t="n">
        <f aca="false">IF(H38&gt;Vout,ThetaJA_Q1*(AE38+AU38),ThetaJA_Q4*(AN38+AU38))</f>
        <v>21.7404086580506</v>
      </c>
      <c r="BF38" s="590" t="n">
        <f aca="false">IF(H38&gt;Vout, AI38*ThetaJA_Q2, ThetaJA_Q3*AR38)</f>
        <v>4.45121638535253</v>
      </c>
      <c r="BG38" s="536"/>
      <c r="BH38" s="385" t="n">
        <f aca="false">BD38*100</f>
        <v>98.3668302933426</v>
      </c>
      <c r="BI38" s="488" t="n">
        <f aca="false">T38</f>
        <v>0.136056560706652</v>
      </c>
      <c r="BJ38" s="488" t="n">
        <f aca="false">AE38+AI38+AN38+AR38+AU38</f>
        <v>0.71350594351469</v>
      </c>
      <c r="BK38" s="488" t="n">
        <f aca="false">AI38+AU38*0.33</f>
        <v>0.147126705007051</v>
      </c>
      <c r="BL38" s="488" t="n">
        <f aca="false">AV38</f>
        <v>0.0376914330627197</v>
      </c>
      <c r="BQ38" s="0" t="n">
        <v>9.998543</v>
      </c>
      <c r="BR38" s="0" t="n">
        <v>1.935</v>
      </c>
      <c r="BS38" s="0" t="n">
        <v>5.117146</v>
      </c>
      <c r="BT38" s="0" t="n">
        <v>94.2245271980769</v>
      </c>
      <c r="BU38" s="0" t="n">
        <v>606.921164058999</v>
      </c>
    </row>
    <row r="39" customFormat="false" ht="12.75" hidden="false" customHeight="false" outlineLevel="0" collapsed="false">
      <c r="A39" s="600" t="s">
        <v>856</v>
      </c>
      <c r="B39" s="596" t="n">
        <f aca="false">Qg_Q1*1000000000</f>
        <v>11</v>
      </c>
      <c r="C39" s="597" t="s">
        <v>110</v>
      </c>
      <c r="D39" s="598" t="s">
        <v>857</v>
      </c>
      <c r="G39" s="0" t="n">
        <v>30</v>
      </c>
      <c r="H39" s="586" t="n">
        <f aca="false">VIN_min+(VIN_max-VIN_min)*(G39/200)</f>
        <v>12.6</v>
      </c>
      <c r="I39" s="385" t="str">
        <f aca="false">IF(H39&gt;VIN_BB_to_buck, "BUCK", IF(H39&lt;VIN_boost_to_BB,"BOOST","BUCK-BST"))</f>
        <v>BUCK-BST</v>
      </c>
      <c r="J39" s="419" t="n">
        <f aca="false">IF(I39="BOOST",2, IF(I39="BUCK", 1,3))</f>
        <v>3</v>
      </c>
      <c r="K39" s="0" t="n">
        <f aca="false">Iout</f>
        <v>6</v>
      </c>
      <c r="L39" s="385" t="n">
        <f aca="false">Vout*K39/(H39*Efficiency)</f>
        <v>6.34920634920635</v>
      </c>
      <c r="M39" s="385" t="n">
        <f aca="false">Iout/(1-O39)</f>
        <v>6.28272251308901</v>
      </c>
      <c r="N39" s="488" t="n">
        <f aca="false">CHOOSE(J39,(Vout+(Rdson2+Rs+Rdcr)*K39)/(H39+(Rs+Rdson2-Rdson1)*K39),1,IF(H39&lt;Vout,D_max_buck_BB,Vout/H39*(1-D_min_boost_exitBB_to_buck)))</f>
        <v>0.90952380952381</v>
      </c>
      <c r="O39" s="488" t="n">
        <f aca="false">CHOOSE(J39,0,(Vout+(Rdson3+Rdcr)*L39-H39)/(Vout+(Rdson3-Rdson4-Rs)*L39),IF(H39&gt;Vout,D_min_boost_exitBB_to_buck, (Vout-H39*D_max_buck_BB)/Vout))</f>
        <v>0.045</v>
      </c>
      <c r="P39" s="385" t="n">
        <f aca="false">MAX(0, CHOOSE(J39, (H39-(Rdson1+Rdcr)*K39-Vout)*N39/(Fsw*Lf), (H39-(Rdson4+Rdcr+Rs)*L39)*O39/(Fsw*Lf), IF(H39&lt;Vout, (H39-(Rdson4+Rdcr+Rs)*L39)*O39/(0.5*Fsw*Lf),(H39-(Rdson1+Rdcr)*K39-Vout)*N39/(0.5*Fsw*Lf))))</f>
        <v>0.70401013171226</v>
      </c>
      <c r="Q39" s="488" t="n">
        <f aca="false">CHOOSE(J39, SQRT(K39^2+(P39^2)/12), SQRT(L39^2+(P39^2)/12), SQRT(M39^2+(P39^2)/12))</f>
        <v>6.28600864608098</v>
      </c>
      <c r="R39" s="488" t="n">
        <f aca="false">(Q39^2*Rdcr*(1+Ltc*Ta-Ltc*25))/(1-Q39^2*Rdcr*Ltc*ThetaCa)</f>
        <v>0.133788362906939</v>
      </c>
      <c r="S39" s="488" t="n">
        <f aca="false">7.759*10^-3*Fsw^0.9458*(0.00787*P39)^2.304</f>
        <v>0.00743386422960696</v>
      </c>
      <c r="T39" s="488" t="n">
        <f aca="false">R39+S39</f>
        <v>0.141222227136545</v>
      </c>
      <c r="U39" s="385" t="n">
        <f aca="false">IF(H39&gt;Vout, P39/SQRT(12), SQRT(O39/(1-O39))*SQRT(K39^2+(P39^2)/12))</f>
        <v>0.203230219528148</v>
      </c>
      <c r="V39" s="488" t="n">
        <f aca="false">RCoutEsr*U39^2</f>
        <v>0.000206512610647297</v>
      </c>
      <c r="W39" s="488" t="n">
        <f aca="false">V39</f>
        <v>0.000206512610647297</v>
      </c>
      <c r="X39" s="488" t="n">
        <f aca="false">IF(H39&gt;Vout, SQRT(N39*(1-N39))*SQRT(K39^2+(P39^2)/12), P39/SQRT(12))</f>
        <v>1.72216368979261</v>
      </c>
      <c r="Y39" s="587" t="n">
        <f aca="false">RCinEsr*X39^2</f>
        <v>0.00593169554888017</v>
      </c>
      <c r="Z39" s="588" t="n">
        <f aca="false">Y39</f>
        <v>0.00593169554888017</v>
      </c>
      <c r="AA39" s="488" t="n">
        <f aca="false">CHOOSE(J39, SQRT(N39)*SQRT(K39^2+(P39^2)/12), SQRT(L39^2+(P39^2)/12), SQRT(N39)*SQRT(M39^2+(P39^2)/12))</f>
        <v>5.99490092750797</v>
      </c>
      <c r="AB39" s="488" t="n">
        <f aca="false">Rdson1*AA39^2</f>
        <v>0.204851371644624</v>
      </c>
      <c r="AC39" s="488" t="n">
        <f aca="false">CHOOSE(J39, (H39*K39/2)*(Fsw)*(Tr_buck+Tf_buck), 0, (H39*M39/2)*(Fsw/2)*(Tr_buck+Tf_buck))</f>
        <v>0.0403080366867728</v>
      </c>
      <c r="AD39" s="0" t="n">
        <f aca="false">IF(H39&gt;Vout, IF(K39&gt;P39/2,0,ABS(K39-P39/2)*Vsd_Q1*Deadtime*Fsw),0)</f>
        <v>0</v>
      </c>
      <c r="AE39" s="488" t="n">
        <f aca="false">(AD39+AC39+AB39*(1+RdsonTopTc*Ta-RdsonTopTc*25))/(1-AB39*RdsonTopTc*ThetaJA_Q1)</f>
        <v>0.255632752321466</v>
      </c>
      <c r="AF39" s="488" t="n">
        <f aca="false">CHOOSE(J39, SQRT((1-N39))*SQRT(K39^2+(P39^2)/12), 0, SQRT((1-N39))*SQRT(M39^2+(P39^2)/12))</f>
        <v>1.89078490790704</v>
      </c>
      <c r="AG39" s="488" t="n">
        <f aca="false">Rdson2*AF39^2</f>
        <v>0.0203778851374234</v>
      </c>
      <c r="AH39" s="488" t="n">
        <f aca="false">CHOOSE(J39, IF(K39&lt;P39/2,Deadtime*Fsw*IF(VfdSky_Q2&gt;0,0,Vsd_Q2)*(K39+P39/2),2*Deadtime*Fsw*IF(VfdSky_Q2&gt;0,0,Vsd_Q2)*K39),0, IF(K39&lt;P39/2,Deadtime*Fsw/2*IF(VfdSky_Q2&gt;0,0,Vsd_Q2)*(K39+P39/2),2*Deadtime*Fsw/2*IF(VfdSky_Q2&gt;0,0,Vsd_Q2)*K39))</f>
        <v>0.072</v>
      </c>
      <c r="AI39" s="488" t="n">
        <f aca="false">(AH39+AG39*(1+RdsonBotTc*Ta-RdsonBotTc*25))/(1-AG39*RdsonBotTc*ThetaJA_Q2)</f>
        <v>0.0927559190301861</v>
      </c>
      <c r="AJ39" s="488" t="n">
        <f aca="false">CHOOSE(J39, 0, SQRT(O39)*SQRT(L39^2+(P39^2)/12), SQRT(O39)*SQRT(M39^2+(P39^2)/12))</f>
        <v>1.33346380207234</v>
      </c>
      <c r="AK39" s="488" t="n">
        <f aca="false">Rdson4*AJ39^2</f>
        <v>0.00337843885173072</v>
      </c>
      <c r="AL39" s="488" t="n">
        <f aca="false">CHOOSE(J39, 0, (Vout*L39/2)*(Fsw)*(Tr_boost+Tf_boost), (Vout*Iout/2)*(Fsw/2)*(Tr_boost+Tf_boost))</f>
        <v>0.0349071770123085</v>
      </c>
      <c r="AM39" s="0" t="n">
        <f aca="false">IF(H39&gt;Vout, 0, IF(L39&gt;P39/2,0,ABS(L39-P39/2)*Vsd_Q4*Deadtime*Fsw))</f>
        <v>0</v>
      </c>
      <c r="AN39" s="488" t="n">
        <f aca="false">(AM39+AL39+AK39*(1+RdsonTopTc*Ta-RdsonTopTc*25))/(1-AK39*RdsonTopTc*ThetaJA_Q4)</f>
        <v>0.038311502477727</v>
      </c>
      <c r="AO39" s="488" t="n">
        <f aca="false">CHOOSE(J39, SQRT(Iout^2+(P39^2)/12), SQRT(1-O39)*SQRT(L39^2+(P39^2)/12), SQRT(1-O39)*SQRT(M39^2+(P39^2)/12))</f>
        <v>6.14294546509797</v>
      </c>
      <c r="AP39" s="488" t="n">
        <f aca="false">Rdson3*AO39^2</f>
        <v>0.0716979800756186</v>
      </c>
      <c r="AQ39" s="488" t="n">
        <f aca="false">CHOOSE(J39, 0, IF(L39&lt;P39/2,Deadtime*Fsw*IF(VfdSky_Q3&gt;0,0,Vsd_Q3)*(L39+P39/2), 2*Deadtime*Fsw*IF(VfdSky_Q3&gt;0,0,Vsd_Q3)*L39), IF(L39&lt;P39/2,Deadtime*Fsw/2*IF(VfdSky_Q3&gt;0,0,Vsd_Q3)*(L39+P39/2), 2*Deadtime*Fsw/2*IF(VfdSky_Q3&gt;0,0,Vsd_Q3)*L39))</f>
        <v>0.0761904761904762</v>
      </c>
      <c r="AR39" s="488" t="n">
        <f aca="false">(AQ39+AP39*(1+RdsonBotTc*Ta-RdsonBotTc*25))/(1-AP39*RdsonBotTc*ThetaJA_Q3)</f>
        <v>0.150039968804878</v>
      </c>
      <c r="AS39" s="488" t="n">
        <f aca="false">CHOOSE(J39, Rdson3*Q39^2, Rdson1*Q39^2, 0)</f>
        <v>0</v>
      </c>
      <c r="AT39" s="488" t="n">
        <f aca="false">CHOOSE(J39, 2*Deadtime*Fsw*IF(VfdSky_Q2&gt;0,VfdSky_Q2,0)*K39, 2*Deadtime*Fsw*IF(VfdSky_Q3&gt;0,VfdSky_Q3,0)*L39, 2*Deadtime*Fsw/2*IF(VfdSky_Q2&gt;0,VfdSky_Q2,0)*K39+2*Deadtime*Fsw/2*IF(VfdSky_Q3&gt;0,VfdSky_Q3,0)*L39)</f>
        <v>0</v>
      </c>
      <c r="AU39" s="488" t="n">
        <f aca="false">CHOOSE(J39, IF(QrrSky_Q2&gt;0,QrrSky_Q2,Qrr_Q2)*Fsw*(H39-K39*Rdson1), IF(QrrSky_Q3&gt;0,QrrSky_Q3,Qrr_Q3)*Fsw*Vout,  IF(QrrSky_Q2&gt;0,QrrSky_Q2,Qrr_Q2)*Fsw/2*(H39-K39*Rdson1)+IF(QrrSky_Q3&gt;0,QrrSky_Q3,Qrr_Q3)*Fsw/2*Vout)</f>
        <v>0.17814681</v>
      </c>
      <c r="AV39" s="488" t="n">
        <f aca="false">CHOOSE(J39, Rs*AF39^2, Rs*AJ39^2, Rs*(AF39^2+AJ39^2))</f>
        <v>0.0428255462352499</v>
      </c>
      <c r="AW39" s="488" t="n">
        <f aca="false">Rshunt_std/1000*Iout^2</f>
        <v>0.14832</v>
      </c>
      <c r="AX39" s="488" t="n">
        <f aca="false">IF(Vout&gt;8, Iq*Vout, Iq*H39)</f>
        <v>0.036</v>
      </c>
      <c r="AY39" s="488" t="n">
        <f aca="false">CHOOSE(J39, (Qg_Q1+Qg_Q2)*Fsw, (Qg_Q3+Qg_Q4)*Fsw, (Qg_Q1+Qg_Q2+Qg_Q3+Qg_Q4)*Fsw/2)*IF(Vout&gt;8, Vout, H39)</f>
        <v>0.1188</v>
      </c>
      <c r="AZ39" s="488" t="n">
        <f aca="false">(Vin-Vdd)*Fsw*(Qg_Q1+Qg_Q2)+(RdsonDRT+RdsonDRT2)*Fsw*Qg_Q1*Vdd/(RdsonDRT+2*Rgate1+RdsonDRT2)+(RdsonDRB+RdsonDRB2)*Fsw*Qg_Q2*Vdd/(RdsonDRB+2*Rgate2+RdsonDRB2)</f>
        <v>0.0522</v>
      </c>
      <c r="BA39" s="488" t="n">
        <f aca="false">SUM(AX39:AY39)</f>
        <v>0.1548</v>
      </c>
      <c r="BB39" s="488" t="n">
        <f aca="false">SUM(T39,W39,Z39,AE39,AI39,AN39,AR39, AT39,AU39,BA39,AV39,AW39)</f>
        <v>1.20819293416558</v>
      </c>
      <c r="BC39" s="419" t="n">
        <f aca="false">Vout*K39</f>
        <v>72</v>
      </c>
      <c r="BD39" s="589" t="n">
        <f aca="false">BC39/(BC39+BB39)</f>
        <v>0.983496479208931</v>
      </c>
      <c r="BE39" s="590" t="n">
        <f aca="false">IF(H39&gt;Vout,ThetaJA_Q1*(AE39+AU39),ThetaJA_Q4*(AN39+AU39))</f>
        <v>21.6889781160733</v>
      </c>
      <c r="BF39" s="590" t="n">
        <f aca="false">IF(H39&gt;Vout, AI39*ThetaJA_Q2, ThetaJA_Q3*AR39)</f>
        <v>4.6377959515093</v>
      </c>
      <c r="BG39" s="536"/>
      <c r="BH39" s="385" t="n">
        <f aca="false">BD39*100</f>
        <v>98.3496479208931</v>
      </c>
      <c r="BI39" s="488" t="n">
        <f aca="false">T39</f>
        <v>0.141222227136545</v>
      </c>
      <c r="BJ39" s="488" t="n">
        <f aca="false">AE39+AI39+AN39+AR39+AU39</f>
        <v>0.714886952634257</v>
      </c>
      <c r="BK39" s="488" t="n">
        <f aca="false">AI39+AU39*0.33</f>
        <v>0.151544366330186</v>
      </c>
      <c r="BL39" s="488" t="n">
        <f aca="false">AV39</f>
        <v>0.0428255462352499</v>
      </c>
      <c r="BQ39" s="0" t="n">
        <v>9.998506</v>
      </c>
      <c r="BR39" s="0" t="n">
        <v>2.31</v>
      </c>
      <c r="BS39" s="0" t="n">
        <v>5.116635</v>
      </c>
      <c r="BT39" s="0" t="n">
        <v>94.4926635027173</v>
      </c>
      <c r="BU39" s="0" t="n">
        <v>688.874130602002</v>
      </c>
    </row>
    <row r="40" customFormat="false" ht="12.75" hidden="false" customHeight="false" outlineLevel="0" collapsed="false">
      <c r="A40" s="600" t="s">
        <v>858</v>
      </c>
      <c r="B40" s="596" t="n">
        <f aca="false">Qgd_Q1*1000000000</f>
        <v>2.9</v>
      </c>
      <c r="C40" s="597" t="s">
        <v>110</v>
      </c>
      <c r="D40" s="618" t="s">
        <v>648</v>
      </c>
      <c r="G40" s="0" t="n">
        <v>31</v>
      </c>
      <c r="H40" s="586" t="n">
        <f aca="false">VIN_min+(VIN_max-VIN_min)*(G40/200)</f>
        <v>12.82</v>
      </c>
      <c r="I40" s="385" t="str">
        <f aca="false">IF(H40&gt;VIN_BB_to_buck, "BUCK", IF(H40&lt;VIN_boost_to_BB,"BOOST","BUCK-BST"))</f>
        <v>BUCK-BST</v>
      </c>
      <c r="J40" s="419" t="n">
        <f aca="false">IF(I40="BOOST",2, IF(I40="BUCK", 1,3))</f>
        <v>3</v>
      </c>
      <c r="K40" s="0" t="n">
        <f aca="false">Iout</f>
        <v>6</v>
      </c>
      <c r="L40" s="385" t="n">
        <f aca="false">Vout*K40/(H40*Efficiency)</f>
        <v>6.2402496099844</v>
      </c>
      <c r="M40" s="385" t="n">
        <f aca="false">Iout/(1-O40)</f>
        <v>6.28272251308901</v>
      </c>
      <c r="N40" s="488" t="n">
        <f aca="false">CHOOSE(J40,(Vout+(Rdson2+Rs+Rdcr)*K40)/(H40+(Rs+Rdson2-Rdson1)*K40),1,IF(H40&lt;Vout,D_max_buck_BB,Vout/H40*(1-D_min_boost_exitBB_to_buck)))</f>
        <v>0.893915756630265</v>
      </c>
      <c r="O40" s="488" t="n">
        <f aca="false">CHOOSE(J40,0,(Vout+(Rdson3+Rdcr)*L40-H40)/(Vout+(Rdson3-Rdson4-Rs)*L40),IF(H40&gt;Vout,D_min_boost_exitBB_to_buck, (Vout-H40*D_max_buck_BB)/Vout))</f>
        <v>0.045</v>
      </c>
      <c r="P40" s="385" t="n">
        <f aca="false">MAX(0, CHOOSE(J40, (H40-(Rdson1+Rdcr)*K40-Vout)*N40/(Fsw*Lf), (H40-(Rdson4+Rdcr+Rs)*L40)*O40/(Fsw*Lf), IF(H40&lt;Vout, (H40-(Rdson4+Rdcr+Rs)*L40)*O40/(0.5*Fsw*Lf),(H40-(Rdson1+Rdcr)*K40-Vout)*N40/(0.5*Fsw*Lf))))</f>
        <v>0.970881269293326</v>
      </c>
      <c r="Q40" s="488" t="n">
        <f aca="false">CHOOSE(J40, SQRT(K40^2+(P40^2)/12), SQRT(L40^2+(P40^2)/12), SQRT(M40^2+(P40^2)/12))</f>
        <v>6.28897074618713</v>
      </c>
      <c r="R40" s="488" t="n">
        <f aca="false">(Q40^2*Rdcr*(1+Ltc*Ta-Ltc*25))/(1-Q40^2*Rdcr*Ltc*ThetaCa)</f>
        <v>0.133915831552583</v>
      </c>
      <c r="S40" s="488" t="n">
        <f aca="false">7.759*10^-3*Fsw^0.9458*(0.00787*P40)^2.304</f>
        <v>0.0155891905047789</v>
      </c>
      <c r="T40" s="488" t="n">
        <f aca="false">R40+S40</f>
        <v>0.149505022057362</v>
      </c>
      <c r="U40" s="385" t="n">
        <f aca="false">IF(H40&gt;Vout, P40/SQRT(12), SQRT(O40/(1-O40))*SQRT(K40^2+(P40^2)/12))</f>
        <v>0.280269281088834</v>
      </c>
      <c r="V40" s="488" t="n">
        <f aca="false">RCoutEsr*U40^2</f>
        <v>0.000392754349610258</v>
      </c>
      <c r="W40" s="488" t="n">
        <f aca="false">V40</f>
        <v>0.000392754349610258</v>
      </c>
      <c r="X40" s="488" t="n">
        <f aca="false">IF(H40&gt;Vout, SQRT(N40*(1-N40))*SQRT(K40^2+(P40^2)/12), P40/SQRT(12))</f>
        <v>1.84968715436036</v>
      </c>
      <c r="Y40" s="587" t="n">
        <f aca="false">RCinEsr*X40^2</f>
        <v>0.00684268513801146</v>
      </c>
      <c r="Z40" s="588" t="n">
        <f aca="false">Y40</f>
        <v>0.00684268513801146</v>
      </c>
      <c r="AA40" s="488" t="n">
        <f aca="false">CHOOSE(J40, SQRT(N40)*SQRT(K40^2+(P40^2)/12), SQRT(L40^2+(P40^2)/12), SQRT(N40)*SQRT(M40^2+(P40^2)/12))</f>
        <v>5.94604060708215</v>
      </c>
      <c r="AB40" s="488" t="n">
        <f aca="false">Rdson1*AA40^2</f>
        <v>0.201525773736098</v>
      </c>
      <c r="AC40" s="488" t="n">
        <f aca="false">CHOOSE(J40, (H40*K40/2)*(Fsw)*(Tr_buck+Tf_buck), 0, (H40*M40/2)*(Fsw/2)*(Tr_buck+Tf_buck))</f>
        <v>0.041011827803526</v>
      </c>
      <c r="AD40" s="0" t="n">
        <f aca="false">IF(H40&gt;Vout, IF(K40&gt;P40/2,0,ABS(K40-P40/2)*Vsd_Q1*Deadtime*Fsw),0)</f>
        <v>0</v>
      </c>
      <c r="AE40" s="488" t="n">
        <f aca="false">(AD40+AC40+AB40*(1+RdsonTopTc*Ta-RdsonTopTc*25))/(1-AB40*RdsonTopTc*ThetaJA_Q1)</f>
        <v>0.252723668090288</v>
      </c>
      <c r="AF40" s="488" t="n">
        <f aca="false">CHOOSE(J40, SQRT((1-N40))*SQRT(K40^2+(P40^2)/12), 0, SQRT((1-N40))*SQRT(M40^2+(P40^2)/12))</f>
        <v>2.04835400879039</v>
      </c>
      <c r="AG40" s="488" t="n">
        <f aca="false">Rdson2*AF40^2</f>
        <v>0.0239157986283677</v>
      </c>
      <c r="AH40" s="488" t="n">
        <f aca="false">CHOOSE(J40, IF(K40&lt;P40/2,Deadtime*Fsw*IF(VfdSky_Q2&gt;0,0,Vsd_Q2)*(K40+P40/2),2*Deadtime*Fsw*IF(VfdSky_Q2&gt;0,0,Vsd_Q2)*K40),0, IF(K40&lt;P40/2,Deadtime*Fsw/2*IF(VfdSky_Q2&gt;0,0,Vsd_Q2)*(K40+P40/2),2*Deadtime*Fsw/2*IF(VfdSky_Q2&gt;0,0,Vsd_Q2)*K40))</f>
        <v>0.072</v>
      </c>
      <c r="AI40" s="488" t="n">
        <f aca="false">(AH40+AG40*(1+RdsonBotTc*Ta-RdsonBotTc*25))/(1-AG40*RdsonBotTc*ThetaJA_Q2)</f>
        <v>0.096376784180952</v>
      </c>
      <c r="AJ40" s="488" t="n">
        <f aca="false">CHOOSE(J40, 0, SQRT(O40)*SQRT(L40^2+(P40^2)/12), SQRT(O40)*SQRT(M40^2+(P40^2)/12))</f>
        <v>1.33409215839382</v>
      </c>
      <c r="AK40" s="488" t="n">
        <f aca="false">Rdson4*AJ40^2</f>
        <v>0.00338162358546699</v>
      </c>
      <c r="AL40" s="488" t="n">
        <f aca="false">CHOOSE(J40, 0, (Vout*L40/2)*(Fsw)*(Tr_boost+Tf_boost), (Vout*Iout/2)*(Fsw/2)*(Tr_boost+Tf_boost))</f>
        <v>0.0349071770123085</v>
      </c>
      <c r="AM40" s="0" t="n">
        <f aca="false">IF(H40&gt;Vout, 0, IF(L40&gt;P40/2,0,ABS(L40-P40/2)*Vsd_Q4*Deadtime*Fsw))</f>
        <v>0</v>
      </c>
      <c r="AN40" s="488" t="n">
        <f aca="false">(AM40+AL40+AK40*(1+RdsonTopTc*Ta-RdsonTopTc*25))/(1-AK40*RdsonTopTc*ThetaJA_Q4)</f>
        <v>0.0383147137857372</v>
      </c>
      <c r="AO40" s="488" t="n">
        <f aca="false">CHOOSE(J40, SQRT(Iout^2+(P40^2)/12), SQRT(1-O40)*SQRT(L40^2+(P40^2)/12), SQRT(1-O40)*SQRT(M40^2+(P40^2)/12))</f>
        <v>6.14584015081011</v>
      </c>
      <c r="AP40" s="488" t="n">
        <f aca="false">Rdson3*AO40^2</f>
        <v>0.0717655672026882</v>
      </c>
      <c r="AQ40" s="488" t="n">
        <f aca="false">CHOOSE(J40, 0, IF(L40&lt;P40/2,Deadtime*Fsw*IF(VfdSky_Q3&gt;0,0,Vsd_Q3)*(L40+P40/2), 2*Deadtime*Fsw*IF(VfdSky_Q3&gt;0,0,Vsd_Q3)*L40), IF(L40&lt;P40/2,Deadtime*Fsw/2*IF(VfdSky_Q3&gt;0,0,Vsd_Q3)*(L40+P40/2), 2*Deadtime*Fsw/2*IF(VfdSky_Q3&gt;0,0,Vsd_Q3)*L40))</f>
        <v>0.0748829953198128</v>
      </c>
      <c r="AR40" s="488" t="n">
        <f aca="false">(AQ40+AP40*(1+RdsonBotTc*Ta-RdsonBotTc*25))/(1-AP40*RdsonBotTc*ThetaJA_Q3)</f>
        <v>0.148784077261582</v>
      </c>
      <c r="AS40" s="488" t="n">
        <f aca="false">CHOOSE(J40, Rdson3*Q40^2, Rdson1*Q40^2, 0)</f>
        <v>0</v>
      </c>
      <c r="AT40" s="488" t="n">
        <f aca="false">CHOOSE(J40, 2*Deadtime*Fsw*IF(VfdSky_Q2&gt;0,VfdSky_Q2,0)*K40, 2*Deadtime*Fsw*IF(VfdSky_Q3&gt;0,VfdSky_Q3,0)*L40, 2*Deadtime*Fsw/2*IF(VfdSky_Q2&gt;0,VfdSky_Q2,0)*K40+2*Deadtime*Fsw/2*IF(VfdSky_Q3&gt;0,VfdSky_Q3,0)*L40)</f>
        <v>0</v>
      </c>
      <c r="AU40" s="488" t="n">
        <f aca="false">CHOOSE(J40, IF(QrrSky_Q2&gt;0,QrrSky_Q2,Qrr_Q2)*Fsw*(H40-K40*Rdson1), IF(QrrSky_Q3&gt;0,QrrSky_Q3,Qrr_Q3)*Fsw*Vout,  IF(QrrSky_Q2&gt;0,QrrSky_Q2,Qrr_Q2)*Fsw/2*(H40-K40*Rdson1)+IF(QrrSky_Q3&gt;0,QrrSky_Q3,Qrr_Q3)*Fsw/2*Vout)</f>
        <v>0.18022581</v>
      </c>
      <c r="AV40" s="488" t="n">
        <f aca="false">CHOOSE(J40, Rs*AF40^2, Rs*AJ40^2, Rs*(AF40^2+AJ40^2))</f>
        <v>0.0478044482593244</v>
      </c>
      <c r="AW40" s="488" t="n">
        <f aca="false">Rshunt_std/1000*Iout^2</f>
        <v>0.14832</v>
      </c>
      <c r="AX40" s="488" t="n">
        <f aca="false">IF(Vout&gt;8, Iq*Vout, Iq*H40)</f>
        <v>0.036</v>
      </c>
      <c r="AY40" s="488" t="n">
        <f aca="false">CHOOSE(J40, (Qg_Q1+Qg_Q2)*Fsw, (Qg_Q3+Qg_Q4)*Fsw, (Qg_Q1+Qg_Q2+Qg_Q3+Qg_Q4)*Fsw/2)*IF(Vout&gt;8, Vout, H40)</f>
        <v>0.1188</v>
      </c>
      <c r="AZ40" s="488" t="n">
        <f aca="false">(Vin-Vdd)*Fsw*(Qg_Q1+Qg_Q2)+(RdsonDRT+RdsonDRT2)*Fsw*Qg_Q1*Vdd/(RdsonDRT+2*Rgate1+RdsonDRT2)+(RdsonDRB+RdsonDRB2)*Fsw*Qg_Q2*Vdd/(RdsonDRB+2*Rgate2+RdsonDRB2)</f>
        <v>0.0522</v>
      </c>
      <c r="BA40" s="488" t="n">
        <f aca="false">SUM(AX40:AY40)</f>
        <v>0.1548</v>
      </c>
      <c r="BB40" s="488" t="n">
        <f aca="false">SUM(T40,W40,Z40,AE40,AI40,AN40,AR40, AT40,AU40,BA40,AV40,AW40)</f>
        <v>1.22408996312287</v>
      </c>
      <c r="BC40" s="419" t="n">
        <f aca="false">Vout*K40</f>
        <v>72</v>
      </c>
      <c r="BD40" s="589" t="n">
        <f aca="false">BC40/(BC40+BB40)</f>
        <v>0.983282961061867</v>
      </c>
      <c r="BE40" s="590" t="n">
        <f aca="false">IF(H40&gt;Vout,ThetaJA_Q1*(AE40+AU40),ThetaJA_Q4*(AN40+AU40))</f>
        <v>21.6474739045144</v>
      </c>
      <c r="BF40" s="590" t="n">
        <f aca="false">IF(H40&gt;Vout, AI40*ThetaJA_Q2, ThetaJA_Q3*AR40)</f>
        <v>4.8188392090476</v>
      </c>
      <c r="BG40" s="536"/>
      <c r="BH40" s="385" t="n">
        <f aca="false">BD40*100</f>
        <v>98.3282961061867</v>
      </c>
      <c r="BI40" s="488" t="n">
        <f aca="false">T40</f>
        <v>0.149505022057362</v>
      </c>
      <c r="BJ40" s="488" t="n">
        <f aca="false">AE40+AI40+AN40+AR40+AU40</f>
        <v>0.716425053318559</v>
      </c>
      <c r="BK40" s="488" t="n">
        <f aca="false">AI40+AU40*0.33</f>
        <v>0.155851301480952</v>
      </c>
      <c r="BL40" s="488" t="n">
        <f aca="false">AV40</f>
        <v>0.0478044482593244</v>
      </c>
      <c r="BQ40" s="0" t="n">
        <v>9.998432</v>
      </c>
      <c r="BR40" s="0" t="n">
        <v>2.727</v>
      </c>
      <c r="BS40" s="0" t="n">
        <v>5.115812</v>
      </c>
      <c r="BT40" s="0" t="n">
        <v>94.5587704245173</v>
      </c>
      <c r="BU40" s="0" t="n">
        <v>802.776949312001</v>
      </c>
    </row>
    <row r="41" customFormat="false" ht="12.75" hidden="false" customHeight="false" outlineLevel="0" collapsed="false">
      <c r="A41" s="600" t="s">
        <v>859</v>
      </c>
      <c r="B41" s="619" t="n">
        <f aca="false">Qgs_Q1*1000000000</f>
        <v>3.3</v>
      </c>
      <c r="C41" s="603" t="s">
        <v>110</v>
      </c>
      <c r="D41" s="618"/>
      <c r="G41" s="0" t="n">
        <v>32</v>
      </c>
      <c r="H41" s="586" t="n">
        <f aca="false">VIN_min+(VIN_max-VIN_min)*(G41/200)</f>
        <v>13.04</v>
      </c>
      <c r="I41" s="385" t="str">
        <f aca="false">IF(H41&gt;VIN_BB_to_buck, "BUCK", IF(H41&lt;VIN_boost_to_BB,"BOOST","BUCK-BST"))</f>
        <v>BUCK-BST</v>
      </c>
      <c r="J41" s="419" t="n">
        <f aca="false">IF(I41="BOOST",2, IF(I41="BUCK", 1,3))</f>
        <v>3</v>
      </c>
      <c r="K41" s="0" t="n">
        <f aca="false">Iout</f>
        <v>6</v>
      </c>
      <c r="L41" s="385" t="n">
        <f aca="false">Vout*K41/(H41*Efficiency)</f>
        <v>6.13496932515338</v>
      </c>
      <c r="M41" s="385" t="n">
        <f aca="false">Iout/(1-O41)</f>
        <v>6.28272251308901</v>
      </c>
      <c r="N41" s="488" t="n">
        <f aca="false">CHOOSE(J41,(Vout+(Rdson2+Rs+Rdcr)*K41)/(H41+(Rs+Rdson2-Rdson1)*K41),1,IF(H41&lt;Vout,D_max_buck_BB,Vout/H41*(1-D_min_boost_exitBB_to_buck)))</f>
        <v>0.878834355828221</v>
      </c>
      <c r="O41" s="488" t="n">
        <f aca="false">CHOOSE(J41,0,(Vout+(Rdson3+Rdcr)*L41-H41)/(Vout+(Rdson3-Rdson4-Rs)*L41),IF(H41&gt;Vout,D_min_boost_exitBB_to_buck, (Vout-H41*D_max_buck_BB)/Vout))</f>
        <v>0.045</v>
      </c>
      <c r="P41" s="385" t="n">
        <f aca="false">MAX(0, CHOOSE(J41, (H41-(Rdson1+Rdcr)*K41-Vout)*N41/(Fsw*Lf), (H41-(Rdson4+Rdcr+Rs)*L41)*O41/(Fsw*Lf), IF(H41&lt;Vout, (H41-(Rdson4+Rdcr+Rs)*L41)*O41/(0.5*Fsw*Lf),(H41-(Rdson1+Rdcr)*K41-Vout)*N41/(0.5*Fsw*Lf))))</f>
        <v>1.22874755253883</v>
      </c>
      <c r="Q41" s="488" t="n">
        <f aca="false">CHOOSE(J41, SQRT(K41^2+(P41^2)/12), SQRT(L41^2+(P41^2)/12), SQRT(M41^2+(P41^2)/12))</f>
        <v>6.29272759266319</v>
      </c>
      <c r="R41" s="488" t="n">
        <f aca="false">(Q41^2*Rdcr*(1+Ltc*Ta-Ltc*25))/(1-Q41^2*Rdcr*Ltc*ThetaCa)</f>
        <v>0.134077590762192</v>
      </c>
      <c r="S41" s="488" t="n">
        <f aca="false">7.759*10^-3*Fsw^0.9458*(0.00787*P41)^2.304</f>
        <v>0.0268234601534542</v>
      </c>
      <c r="T41" s="488" t="n">
        <f aca="false">R41+S41</f>
        <v>0.160901050915646</v>
      </c>
      <c r="U41" s="385" t="n">
        <f aca="false">IF(H41&gt;Vout, P41/SQRT(12), SQRT(O41/(1-O41))*SQRT(K41^2+(P41^2)/12))</f>
        <v>0.354708865112194</v>
      </c>
      <c r="V41" s="488" t="n">
        <f aca="false">RCoutEsr*U41^2</f>
        <v>0.000629091894945905</v>
      </c>
      <c r="W41" s="488" t="n">
        <f aca="false">V41</f>
        <v>0.000629091894945905</v>
      </c>
      <c r="X41" s="488" t="n">
        <f aca="false">IF(H41&gt;Vout, SQRT(N41*(1-N41))*SQRT(K41^2+(P41^2)/12), P41/SQRT(12))</f>
        <v>1.96133648858375</v>
      </c>
      <c r="Y41" s="587" t="n">
        <f aca="false">RCinEsr*X41^2</f>
        <v>0.0076936816429001</v>
      </c>
      <c r="Z41" s="588" t="n">
        <f aca="false">Y41</f>
        <v>0.0076936816429001</v>
      </c>
      <c r="AA41" s="488" t="n">
        <f aca="false">CHOOSE(J41, SQRT(N41)*SQRT(K41^2+(P41^2)/12), SQRT(L41^2+(P41^2)/12), SQRT(N41)*SQRT(M41^2+(P41^2)/12))</f>
        <v>5.89919082762007</v>
      </c>
      <c r="AB41" s="488" t="n">
        <f aca="false">Rdson1*AA41^2</f>
        <v>0.198362578797857</v>
      </c>
      <c r="AC41" s="488" t="n">
        <f aca="false">CHOOSE(J41, (H41*K41/2)*(Fsw)*(Tr_buck+Tf_buck), 0, (H41*M41/2)*(Fsw/2)*(Tr_buck+Tf_buck))</f>
        <v>0.0417156189202791</v>
      </c>
      <c r="AD41" s="0" t="n">
        <f aca="false">IF(H41&gt;Vout, IF(K41&gt;P41/2,0,ABS(K41-P41/2)*Vsd_Q1*Deadtime*Fsw),0)</f>
        <v>0</v>
      </c>
      <c r="AE41" s="488" t="n">
        <f aca="false">(AD41+AC41+AB41*(1+RdsonTopTc*Ta-RdsonTopTc*25))/(1-AB41*RdsonTopTc*ThetaJA_Q1)</f>
        <v>0.249996174906966</v>
      </c>
      <c r="AF41" s="488" t="n">
        <f aca="false">CHOOSE(J41, SQRT((1-N41))*SQRT(K41^2+(P41^2)/12), 0, SQRT((1-N41))*SQRT(M41^2+(P41^2)/12))</f>
        <v>2.19042647326677</v>
      </c>
      <c r="AG41" s="488" t="n">
        <f aca="false">Rdson2*AF41^2</f>
        <v>0.027348418368291</v>
      </c>
      <c r="AH41" s="488" t="n">
        <f aca="false">CHOOSE(J41, IF(K41&lt;P41/2,Deadtime*Fsw*IF(VfdSky_Q2&gt;0,0,Vsd_Q2)*(K41+P41/2),2*Deadtime*Fsw*IF(VfdSky_Q2&gt;0,0,Vsd_Q2)*K41),0, IF(K41&lt;P41/2,Deadtime*Fsw/2*IF(VfdSky_Q2&gt;0,0,Vsd_Q2)*(K41+P41/2),2*Deadtime*Fsw/2*IF(VfdSky_Q2&gt;0,0,Vsd_Q2)*K41))</f>
        <v>0.072</v>
      </c>
      <c r="AI41" s="488" t="n">
        <f aca="false">(AH41+AG41*(1+RdsonBotTc*Ta-RdsonBotTc*25))/(1-AG41*RdsonBotTc*ThetaJA_Q2)</f>
        <v>0.0998948113872188</v>
      </c>
      <c r="AJ41" s="488" t="n">
        <f aca="false">CHOOSE(J41, 0, SQRT(O41)*SQRT(L41^2+(P41^2)/12), SQRT(O41)*SQRT(M41^2+(P41^2)/12))</f>
        <v>1.33488910587955</v>
      </c>
      <c r="AK41" s="488" t="n">
        <f aca="false">Rdson4*AJ41^2</f>
        <v>0.00338566495749222</v>
      </c>
      <c r="AL41" s="488" t="n">
        <f aca="false">CHOOSE(J41, 0, (Vout*L41/2)*(Fsw)*(Tr_boost+Tf_boost), (Vout*Iout/2)*(Fsw/2)*(Tr_boost+Tf_boost))</f>
        <v>0.0349071770123085</v>
      </c>
      <c r="AM41" s="0" t="n">
        <f aca="false">IF(H41&gt;Vout, 0, IF(L41&gt;P41/2,0,ABS(L41-P41/2)*Vsd_Q4*Deadtime*Fsw))</f>
        <v>0</v>
      </c>
      <c r="AN41" s="488" t="n">
        <f aca="false">(AM41+AL41+AK41*(1+RdsonTopTc*Ta-RdsonTopTc*25))/(1-AK41*RdsonTopTc*ThetaJA_Q4)</f>
        <v>0.0383187888859497</v>
      </c>
      <c r="AO41" s="488" t="n">
        <f aca="false">CHOOSE(J41, SQRT(Iout^2+(P41^2)/12), SQRT(1-O41)*SQRT(L41^2+(P41^2)/12), SQRT(1-O41)*SQRT(M41^2+(P41^2)/12))</f>
        <v>6.14951149527088</v>
      </c>
      <c r="AP41" s="488" t="n">
        <f aca="false">Rdson3*AO41^2</f>
        <v>0.0718513340978905</v>
      </c>
      <c r="AQ41" s="488" t="n">
        <f aca="false">CHOOSE(J41, 0, IF(L41&lt;P41/2,Deadtime*Fsw*IF(VfdSky_Q3&gt;0,0,Vsd_Q3)*(L41+P41/2), 2*Deadtime*Fsw*IF(VfdSky_Q3&gt;0,0,Vsd_Q3)*L41), IF(L41&lt;P41/2,Deadtime*Fsw/2*IF(VfdSky_Q3&gt;0,0,Vsd_Q3)*(L41+P41/2), 2*Deadtime*Fsw/2*IF(VfdSky_Q3&gt;0,0,Vsd_Q3)*L41))</f>
        <v>0.0736196319018405</v>
      </c>
      <c r="AR41" s="488" t="n">
        <f aca="false">(AQ41+AP41*(1+RdsonBotTc*Ta-RdsonBotTc*25))/(1-AP41*RdsonBotTc*ThetaJA_Q3)</f>
        <v>0.147591900997473</v>
      </c>
      <c r="AS41" s="488" t="n">
        <f aca="false">CHOOSE(J41, Rdson3*Q41^2, Rdson1*Q41^2, 0)</f>
        <v>0</v>
      </c>
      <c r="AT41" s="488" t="n">
        <f aca="false">CHOOSE(J41, 2*Deadtime*Fsw*IF(VfdSky_Q2&gt;0,VfdSky_Q2,0)*K41, 2*Deadtime*Fsw*IF(VfdSky_Q3&gt;0,VfdSky_Q3,0)*L41, 2*Deadtime*Fsw/2*IF(VfdSky_Q2&gt;0,VfdSky_Q2,0)*K41+2*Deadtime*Fsw/2*IF(VfdSky_Q3&gt;0,VfdSky_Q3,0)*L41)</f>
        <v>0</v>
      </c>
      <c r="AU41" s="488" t="n">
        <f aca="false">CHOOSE(J41, IF(QrrSky_Q2&gt;0,QrrSky_Q2,Qrr_Q2)*Fsw*(H41-K41*Rdson1), IF(QrrSky_Q3&gt;0,QrrSky_Q3,Qrr_Q3)*Fsw*Vout,  IF(QrrSky_Q2&gt;0,QrrSky_Q2,Qrr_Q2)*Fsw/2*(H41-K41*Rdson1)+IF(QrrSky_Q3&gt;0,QrrSky_Q3,Qrr_Q3)*Fsw/2*Vout)</f>
        <v>0.18230481</v>
      </c>
      <c r="AV41" s="488" t="n">
        <f aca="false">CHOOSE(J41, Rs*AF41^2, Rs*AJ41^2, Rs*(AF41^2+AJ41^2))</f>
        <v>0.0526391764782704</v>
      </c>
      <c r="AW41" s="488" t="n">
        <f aca="false">Rshunt_std/1000*Iout^2</f>
        <v>0.14832</v>
      </c>
      <c r="AX41" s="488" t="n">
        <f aca="false">IF(Vout&gt;8, Iq*Vout, Iq*H41)</f>
        <v>0.036</v>
      </c>
      <c r="AY41" s="488" t="n">
        <f aca="false">CHOOSE(J41, (Qg_Q1+Qg_Q2)*Fsw, (Qg_Q3+Qg_Q4)*Fsw, (Qg_Q1+Qg_Q2+Qg_Q3+Qg_Q4)*Fsw/2)*IF(Vout&gt;8, Vout, H41)</f>
        <v>0.1188</v>
      </c>
      <c r="AZ41" s="488" t="n">
        <f aca="false">(Vin-Vdd)*Fsw*(Qg_Q1+Qg_Q2)+(RdsonDRT+RdsonDRT2)*Fsw*Qg_Q1*Vdd/(RdsonDRT+2*Rgate1+RdsonDRT2)+(RdsonDRB+RdsonDRB2)*Fsw*Qg_Q2*Vdd/(RdsonDRB+2*Rgate2+RdsonDRB2)</f>
        <v>0.0522</v>
      </c>
      <c r="BA41" s="488" t="n">
        <f aca="false">SUM(AX41:AY41)</f>
        <v>0.1548</v>
      </c>
      <c r="BB41" s="488" t="n">
        <f aca="false">SUM(T41,W41,Z41,AE41,AI41,AN41,AR41, AT41,AU41,BA41,AV41,AW41)</f>
        <v>1.24308948710937</v>
      </c>
      <c r="BC41" s="419" t="n">
        <f aca="false">Vout*K41</f>
        <v>72</v>
      </c>
      <c r="BD41" s="589" t="n">
        <f aca="false">BC41/(BC41+BB41)</f>
        <v>0.983027893883038</v>
      </c>
      <c r="BE41" s="590" t="n">
        <f aca="false">IF(H41&gt;Vout,ThetaJA_Q1*(AE41+AU41),ThetaJA_Q4*(AN41+AU41))</f>
        <v>21.6150492453483</v>
      </c>
      <c r="BF41" s="590" t="n">
        <f aca="false">IF(H41&gt;Vout, AI41*ThetaJA_Q2, ThetaJA_Q3*AR41)</f>
        <v>4.99474056936094</v>
      </c>
      <c r="BG41" s="536"/>
      <c r="BH41" s="385" t="n">
        <f aca="false">BD41*100</f>
        <v>98.3027893883038</v>
      </c>
      <c r="BI41" s="488" t="n">
        <f aca="false">T41</f>
        <v>0.160901050915646</v>
      </c>
      <c r="BJ41" s="488" t="n">
        <f aca="false">AE41+AI41+AN41+AR41+AU41</f>
        <v>0.718106486177608</v>
      </c>
      <c r="BK41" s="488" t="n">
        <f aca="false">AI41+AU41*0.33</f>
        <v>0.160055398687219</v>
      </c>
      <c r="BL41" s="488" t="n">
        <f aca="false">AV41</f>
        <v>0.0526391764782704</v>
      </c>
      <c r="BQ41" s="0" t="n">
        <v>9.998518</v>
      </c>
      <c r="BR41" s="0" t="n">
        <v>3.186</v>
      </c>
      <c r="BS41" s="0" t="n">
        <v>5.114889</v>
      </c>
      <c r="BT41" s="0" t="n">
        <v>94.5841193263365</v>
      </c>
      <c r="BU41" s="0" t="n">
        <v>933.109908060003</v>
      </c>
    </row>
    <row r="42" customFormat="false" ht="12.75" hidden="false" customHeight="false" outlineLevel="0" collapsed="false">
      <c r="A42" s="600" t="s">
        <v>860</v>
      </c>
      <c r="B42" s="596" t="n">
        <f aca="false">Rgate1</f>
        <v>1.5</v>
      </c>
      <c r="C42" s="601" t="s">
        <v>40</v>
      </c>
      <c r="D42" s="598" t="s">
        <v>651</v>
      </c>
      <c r="G42" s="0" t="n">
        <v>33</v>
      </c>
      <c r="H42" s="586" t="n">
        <f aca="false">VIN_min+(VIN_max-VIN_min)*(G42/200)</f>
        <v>13.26</v>
      </c>
      <c r="I42" s="385" t="str">
        <f aca="false">IF(H42&gt;VIN_BB_to_buck, "BUCK", IF(H42&lt;VIN_boost_to_BB,"BOOST","BUCK-BST"))</f>
        <v>BUCK-BST</v>
      </c>
      <c r="J42" s="419" t="n">
        <f aca="false">IF(I42="BOOST",2, IF(I42="BUCK", 1,3))</f>
        <v>3</v>
      </c>
      <c r="K42" s="0" t="n">
        <f aca="false">Iout</f>
        <v>6</v>
      </c>
      <c r="L42" s="385" t="n">
        <f aca="false">Vout*K42/(H42*Efficiency)</f>
        <v>6.03318250377074</v>
      </c>
      <c r="M42" s="385" t="n">
        <f aca="false">Iout/(1-O42)</f>
        <v>6.28272251308901</v>
      </c>
      <c r="N42" s="488" t="n">
        <f aca="false">CHOOSE(J42,(Vout+(Rdson2+Rs+Rdcr)*K42)/(H42+(Rs+Rdson2-Rdson1)*K42),1,IF(H42&lt;Vout,D_max_buck_BB,Vout/H42*(1-D_min_boost_exitBB_to_buck)))</f>
        <v>0.864253393665158</v>
      </c>
      <c r="O42" s="488" t="n">
        <f aca="false">CHOOSE(J42,0,(Vout+(Rdson3+Rdcr)*L42-H42)/(Vout+(Rdson3-Rdson4-Rs)*L42),IF(H42&gt;Vout,D_min_boost_exitBB_to_buck, (Vout-H42*D_max_buck_BB)/Vout))</f>
        <v>0.045</v>
      </c>
      <c r="P42" s="385" t="n">
        <f aca="false">MAX(0, CHOOSE(J42, (H42-(Rdson1+Rdcr)*K42-Vout)*N42/(Fsw*Lf), (H42-(Rdson4+Rdcr+Rs)*L42)*O42/(Fsw*Lf), IF(H42&lt;Vout, (H42-(Rdson4+Rdcr+Rs)*L42)*O42/(0.5*Fsw*Lf),(H42-(Rdson1+Rdcr)*K42-Vout)*N42/(0.5*Fsw*Lf))))</f>
        <v>1.4780571868682</v>
      </c>
      <c r="Q42" s="488" t="n">
        <f aca="false">CHOOSE(J42, SQRT(K42^2+(P42^2)/12), SQRT(L42^2+(P42^2)/12), SQRT(M42^2+(P42^2)/12))</f>
        <v>6.297194343286</v>
      </c>
      <c r="R42" s="488" t="n">
        <f aca="false">(Q42^2*Rdcr*(1+Ltc*Ta-Ltc*25))/(1-Q42^2*Rdcr*Ltc*ThetaCa)</f>
        <v>0.13427004754427</v>
      </c>
      <c r="S42" s="488" t="n">
        <f aca="false">7.759*10^-3*Fsw^0.9458*(0.00787*P42)^2.304</f>
        <v>0.0410545625650646</v>
      </c>
      <c r="T42" s="488" t="n">
        <f aca="false">R42+S42</f>
        <v>0.175324610109335</v>
      </c>
      <c r="U42" s="385" t="n">
        <f aca="false">IF(H42&gt;Vout, P42/SQRT(12), SQRT(O42/(1-O42))*SQRT(K42^2+(P42^2)/12))</f>
        <v>0.426678357358009</v>
      </c>
      <c r="V42" s="488" t="n">
        <f aca="false">RCoutEsr*U42^2</f>
        <v>0.000910272103188644</v>
      </c>
      <c r="W42" s="488" t="n">
        <f aca="false">V42</f>
        <v>0.000910272103188644</v>
      </c>
      <c r="X42" s="488" t="n">
        <f aca="false">IF(H42&gt;Vout, SQRT(N42*(1-N42))*SQRT(K42^2+(P42^2)/12), P42/SQRT(12))</f>
        <v>2.06030562650061</v>
      </c>
      <c r="Y42" s="587" t="n">
        <f aca="false">RCinEsr*X42^2</f>
        <v>0.00848971854918018</v>
      </c>
      <c r="Z42" s="588" t="n">
        <f aca="false">Y42</f>
        <v>0.00848971854918018</v>
      </c>
      <c r="AA42" s="488" t="n">
        <f aca="false">CHOOSE(J42, SQRT(N42)*SQRT(K42^2+(P42^2)/12), SQRT(L42^2+(P42^2)/12), SQRT(N42)*SQRT(M42^2+(P42^2)/12))</f>
        <v>5.85420118706912</v>
      </c>
      <c r="AB42" s="488" t="n">
        <f aca="false">Rdson1*AA42^2</f>
        <v>0.195348527770485</v>
      </c>
      <c r="AC42" s="488" t="n">
        <f aca="false">CHOOSE(J42, (H42*K42/2)*(Fsw)*(Tr_buck+Tf_buck), 0, (H42*M42/2)*(Fsw/2)*(Tr_buck+Tf_buck))</f>
        <v>0.0424194100370323</v>
      </c>
      <c r="AD42" s="0" t="n">
        <f aca="false">IF(H42&gt;Vout, IF(K42&gt;P42/2,0,ABS(K42-P42/2)*Vsd_Q1*Deadtime*Fsw),0)</f>
        <v>0</v>
      </c>
      <c r="AE42" s="488" t="n">
        <f aca="false">(AD42+AC42+AB42*(1+RdsonTopTc*Ta-RdsonTopTc*25))/(1-AB42*RdsonTopTc*ThetaJA_Q1)</f>
        <v>0.247435156516342</v>
      </c>
      <c r="AF42" s="488" t="n">
        <f aca="false">CHOOSE(J42, SQRT((1-N42))*SQRT(K42^2+(P42^2)/12), 0, SQRT((1-N42))*SQRT(M42^2+(P42^2)/12))</f>
        <v>2.32012608675297</v>
      </c>
      <c r="AG42" s="488" t="n">
        <f aca="false">Rdson2*AF42^2</f>
        <v>0.0306830148330605</v>
      </c>
      <c r="AH42" s="488" t="n">
        <f aca="false">CHOOSE(J42, IF(K42&lt;P42/2,Deadtime*Fsw*IF(VfdSky_Q2&gt;0,0,Vsd_Q2)*(K42+P42/2),2*Deadtime*Fsw*IF(VfdSky_Q2&gt;0,0,Vsd_Q2)*K42),0, IF(K42&lt;P42/2,Deadtime*Fsw/2*IF(VfdSky_Q2&gt;0,0,Vsd_Q2)*(K42+P42/2),2*Deadtime*Fsw/2*IF(VfdSky_Q2&gt;0,0,Vsd_Q2)*K42))</f>
        <v>0.072</v>
      </c>
      <c r="AI42" s="488" t="n">
        <f aca="false">(AH42+AG42*(1+RdsonBotTc*Ta-RdsonBotTc*25))/(1-AG42*RdsonBotTc*ThetaJA_Q2)</f>
        <v>0.103317030428489</v>
      </c>
      <c r="AJ42" s="488" t="n">
        <f aca="false">CHOOSE(J42, 0, SQRT(O42)*SQRT(L42^2+(P42^2)/12), SQRT(O42)*SQRT(M42^2+(P42^2)/12))</f>
        <v>1.33583664677613</v>
      </c>
      <c r="AK42" s="488" t="n">
        <f aca="false">Rdson4*AJ42^2</f>
        <v>0.00339047313905318</v>
      </c>
      <c r="AL42" s="488" t="n">
        <f aca="false">CHOOSE(J42, 0, (Vout*L42/2)*(Fsw)*(Tr_boost+Tf_boost), (Vout*Iout/2)*(Fsw/2)*(Tr_boost+Tf_boost))</f>
        <v>0.0349071770123085</v>
      </c>
      <c r="AM42" s="0" t="n">
        <f aca="false">IF(H42&gt;Vout, 0, IF(L42&gt;P42/2,0,ABS(L42-P42/2)*Vsd_Q4*Deadtime*Fsw))</f>
        <v>0</v>
      </c>
      <c r="AN42" s="488" t="n">
        <f aca="false">(AM42+AL42+AK42*(1+RdsonTopTc*Ta-RdsonTopTc*25))/(1-AK42*RdsonTopTc*ThetaJA_Q4)</f>
        <v>0.0383236372038678</v>
      </c>
      <c r="AO42" s="488" t="n">
        <f aca="false">CHOOSE(J42, SQRT(Iout^2+(P42^2)/12), SQRT(1-O42)*SQRT(L42^2+(P42^2)/12), SQRT(1-O42)*SQRT(M42^2+(P42^2)/12))</f>
        <v>6.15387658718007</v>
      </c>
      <c r="AP42" s="488" t="n">
        <f aca="false">Rdson3*AO42^2</f>
        <v>0.0719533743954618</v>
      </c>
      <c r="AQ42" s="488" t="n">
        <f aca="false">CHOOSE(J42, 0, IF(L42&lt;P42/2,Deadtime*Fsw*IF(VfdSky_Q3&gt;0,0,Vsd_Q3)*(L42+P42/2), 2*Deadtime*Fsw*IF(VfdSky_Q3&gt;0,0,Vsd_Q3)*L42), IF(L42&lt;P42/2,Deadtime*Fsw/2*IF(VfdSky_Q3&gt;0,0,Vsd_Q3)*(L42+P42/2), 2*Deadtime*Fsw/2*IF(VfdSky_Q3&gt;0,0,Vsd_Q3)*L42))</f>
        <v>0.0723981900452489</v>
      </c>
      <c r="AR42" s="488" t="n">
        <f aca="false">(AQ42+AP42*(1+RdsonBotTc*Ta-RdsonBotTc*25))/(1-AP42*RdsonBotTc*ThetaJA_Q3)</f>
        <v>0.146459211334068</v>
      </c>
      <c r="AS42" s="488" t="n">
        <f aca="false">CHOOSE(J42, Rdson3*Q42^2, Rdson1*Q42^2, 0)</f>
        <v>0</v>
      </c>
      <c r="AT42" s="488" t="n">
        <f aca="false">CHOOSE(J42, 2*Deadtime*Fsw*IF(VfdSky_Q2&gt;0,VfdSky_Q2,0)*K42, 2*Deadtime*Fsw*IF(VfdSky_Q3&gt;0,VfdSky_Q3,0)*L42, 2*Deadtime*Fsw/2*IF(VfdSky_Q2&gt;0,VfdSky_Q2,0)*K42+2*Deadtime*Fsw/2*IF(VfdSky_Q3&gt;0,VfdSky_Q3,0)*L42)</f>
        <v>0</v>
      </c>
      <c r="AU42" s="488" t="n">
        <f aca="false">CHOOSE(J42, IF(QrrSky_Q2&gt;0,QrrSky_Q2,Qrr_Q2)*Fsw*(H42-K42*Rdson1), IF(QrrSky_Q3&gt;0,QrrSky_Q3,Qrr_Q3)*Fsw*Vout,  IF(QrrSky_Q2&gt;0,QrrSky_Q2,Qrr_Q2)*Fsw/2*(H42-K42*Rdson1)+IF(QrrSky_Q3&gt;0,QrrSky_Q3,Qrr_Q3)*Fsw/2*Vout)</f>
        <v>0.18438381</v>
      </c>
      <c r="AV42" s="488" t="n">
        <f aca="false">CHOOSE(J42, Rs*AF42^2, Rs*AJ42^2, Rs*(AF42^2+AJ42^2))</f>
        <v>0.057339556842414</v>
      </c>
      <c r="AW42" s="488" t="n">
        <f aca="false">Rshunt_std/1000*Iout^2</f>
        <v>0.14832</v>
      </c>
      <c r="AX42" s="488" t="n">
        <f aca="false">IF(Vout&gt;8, Iq*Vout, Iq*H42)</f>
        <v>0.036</v>
      </c>
      <c r="AY42" s="488" t="n">
        <f aca="false">CHOOSE(J42, (Qg_Q1+Qg_Q2)*Fsw, (Qg_Q3+Qg_Q4)*Fsw, (Qg_Q1+Qg_Q2+Qg_Q3+Qg_Q4)*Fsw/2)*IF(Vout&gt;8, Vout, H42)</f>
        <v>0.1188</v>
      </c>
      <c r="AZ42" s="488" t="n">
        <f aca="false">(Vin-Vdd)*Fsw*(Qg_Q1+Qg_Q2)+(RdsonDRT+RdsonDRT2)*Fsw*Qg_Q1*Vdd/(RdsonDRT+2*Rgate1+RdsonDRT2)+(RdsonDRB+RdsonDRB2)*Fsw*Qg_Q2*Vdd/(RdsonDRB+2*Rgate2+RdsonDRB2)</f>
        <v>0.0522</v>
      </c>
      <c r="BA42" s="488" t="n">
        <f aca="false">SUM(AX42:AY42)</f>
        <v>0.1548</v>
      </c>
      <c r="BB42" s="488" t="n">
        <f aca="false">SUM(T42,W42,Z42,AE42,AI42,AN42,AR42, AT42,AU42,BA42,AV42,AW42)</f>
        <v>1.26510300308688</v>
      </c>
      <c r="BC42" s="419" t="n">
        <f aca="false">Vout*K42</f>
        <v>72</v>
      </c>
      <c r="BD42" s="589" t="n">
        <f aca="false">BC42/(BC42+BB42)</f>
        <v>0.982732529523181</v>
      </c>
      <c r="BE42" s="590" t="n">
        <f aca="false">IF(H42&gt;Vout,ThetaJA_Q1*(AE42+AU42),ThetaJA_Q4*(AN42+AU42))</f>
        <v>21.5909483258171</v>
      </c>
      <c r="BF42" s="590" t="n">
        <f aca="false">IF(H42&gt;Vout, AI42*ThetaJA_Q2, ThetaJA_Q3*AR42)</f>
        <v>5.16585152142447</v>
      </c>
      <c r="BG42" s="536"/>
      <c r="BH42" s="385" t="n">
        <f aca="false">BD42*100</f>
        <v>98.2732529523181</v>
      </c>
      <c r="BI42" s="488" t="n">
        <f aca="false">T42</f>
        <v>0.175324610109335</v>
      </c>
      <c r="BJ42" s="488" t="n">
        <f aca="false">AE42+AI42+AN42+AR42+AU42</f>
        <v>0.719918845482767</v>
      </c>
      <c r="BK42" s="488" t="n">
        <f aca="false">AI42+AU42*0.33</f>
        <v>0.16416368772849</v>
      </c>
      <c r="BL42" s="488" t="n">
        <f aca="false">AV42</f>
        <v>0.057339556842414</v>
      </c>
      <c r="BQ42" s="0" t="n">
        <v>9.998419</v>
      </c>
      <c r="BR42" s="0" t="n">
        <v>3.692</v>
      </c>
      <c r="BS42" s="0" t="n">
        <v>5.113754</v>
      </c>
      <c r="BT42" s="0" t="n">
        <v>94.4413633747896</v>
      </c>
      <c r="BU42" s="0" t="n">
        <v>1111.239120522</v>
      </c>
    </row>
    <row r="43" customFormat="false" ht="12.75" hidden="false" customHeight="false" outlineLevel="0" collapsed="false">
      <c r="A43" s="600" t="s">
        <v>861</v>
      </c>
      <c r="B43" s="596" t="n">
        <f aca="false">Gfs_Q1</f>
        <v>60</v>
      </c>
      <c r="C43" s="597" t="s">
        <v>116</v>
      </c>
      <c r="D43" s="598" t="s">
        <v>862</v>
      </c>
      <c r="G43" s="0" t="n">
        <v>34</v>
      </c>
      <c r="H43" s="586" t="n">
        <f aca="false">VIN_min+(VIN_max-VIN_min)*(G43/200)</f>
        <v>13.48</v>
      </c>
      <c r="I43" s="385" t="str">
        <f aca="false">IF(H43&gt;VIN_BB_to_buck, "BUCK", IF(H43&lt;VIN_boost_to_BB,"BOOST","BUCK-BST"))</f>
        <v>BUCK-BST</v>
      </c>
      <c r="J43" s="419" t="n">
        <f aca="false">IF(I43="BOOST",2, IF(I43="BUCK", 1,3))</f>
        <v>3</v>
      </c>
      <c r="K43" s="0" t="n">
        <f aca="false">Iout</f>
        <v>6</v>
      </c>
      <c r="L43" s="385" t="n">
        <f aca="false">Vout*K43/(H43*Efficiency)</f>
        <v>5.93471810089021</v>
      </c>
      <c r="M43" s="385" t="n">
        <f aca="false">Iout/(1-O43)</f>
        <v>6.28272251308901</v>
      </c>
      <c r="N43" s="488" t="n">
        <f aca="false">CHOOSE(J43,(Vout+(Rdson2+Rs+Rdcr)*K43)/(H43+(Rs+Rdson2-Rdson1)*K43),1,IF(H43&lt;Vout,D_max_buck_BB,Vout/H43*(1-D_min_boost_exitBB_to_buck)))</f>
        <v>0.850148367952522</v>
      </c>
      <c r="O43" s="488" t="n">
        <f aca="false">CHOOSE(J43,0,(Vout+(Rdson3+Rdcr)*L43-H43)/(Vout+(Rdson3-Rdson4-Rs)*L43),IF(H43&gt;Vout,D_min_boost_exitBB_to_buck, (Vout-H43*D_max_buck_BB)/Vout))</f>
        <v>0.045</v>
      </c>
      <c r="P43" s="385" t="n">
        <f aca="false">MAX(0, CHOOSE(J43, (H43-(Rdson1+Rdcr)*K43-Vout)*N43/(Fsw*Lf), (H43-(Rdson4+Rdcr+Rs)*L43)*O43/(Fsw*Lf), IF(H43&lt;Vout, (H43-(Rdson4+Rdcr+Rs)*L43)*O43/(0.5*Fsw*Lf),(H43-(Rdson1+Rdcr)*K43-Vout)*N43/(0.5*Fsw*Lf))))</f>
        <v>1.71922911799987</v>
      </c>
      <c r="Q43" s="488" t="n">
        <f aca="false">CHOOSE(J43, SQRT(K43^2+(P43^2)/12), SQRT(L43^2+(P43^2)/12), SQRT(M43^2+(P43^2)/12))</f>
        <v>6.30229438959789</v>
      </c>
      <c r="R43" s="488" t="n">
        <f aca="false">(Q43^2*Rdcr*(1+Ltc*Ta-Ltc*25))/(1-Q43^2*Rdcr*Ltc*ThetaCa)</f>
        <v>0.134489964995477</v>
      </c>
      <c r="S43" s="488" t="n">
        <f aca="false">7.759*10^-3*Fsw^0.9458*(0.00787*P43)^2.304</f>
        <v>0.0581569733391707</v>
      </c>
      <c r="T43" s="488" t="n">
        <f aca="false">R43+S43</f>
        <v>0.192646938334648</v>
      </c>
      <c r="U43" s="385" t="n">
        <f aca="false">IF(H43&gt;Vout, P43/SQRT(12), SQRT(O43/(1-O43))*SQRT(K43^2+(P43^2)/12))</f>
        <v>0.496298697037935</v>
      </c>
      <c r="V43" s="488" t="n">
        <f aca="false">RCoutEsr*U43^2</f>
        <v>0.00123156198340776</v>
      </c>
      <c r="W43" s="488" t="n">
        <f aca="false">V43</f>
        <v>0.00123156198340776</v>
      </c>
      <c r="X43" s="488" t="n">
        <f aca="false">IF(H43&gt;Vout, SQRT(N43*(1-N43))*SQRT(K43^2+(P43^2)/12), P43/SQRT(12))</f>
        <v>2.14886937222235</v>
      </c>
      <c r="Y43" s="587" t="n">
        <f aca="false">RCinEsr*X43^2</f>
        <v>0.00923527915775058</v>
      </c>
      <c r="Z43" s="588" t="n">
        <f aca="false">Y43</f>
        <v>0.00923527915775058</v>
      </c>
      <c r="AA43" s="488" t="n">
        <f aca="false">CHOOSE(J43, SQRT(N43)*SQRT(K43^2+(P43^2)/12), SQRT(L43^2+(P43^2)/12), SQRT(N43)*SQRT(M43^2+(P43^2)/12))</f>
        <v>5.81093541533677</v>
      </c>
      <c r="AB43" s="488" t="n">
        <f aca="false">Rdson1*AA43^2</f>
        <v>0.192471731286926</v>
      </c>
      <c r="AC43" s="488" t="n">
        <f aca="false">CHOOSE(J43, (H43*K43/2)*(Fsw)*(Tr_buck+Tf_buck), 0, (H43*M43/2)*(Fsw/2)*(Tr_buck+Tf_buck))</f>
        <v>0.0431232011537855</v>
      </c>
      <c r="AD43" s="0" t="n">
        <f aca="false">IF(H43&gt;Vout, IF(K43&gt;P43/2,0,ABS(K43-P43/2)*Vsd_Q1*Deadtime*Fsw),0)</f>
        <v>0</v>
      </c>
      <c r="AE43" s="488" t="n">
        <f aca="false">(AD43+AC43+AB43*(1+RdsonTopTc*Ta-RdsonTopTc*25))/(1-AB43*RdsonTopTc*ThetaJA_Q1)</f>
        <v>0.245027090089038</v>
      </c>
      <c r="AF43" s="488" t="n">
        <f aca="false">CHOOSE(J43, SQRT((1-N43))*SQRT(K43^2+(P43^2)/12), 0, SQRT((1-N43))*SQRT(M43^2+(P43^2)/12))</f>
        <v>2.43966066737608</v>
      </c>
      <c r="AG43" s="488" t="n">
        <f aca="false">Rdson2*AF43^2</f>
        <v>0.033926081780069</v>
      </c>
      <c r="AH43" s="488" t="n">
        <f aca="false">CHOOSE(J43, IF(K43&lt;P43/2,Deadtime*Fsw*IF(VfdSky_Q2&gt;0,0,Vsd_Q2)*(K43+P43/2),2*Deadtime*Fsw*IF(VfdSky_Q2&gt;0,0,Vsd_Q2)*K43),0, IF(K43&lt;P43/2,Deadtime*Fsw/2*IF(VfdSky_Q2&gt;0,0,Vsd_Q2)*(K43+P43/2),2*Deadtime*Fsw/2*IF(VfdSky_Q2&gt;0,0,Vsd_Q2)*K43))</f>
        <v>0.072</v>
      </c>
      <c r="AI43" s="488" t="n">
        <f aca="false">(AH43+AG43*(1+RdsonBotTc*Ta-RdsonBotTc*25))/(1-AG43*RdsonBotTc*ThetaJA_Q2)</f>
        <v>0.10664972322647</v>
      </c>
      <c r="AJ43" s="488" t="n">
        <f aca="false">CHOOSE(J43, 0, SQRT(O43)*SQRT(L43^2+(P43^2)/12), SQRT(O43)*SQRT(M43^2+(P43^2)/12))</f>
        <v>1.33691852997558</v>
      </c>
      <c r="AK43" s="488" t="n">
        <f aca="false">Rdson4*AJ43^2</f>
        <v>0.00339596719600492</v>
      </c>
      <c r="AL43" s="488" t="n">
        <f aca="false">CHOOSE(J43, 0, (Vout*L43/2)*(Fsw)*(Tr_boost+Tf_boost), (Vout*Iout/2)*(Fsw/2)*(Tr_boost+Tf_boost))</f>
        <v>0.0349071770123085</v>
      </c>
      <c r="AM43" s="0" t="n">
        <f aca="false">IF(H43&gt;Vout, 0, IF(L43&gt;P43/2,0,ABS(L43-P43/2)*Vsd_Q4*Deadtime*Fsw))</f>
        <v>0</v>
      </c>
      <c r="AN43" s="488" t="n">
        <f aca="false">(AM43+AL43+AK43*(1+RdsonTopTc*Ta-RdsonTopTc*25))/(1-AK43*RdsonTopTc*ThetaJA_Q4)</f>
        <v>0.0383291771339528</v>
      </c>
      <c r="AO43" s="488" t="n">
        <f aca="false">CHOOSE(J43, SQRT(Iout^2+(P43^2)/12), SQRT(1-O43)*SQRT(L43^2+(P43^2)/12), SQRT(1-O43)*SQRT(M43^2+(P43^2)/12))</f>
        <v>6.1588605616108</v>
      </c>
      <c r="AP43" s="488" t="n">
        <f aca="false">Rdson3*AO43^2</f>
        <v>0.0720699704929933</v>
      </c>
      <c r="AQ43" s="488" t="n">
        <f aca="false">CHOOSE(J43, 0, IF(L43&lt;P43/2,Deadtime*Fsw*IF(VfdSky_Q3&gt;0,0,Vsd_Q3)*(L43+P43/2), 2*Deadtime*Fsw*IF(VfdSky_Q3&gt;0,0,Vsd_Q3)*L43), IF(L43&lt;P43/2,Deadtime*Fsw/2*IF(VfdSky_Q3&gt;0,0,Vsd_Q3)*(L43+P43/2), 2*Deadtime*Fsw/2*IF(VfdSky_Q3&gt;0,0,Vsd_Q3)*L43))</f>
        <v>0.0712166172106825</v>
      </c>
      <c r="AR43" s="488" t="n">
        <f aca="false">(AQ43+AP43*(1+RdsonBotTc*Ta-RdsonBotTc*25))/(1-AP43*RdsonBotTc*ThetaJA_Q3)</f>
        <v>0.145382124792476</v>
      </c>
      <c r="AS43" s="488" t="n">
        <f aca="false">CHOOSE(J43, Rdson3*Q43^2, Rdson1*Q43^2, 0)</f>
        <v>0</v>
      </c>
      <c r="AT43" s="488" t="n">
        <f aca="false">CHOOSE(J43, 2*Deadtime*Fsw*IF(VfdSky_Q2&gt;0,VfdSky_Q2,0)*K43, 2*Deadtime*Fsw*IF(VfdSky_Q3&gt;0,VfdSky_Q3,0)*L43, 2*Deadtime*Fsw/2*IF(VfdSky_Q2&gt;0,VfdSky_Q2,0)*K43+2*Deadtime*Fsw/2*IF(VfdSky_Q3&gt;0,VfdSky_Q3,0)*L43)</f>
        <v>0</v>
      </c>
      <c r="AU43" s="488" t="n">
        <f aca="false">CHOOSE(J43, IF(QrrSky_Q2&gt;0,QrrSky_Q2,Qrr_Q2)*Fsw*(H43-K43*Rdson1), IF(QrrSky_Q3&gt;0,QrrSky_Q3,Qrr_Q3)*Fsw*Vout,  IF(QrrSky_Q2&gt;0,QrrSky_Q2,Qrr_Q2)*Fsw/2*(H43-K43*Rdson1)+IF(QrrSky_Q3&gt;0,QrrSky_Q3,Qrr_Q3)*Fsw/2*Vout)</f>
        <v>0.18646281</v>
      </c>
      <c r="AV43" s="488" t="n">
        <f aca="false">CHOOSE(J43, Rs*AF43^2, Rs*AJ43^2, Rs*(AF43^2+AJ43^2))</f>
        <v>0.0619143626218719</v>
      </c>
      <c r="AW43" s="488" t="n">
        <f aca="false">Rshunt_std/1000*Iout^2</f>
        <v>0.14832</v>
      </c>
      <c r="AX43" s="488" t="n">
        <f aca="false">IF(Vout&gt;8, Iq*Vout, Iq*H43)</f>
        <v>0.036</v>
      </c>
      <c r="AY43" s="488" t="n">
        <f aca="false">CHOOSE(J43, (Qg_Q1+Qg_Q2)*Fsw, (Qg_Q3+Qg_Q4)*Fsw, (Qg_Q1+Qg_Q2+Qg_Q3+Qg_Q4)*Fsw/2)*IF(Vout&gt;8, Vout, H43)</f>
        <v>0.1188</v>
      </c>
      <c r="AZ43" s="488" t="n">
        <f aca="false">(Vin-Vdd)*Fsw*(Qg_Q1+Qg_Q2)+(RdsonDRT+RdsonDRT2)*Fsw*Qg_Q1*Vdd/(RdsonDRT+2*Rgate1+RdsonDRT2)+(RdsonDRB+RdsonDRB2)*Fsw*Qg_Q2*Vdd/(RdsonDRB+2*Rgate2+RdsonDRB2)</f>
        <v>0.0522</v>
      </c>
      <c r="BA43" s="488" t="n">
        <f aca="false">SUM(AX43:AY43)</f>
        <v>0.1548</v>
      </c>
      <c r="BB43" s="488" t="n">
        <f aca="false">SUM(T43,W43,Z43,AE43,AI43,AN43,AR43, AT43,AU43,BA43,AV43,AW43)</f>
        <v>1.28999906733962</v>
      </c>
      <c r="BC43" s="419" t="n">
        <f aca="false">Vout*K43</f>
        <v>72</v>
      </c>
      <c r="BD43" s="589" t="n">
        <f aca="false">BC43/(BC43+BB43)</f>
        <v>0.982398702636708</v>
      </c>
      <c r="BE43" s="590" t="n">
        <f aca="false">IF(H43&gt;Vout,ThetaJA_Q1*(AE43+AU43),ThetaJA_Q4*(AN43+AU43))</f>
        <v>21.5744950044519</v>
      </c>
      <c r="BF43" s="590" t="n">
        <f aca="false">IF(H43&gt;Vout, AI43*ThetaJA_Q2, ThetaJA_Q3*AR43)</f>
        <v>5.33248616132348</v>
      </c>
      <c r="BG43" s="536"/>
      <c r="BH43" s="385" t="n">
        <f aca="false">BD43*100</f>
        <v>98.2398702636708</v>
      </c>
      <c r="BI43" s="488" t="n">
        <f aca="false">T43</f>
        <v>0.192646938334648</v>
      </c>
      <c r="BJ43" s="488" t="n">
        <f aca="false">AE43+AI43+AN43+AR43+AU43</f>
        <v>0.721850925241937</v>
      </c>
      <c r="BK43" s="488" t="n">
        <f aca="false">AI43+AU43*0.33</f>
        <v>0.16818245052647</v>
      </c>
      <c r="BL43" s="488" t="n">
        <f aca="false">AV43</f>
        <v>0.0619143626218719</v>
      </c>
      <c r="BQ43" s="0" t="n">
        <v>9.998246</v>
      </c>
      <c r="BR43" s="0" t="n">
        <v>4.243</v>
      </c>
      <c r="BS43" s="0" t="n">
        <v>5.112059</v>
      </c>
      <c r="BT43" s="0" t="n">
        <v>94.2671786158599</v>
      </c>
      <c r="BU43" s="0" t="n">
        <v>1319.09707756</v>
      </c>
    </row>
    <row r="44" customFormat="false" ht="12.75" hidden="false" customHeight="false" outlineLevel="0" collapsed="false">
      <c r="A44" s="600" t="s">
        <v>863</v>
      </c>
      <c r="B44" s="596" t="n">
        <f aca="false">Vth_Q1</f>
        <v>4</v>
      </c>
      <c r="C44" s="597" t="s">
        <v>11</v>
      </c>
      <c r="D44" s="598" t="s">
        <v>864</v>
      </c>
      <c r="G44" s="0" t="n">
        <v>35</v>
      </c>
      <c r="H44" s="586" t="n">
        <f aca="false">VIN_min+(VIN_max-VIN_min)*(G44/200)</f>
        <v>13.7</v>
      </c>
      <c r="I44" s="385" t="str">
        <f aca="false">IF(H44&gt;VIN_BB_to_buck, "BUCK", IF(H44&lt;VIN_boost_to_BB,"BOOST","BUCK-BST"))</f>
        <v>BUCK-BST</v>
      </c>
      <c r="J44" s="419" t="n">
        <f aca="false">IF(I44="BOOST",2, IF(I44="BUCK", 1,3))</f>
        <v>3</v>
      </c>
      <c r="K44" s="0" t="n">
        <f aca="false">Iout</f>
        <v>6</v>
      </c>
      <c r="L44" s="385" t="n">
        <f aca="false">Vout*K44/(H44*Efficiency)</f>
        <v>5.83941605839416</v>
      </c>
      <c r="M44" s="385" t="n">
        <f aca="false">Iout/(1-O44)</f>
        <v>6.28272251308901</v>
      </c>
      <c r="N44" s="488" t="n">
        <f aca="false">CHOOSE(J44,(Vout+(Rdson2+Rs+Rdcr)*K44)/(H44+(Rs+Rdson2-Rdson1)*K44),1,IF(H44&lt;Vout,D_max_buck_BB,Vout/H44*(1-D_min_boost_exitBB_to_buck)))</f>
        <v>0.836496350364964</v>
      </c>
      <c r="O44" s="488" t="n">
        <f aca="false">CHOOSE(J44,0,(Vout+(Rdson3+Rdcr)*L44-H44)/(Vout+(Rdson3-Rdson4-Rs)*L44),IF(H44&gt;Vout,D_min_boost_exitBB_to_buck, (Vout-H44*D_max_buck_BB)/Vout))</f>
        <v>0.045</v>
      </c>
      <c r="P44" s="385" t="n">
        <f aca="false">MAX(0, CHOOSE(J44, (H44-(Rdson1+Rdcr)*K44-Vout)*N44/(Fsw*Lf), (H44-(Rdson4+Rdcr+Rs)*L44)*O44/(Fsw*Lf), IF(H44&lt;Vout, (H44-(Rdson4+Rdcr+Rs)*L44)*O44/(0.5*Fsw*Lf),(H44-(Rdson1+Rdcr)*K44-Vout)*N44/(0.5*Fsw*Lf))))</f>
        <v>1.95265538127038</v>
      </c>
      <c r="Q44" s="488" t="n">
        <f aca="false">CHOOSE(J44, SQRT(K44^2+(P44^2)/12), SQRT(L44^2+(P44^2)/12), SQRT(M44^2+(P44^2)/12))</f>
        <v>6.3079585257812</v>
      </c>
      <c r="R44" s="488" t="n">
        <f aca="false">(Q44^2*Rdcr*(1+Ltc*Ta-Ltc*25))/(1-Q44^2*Rdcr*Ltc*ThetaCa)</f>
        <v>0.134734424032766</v>
      </c>
      <c r="S44" s="488" t="n">
        <f aca="false">7.759*10^-3*Fsw^0.9458*(0.00787*P44)^2.304</f>
        <v>0.0779819707422777</v>
      </c>
      <c r="T44" s="488" t="n">
        <f aca="false">R44+S44</f>
        <v>0.212716394775044</v>
      </c>
      <c r="U44" s="385" t="n">
        <f aca="false">IF(H44&gt;Vout, P44/SQRT(12), SQRT(O44/(1-O44))*SQRT(K44^2+(P44^2)/12))</f>
        <v>0.563683055005514</v>
      </c>
      <c r="V44" s="488" t="n">
        <f aca="false">RCoutEsr*U44^2</f>
        <v>0.00158869293250174</v>
      </c>
      <c r="W44" s="488" t="n">
        <f aca="false">V44</f>
        <v>0.00158869293250174</v>
      </c>
      <c r="X44" s="488" t="n">
        <f aca="false">IF(H44&gt;Vout, SQRT(N44*(1-N44))*SQRT(K44^2+(P44^2)/12), P44/SQRT(12))</f>
        <v>2.22871815061229</v>
      </c>
      <c r="Y44" s="587" t="n">
        <f aca="false">RCinEsr*X44^2</f>
        <v>0.00993436918973732</v>
      </c>
      <c r="Z44" s="588" t="n">
        <f aca="false">Y44</f>
        <v>0.00993436918973732</v>
      </c>
      <c r="AA44" s="488" t="n">
        <f aca="false">CHOOSE(J44, SQRT(N44)*SQRT(K44^2+(P44^2)/12), SQRT(L44^2+(P44^2)/12), SQRT(N44)*SQRT(M44^2+(P44^2)/12))</f>
        <v>5.76926986957687</v>
      </c>
      <c r="AB44" s="488" t="n">
        <f aca="false">Rdson1*AA44^2</f>
        <v>0.189721506519643</v>
      </c>
      <c r="AC44" s="488" t="n">
        <f aca="false">CHOOSE(J44, (H44*K44/2)*(Fsw)*(Tr_buck+Tf_buck), 0, (H44*M44/2)*(Fsw/2)*(Tr_buck+Tf_buck))</f>
        <v>0.0438269922705387</v>
      </c>
      <c r="AD44" s="0" t="n">
        <f aca="false">IF(H44&gt;Vout, IF(K44&gt;P44/2,0,ABS(K44-P44/2)*Vsd_Q1*Deadtime*Fsw),0)</f>
        <v>0</v>
      </c>
      <c r="AE44" s="488" t="n">
        <f aca="false">(AD44+AC44+AB44*(1+RdsonTopTc*Ta-RdsonTopTc*25))/(1-AB44*RdsonTopTc*ThetaJA_Q1)</f>
        <v>0.24275985174946</v>
      </c>
      <c r="AF44" s="488" t="n">
        <f aca="false">CHOOSE(J44, SQRT((1-N44))*SQRT(K44^2+(P44^2)/12), 0, SQRT((1-N44))*SQRT(M44^2+(P44^2)/12))</f>
        <v>2.55065990186232</v>
      </c>
      <c r="AG44" s="488" t="n">
        <f aca="false">Rdson2*AF44^2</f>
        <v>0.0370834358293193</v>
      </c>
      <c r="AH44" s="488" t="n">
        <f aca="false">CHOOSE(J44, IF(K44&lt;P44/2,Deadtime*Fsw*IF(VfdSky_Q2&gt;0,0,Vsd_Q2)*(K44+P44/2),2*Deadtime*Fsw*IF(VfdSky_Q2&gt;0,0,Vsd_Q2)*K44),0, IF(K44&lt;P44/2,Deadtime*Fsw/2*IF(VfdSky_Q2&gt;0,0,Vsd_Q2)*(K44+P44/2),2*Deadtime*Fsw/2*IF(VfdSky_Q2&gt;0,0,Vsd_Q2)*K44))</f>
        <v>0.072</v>
      </c>
      <c r="AI44" s="488" t="n">
        <f aca="false">(AH44+AG44*(1+RdsonBotTc*Ta-RdsonBotTc*25))/(1-AG44*RdsonBotTc*ThetaJA_Q2)</f>
        <v>0.109898518762976</v>
      </c>
      <c r="AJ44" s="488" t="n">
        <f aca="false">CHOOSE(J44, 0, SQRT(O44)*SQRT(L44^2+(P44^2)/12), SQRT(O44)*SQRT(M44^2+(P44^2)/12))</f>
        <v>1.33812007470702</v>
      </c>
      <c r="AK44" s="488" t="n">
        <f aca="false">Rdson4*AJ44^2</f>
        <v>0.00340207413523443</v>
      </c>
      <c r="AL44" s="488" t="n">
        <f aca="false">CHOOSE(J44, 0, (Vout*L44/2)*(Fsw)*(Tr_boost+Tf_boost), (Vout*Iout/2)*(Fsw/2)*(Tr_boost+Tf_boost))</f>
        <v>0.0349071770123085</v>
      </c>
      <c r="AM44" s="0" t="n">
        <f aca="false">IF(H44&gt;Vout, 0, IF(L44&gt;P44/2,0,ABS(L44-P44/2)*Vsd_Q4*Deadtime*Fsw))</f>
        <v>0</v>
      </c>
      <c r="AN44" s="488" t="n">
        <f aca="false">(AM44+AL44+AK44*(1+RdsonTopTc*Ta-RdsonTopTc*25))/(1-AK44*RdsonTopTc*ThetaJA_Q4)</f>
        <v>0.0383353350779298</v>
      </c>
      <c r="AO44" s="488" t="n">
        <f aca="false">CHOOSE(J44, SQRT(Iout^2+(P44^2)/12), SQRT(1-O44)*SQRT(L44^2+(P44^2)/12), SQRT(1-O44)*SQRT(M44^2+(P44^2)/12))</f>
        <v>6.16439578779963</v>
      </c>
      <c r="AP44" s="488" t="n">
        <f aca="false">Rdson3*AO44^2</f>
        <v>0.0721995733144195</v>
      </c>
      <c r="AQ44" s="488" t="n">
        <f aca="false">CHOOSE(J44, 0, IF(L44&lt;P44/2,Deadtime*Fsw*IF(VfdSky_Q3&gt;0,0,Vsd_Q3)*(L44+P44/2), 2*Deadtime*Fsw*IF(VfdSky_Q3&gt;0,0,Vsd_Q3)*L44), IF(L44&lt;P44/2,Deadtime*Fsw/2*IF(VfdSky_Q3&gt;0,0,Vsd_Q3)*(L44+P44/2), 2*Deadtime*Fsw/2*IF(VfdSky_Q3&gt;0,0,Vsd_Q3)*L44))</f>
        <v>0.0700729927007299</v>
      </c>
      <c r="AR44" s="488" t="n">
        <f aca="false">(AQ44+AP44*(1+RdsonBotTc*Ta-RdsonBotTc*25))/(1-AP44*RdsonBotTc*ThetaJA_Q3)</f>
        <v>0.144357069783812</v>
      </c>
      <c r="AS44" s="488" t="n">
        <f aca="false">CHOOSE(J44, Rdson3*Q44^2, Rdson1*Q44^2, 0)</f>
        <v>0</v>
      </c>
      <c r="AT44" s="488" t="n">
        <f aca="false">CHOOSE(J44, 2*Deadtime*Fsw*IF(VfdSky_Q2&gt;0,VfdSky_Q2,0)*K44, 2*Deadtime*Fsw*IF(VfdSky_Q3&gt;0,VfdSky_Q3,0)*L44, 2*Deadtime*Fsw/2*IF(VfdSky_Q2&gt;0,VfdSky_Q2,0)*K44+2*Deadtime*Fsw/2*IF(VfdSky_Q3&gt;0,VfdSky_Q3,0)*L44)</f>
        <v>0</v>
      </c>
      <c r="AU44" s="488" t="n">
        <f aca="false">CHOOSE(J44, IF(QrrSky_Q2&gt;0,QrrSky_Q2,Qrr_Q2)*Fsw*(H44-K44*Rdson1), IF(QrrSky_Q3&gt;0,QrrSky_Q3,Qrr_Q3)*Fsw*Vout,  IF(QrrSky_Q2&gt;0,QrrSky_Q2,Qrr_Q2)*Fsw/2*(H44-K44*Rdson1)+IF(QrrSky_Q3&gt;0,QrrSky_Q3,Qrr_Q3)*Fsw/2*Vout)</f>
        <v>0.18854181</v>
      </c>
      <c r="AV44" s="488" t="n">
        <f aca="false">CHOOSE(J44, Rs*AF44^2, Rs*AJ44^2, Rs*(AF44^2+AJ44^2))</f>
        <v>0.0663714501544177</v>
      </c>
      <c r="AW44" s="488" t="n">
        <f aca="false">Rshunt_std/1000*Iout^2</f>
        <v>0.14832</v>
      </c>
      <c r="AX44" s="488" t="n">
        <f aca="false">IF(Vout&gt;8, Iq*Vout, Iq*H44)</f>
        <v>0.036</v>
      </c>
      <c r="AY44" s="488" t="n">
        <f aca="false">CHOOSE(J44, (Qg_Q1+Qg_Q2)*Fsw, (Qg_Q3+Qg_Q4)*Fsw, (Qg_Q1+Qg_Q2+Qg_Q3+Qg_Q4)*Fsw/2)*IF(Vout&gt;8, Vout, H44)</f>
        <v>0.1188</v>
      </c>
      <c r="AZ44" s="488" t="n">
        <f aca="false">(Vin-Vdd)*Fsw*(Qg_Q1+Qg_Q2)+(RdsonDRT+RdsonDRT2)*Fsw*Qg_Q1*Vdd/(RdsonDRT+2*Rgate1+RdsonDRT2)+(RdsonDRB+RdsonDRB2)*Fsw*Qg_Q2*Vdd/(RdsonDRB+2*Rgate2+RdsonDRB2)</f>
        <v>0.0522</v>
      </c>
      <c r="BA44" s="488" t="n">
        <f aca="false">SUM(AX44:AY44)</f>
        <v>0.1548</v>
      </c>
      <c r="BB44" s="488" t="n">
        <f aca="false">SUM(T44,W44,Z44,AE44,AI44,AN44,AR44, AT44,AU44,BA44,AV44,AW44)</f>
        <v>1.31762349242588</v>
      </c>
      <c r="BC44" s="419" t="n">
        <f aca="false">Vout*K44</f>
        <v>72</v>
      </c>
      <c r="BD44" s="589" t="n">
        <f aca="false">BC44/(BC44+BB44)</f>
        <v>0.98202855698723</v>
      </c>
      <c r="BE44" s="590" t="n">
        <f aca="false">IF(H44&gt;Vout,ThetaJA_Q1*(AE44+AU44),ThetaJA_Q4*(AN44+AU44))</f>
        <v>21.565083087473</v>
      </c>
      <c r="BF44" s="590" t="n">
        <f aca="false">IF(H44&gt;Vout, AI44*ThetaJA_Q2, ThetaJA_Q3*AR44)</f>
        <v>5.49492593814881</v>
      </c>
      <c r="BG44" s="536"/>
      <c r="BH44" s="385" t="n">
        <f aca="false">BD44*100</f>
        <v>98.202855698723</v>
      </c>
      <c r="BI44" s="488" t="n">
        <f aca="false">T44</f>
        <v>0.212716394775044</v>
      </c>
      <c r="BJ44" s="488" t="n">
        <f aca="false">AE44+AI44+AN44+AR44+AU44</f>
        <v>0.723892585374177</v>
      </c>
      <c r="BK44" s="488" t="n">
        <f aca="false">AI44+AU44*0.33</f>
        <v>0.172117316062976</v>
      </c>
      <c r="BL44" s="488" t="n">
        <f aca="false">AV44</f>
        <v>0.0663714501544177</v>
      </c>
      <c r="BQ44" s="0" t="n">
        <v>9.998147</v>
      </c>
      <c r="BR44" s="0" t="n">
        <v>4.849</v>
      </c>
      <c r="BS44" s="0" t="n">
        <v>5.110774</v>
      </c>
      <c r="BT44" s="0" t="n">
        <v>93.9538159946813</v>
      </c>
      <c r="BU44" s="0" t="n">
        <v>1594.798320901</v>
      </c>
    </row>
    <row r="45" customFormat="false" ht="12.75" hidden="false" customHeight="false" outlineLevel="0" collapsed="false">
      <c r="A45" s="620" t="s">
        <v>865</v>
      </c>
      <c r="B45" s="621" t="n">
        <f aca="false">Vsp_Q1</f>
        <v>4.1</v>
      </c>
      <c r="C45" s="622" t="s">
        <v>11</v>
      </c>
      <c r="G45" s="0" t="n">
        <v>36</v>
      </c>
      <c r="H45" s="586" t="n">
        <f aca="false">VIN_min+(VIN_max-VIN_min)*(G45/200)</f>
        <v>13.92</v>
      </c>
      <c r="I45" s="385" t="str">
        <f aca="false">IF(H45&gt;VIN_BB_to_buck, "BUCK", IF(H45&lt;VIN_boost_to_BB,"BOOST","BUCK-BST"))</f>
        <v>BUCK-BST</v>
      </c>
      <c r="J45" s="419" t="n">
        <f aca="false">IF(I45="BOOST",2, IF(I45="BUCK", 1,3))</f>
        <v>3</v>
      </c>
      <c r="K45" s="0" t="n">
        <f aca="false">Iout</f>
        <v>6</v>
      </c>
      <c r="L45" s="385" t="n">
        <f aca="false">Vout*K45/(H45*Efficiency)</f>
        <v>5.74712643678161</v>
      </c>
      <c r="M45" s="385" t="n">
        <f aca="false">Iout/(1-O45)</f>
        <v>6.28272251308901</v>
      </c>
      <c r="N45" s="488" t="n">
        <f aca="false">CHOOSE(J45,(Vout+(Rdson2+Rs+Rdcr)*K45)/(H45+(Rs+Rdson2-Rdson1)*K45),1,IF(H45&lt;Vout,D_max_buck_BB,Vout/H45*(1-D_min_boost_exitBB_to_buck)))</f>
        <v>0.823275862068966</v>
      </c>
      <c r="O45" s="488" t="n">
        <f aca="false">CHOOSE(J45,0,(Vout+(Rdson3+Rdcr)*L45-H45)/(Vout+(Rdson3-Rdson4-Rs)*L45),IF(H45&gt;Vout,D_min_boost_exitBB_to_buck, (Vout-H45*D_max_buck_BB)/Vout))</f>
        <v>0.045</v>
      </c>
      <c r="P45" s="385" t="n">
        <f aca="false">MAX(0, CHOOSE(J45, (H45-(Rdson1+Rdcr)*K45-Vout)*N45/(Fsw*Lf), (H45-(Rdson4+Rdcr+Rs)*L45)*O45/(Fsw*Lf), IF(H45&lt;Vout, (H45-(Rdson4+Rdcr+Rs)*L45)*O45/(0.5*Fsw*Lf),(H45-(Rdson1+Rdcr)*K45-Vout)*N45/(0.5*Fsw*Lf))))</f>
        <v>2.17870322817315</v>
      </c>
      <c r="Q45" s="488" t="n">
        <f aca="false">CHOOSE(J45, SQRT(K45^2+(P45^2)/12), SQRT(L45^2+(P45^2)/12), SQRT(M45^2+(P45^2)/12))</f>
        <v>6.31412420605686</v>
      </c>
      <c r="R45" s="488" t="n">
        <f aca="false">(Q45^2*Rdcr*(1+Ltc*Ta-Ltc*25))/(1-Q45^2*Rdcr*Ltc*ThetaCa)</f>
        <v>0.135000789668445</v>
      </c>
      <c r="S45" s="488" t="n">
        <f aca="false">7.759*10^-3*Fsw^0.9458*(0.00787*P45)^2.304</f>
        <v>0.100369367443829</v>
      </c>
      <c r="T45" s="488" t="n">
        <f aca="false">R45+S45</f>
        <v>0.235370157112274</v>
      </c>
      <c r="U45" s="385" t="n">
        <f aca="false">IF(H45&gt;Vout, P45/SQRT(12), SQRT(O45/(1-O45))*SQRT(K45^2+(P45^2)/12))</f>
        <v>0.628937447635037</v>
      </c>
      <c r="V45" s="488" t="n">
        <f aca="false">RCoutEsr*U45^2</f>
        <v>0.00197781156518837</v>
      </c>
      <c r="W45" s="488" t="n">
        <f aca="false">V45</f>
        <v>0.00197781156518837</v>
      </c>
      <c r="X45" s="488" t="n">
        <f aca="false">IF(H45&gt;Vout, SQRT(N45*(1-N45))*SQRT(K45^2+(P45^2)/12), P45/SQRT(12))</f>
        <v>2.30114954920285</v>
      </c>
      <c r="Y45" s="587" t="n">
        <f aca="false">RCinEsr*X45^2</f>
        <v>0.010590578495593</v>
      </c>
      <c r="Z45" s="588" t="n">
        <f aca="false">Y45</f>
        <v>0.010590578495593</v>
      </c>
      <c r="AA45" s="488" t="n">
        <f aca="false">CHOOSE(J45, SQRT(N45)*SQRT(K45^2+(P45^2)/12), SQRT(L45^2+(P45^2)/12), SQRT(N45)*SQRT(M45^2+(P45^2)/12))</f>
        <v>5.72909220463515</v>
      </c>
      <c r="AB45" s="488" t="n">
        <f aca="false">Rdson1*AA45^2</f>
        <v>0.187088235688504</v>
      </c>
      <c r="AC45" s="488" t="n">
        <f aca="false">CHOOSE(J45, (H45*K45/2)*(Fsw)*(Tr_buck+Tf_buck), 0, (H45*M45/2)*(Fsw/2)*(Tr_buck+Tf_buck))</f>
        <v>0.0445307833872918</v>
      </c>
      <c r="AD45" s="0" t="n">
        <f aca="false">IF(H45&gt;Vout, IF(K45&gt;P45/2,0,ABS(K45-P45/2)*Vsd_Q1*Deadtime*Fsw),0)</f>
        <v>0</v>
      </c>
      <c r="AE45" s="488" t="n">
        <f aca="false">(AD45+AC45+AB45*(1+RdsonTopTc*Ta-RdsonTopTc*25))/(1-AB45*RdsonTopTc*ThetaJA_Q1)</f>
        <v>0.240622548696288</v>
      </c>
      <c r="AF45" s="488" t="n">
        <f aca="false">CHOOSE(J45, SQRT((1-N45))*SQRT(K45^2+(P45^2)/12), 0, SQRT((1-N45))*SQRT(M45^2+(P45^2)/12))</f>
        <v>2.65436753301081</v>
      </c>
      <c r="AG45" s="488" t="n">
        <f aca="false">Rdson2*AF45^2</f>
        <v>0.0401603019017208</v>
      </c>
      <c r="AH45" s="488" t="n">
        <f aca="false">CHOOSE(J45, IF(K45&lt;P45/2,Deadtime*Fsw*IF(VfdSky_Q2&gt;0,0,Vsd_Q2)*(K45+P45/2),2*Deadtime*Fsw*IF(VfdSky_Q2&gt;0,0,Vsd_Q2)*K45),0, IF(K45&lt;P45/2,Deadtime*Fsw/2*IF(VfdSky_Q2&gt;0,0,Vsd_Q2)*(K45+P45/2),2*Deadtime*Fsw/2*IF(VfdSky_Q2&gt;0,0,Vsd_Q2)*K45))</f>
        <v>0.072</v>
      </c>
      <c r="AI45" s="488" t="n">
        <f aca="false">(AH45+AG45*(1+RdsonBotTc*Ta-RdsonBotTc*25))/(1-AG45*RdsonBotTc*ThetaJA_Q2)</f>
        <v>0.113068474717767</v>
      </c>
      <c r="AJ45" s="488" t="n">
        <f aca="false">CHOOSE(J45, 0, SQRT(O45)*SQRT(L45^2+(P45^2)/12), SQRT(O45)*SQRT(M45^2+(P45^2)/12))</f>
        <v>1.33942801300708</v>
      </c>
      <c r="AK45" s="488" t="n">
        <f aca="false">Rdson4*AJ45^2</f>
        <v>0.00340872806385337</v>
      </c>
      <c r="AL45" s="488" t="n">
        <f aca="false">CHOOSE(J45, 0, (Vout*L45/2)*(Fsw)*(Tr_boost+Tf_boost), (Vout*Iout/2)*(Fsw/2)*(Tr_boost+Tf_boost))</f>
        <v>0.0349071770123085</v>
      </c>
      <c r="AM45" s="0" t="n">
        <f aca="false">IF(H45&gt;Vout, 0, IF(L45&gt;P45/2,0,ABS(L45-P45/2)*Vsd_Q4*Deadtime*Fsw))</f>
        <v>0</v>
      </c>
      <c r="AN45" s="488" t="n">
        <f aca="false">(AM45+AL45+AK45*(1+RdsonTopTc*Ta-RdsonTopTc*25))/(1-AK45*RdsonTopTc*ThetaJA_Q4)</f>
        <v>0.0383420445968505</v>
      </c>
      <c r="AO45" s="488" t="n">
        <f aca="false">CHOOSE(J45, SQRT(Iout^2+(P45^2)/12), SQRT(1-O45)*SQRT(L45^2+(P45^2)/12), SQRT(1-O45)*SQRT(M45^2+(P45^2)/12))</f>
        <v>6.17042114344597</v>
      </c>
      <c r="AP45" s="488" t="n">
        <f aca="false">Rdson3*AO45^2</f>
        <v>0.0723407844662215</v>
      </c>
      <c r="AQ45" s="488" t="n">
        <f aca="false">CHOOSE(J45, 0, IF(L45&lt;P45/2,Deadtime*Fsw*IF(VfdSky_Q3&gt;0,0,Vsd_Q3)*(L45+P45/2), 2*Deadtime*Fsw*IF(VfdSky_Q3&gt;0,0,Vsd_Q3)*L45), IF(L45&lt;P45/2,Deadtime*Fsw/2*IF(VfdSky_Q3&gt;0,0,Vsd_Q3)*(L45+P45/2), 2*Deadtime*Fsw/2*IF(VfdSky_Q3&gt;0,0,Vsd_Q3)*L45))</f>
        <v>0.0689655172413793</v>
      </c>
      <c r="AR45" s="488" t="n">
        <f aca="false">(AQ45+AP45*(1+RdsonBotTc*Ta-RdsonBotTc*25))/(1-AP45*RdsonBotTc*ThetaJA_Q3)</f>
        <v>0.143380756995281</v>
      </c>
      <c r="AS45" s="488" t="n">
        <f aca="false">CHOOSE(J45, Rdson3*Q45^2, Rdson1*Q45^2, 0)</f>
        <v>0</v>
      </c>
      <c r="AT45" s="488" t="n">
        <f aca="false">CHOOSE(J45, 2*Deadtime*Fsw*IF(VfdSky_Q2&gt;0,VfdSky_Q2,0)*K45, 2*Deadtime*Fsw*IF(VfdSky_Q3&gt;0,VfdSky_Q3,0)*L45, 2*Deadtime*Fsw/2*IF(VfdSky_Q2&gt;0,VfdSky_Q2,0)*K45+2*Deadtime*Fsw/2*IF(VfdSky_Q3&gt;0,VfdSky_Q3,0)*L45)</f>
        <v>0</v>
      </c>
      <c r="AU45" s="488" t="n">
        <f aca="false">CHOOSE(J45, IF(QrrSky_Q2&gt;0,QrrSky_Q2,Qrr_Q2)*Fsw*(H45-K45*Rdson1), IF(QrrSky_Q3&gt;0,QrrSky_Q3,Qrr_Q3)*Fsw*Vout,  IF(QrrSky_Q2&gt;0,QrrSky_Q2,Qrr_Q2)*Fsw/2*(H45-K45*Rdson1)+IF(QrrSky_Q3&gt;0,QrrSky_Q3,Qrr_Q3)*Fsw/2*Vout)</f>
        <v>0.19062081</v>
      </c>
      <c r="AV45" s="488" t="n">
        <f aca="false">CHOOSE(J45, Rs*AF45^2, Rs*AJ45^2, Rs*(AF45^2+AJ45^2))</f>
        <v>0.0707178752186398</v>
      </c>
      <c r="AW45" s="488" t="n">
        <f aca="false">Rshunt_std/1000*Iout^2</f>
        <v>0.14832</v>
      </c>
      <c r="AX45" s="488" t="n">
        <f aca="false">IF(Vout&gt;8, Iq*Vout, Iq*H45)</f>
        <v>0.036</v>
      </c>
      <c r="AY45" s="488" t="n">
        <f aca="false">CHOOSE(J45, (Qg_Q1+Qg_Q2)*Fsw, (Qg_Q3+Qg_Q4)*Fsw, (Qg_Q1+Qg_Q2+Qg_Q3+Qg_Q4)*Fsw/2)*IF(Vout&gt;8, Vout, H45)</f>
        <v>0.1188</v>
      </c>
      <c r="AZ45" s="488" t="n">
        <f aca="false">(Vin-Vdd)*Fsw*(Qg_Q1+Qg_Q2)+(RdsonDRT+RdsonDRT2)*Fsw*Qg_Q1*Vdd/(RdsonDRT+2*Rgate1+RdsonDRT2)+(RdsonDRB+RdsonDRB2)*Fsw*Qg_Q2*Vdd/(RdsonDRB+2*Rgate2+RdsonDRB2)</f>
        <v>0.0522</v>
      </c>
      <c r="BA45" s="488" t="n">
        <f aca="false">SUM(AX45:AY45)</f>
        <v>0.1548</v>
      </c>
      <c r="BB45" s="488" t="n">
        <f aca="false">SUM(T45,W45,Z45,AE45,AI45,AN45,AR45, AT45,AU45,BA45,AV45,AW45)</f>
        <v>1.34781105739788</v>
      </c>
      <c r="BC45" s="419" t="n">
        <f aca="false">Vout*K45</f>
        <v>72</v>
      </c>
      <c r="BD45" s="589" t="n">
        <f aca="false">BC45/(BC45+BB45)</f>
        <v>0.981624386086408</v>
      </c>
      <c r="BE45" s="590" t="n">
        <f aca="false">IF(H45&gt;Vout,ThetaJA_Q1*(AE45+AU45),ThetaJA_Q4*(AN45+AU45))</f>
        <v>21.5621679348144</v>
      </c>
      <c r="BF45" s="590" t="n">
        <f aca="false">IF(H45&gt;Vout, AI45*ThetaJA_Q2, ThetaJA_Q3*AR45)</f>
        <v>5.65342373588836</v>
      </c>
      <c r="BG45" s="536"/>
      <c r="BH45" s="385" t="n">
        <f aca="false">BD45*100</f>
        <v>98.1624386086407</v>
      </c>
      <c r="BI45" s="488" t="n">
        <f aca="false">T45</f>
        <v>0.235370157112274</v>
      </c>
      <c r="BJ45" s="488" t="n">
        <f aca="false">AE45+AI45+AN45+AR45+AU45</f>
        <v>0.726034635006186</v>
      </c>
      <c r="BK45" s="488" t="n">
        <f aca="false">AI45+AU45*0.33</f>
        <v>0.175973342017767</v>
      </c>
      <c r="BL45" s="488" t="n">
        <f aca="false">AV45</f>
        <v>0.0707178752186398</v>
      </c>
      <c r="BQ45" s="0" t="n">
        <v>9.997986</v>
      </c>
      <c r="BR45" s="0" t="n">
        <v>5.496</v>
      </c>
      <c r="BS45" s="0" t="n">
        <v>5.109789</v>
      </c>
      <c r="BT45" s="0" t="n">
        <v>93.5997713628334</v>
      </c>
      <c r="BU45" s="0" t="n">
        <v>1920.30569234999</v>
      </c>
    </row>
    <row r="46" customFormat="false" ht="12.75" hidden="false" customHeight="false" outlineLevel="0" collapsed="false">
      <c r="A46" s="623" t="s">
        <v>866</v>
      </c>
      <c r="B46" s="596" t="n">
        <f aca="false">Vsd_Q1</f>
        <v>0.8</v>
      </c>
      <c r="C46" s="622" t="s">
        <v>11</v>
      </c>
      <c r="G46" s="0" t="n">
        <v>37</v>
      </c>
      <c r="H46" s="586" t="n">
        <f aca="false">VIN_min+(VIN_max-VIN_min)*(G46/200)</f>
        <v>14.14</v>
      </c>
      <c r="I46" s="385" t="str">
        <f aca="false">IF(H46&gt;VIN_BB_to_buck, "BUCK", IF(H46&lt;VIN_boost_to_BB,"BOOST","BUCK-BST"))</f>
        <v>BUCK</v>
      </c>
      <c r="J46" s="419" t="n">
        <f aca="false">IF(I46="BOOST",2, IF(I46="BUCK", 1,3))</f>
        <v>1</v>
      </c>
      <c r="K46" s="0" t="n">
        <f aca="false">Iout</f>
        <v>6</v>
      </c>
      <c r="L46" s="385" t="n">
        <f aca="false">Vout*K46/(H46*Efficiency)</f>
        <v>5.65770862800566</v>
      </c>
      <c r="M46" s="385" t="n">
        <f aca="false">Iout/(1-O46)</f>
        <v>6</v>
      </c>
      <c r="N46" s="488" t="n">
        <f aca="false">CHOOSE(J46,(Vout+(Rdson2+Rs+Rdcr)*K46)/(H46+(Rs+Rdson2-Rdson1)*K46),1,IF(H46&lt;Vout,D_max_buck_BB,Vout/H46*(1-D_min_boost_exitBB_to_buck)))</f>
        <v>0.852995489145757</v>
      </c>
      <c r="O46" s="488" t="n">
        <f aca="false">CHOOSE(J46,0,(Vout+(Rdson3+Rdcr)*L46-H46)/(Vout+(Rdson3-Rdson4-Rs)*L46),IF(H46&gt;Vout,D_min_boost_exitBB_to_buck, (Vout-H46*D_max_buck_BB)/Vout))</f>
        <v>0</v>
      </c>
      <c r="P46" s="385" t="n">
        <f aca="false">MAX(0, CHOOSE(J46, (H46-(Rdson1+Rdcr)*K46-Vout)*N46/(Fsw*Lf), (H46-(Rdson4+Rdcr+Rs)*L46)*O46/(Fsw*Lf), IF(H46&lt;Vout, (H46-(Rdson4+Rdcr+Rs)*L46)*O46/(0.5*Fsw*Lf),(H46-(Rdson1+Rdcr)*K46-Vout)*N46/(0.5*Fsw*Lf))))</f>
        <v>1.26176786646192</v>
      </c>
      <c r="Q46" s="488" t="n">
        <f aca="false">CHOOSE(J46, SQRT(K46^2+(P46^2)/12), SQRT(L46^2+(P46^2)/12), SQRT(M46^2+(P46^2)/12))</f>
        <v>6.01104579190701</v>
      </c>
      <c r="R46" s="488" t="n">
        <f aca="false">(Q46^2*Rdcr*(1+Ltc*Ta-Ltc*25))/(1-Q46^2*Rdcr*Ltc*ThetaCa)</f>
        <v>0.122228051746167</v>
      </c>
      <c r="S46" s="488" t="n">
        <f aca="false">7.759*10^-3*Fsw^0.9458*(0.00787*P46)^2.304</f>
        <v>0.0285134324380421</v>
      </c>
      <c r="T46" s="488" t="n">
        <f aca="false">R46+S46</f>
        <v>0.150741484184209</v>
      </c>
      <c r="U46" s="385" t="n">
        <f aca="false">IF(H46&gt;Vout, P46/SQRT(12), SQRT(O46/(1-O46))*SQRT(K46^2+(P46^2)/12))</f>
        <v>0.364241008678305</v>
      </c>
      <c r="V46" s="488" t="n">
        <f aca="false">RCoutEsr*U46^2</f>
        <v>0.000663357562014943</v>
      </c>
      <c r="W46" s="488" t="n">
        <f aca="false">V46</f>
        <v>0.000663357562014943</v>
      </c>
      <c r="X46" s="488" t="n">
        <f aca="false">IF(H46&gt;Vout, SQRT(N46*(1-N46))*SQRT(K46^2+(P46^2)/12), P46/SQRT(12))</f>
        <v>2.12857390833911</v>
      </c>
      <c r="Y46" s="587" t="n">
        <f aca="false">RCinEsr*X46^2</f>
        <v>0.00906165376652403</v>
      </c>
      <c r="Z46" s="588" t="n">
        <f aca="false">Y46</f>
        <v>0.00906165376652403</v>
      </c>
      <c r="AA46" s="488" t="n">
        <f aca="false">CHOOSE(J46, SQRT(N46)*SQRT(K46^2+(P46^2)/12), SQRT(L46^2+(P46^2)/12), SQRT(N46)*SQRT(M46^2+(P46^2)/12))</f>
        <v>5.55166693983574</v>
      </c>
      <c r="AB46" s="488" t="n">
        <f aca="false">Rdson1*AA46^2</f>
        <v>0.175679733121931</v>
      </c>
      <c r="AC46" s="488" t="n">
        <f aca="false">CHOOSE(J46, (H46*K46/2)*(Fsw)*(Tr_buck+Tf_buck), 0, (H46*M46/2)*(Fsw/2)*(Tr_buck+Tf_buck))</f>
        <v>0.086398037302726</v>
      </c>
      <c r="AD46" s="0" t="n">
        <f aca="false">IF(H46&gt;Vout, IF(K46&gt;P46/2,0,ABS(K46-P46/2)*Vsd_Q1*Deadtime*Fsw),0)</f>
        <v>0</v>
      </c>
      <c r="AE46" s="488" t="n">
        <f aca="false">(AD46+AC46+AB46*(1+RdsonTopTc*Ta-RdsonTopTc*25))/(1-AB46*RdsonTopTc*ThetaJA_Q1)</f>
        <v>0.27162144709171</v>
      </c>
      <c r="AF46" s="488" t="n">
        <f aca="false">CHOOSE(J46, SQRT((1-N46))*SQRT(K46^2+(P46^2)/12), 0, SQRT((1-N46))*SQRT(M46^2+(P46^2)/12))</f>
        <v>2.30470512246965</v>
      </c>
      <c r="AG46" s="488" t="n">
        <f aca="false">Rdson2*AF46^2</f>
        <v>0.0302764944987657</v>
      </c>
      <c r="AH46" s="488" t="n">
        <f aca="false">CHOOSE(J46, IF(K46&lt;P46/2,Deadtime*Fsw*IF(VfdSky_Q2&gt;0,0,Vsd_Q2)*(K46+P46/2),2*Deadtime*Fsw*IF(VfdSky_Q2&gt;0,0,Vsd_Q2)*K46),0, IF(K46&lt;P46/2,Deadtime*Fsw/2*IF(VfdSky_Q2&gt;0,0,Vsd_Q2)*(K46+P46/2),2*Deadtime*Fsw/2*IF(VfdSky_Q2&gt;0,0,Vsd_Q2)*K46))</f>
        <v>0.144</v>
      </c>
      <c r="AI46" s="488" t="n">
        <f aca="false">(AH46+AG46*(1+RdsonBotTc*Ta-RdsonBotTc*25))/(1-AG46*RdsonBotTc*ThetaJA_Q2)</f>
        <v>0.175338219828377</v>
      </c>
      <c r="AJ46" s="488" t="n">
        <f aca="false">CHOOSE(J46, 0, SQRT(O46)*SQRT(L46^2+(P46^2)/12), SQRT(O46)*SQRT(M46^2+(P46^2)/12))</f>
        <v>0</v>
      </c>
      <c r="AK46" s="488" t="n">
        <f aca="false">Rdson4*AJ46^2</f>
        <v>0</v>
      </c>
      <c r="AL46" s="488" t="n">
        <f aca="false">CHOOSE(J46, 0, (Vout*L46/2)*(Fsw)*(Tr_boost+Tf_boost), (Vout*Iout/2)*(Fsw/2)*(Tr_boost+Tf_boost))</f>
        <v>0</v>
      </c>
      <c r="AM46" s="0" t="n">
        <f aca="false">IF(H46&gt;Vout, 0, IF(L46&gt;P46/2,0,ABS(L46-P46/2)*Vsd_Q4*Deadtime*Fsw))</f>
        <v>0</v>
      </c>
      <c r="AN46" s="488" t="n">
        <f aca="false">(AM46+AL46+AK46*(1+RdsonTopTc*Ta-RdsonTopTc*25))/(1-AK46*RdsonTopTc*ThetaJA_Q4)</f>
        <v>0</v>
      </c>
      <c r="AO46" s="488" t="n">
        <f aca="false">CHOOSE(J46, SQRT(Iout^2+(P46^2)/12), SQRT(1-O46)*SQRT(L46^2+(P46^2)/12), SQRT(1-O46)*SQRT(M46^2+(P46^2)/12))</f>
        <v>6.01104579190701</v>
      </c>
      <c r="AP46" s="488" t="n">
        <f aca="false">Rdson3*AO46^2</f>
        <v>0.0686520758735657</v>
      </c>
      <c r="AQ46" s="488" t="n">
        <f aca="false">CHOOSE(J46, 0, IF(L46&lt;P46/2,Deadtime*Fsw*IF(VfdSky_Q3&gt;0,0,Vsd_Q3)*(L46+P46/2), 2*Deadtime*Fsw*IF(VfdSky_Q3&gt;0,0,Vsd_Q3)*L46), IF(L46&lt;P46/2,Deadtime*Fsw/2*IF(VfdSky_Q3&gt;0,0,Vsd_Q3)*(L46+P46/2), 2*Deadtime*Fsw/2*IF(VfdSky_Q3&gt;0,0,Vsd_Q3)*L46))</f>
        <v>0</v>
      </c>
      <c r="AR46" s="488" t="n">
        <f aca="false">(AQ46+AP46*(1+RdsonBotTc*Ta-RdsonBotTc*25))/(1-AP46*RdsonBotTc*ThetaJA_Q3)</f>
        <v>0.0696078201435433</v>
      </c>
      <c r="AS46" s="488" t="n">
        <f aca="false">CHOOSE(J46, Rdson3*Q46^2, Rdson1*Q46^2, 0)</f>
        <v>0.0686520758735657</v>
      </c>
      <c r="AT46" s="488" t="n">
        <f aca="false">CHOOSE(J46, 2*Deadtime*Fsw*IF(VfdSky_Q2&gt;0,VfdSky_Q2,0)*K46, 2*Deadtime*Fsw*IF(VfdSky_Q3&gt;0,VfdSky_Q3,0)*L46, 2*Deadtime*Fsw/2*IF(VfdSky_Q2&gt;0,VfdSky_Q2,0)*K46+2*Deadtime*Fsw/2*IF(VfdSky_Q3&gt;0,VfdSky_Q3,0)*L46)</f>
        <v>0</v>
      </c>
      <c r="AU46" s="488" t="n">
        <f aca="false">CHOOSE(J46, IF(QrrSky_Q2&gt;0,QrrSky_Q2,Qrr_Q2)*Fsw*(H46-K46*Rdson1), IF(QrrSky_Q3&gt;0,QrrSky_Q3,Qrr_Q3)*Fsw*Vout,  IF(QrrSky_Q2&gt;0,QrrSky_Q2,Qrr_Q2)*Fsw/2*(H46-K46*Rdson1)+IF(QrrSky_Q3&gt;0,QrrSky_Q3,Qrr_Q3)*Fsw/2*Vout)</f>
        <v>0.26659962</v>
      </c>
      <c r="AV46" s="488" t="n">
        <f aca="false">CHOOSE(J46, Rs*AF46^2, Rs*AJ46^2, Rs*(AF46^2+AJ46^2))</f>
        <v>0.0424933256123028</v>
      </c>
      <c r="AW46" s="488" t="n">
        <f aca="false">Rshunt_std/1000*Iout^2</f>
        <v>0.14832</v>
      </c>
      <c r="AX46" s="488" t="n">
        <f aca="false">IF(Vout&gt;8, Iq*Vout, Iq*H46)</f>
        <v>0.036</v>
      </c>
      <c r="AY46" s="488" t="n">
        <f aca="false">CHOOSE(J46, (Qg_Q1+Qg_Q2)*Fsw, (Qg_Q3+Qg_Q4)*Fsw, (Qg_Q1+Qg_Q2+Qg_Q3+Qg_Q4)*Fsw/2)*IF(Vout&gt;8, Vout, H46)</f>
        <v>0.0792</v>
      </c>
      <c r="AZ46" s="488" t="n">
        <f aca="false">(Vin-Vdd)*Fsw*(Qg_Q1+Qg_Q2)+(RdsonDRT+RdsonDRT2)*Fsw*Qg_Q1*Vdd/(RdsonDRT+2*Rgate1+RdsonDRT2)+(RdsonDRB+RdsonDRB2)*Fsw*Qg_Q2*Vdd/(RdsonDRB+2*Rgate2+RdsonDRB2)</f>
        <v>0.0522</v>
      </c>
      <c r="BA46" s="488" t="n">
        <f aca="false">SUM(AX46:AY46)</f>
        <v>0.1152</v>
      </c>
      <c r="BB46" s="488" t="n">
        <f aca="false">SUM(T46,W46,Z46,AE46,AI46,AN46,AR46, AT46,AU46,BA46,AV46,AW46)</f>
        <v>1.24964692818868</v>
      </c>
      <c r="BC46" s="419" t="n">
        <f aca="false">Vout*K46</f>
        <v>72</v>
      </c>
      <c r="BD46" s="589" t="n">
        <f aca="false">BC46/(BC46+BB46)</f>
        <v>0.982939891445295</v>
      </c>
      <c r="BE46" s="590" t="n">
        <f aca="false">IF(H46&gt;Vout,ThetaJA_Q1*(AE46+AU46),ThetaJA_Q4*(AN46+AU46))</f>
        <v>26.9110533545855</v>
      </c>
      <c r="BF46" s="590" t="n">
        <f aca="false">IF(H46&gt;Vout, AI46*ThetaJA_Q2, ThetaJA_Q3*AR46)</f>
        <v>8.76691099141886</v>
      </c>
      <c r="BG46" s="536"/>
      <c r="BH46" s="385" t="n">
        <f aca="false">BD46*100</f>
        <v>98.2939891445295</v>
      </c>
      <c r="BI46" s="488" t="n">
        <f aca="false">T46</f>
        <v>0.150741484184209</v>
      </c>
      <c r="BJ46" s="488" t="n">
        <f aca="false">AE46+AI46+AN46+AR46+AU46</f>
        <v>0.783167107063631</v>
      </c>
      <c r="BK46" s="488" t="n">
        <f aca="false">AI46+AU46*0.33</f>
        <v>0.263316094428377</v>
      </c>
      <c r="BL46" s="488" t="n">
        <f aca="false">AV46</f>
        <v>0.0424933256123028</v>
      </c>
      <c r="BQ46" s="0" t="n">
        <v>9.9979</v>
      </c>
      <c r="BR46" s="0" t="n">
        <v>6.195</v>
      </c>
      <c r="BS46" s="0" t="n">
        <v>5.109191</v>
      </c>
      <c r="BT46" s="0" t="n">
        <v>93.1566516721595</v>
      </c>
      <c r="BU46" s="0" t="n">
        <v>2325.1351759</v>
      </c>
    </row>
    <row r="47" customFormat="false" ht="12.75" hidden="false" customHeight="false" outlineLevel="0" collapsed="false">
      <c r="A47" s="624" t="s">
        <v>867</v>
      </c>
      <c r="B47" s="596" t="n">
        <f aca="false">ThetaJA_Q1</f>
        <v>50</v>
      </c>
      <c r="C47" s="611" t="s">
        <v>121</v>
      </c>
      <c r="D47" s="598" t="s">
        <v>665</v>
      </c>
      <c r="G47" s="0" t="n">
        <v>38</v>
      </c>
      <c r="H47" s="586" t="n">
        <f aca="false">VIN_min+(VIN_max-VIN_min)*(G47/200)</f>
        <v>14.36</v>
      </c>
      <c r="I47" s="385" t="str">
        <f aca="false">IF(H47&gt;VIN_BB_to_buck, "BUCK", IF(H47&lt;VIN_boost_to_BB,"BOOST","BUCK-BST"))</f>
        <v>BUCK</v>
      </c>
      <c r="J47" s="419" t="n">
        <f aca="false">IF(I47="BOOST",2, IF(I47="BUCK", 1,3))</f>
        <v>1</v>
      </c>
      <c r="K47" s="0" t="n">
        <f aca="false">Iout</f>
        <v>6</v>
      </c>
      <c r="L47" s="385" t="n">
        <f aca="false">Vout*K47/(H47*Efficiency)</f>
        <v>5.57103064066852</v>
      </c>
      <c r="M47" s="385" t="n">
        <f aca="false">Iout/(1-O47)</f>
        <v>6</v>
      </c>
      <c r="N47" s="488" t="n">
        <f aca="false">CHOOSE(J47,(Vout+(Rdson2+Rs+Rdcr)*K47)/(H47+(Rs+Rdson2-Rdson1)*K47),1,IF(H47&lt;Vout,D_max_buck_BB,Vout/H47*(1-D_min_boost_exitBB_to_buck)))</f>
        <v>0.83997084952804</v>
      </c>
      <c r="O47" s="488" t="n">
        <f aca="false">CHOOSE(J47,0,(Vout+(Rdson3+Rdcr)*L47-H47)/(Vout+(Rdson3-Rdson4-Rs)*L47),IF(H47&gt;Vout,D_min_boost_exitBB_to_buck, (Vout-H47*D_max_buck_BB)/Vout))</f>
        <v>0</v>
      </c>
      <c r="P47" s="385" t="n">
        <f aca="false">MAX(0, CHOOSE(J47, (H47-(Rdson1+Rdcr)*K47-Vout)*N47/(Fsw*Lf), (H47-(Rdson4+Rdcr+Rs)*L47)*O47/(Fsw*Lf), IF(H47&lt;Vout, (H47-(Rdson4+Rdcr+Rs)*L47)*O47/(0.5*Fsw*Lf),(H47-(Rdson1+Rdcr)*K47-Vout)*N47/(0.5*Fsw*Lf))))</f>
        <v>1.37356084238071</v>
      </c>
      <c r="Q47" s="488" t="n">
        <f aca="false">CHOOSE(J47, SQRT(K47^2+(P47^2)/12), SQRT(L47^2+(P47^2)/12), SQRT(M47^2+(P47^2)/12))</f>
        <v>6.01308759698184</v>
      </c>
      <c r="R47" s="488" t="n">
        <f aca="false">(Q47^2*Rdcr*(1+Ltc*Ta-Ltc*25))/(1-Q47^2*Rdcr*Ltc*ThetaCa)</f>
        <v>0.122311914240556</v>
      </c>
      <c r="S47" s="488" t="n">
        <f aca="false">7.759*10^-3*Fsw^0.9458*(0.00787*P47)^2.304</f>
        <v>0.0346732365758473</v>
      </c>
      <c r="T47" s="488" t="n">
        <f aca="false">R47+S47</f>
        <v>0.156985150816403</v>
      </c>
      <c r="U47" s="385" t="n">
        <f aca="false">IF(H47&gt;Vout, P47/SQRT(12), SQRT(O47/(1-O47))*SQRT(K47^2+(P47^2)/12))</f>
        <v>0.396512861048416</v>
      </c>
      <c r="V47" s="488" t="n">
        <f aca="false">RCoutEsr*U47^2</f>
        <v>0.000786112244884003</v>
      </c>
      <c r="W47" s="488" t="n">
        <f aca="false">V47</f>
        <v>0.000786112244884003</v>
      </c>
      <c r="X47" s="488" t="n">
        <f aca="false">IF(H47&gt;Vout, SQRT(N47*(1-N47))*SQRT(K47^2+(P47^2)/12), P47/SQRT(12))</f>
        <v>2.20459687618515</v>
      </c>
      <c r="Y47" s="587" t="n">
        <f aca="false">RCinEsr*X47^2</f>
        <v>0.00972049477297061</v>
      </c>
      <c r="Z47" s="588" t="n">
        <f aca="false">Y47</f>
        <v>0.00972049477297061</v>
      </c>
      <c r="AA47" s="488" t="n">
        <f aca="false">CHOOSE(J47, SQRT(N47)*SQRT(K47^2+(P47^2)/12), SQRT(L47^2+(P47^2)/12), SQRT(N47)*SQRT(M47^2+(P47^2)/12))</f>
        <v>5.51099018843632</v>
      </c>
      <c r="AB47" s="488" t="n">
        <f aca="false">Rdson1*AA47^2</f>
        <v>0.173114773285136</v>
      </c>
      <c r="AC47" s="488" t="n">
        <f aca="false">CHOOSE(J47, (H47*K47/2)*(Fsw)*(Tr_buck+Tf_buck), 0, (H47*M47/2)*(Fsw/2)*(Tr_buck+Tf_buck))</f>
        <v>0.0877422783357245</v>
      </c>
      <c r="AD47" s="0" t="n">
        <f aca="false">IF(H47&gt;Vout, IF(K47&gt;P47/2,0,ABS(K47-P47/2)*Vsd_Q1*Deadtime*Fsw),0)</f>
        <v>0</v>
      </c>
      <c r="AE47" s="488" t="n">
        <f aca="false">(AD47+AC47+AB47*(1+RdsonTopTc*Ta-RdsonTopTc*25))/(1-AB47*RdsonTopTc*ThetaJA_Q1)</f>
        <v>0.270212610584898</v>
      </c>
      <c r="AF47" s="488" t="n">
        <f aca="false">CHOOSE(J47, SQRT((1-N47))*SQRT(K47^2+(P47^2)/12), 0, SQRT((1-N47))*SQRT(M47^2+(P47^2)/12))</f>
        <v>2.40545413424065</v>
      </c>
      <c r="AG47" s="488" t="n">
        <f aca="false">Rdson2*AF47^2</f>
        <v>0.032981394674032</v>
      </c>
      <c r="AH47" s="488" t="n">
        <f aca="false">CHOOSE(J47, IF(K47&lt;P47/2,Deadtime*Fsw*IF(VfdSky_Q2&gt;0,0,Vsd_Q2)*(K47+P47/2),2*Deadtime*Fsw*IF(VfdSky_Q2&gt;0,0,Vsd_Q2)*K47),0, IF(K47&lt;P47/2,Deadtime*Fsw/2*IF(VfdSky_Q2&gt;0,0,Vsd_Q2)*(K47+P47/2),2*Deadtime*Fsw/2*IF(VfdSky_Q2&gt;0,0,Vsd_Q2)*K47))</f>
        <v>0.144</v>
      </c>
      <c r="AI47" s="488" t="n">
        <f aca="false">(AH47+AG47*(1+RdsonBotTc*Ta-RdsonBotTc*25))/(1-AG47*RdsonBotTc*ThetaJA_Q2)</f>
        <v>0.178156565071309</v>
      </c>
      <c r="AJ47" s="488" t="n">
        <f aca="false">CHOOSE(J47, 0, SQRT(O47)*SQRT(L47^2+(P47^2)/12), SQRT(O47)*SQRT(M47^2+(P47^2)/12))</f>
        <v>0</v>
      </c>
      <c r="AK47" s="488" t="n">
        <f aca="false">Rdson4*AJ47^2</f>
        <v>0</v>
      </c>
      <c r="AL47" s="488" t="n">
        <f aca="false">CHOOSE(J47, 0, (Vout*L47/2)*(Fsw)*(Tr_boost+Tf_boost), (Vout*Iout/2)*(Fsw/2)*(Tr_boost+Tf_boost))</f>
        <v>0</v>
      </c>
      <c r="AM47" s="0" t="n">
        <f aca="false">IF(H47&gt;Vout, 0, IF(L47&gt;P47/2,0,ABS(L47-P47/2)*Vsd_Q4*Deadtime*Fsw))</f>
        <v>0</v>
      </c>
      <c r="AN47" s="488" t="n">
        <f aca="false">(AM47+AL47+AK47*(1+RdsonTopTc*Ta-RdsonTopTc*25))/(1-AK47*RdsonTopTc*ThetaJA_Q4)</f>
        <v>0</v>
      </c>
      <c r="AO47" s="488" t="n">
        <f aca="false">CHOOSE(J47, SQRT(Iout^2+(P47^2)/12), SQRT(1-O47)*SQRT(L47^2+(P47^2)/12), SQRT(1-O47)*SQRT(M47^2+(P47^2)/12))</f>
        <v>6.01308759698184</v>
      </c>
      <c r="AP47" s="488" t="n">
        <f aca="false">Rdson3*AO47^2</f>
        <v>0.0686987226530559</v>
      </c>
      <c r="AQ47" s="488" t="n">
        <f aca="false">CHOOSE(J47, 0, IF(L47&lt;P47/2,Deadtime*Fsw*IF(VfdSky_Q3&gt;0,0,Vsd_Q3)*(L47+P47/2), 2*Deadtime*Fsw*IF(VfdSky_Q3&gt;0,0,Vsd_Q3)*L47), IF(L47&lt;P47/2,Deadtime*Fsw/2*IF(VfdSky_Q3&gt;0,0,Vsd_Q3)*(L47+P47/2), 2*Deadtime*Fsw/2*IF(VfdSky_Q3&gt;0,0,Vsd_Q3)*L47))</f>
        <v>0</v>
      </c>
      <c r="AR47" s="488" t="n">
        <f aca="false">(AQ47+AP47*(1+RdsonBotTc*Ta-RdsonBotTc*25))/(1-AP47*RdsonBotTc*ThetaJA_Q3)</f>
        <v>0.0696557752095164</v>
      </c>
      <c r="AS47" s="488" t="n">
        <f aca="false">CHOOSE(J47, Rdson3*Q47^2, Rdson1*Q47^2, 0)</f>
        <v>0.0686987226530559</v>
      </c>
      <c r="AT47" s="488" t="n">
        <f aca="false">CHOOSE(J47, 2*Deadtime*Fsw*IF(VfdSky_Q2&gt;0,VfdSky_Q2,0)*K47, 2*Deadtime*Fsw*IF(VfdSky_Q3&gt;0,VfdSky_Q3,0)*L47, 2*Deadtime*Fsw/2*IF(VfdSky_Q2&gt;0,VfdSky_Q2,0)*K47+2*Deadtime*Fsw/2*IF(VfdSky_Q3&gt;0,VfdSky_Q3,0)*L47)</f>
        <v>0</v>
      </c>
      <c r="AU47" s="488" t="n">
        <f aca="false">CHOOSE(J47, IF(QrrSky_Q2&gt;0,QrrSky_Q2,Qrr_Q2)*Fsw*(H47-K47*Rdson1), IF(QrrSky_Q3&gt;0,QrrSky_Q3,Qrr_Q3)*Fsw*Vout,  IF(QrrSky_Q2&gt;0,QrrSky_Q2,Qrr_Q2)*Fsw/2*(H47-K47*Rdson1)+IF(QrrSky_Q3&gt;0,QrrSky_Q3,Qrr_Q3)*Fsw/2*Vout)</f>
        <v>0.27075762</v>
      </c>
      <c r="AV47" s="488" t="n">
        <f aca="false">CHOOSE(J47, Rs*AF47^2, Rs*AJ47^2, Rs*(AF47^2+AJ47^2))</f>
        <v>0.0462896767354835</v>
      </c>
      <c r="AW47" s="488" t="n">
        <f aca="false">Rshunt_std/1000*Iout^2</f>
        <v>0.14832</v>
      </c>
      <c r="AX47" s="488" t="n">
        <f aca="false">IF(Vout&gt;8, Iq*Vout, Iq*H47)</f>
        <v>0.036</v>
      </c>
      <c r="AY47" s="488" t="n">
        <f aca="false">CHOOSE(J47, (Qg_Q1+Qg_Q2)*Fsw, (Qg_Q3+Qg_Q4)*Fsw, (Qg_Q1+Qg_Q2+Qg_Q3+Qg_Q4)*Fsw/2)*IF(Vout&gt;8, Vout, H47)</f>
        <v>0.0792</v>
      </c>
      <c r="AZ47" s="488" t="n">
        <f aca="false">(Vin-Vdd)*Fsw*(Qg_Q1+Qg_Q2)+(RdsonDRT+RdsonDRT2)*Fsw*Qg_Q1*Vdd/(RdsonDRT+2*Rgate1+RdsonDRT2)+(RdsonDRB+RdsonDRB2)*Fsw*Qg_Q2*Vdd/(RdsonDRB+2*Rgate2+RdsonDRB2)</f>
        <v>0.0522</v>
      </c>
      <c r="BA47" s="488" t="n">
        <f aca="false">SUM(AX47:AY47)</f>
        <v>0.1152</v>
      </c>
      <c r="BB47" s="488" t="n">
        <f aca="false">SUM(T47,W47,Z47,AE47,AI47,AN47,AR47, AT47,AU47,BA47,AV47,AW47)</f>
        <v>1.26608400543547</v>
      </c>
      <c r="BC47" s="419" t="n">
        <f aca="false">Vout*K47</f>
        <v>72</v>
      </c>
      <c r="BD47" s="589" t="n">
        <f aca="false">BC47/(BC47+BB47)</f>
        <v>0.982719371143932</v>
      </c>
      <c r="BE47" s="590" t="n">
        <f aca="false">IF(H47&gt;Vout,ThetaJA_Q1*(AE47+AU47),ThetaJA_Q4*(AN47+AU47))</f>
        <v>27.0485115292449</v>
      </c>
      <c r="BF47" s="590" t="n">
        <f aca="false">IF(H47&gt;Vout, AI47*ThetaJA_Q2, ThetaJA_Q3*AR47)</f>
        <v>8.90782825356547</v>
      </c>
      <c r="BG47" s="536"/>
      <c r="BH47" s="385" t="n">
        <f aca="false">BD47*100</f>
        <v>98.2719371143932</v>
      </c>
      <c r="BI47" s="488" t="n">
        <f aca="false">T47</f>
        <v>0.156985150816403</v>
      </c>
      <c r="BJ47" s="488" t="n">
        <f aca="false">AE47+AI47+AN47+AR47+AU47</f>
        <v>0.788782570865724</v>
      </c>
      <c r="BK47" s="488" t="n">
        <f aca="false">AI47+AU47*0.33</f>
        <v>0.267506579671309</v>
      </c>
      <c r="BL47" s="488" t="n">
        <f aca="false">AV47</f>
        <v>0.0462896767354835</v>
      </c>
      <c r="BQ47" s="0" t="n">
        <v>9.997627</v>
      </c>
      <c r="BR47" s="0" t="n">
        <v>6.947</v>
      </c>
      <c r="BS47" s="0" t="n">
        <v>5.108667</v>
      </c>
      <c r="BT47" s="0" t="n">
        <v>92.6568076347518</v>
      </c>
      <c r="BU47" s="0" t="n">
        <v>2812.629001201</v>
      </c>
    </row>
    <row r="48" customFormat="false" ht="12.75" hidden="false" customHeight="false" outlineLevel="0" collapsed="false">
      <c r="A48" s="604" t="s">
        <v>868</v>
      </c>
      <c r="B48" s="583" t="s">
        <v>812</v>
      </c>
      <c r="C48" s="604" t="s">
        <v>697</v>
      </c>
      <c r="D48" s="585" t="s">
        <v>134</v>
      </c>
      <c r="G48" s="0" t="n">
        <v>39</v>
      </c>
      <c r="H48" s="586" t="n">
        <f aca="false">VIN_min+(VIN_max-VIN_min)*(G48/200)</f>
        <v>14.58</v>
      </c>
      <c r="I48" s="385" t="str">
        <f aca="false">IF(H48&gt;VIN_BB_to_buck, "BUCK", IF(H48&lt;VIN_boost_to_BB,"BOOST","BUCK-BST"))</f>
        <v>BUCK</v>
      </c>
      <c r="J48" s="419" t="n">
        <f aca="false">IF(I48="BOOST",2, IF(I48="BUCK", 1,3))</f>
        <v>1</v>
      </c>
      <c r="K48" s="0" t="n">
        <f aca="false">Iout</f>
        <v>6</v>
      </c>
      <c r="L48" s="385" t="n">
        <f aca="false">Vout*K48/(H48*Efficiency)</f>
        <v>5.48696844993141</v>
      </c>
      <c r="M48" s="385" t="n">
        <f aca="false">Iout/(1-O48)</f>
        <v>6</v>
      </c>
      <c r="N48" s="488" t="n">
        <f aca="false">CHOOSE(J48,(Vout+(Rdson2+Rs+Rdcr)*K48)/(H48+(Rs+Rdson2-Rdson1)*K48),1,IF(H48&lt;Vout,D_max_buck_BB,Vout/H48*(1-D_min_boost_exitBB_to_buck)))</f>
        <v>0.82733798195242</v>
      </c>
      <c r="O48" s="488" t="n">
        <f aca="false">CHOOSE(J48,0,(Vout+(Rdson3+Rdcr)*L48-H48)/(Vout+(Rdson3-Rdson4-Rs)*L48),IF(H48&gt;Vout,D_min_boost_exitBB_to_buck, (Vout-H48*D_max_buck_BB)/Vout))</f>
        <v>0</v>
      </c>
      <c r="P48" s="385" t="n">
        <f aca="false">MAX(0, CHOOSE(J48, (H48-(Rdson1+Rdcr)*K48-Vout)*N48/(Fsw*Lf), (H48-(Rdson4+Rdcr+Rs)*L48)*O48/(Fsw*Lf), IF(H48&lt;Vout, (H48-(Rdson4+Rdcr+Rs)*L48)*O48/(0.5*Fsw*Lf),(H48-(Rdson1+Rdcr)*K48-Vout)*N48/(0.5*Fsw*Lf))))</f>
        <v>1.48199116384201</v>
      </c>
      <c r="Q48" s="488" t="n">
        <f aca="false">CHOOSE(J48, SQRT(K48^2+(P48^2)/12), SQRT(L48^2+(P48^2)/12), SQRT(M48^2+(P48^2)/12))</f>
        <v>6.01523273177983</v>
      </c>
      <c r="R48" s="488" t="n">
        <f aca="false">(Q48^2*Rdcr*(1+Ltc*Ta-Ltc*25))/(1-Q48^2*Rdcr*Ltc*ThetaCa)</f>
        <v>0.122400052648773</v>
      </c>
      <c r="S48" s="488" t="n">
        <f aca="false">7.759*10^-3*Fsw^0.9458*(0.00787*P48)^2.304</f>
        <v>0.0413067582691073</v>
      </c>
      <c r="T48" s="488" t="n">
        <f aca="false">R48+S48</f>
        <v>0.163706810917881</v>
      </c>
      <c r="U48" s="385" t="n">
        <f aca="false">IF(H48&gt;Vout, P48/SQRT(12), SQRT(O48/(1-O48))*SQRT(K48^2+(P48^2)/12))</f>
        <v>0.427813998690414</v>
      </c>
      <c r="V48" s="488" t="n">
        <f aca="false">RCoutEsr*U48^2</f>
        <v>0.000915124087377409</v>
      </c>
      <c r="W48" s="488" t="n">
        <f aca="false">V48</f>
        <v>0.000915124087377409</v>
      </c>
      <c r="X48" s="488" t="n">
        <f aca="false">IF(H48&gt;Vout, SQRT(N48*(1-N48))*SQRT(K48^2+(P48^2)/12), P48/SQRT(12))</f>
        <v>2.27348620129516</v>
      </c>
      <c r="Y48" s="587" t="n">
        <f aca="false">RCinEsr*X48^2</f>
        <v>0.010337479014959</v>
      </c>
      <c r="Z48" s="588" t="n">
        <f aca="false">Y48</f>
        <v>0.010337479014959</v>
      </c>
      <c r="AA48" s="488" t="n">
        <f aca="false">CHOOSE(J48, SQRT(N48)*SQRT(K48^2+(P48^2)/12), SQRT(L48^2+(P48^2)/12), SQRT(N48)*SQRT(M48^2+(P48^2)/12))</f>
        <v>5.47134268104498</v>
      </c>
      <c r="AB48" s="488" t="n">
        <f aca="false">Rdson1*AA48^2</f>
        <v>0.17063286718052</v>
      </c>
      <c r="AC48" s="488" t="n">
        <f aca="false">CHOOSE(J48, (H48*K48/2)*(Fsw)*(Tr_buck+Tf_buck), 0, (H48*M48/2)*(Fsw/2)*(Tr_buck+Tf_buck))</f>
        <v>0.0890865193687231</v>
      </c>
      <c r="AD48" s="0" t="n">
        <f aca="false">IF(H48&gt;Vout, IF(K48&gt;P48/2,0,ABS(K48-P48/2)*Vsd_Q1*Deadtime*Fsw),0)</f>
        <v>0</v>
      </c>
      <c r="AE48" s="488" t="n">
        <f aca="false">(AD48+AC48+AB48*(1+RdsonTopTc*Ta-RdsonTopTc*25))/(1-AB48*RdsonTopTc*ThetaJA_Q1)</f>
        <v>0.268895881599307</v>
      </c>
      <c r="AF48" s="488" t="n">
        <f aca="false">CHOOSE(J48, SQRT((1-N48))*SQRT(K48^2+(P48^2)/12), 0, SQRT((1-N48))*SQRT(M48^2+(P48^2)/12))</f>
        <v>2.49948676412799</v>
      </c>
      <c r="AG48" s="488" t="n">
        <f aca="false">Rdson2*AF48^2</f>
        <v>0.0356103742790906</v>
      </c>
      <c r="AH48" s="488" t="n">
        <f aca="false">CHOOSE(J48, IF(K48&lt;P48/2,Deadtime*Fsw*IF(VfdSky_Q2&gt;0,0,Vsd_Q2)*(K48+P48/2),2*Deadtime*Fsw*IF(VfdSky_Q2&gt;0,0,Vsd_Q2)*K48),0, IF(K48&lt;P48/2,Deadtime*Fsw/2*IF(VfdSky_Q2&gt;0,0,Vsd_Q2)*(K48+P48/2),2*Deadtime*Fsw/2*IF(VfdSky_Q2&gt;0,0,Vsd_Q2)*K48))</f>
        <v>0.144</v>
      </c>
      <c r="AI48" s="488" t="n">
        <f aca="false">(AH48+AG48*(1+RdsonBotTc*Ta-RdsonBotTc*25))/(1-AG48*RdsonBotTc*ThetaJA_Q2)</f>
        <v>0.180898748708718</v>
      </c>
      <c r="AJ48" s="488" t="n">
        <f aca="false">CHOOSE(J48, 0, SQRT(O48)*SQRT(L48^2+(P48^2)/12), SQRT(O48)*SQRT(M48^2+(P48^2)/12))</f>
        <v>0</v>
      </c>
      <c r="AK48" s="488" t="n">
        <f aca="false">Rdson4*AJ48^2</f>
        <v>0</v>
      </c>
      <c r="AL48" s="488" t="n">
        <f aca="false">CHOOSE(J48, 0, (Vout*L48/2)*(Fsw)*(Tr_boost+Tf_boost), (Vout*Iout/2)*(Fsw/2)*(Tr_boost+Tf_boost))</f>
        <v>0</v>
      </c>
      <c r="AM48" s="0" t="n">
        <f aca="false">IF(H48&gt;Vout, 0, IF(L48&gt;P48/2,0,ABS(L48-P48/2)*Vsd_Q4*Deadtime*Fsw))</f>
        <v>0</v>
      </c>
      <c r="AN48" s="488" t="n">
        <f aca="false">(AM48+AL48+AK48*(1+RdsonTopTc*Ta-RdsonTopTc*25))/(1-AK48*RdsonTopTc*ThetaJA_Q4)</f>
        <v>0</v>
      </c>
      <c r="AO48" s="488" t="n">
        <f aca="false">CHOOSE(J48, SQRT(Iout^2+(P48^2)/12), SQRT(1-O48)*SQRT(L48^2+(P48^2)/12), SQRT(1-O48)*SQRT(M48^2+(P48^2)/12))</f>
        <v>6.01523273177983</v>
      </c>
      <c r="AP48" s="488" t="n">
        <f aca="false">Rdson3*AO48^2</f>
        <v>0.0687477471532034</v>
      </c>
      <c r="AQ48" s="488" t="n">
        <f aca="false">CHOOSE(J48, 0, IF(L48&lt;P48/2,Deadtime*Fsw*IF(VfdSky_Q3&gt;0,0,Vsd_Q3)*(L48+P48/2), 2*Deadtime*Fsw*IF(VfdSky_Q3&gt;0,0,Vsd_Q3)*L48), IF(L48&lt;P48/2,Deadtime*Fsw/2*IF(VfdSky_Q3&gt;0,0,Vsd_Q3)*(L48+P48/2), 2*Deadtime*Fsw/2*IF(VfdSky_Q3&gt;0,0,Vsd_Q3)*L48))</f>
        <v>0</v>
      </c>
      <c r="AR48" s="488" t="n">
        <f aca="false">(AQ48+AP48*(1+RdsonBotTc*Ta-RdsonBotTc*25))/(1-AP48*RdsonBotTc*ThetaJA_Q3)</f>
        <v>0.0697061756610763</v>
      </c>
      <c r="AS48" s="488" t="n">
        <f aca="false">CHOOSE(J48, Rdson3*Q48^2, Rdson1*Q48^2, 0)</f>
        <v>0.0687477471532034</v>
      </c>
      <c r="AT48" s="488" t="n">
        <f aca="false">CHOOSE(J48, 2*Deadtime*Fsw*IF(VfdSky_Q2&gt;0,VfdSky_Q2,0)*K48, 2*Deadtime*Fsw*IF(VfdSky_Q3&gt;0,VfdSky_Q3,0)*L48, 2*Deadtime*Fsw/2*IF(VfdSky_Q2&gt;0,VfdSky_Q2,0)*K48+2*Deadtime*Fsw/2*IF(VfdSky_Q3&gt;0,VfdSky_Q3,0)*L48)</f>
        <v>0</v>
      </c>
      <c r="AU48" s="488" t="n">
        <f aca="false">CHOOSE(J48, IF(QrrSky_Q2&gt;0,QrrSky_Q2,Qrr_Q2)*Fsw*(H48-K48*Rdson1), IF(QrrSky_Q3&gt;0,QrrSky_Q3,Qrr_Q3)*Fsw*Vout,  IF(QrrSky_Q2&gt;0,QrrSky_Q2,Qrr_Q2)*Fsw/2*(H48-K48*Rdson1)+IF(QrrSky_Q3&gt;0,QrrSky_Q3,Qrr_Q3)*Fsw/2*Vout)</f>
        <v>0.27491562</v>
      </c>
      <c r="AV48" s="488" t="n">
        <f aca="false">CHOOSE(J48, Rs*AF48^2, Rs*AJ48^2, Rs*(AF48^2+AJ48^2))</f>
        <v>0.0499794726724079</v>
      </c>
      <c r="AW48" s="488" t="n">
        <f aca="false">Rshunt_std/1000*Iout^2</f>
        <v>0.14832</v>
      </c>
      <c r="AX48" s="488" t="n">
        <f aca="false">IF(Vout&gt;8, Iq*Vout, Iq*H48)</f>
        <v>0.036</v>
      </c>
      <c r="AY48" s="488" t="n">
        <f aca="false">CHOOSE(J48, (Qg_Q1+Qg_Q2)*Fsw, (Qg_Q3+Qg_Q4)*Fsw, (Qg_Q1+Qg_Q2+Qg_Q3+Qg_Q4)*Fsw/2)*IF(Vout&gt;8, Vout, H48)</f>
        <v>0.0792</v>
      </c>
      <c r="AZ48" s="488" t="n">
        <f aca="false">(Vin-Vdd)*Fsw*(Qg_Q1+Qg_Q2)+(RdsonDRT+RdsonDRT2)*Fsw*Qg_Q1*Vdd/(RdsonDRT+2*Rgate1+RdsonDRT2)+(RdsonDRB+RdsonDRB2)*Fsw*Qg_Q2*Vdd/(RdsonDRB+2*Rgate2+RdsonDRB2)</f>
        <v>0.0522</v>
      </c>
      <c r="BA48" s="488" t="n">
        <f aca="false">SUM(AX48:AY48)</f>
        <v>0.1152</v>
      </c>
      <c r="BB48" s="488" t="n">
        <f aca="false">SUM(T48,W48,Z48,AE48,AI48,AN48,AR48, AT48,AU48,BA48,AV48,AW48)</f>
        <v>1.28287531266173</v>
      </c>
      <c r="BC48" s="419" t="n">
        <f aca="false">Vout*K48</f>
        <v>72</v>
      </c>
      <c r="BD48" s="589" t="n">
        <f aca="false">BC48/(BC48+BB48)</f>
        <v>0.982494200627523</v>
      </c>
      <c r="BE48" s="590" t="n">
        <f aca="false">IF(H48&gt;Vout,ThetaJA_Q1*(AE48+AU48),ThetaJA_Q4*(AN48+AU48))</f>
        <v>27.1905750799654</v>
      </c>
      <c r="BF48" s="590" t="n">
        <f aca="false">IF(H48&gt;Vout, AI48*ThetaJA_Q2, ThetaJA_Q3*AR48)</f>
        <v>9.0449374354359</v>
      </c>
      <c r="BG48" s="536"/>
      <c r="BH48" s="385" t="n">
        <f aca="false">BD48*100</f>
        <v>98.2494200627523</v>
      </c>
      <c r="BI48" s="488" t="n">
        <f aca="false">T48</f>
        <v>0.163706810917881</v>
      </c>
      <c r="BJ48" s="488" t="n">
        <f aca="false">AE48+AI48+AN48+AR48+AU48</f>
        <v>0.794416425969102</v>
      </c>
      <c r="BK48" s="488" t="n">
        <f aca="false">AI48+AU48*0.33</f>
        <v>0.271620903308718</v>
      </c>
      <c r="BL48" s="488" t="n">
        <f aca="false">AV48</f>
        <v>0.0499794726724079</v>
      </c>
      <c r="BQ48" s="0" t="n">
        <v>9.997528</v>
      </c>
      <c r="BR48" s="0" t="n">
        <v>7.753</v>
      </c>
      <c r="BS48" s="0" t="n">
        <v>5.10853</v>
      </c>
      <c r="BT48" s="0" t="n">
        <v>92.0343364197853</v>
      </c>
      <c r="BU48" s="0" t="n">
        <v>3427.97617364</v>
      </c>
    </row>
    <row r="49" customFormat="false" ht="12.75" hidden="false" customHeight="false" outlineLevel="0" collapsed="false">
      <c r="A49" s="600" t="s">
        <v>869</v>
      </c>
      <c r="B49" s="596" t="n">
        <f aca="false">Rdson2*1000</f>
        <v>5.7</v>
      </c>
      <c r="C49" s="609" t="s">
        <v>828</v>
      </c>
      <c r="D49" s="603" t="s">
        <v>870</v>
      </c>
      <c r="G49" s="0" t="n">
        <v>40</v>
      </c>
      <c r="H49" s="586" t="n">
        <f aca="false">VIN_min+(VIN_max-VIN_min)*(G49/200)</f>
        <v>14.8</v>
      </c>
      <c r="I49" s="385" t="str">
        <f aca="false">IF(H49&gt;VIN_BB_to_buck, "BUCK", IF(H49&lt;VIN_boost_to_BB,"BOOST","BUCK-BST"))</f>
        <v>BUCK</v>
      </c>
      <c r="J49" s="419" t="n">
        <f aca="false">IF(I49="BOOST",2, IF(I49="BUCK", 1,3))</f>
        <v>1</v>
      </c>
      <c r="K49" s="0" t="n">
        <f aca="false">Iout</f>
        <v>6</v>
      </c>
      <c r="L49" s="385" t="n">
        <f aca="false">Vout*K49/(H49*Efficiency)</f>
        <v>5.40540540540541</v>
      </c>
      <c r="M49" s="385" t="n">
        <f aca="false">Iout/(1-O49)</f>
        <v>6</v>
      </c>
      <c r="N49" s="488" t="n">
        <f aca="false">CHOOSE(J49,(Vout+(Rdson2+Rs+Rdcr)*K49)/(H49+(Rs+Rdson2-Rdson1)*K49),1,IF(H49&lt;Vout,D_max_buck_BB,Vout/H49*(1-D_min_boost_exitBB_to_buck)))</f>
        <v>0.815079471982759</v>
      </c>
      <c r="O49" s="488" t="n">
        <f aca="false">CHOOSE(J49,0,(Vout+(Rdson3+Rdcr)*L49-H49)/(Vout+(Rdson3-Rdson4-Rs)*L49),IF(H49&gt;Vout,D_min_boost_exitBB_to_buck, (Vout-H49*D_max_buck_BB)/Vout))</f>
        <v>0</v>
      </c>
      <c r="P49" s="385" t="n">
        <f aca="false">MAX(0, CHOOSE(J49, (H49-(Rdson1+Rdcr)*K49-Vout)*N49/(Fsw*Lf), (H49-(Rdson4+Rdcr+Rs)*L49)*O49/(Fsw*Lf), IF(H49&lt;Vout, (H49-(Rdson4+Rdcr+Rs)*L49)*O49/(0.5*Fsw*Lf),(H49-(Rdson1+Rdcr)*K49-Vout)*N49/(0.5*Fsw*Lf))))</f>
        <v>1.58720830228586</v>
      </c>
      <c r="Q49" s="488" t="n">
        <f aca="false">CHOOSE(J49, SQRT(K49^2+(P49^2)/12), SQRT(L49^2+(P49^2)/12), SQRT(M49^2+(P49^2)/12))</f>
        <v>6.0174692229849</v>
      </c>
      <c r="R49" s="488" t="n">
        <f aca="false">(Q49^2*Rdcr*(1+Ltc*Ta-Ltc*25))/(1-Q49^2*Rdcr*Ltc*ThetaCa)</f>
        <v>0.122491979456541</v>
      </c>
      <c r="S49" s="488" t="n">
        <f aca="false">7.759*10^-3*Fsw^0.9458*(0.00787*P49)^2.304</f>
        <v>0.0483786098230344</v>
      </c>
      <c r="T49" s="488" t="n">
        <f aca="false">R49+S49</f>
        <v>0.170870589279575</v>
      </c>
      <c r="U49" s="385" t="n">
        <f aca="false">IF(H49&gt;Vout, P49/SQRT(12), SQRT(O49/(1-O49))*SQRT(K49^2+(P49^2)/12))</f>
        <v>0.458187570292375</v>
      </c>
      <c r="V49" s="488" t="n">
        <f aca="false">RCoutEsr*U49^2</f>
        <v>0.00104967924785215</v>
      </c>
      <c r="W49" s="488" t="n">
        <f aca="false">V49</f>
        <v>0.00104967924785215</v>
      </c>
      <c r="X49" s="488" t="n">
        <f aca="false">IF(H49&gt;Vout, SQRT(N49*(1-N49))*SQRT(K49^2+(P49^2)/12), P49/SQRT(12))</f>
        <v>2.33618062519232</v>
      </c>
      <c r="Y49" s="587" t="n">
        <f aca="false">RCinEsr*X49^2</f>
        <v>0.0109154798270479</v>
      </c>
      <c r="Z49" s="588" t="n">
        <f aca="false">Y49</f>
        <v>0.0109154798270479</v>
      </c>
      <c r="AA49" s="488" t="n">
        <f aca="false">CHOOSE(J49, SQRT(N49)*SQRT(K49^2+(P49^2)/12), SQRT(L49^2+(P49^2)/12), SQRT(N49)*SQRT(M49^2+(P49^2)/12))</f>
        <v>5.43267663245268</v>
      </c>
      <c r="AB49" s="488" t="n">
        <f aca="false">Rdson1*AA49^2</f>
        <v>0.168229659738945</v>
      </c>
      <c r="AC49" s="488" t="n">
        <f aca="false">CHOOSE(J49, (H49*K49/2)*(Fsw)*(Tr_buck+Tf_buck), 0, (H49*M49/2)*(Fsw/2)*(Tr_buck+Tf_buck))</f>
        <v>0.0904307604017217</v>
      </c>
      <c r="AD49" s="0" t="n">
        <f aca="false">IF(H49&gt;Vout, IF(K49&gt;P49/2,0,ABS(K49-P49/2)*Vsd_Q1*Deadtime*Fsw),0)</f>
        <v>0</v>
      </c>
      <c r="AE49" s="488" t="n">
        <f aca="false">(AD49+AC49+AB49*(1+RdsonTopTc*Ta-RdsonTopTc*25))/(1-AB49*RdsonTopTc*ThetaJA_Q1)</f>
        <v>0.267666302333703</v>
      </c>
      <c r="AF49" s="488" t="n">
        <f aca="false">CHOOSE(J49, SQRT((1-N49))*SQRT(K49^2+(P49^2)/12), 0, SQRT((1-N49))*SQRT(M49^2+(P49^2)/12))</f>
        <v>2.58765539760862</v>
      </c>
      <c r="AG49" s="488" t="n">
        <f aca="false">Rdson2*AF49^2</f>
        <v>0.0381669746036061</v>
      </c>
      <c r="AH49" s="488" t="n">
        <f aca="false">CHOOSE(J49, IF(K49&lt;P49/2,Deadtime*Fsw*IF(VfdSky_Q2&gt;0,0,Vsd_Q2)*(K49+P49/2),2*Deadtime*Fsw*IF(VfdSky_Q2&gt;0,0,Vsd_Q2)*K49),0, IF(K49&lt;P49/2,Deadtime*Fsw/2*IF(VfdSky_Q2&gt;0,0,Vsd_Q2)*(K49+P49/2),2*Deadtime*Fsw/2*IF(VfdSky_Q2&gt;0,0,Vsd_Q2)*K49))</f>
        <v>0.144</v>
      </c>
      <c r="AI49" s="488" t="n">
        <f aca="false">(AH49+AG49*(1+RdsonBotTc*Ta-RdsonBotTc*25))/(1-AG49*RdsonBotTc*ThetaJA_Q2)</f>
        <v>0.183568223347311</v>
      </c>
      <c r="AJ49" s="488" t="n">
        <f aca="false">CHOOSE(J49, 0, SQRT(O49)*SQRT(L49^2+(P49^2)/12), SQRT(O49)*SQRT(M49^2+(P49^2)/12))</f>
        <v>0</v>
      </c>
      <c r="AK49" s="488" t="n">
        <f aca="false">Rdson4*AJ49^2</f>
        <v>0</v>
      </c>
      <c r="AL49" s="488" t="n">
        <f aca="false">CHOOSE(J49, 0, (Vout*L49/2)*(Fsw)*(Tr_boost+Tf_boost), (Vout*Iout/2)*(Fsw/2)*(Tr_boost+Tf_boost))</f>
        <v>0</v>
      </c>
      <c r="AM49" s="0" t="n">
        <f aca="false">IF(H49&gt;Vout, 0, IF(L49&gt;P49/2,0,ABS(L49-P49/2)*Vsd_Q4*Deadtime*Fsw))</f>
        <v>0</v>
      </c>
      <c r="AN49" s="488" t="n">
        <f aca="false">(AM49+AL49+AK49*(1+RdsonTopTc*Ta-RdsonTopTc*25))/(1-AK49*RdsonTopTc*ThetaJA_Q4)</f>
        <v>0</v>
      </c>
      <c r="AO49" s="488" t="n">
        <f aca="false">CHOOSE(J49, SQRT(Iout^2+(P49^2)/12), SQRT(1-O49)*SQRT(L49^2+(P49^2)/12), SQRT(1-O49)*SQRT(M49^2+(P49^2)/12))</f>
        <v>6.0174692229849</v>
      </c>
      <c r="AP49" s="488" t="n">
        <f aca="false">Rdson3*AO49^2</f>
        <v>0.0687988781141838</v>
      </c>
      <c r="AQ49" s="488" t="n">
        <f aca="false">CHOOSE(J49, 0, IF(L49&lt;P49/2,Deadtime*Fsw*IF(VfdSky_Q3&gt;0,0,Vsd_Q3)*(L49+P49/2), 2*Deadtime*Fsw*IF(VfdSky_Q3&gt;0,0,Vsd_Q3)*L49), IF(L49&lt;P49/2,Deadtime*Fsw/2*IF(VfdSky_Q3&gt;0,0,Vsd_Q3)*(L49+P49/2), 2*Deadtime*Fsw/2*IF(VfdSky_Q3&gt;0,0,Vsd_Q3)*L49))</f>
        <v>0</v>
      </c>
      <c r="AR49" s="488" t="n">
        <f aca="false">(AQ49+AP49*(1+RdsonBotTc*Ta-RdsonBotTc*25))/(1-AP49*RdsonBotTc*ThetaJA_Q3)</f>
        <v>0.0697587427623246</v>
      </c>
      <c r="AS49" s="488" t="n">
        <f aca="false">CHOOSE(J49, Rdson3*Q49^2, Rdson1*Q49^2, 0)</f>
        <v>0.0687988781141838</v>
      </c>
      <c r="AT49" s="488" t="n">
        <f aca="false">CHOOSE(J49, 2*Deadtime*Fsw*IF(VfdSky_Q2&gt;0,VfdSky_Q2,0)*K49, 2*Deadtime*Fsw*IF(VfdSky_Q3&gt;0,VfdSky_Q3,0)*L49, 2*Deadtime*Fsw/2*IF(VfdSky_Q2&gt;0,VfdSky_Q2,0)*K49+2*Deadtime*Fsw/2*IF(VfdSky_Q3&gt;0,VfdSky_Q3,0)*L49)</f>
        <v>0</v>
      </c>
      <c r="AU49" s="488" t="n">
        <f aca="false">CHOOSE(J49, IF(QrrSky_Q2&gt;0,QrrSky_Q2,Qrr_Q2)*Fsw*(H49-K49*Rdson1), IF(QrrSky_Q3&gt;0,QrrSky_Q3,Qrr_Q3)*Fsw*Vout,  IF(QrrSky_Q2&gt;0,QrrSky_Q2,Qrr_Q2)*Fsw/2*(H49-K49*Rdson1)+IF(QrrSky_Q3&gt;0,QrrSky_Q3,Qrr_Q3)*Fsw/2*Vout)</f>
        <v>0.27907362</v>
      </c>
      <c r="AV49" s="488" t="n">
        <f aca="false">CHOOSE(J49, Rs*AF49^2, Rs*AJ49^2, Rs*(AF49^2+AJ49^2))</f>
        <v>0.053567683654184</v>
      </c>
      <c r="AW49" s="488" t="n">
        <f aca="false">Rshunt_std/1000*Iout^2</f>
        <v>0.14832</v>
      </c>
      <c r="AX49" s="488" t="n">
        <f aca="false">IF(Vout&gt;8, Iq*Vout, Iq*H49)</f>
        <v>0.036</v>
      </c>
      <c r="AY49" s="488" t="n">
        <f aca="false">CHOOSE(J49, (Qg_Q1+Qg_Q2)*Fsw, (Qg_Q3+Qg_Q4)*Fsw, (Qg_Q1+Qg_Q2+Qg_Q3+Qg_Q4)*Fsw/2)*IF(Vout&gt;8, Vout, H49)</f>
        <v>0.0792</v>
      </c>
      <c r="AZ49" s="488" t="n">
        <f aca="false">(Vin-Vdd)*Fsw*(Qg_Q1+Qg_Q2)+(RdsonDRT+RdsonDRT2)*Fsw*Qg_Q1*Vdd/(RdsonDRT+2*Rgate1+RdsonDRT2)+(RdsonDRB+RdsonDRB2)*Fsw*Qg_Q2*Vdd/(RdsonDRB+2*Rgate2+RdsonDRB2)</f>
        <v>0.0522</v>
      </c>
      <c r="BA49" s="488" t="n">
        <f aca="false">SUM(AX49:AY49)</f>
        <v>0.1152</v>
      </c>
      <c r="BB49" s="488" t="n">
        <f aca="false">SUM(T49,W49,Z49,AE49,AI49,AN49,AR49, AT49,AU49,BA49,AV49,AW49)</f>
        <v>1.299990320452</v>
      </c>
      <c r="BC49" s="419" t="n">
        <f aca="false">Vout*K49</f>
        <v>72</v>
      </c>
      <c r="BD49" s="589" t="n">
        <f aca="false">BC49/(BC49+BB49)</f>
        <v>0.982264795469021</v>
      </c>
      <c r="BE49" s="590" t="n">
        <f aca="false">IF(H49&gt;Vout,ThetaJA_Q1*(AE49+AU49),ThetaJA_Q4*(AN49+AU49))</f>
        <v>27.3369961166852</v>
      </c>
      <c r="BF49" s="590" t="n">
        <f aca="false">IF(H49&gt;Vout, AI49*ThetaJA_Q2, ThetaJA_Q3*AR49)</f>
        <v>9.17841116736557</v>
      </c>
      <c r="BG49" s="536"/>
      <c r="BH49" s="385" t="n">
        <f aca="false">BD49*100</f>
        <v>98.2264795469021</v>
      </c>
      <c r="BI49" s="488" t="n">
        <f aca="false">T49</f>
        <v>0.170870589279575</v>
      </c>
      <c r="BJ49" s="488" t="n">
        <f aca="false">AE49+AI49+AN49+AR49+AU49</f>
        <v>0.800066888443339</v>
      </c>
      <c r="BK49" s="488" t="n">
        <f aca="false">AI49+AU49*0.33</f>
        <v>0.275662517947311</v>
      </c>
      <c r="BL49" s="488" t="n">
        <f aca="false">AV49</f>
        <v>0.053567683654184</v>
      </c>
      <c r="BQ49" s="0" t="n">
        <v>9.997009</v>
      </c>
      <c r="BR49" s="0" t="n">
        <v>8.612</v>
      </c>
      <c r="BS49" s="0" t="n">
        <v>5.108542</v>
      </c>
      <c r="BT49" s="0" t="n">
        <v>91.3463782566589</v>
      </c>
      <c r="BU49" s="0" t="n">
        <v>4167.806561282</v>
      </c>
    </row>
    <row r="50" customFormat="false" ht="12.75" hidden="false" customHeight="false" outlineLevel="0" collapsed="false">
      <c r="A50" s="600" t="s">
        <v>670</v>
      </c>
      <c r="B50" s="596" t="n">
        <f aca="false">RdsonBotTc*1000000</f>
        <v>4000</v>
      </c>
      <c r="C50" s="597" t="s">
        <v>831</v>
      </c>
      <c r="D50" s="598" t="s">
        <v>871</v>
      </c>
      <c r="G50" s="0" t="n">
        <v>41</v>
      </c>
      <c r="H50" s="586" t="n">
        <f aca="false">VIN_min+(VIN_max-VIN_min)*(G50/200)</f>
        <v>15.02</v>
      </c>
      <c r="I50" s="385" t="str">
        <f aca="false">IF(H50&gt;VIN_BB_to_buck, "BUCK", IF(H50&lt;VIN_boost_to_BB,"BOOST","BUCK-BST"))</f>
        <v>BUCK</v>
      </c>
      <c r="J50" s="419" t="n">
        <f aca="false">IF(I50="BOOST",2, IF(I50="BUCK", 1,3))</f>
        <v>1</v>
      </c>
      <c r="K50" s="0" t="n">
        <f aca="false">Iout</f>
        <v>6</v>
      </c>
      <c r="L50" s="385" t="n">
        <f aca="false">Vout*K50/(H50*Efficiency)</f>
        <v>5.32623169107856</v>
      </c>
      <c r="M50" s="385" t="n">
        <f aca="false">Iout/(1-O50)</f>
        <v>6</v>
      </c>
      <c r="N50" s="488" t="n">
        <f aca="false">CHOOSE(J50,(Vout+(Rdson2+Rs+Rdcr)*K50)/(H50+(Rs+Rdson2-Rdson1)*K50),1,IF(H50&lt;Vout,D_max_buck_BB,Vout/H50*(1-D_min_boost_exitBB_to_buck)))</f>
        <v>0.803178922219273</v>
      </c>
      <c r="O50" s="488" t="n">
        <f aca="false">CHOOSE(J50,0,(Vout+(Rdson3+Rdcr)*L50-H50)/(Vout+(Rdson3-Rdson4-Rs)*L50),IF(H50&gt;Vout,D_min_boost_exitBB_to_buck, (Vout-H50*D_max_buck_BB)/Vout))</f>
        <v>0</v>
      </c>
      <c r="P50" s="385" t="n">
        <f aca="false">MAX(0, CHOOSE(J50, (H50-(Rdson1+Rdcr)*K50-Vout)*N50/(Fsw*Lf), (H50-(Rdson4+Rdcr+Rs)*L50)*O50/(Fsw*Lf), IF(H50&lt;Vout, (H50-(Rdson4+Rdcr+Rs)*L50)*O50/(0.5*Fsw*Lf),(H50-(Rdson1+Rdcr)*K50-Vout)*N50/(0.5*Fsw*Lf))))</f>
        <v>1.68935299973454</v>
      </c>
      <c r="Q50" s="488" t="n">
        <f aca="false">CHOOSE(J50, SQRT(K50^2+(P50^2)/12), SQRT(L50^2+(P50^2)/12), SQRT(M50^2+(P50^2)/12))</f>
        <v>6.01978621961024</v>
      </c>
      <c r="R50" s="488" t="n">
        <f aca="false">(Q50^2*Rdcr*(1+Ltc*Ta-Ltc*25))/(1-Q50^2*Rdcr*Ltc*ThetaCa)</f>
        <v>0.122587252742425</v>
      </c>
      <c r="S50" s="488" t="n">
        <f aca="false">7.759*10^-3*Fsw^0.9458*(0.00787*P50)^2.304</f>
        <v>0.0558548174021137</v>
      </c>
      <c r="T50" s="488" t="n">
        <f aca="false">R50+S50</f>
        <v>0.178442070144539</v>
      </c>
      <c r="U50" s="385" t="n">
        <f aca="false">IF(H50&gt;Vout, P50/SQRT(12), SQRT(O50/(1-O50))*SQRT(K50^2+(P50^2)/12))</f>
        <v>0.487674204576518</v>
      </c>
      <c r="V50" s="488" t="n">
        <f aca="false">RCoutEsr*U50^2</f>
        <v>0.0011891306490467</v>
      </c>
      <c r="W50" s="488" t="n">
        <f aca="false">V50</f>
        <v>0.0011891306490467</v>
      </c>
      <c r="X50" s="488" t="n">
        <f aca="false">IF(H50&gt;Vout, SQRT(N50*(1-N50))*SQRT(K50^2+(P50^2)/12), P50/SQRT(12))</f>
        <v>2.3934426333915</v>
      </c>
      <c r="Y50" s="587" t="n">
        <f aca="false">RCinEsr*X50^2</f>
        <v>0.0114571352786721</v>
      </c>
      <c r="Z50" s="588" t="n">
        <f aca="false">Y50</f>
        <v>0.0114571352786721</v>
      </c>
      <c r="AA50" s="488" t="n">
        <f aca="false">CHOOSE(J50, SQRT(N50)*SQRT(K50^2+(P50^2)/12), SQRT(L50^2+(P50^2)/12), SQRT(N50)*SQRT(M50^2+(P50^2)/12))</f>
        <v>5.39494746355418</v>
      </c>
      <c r="AB50" s="488" t="n">
        <f aca="false">Rdson1*AA50^2</f>
        <v>0.165901111366705</v>
      </c>
      <c r="AC50" s="488" t="n">
        <f aca="false">CHOOSE(J50, (H50*K50/2)*(Fsw)*(Tr_buck+Tf_buck), 0, (H50*M50/2)*(Fsw/2)*(Tr_buck+Tf_buck))</f>
        <v>0.0917750014347202</v>
      </c>
      <c r="AD50" s="0" t="n">
        <f aca="false">IF(H50&gt;Vout, IF(K50&gt;P50/2,0,ABS(K50-P50/2)*Vsd_Q1*Deadtime*Fsw),0)</f>
        <v>0</v>
      </c>
      <c r="AE50" s="488" t="n">
        <f aca="false">(AD50+AC50+AB50*(1+RdsonTopTc*Ta-RdsonTopTc*25))/(1-AB50*RdsonTopTc*ThetaJA_Q1)</f>
        <v>0.266519281812081</v>
      </c>
      <c r="AF50" s="488" t="n">
        <f aca="false">CHOOSE(J50, SQRT((1-N50))*SQRT(K50^2+(P50^2)/12), 0, SQRT((1-N50))*SQRT(M50^2+(P50^2)/12))</f>
        <v>2.67064935835831</v>
      </c>
      <c r="AG50" s="488" t="n">
        <f aca="false">Rdson2*AF50^2</f>
        <v>0.0406544975732082</v>
      </c>
      <c r="AH50" s="488" t="n">
        <f aca="false">CHOOSE(J50, IF(K50&lt;P50/2,Deadtime*Fsw*IF(VfdSky_Q2&gt;0,0,Vsd_Q2)*(K50+P50/2),2*Deadtime*Fsw*IF(VfdSky_Q2&gt;0,0,Vsd_Q2)*K50),0, IF(K50&lt;P50/2,Deadtime*Fsw/2*IF(VfdSky_Q2&gt;0,0,Vsd_Q2)*(K50+P50/2),2*Deadtime*Fsw/2*IF(VfdSky_Q2&gt;0,0,Vsd_Q2)*K50))</f>
        <v>0.144</v>
      </c>
      <c r="AI50" s="488" t="n">
        <f aca="false">(AH50+AG50*(1+RdsonBotTc*Ta-RdsonBotTc*25))/(1-AG50*RdsonBotTc*ThetaJA_Q2)</f>
        <v>0.186168212602701</v>
      </c>
      <c r="AJ50" s="488" t="n">
        <f aca="false">CHOOSE(J50, 0, SQRT(O50)*SQRT(L50^2+(P50^2)/12), SQRT(O50)*SQRT(M50^2+(P50^2)/12))</f>
        <v>0</v>
      </c>
      <c r="AK50" s="488" t="n">
        <f aca="false">Rdson4*AJ50^2</f>
        <v>0</v>
      </c>
      <c r="AL50" s="488" t="n">
        <f aca="false">CHOOSE(J50, 0, (Vout*L50/2)*(Fsw)*(Tr_boost+Tf_boost), (Vout*Iout/2)*(Fsw/2)*(Tr_boost+Tf_boost))</f>
        <v>0</v>
      </c>
      <c r="AM50" s="0" t="n">
        <f aca="false">IF(H50&gt;Vout, 0, IF(L50&gt;P50/2,0,ABS(L50-P50/2)*Vsd_Q4*Deadtime*Fsw))</f>
        <v>0</v>
      </c>
      <c r="AN50" s="488" t="n">
        <f aca="false">(AM50+AL50+AK50*(1+RdsonTopTc*Ta-RdsonTopTc*25))/(1-AK50*RdsonTopTc*ThetaJA_Q4)</f>
        <v>0</v>
      </c>
      <c r="AO50" s="488" t="n">
        <f aca="false">CHOOSE(J50, SQRT(Iout^2+(P50^2)/12), SQRT(1-O50)*SQRT(L50^2+(P50^2)/12), SQRT(1-O50)*SQRT(M50^2+(P50^2)/12))</f>
        <v>6.01978621961024</v>
      </c>
      <c r="AP50" s="488" t="n">
        <f aca="false">Rdson3*AO50^2</f>
        <v>0.0688518696466378</v>
      </c>
      <c r="AQ50" s="488" t="n">
        <f aca="false">CHOOSE(J50, 0, IF(L50&lt;P50/2,Deadtime*Fsw*IF(VfdSky_Q3&gt;0,0,Vsd_Q3)*(L50+P50/2), 2*Deadtime*Fsw*IF(VfdSky_Q3&gt;0,0,Vsd_Q3)*L50), IF(L50&lt;P50/2,Deadtime*Fsw/2*IF(VfdSky_Q3&gt;0,0,Vsd_Q3)*(L50+P50/2), 2*Deadtime*Fsw/2*IF(VfdSky_Q3&gt;0,0,Vsd_Q3)*L50))</f>
        <v>0</v>
      </c>
      <c r="AR50" s="488" t="n">
        <f aca="false">(AQ50+AP50*(1+RdsonBotTc*Ta-RdsonBotTc*25))/(1-AP50*RdsonBotTc*ThetaJA_Q3)</f>
        <v>0.069813223844184</v>
      </c>
      <c r="AS50" s="488" t="n">
        <f aca="false">CHOOSE(J50, Rdson3*Q50^2, Rdson1*Q50^2, 0)</f>
        <v>0.0688518696466378</v>
      </c>
      <c r="AT50" s="488" t="n">
        <f aca="false">CHOOSE(J50, 2*Deadtime*Fsw*IF(VfdSky_Q2&gt;0,VfdSky_Q2,0)*K50, 2*Deadtime*Fsw*IF(VfdSky_Q3&gt;0,VfdSky_Q3,0)*L50, 2*Deadtime*Fsw/2*IF(VfdSky_Q2&gt;0,VfdSky_Q2,0)*K50+2*Deadtime*Fsw/2*IF(VfdSky_Q3&gt;0,VfdSky_Q3,0)*L50)</f>
        <v>0</v>
      </c>
      <c r="AU50" s="488" t="n">
        <f aca="false">CHOOSE(J50, IF(QrrSky_Q2&gt;0,QrrSky_Q2,Qrr_Q2)*Fsw*(H50-K50*Rdson1), IF(QrrSky_Q3&gt;0,QrrSky_Q3,Qrr_Q3)*Fsw*Vout,  IF(QrrSky_Q2&gt;0,QrrSky_Q2,Qrr_Q2)*Fsw/2*(H50-K50*Rdson1)+IF(QrrSky_Q3&gt;0,QrrSky_Q3,Qrr_Q3)*Fsw/2*Vout)</f>
        <v>0.28323162</v>
      </c>
      <c r="AV50" s="488" t="n">
        <f aca="false">CHOOSE(J50, Rs*AF50^2, Rs*AJ50^2, Rs*(AF50^2+AJ50^2))</f>
        <v>0.0570589439623974</v>
      </c>
      <c r="AW50" s="488" t="n">
        <f aca="false">Rshunt_std/1000*Iout^2</f>
        <v>0.14832</v>
      </c>
      <c r="AX50" s="488" t="n">
        <f aca="false">IF(Vout&gt;8, Iq*Vout, Iq*H50)</f>
        <v>0.036</v>
      </c>
      <c r="AY50" s="488" t="n">
        <f aca="false">CHOOSE(J50, (Qg_Q1+Qg_Q2)*Fsw, (Qg_Q3+Qg_Q4)*Fsw, (Qg_Q1+Qg_Q2+Qg_Q3+Qg_Q4)*Fsw/2)*IF(Vout&gt;8, Vout, H50)</f>
        <v>0.0792</v>
      </c>
      <c r="AZ50" s="488" t="n">
        <f aca="false">(Vin-Vdd)*Fsw*(Qg_Q1+Qg_Q2)+(RdsonDRT+RdsonDRT2)*Fsw*Qg_Q1*Vdd/(RdsonDRT+2*Rgate1+RdsonDRT2)+(RdsonDRB+RdsonDRB2)*Fsw*Qg_Q2*Vdd/(RdsonDRB+2*Rgate2+RdsonDRB2)</f>
        <v>0.0522</v>
      </c>
      <c r="BA50" s="488" t="n">
        <f aca="false">SUM(AX50:AY50)</f>
        <v>0.1152</v>
      </c>
      <c r="BB50" s="488" t="n">
        <f aca="false">SUM(T50,W50,Z50,AE50,AI50,AN50,AR50, AT50,AU50,BA50,AV50,AW50)</f>
        <v>1.31739961829362</v>
      </c>
      <c r="BC50" s="419" t="n">
        <f aca="false">Vout*K50</f>
        <v>72</v>
      </c>
      <c r="BD50" s="589" t="n">
        <f aca="false">BC50/(BC50+BB50)</f>
        <v>0.982031555604096</v>
      </c>
      <c r="BE50" s="590" t="n">
        <f aca="false">IF(H50&gt;Vout,ThetaJA_Q1*(AE50+AU50),ThetaJA_Q4*(AN50+AU50))</f>
        <v>27.4875450906041</v>
      </c>
      <c r="BF50" s="590" t="n">
        <f aca="false">IF(H50&gt;Vout, AI50*ThetaJA_Q2, ThetaJA_Q3*AR50)</f>
        <v>9.30841063013506</v>
      </c>
      <c r="BG50" s="536"/>
      <c r="BH50" s="385" t="n">
        <f aca="false">BD50*100</f>
        <v>98.2031555604096</v>
      </c>
      <c r="BI50" s="488" t="n">
        <f aca="false">T50</f>
        <v>0.178442070144539</v>
      </c>
      <c r="BJ50" s="488" t="n">
        <f aca="false">AE50+AI50+AN50+AR50+AU50</f>
        <v>0.805732338258967</v>
      </c>
      <c r="BK50" s="488" t="n">
        <f aca="false">AI50+AU50*0.33</f>
        <v>0.279634647202701</v>
      </c>
      <c r="BL50" s="488" t="n">
        <f aca="false">AV50</f>
        <v>0.0570589439623974</v>
      </c>
      <c r="BQ50" s="0" t="n">
        <v>9.996959</v>
      </c>
      <c r="BR50" s="0" t="n">
        <v>9.523</v>
      </c>
      <c r="BS50" s="0" t="n">
        <v>5.108754</v>
      </c>
      <c r="BT50" s="0" t="n">
        <v>90.5478261916519</v>
      </c>
      <c r="BU50" s="0" t="n">
        <v>5078.581624081</v>
      </c>
    </row>
    <row r="51" customFormat="false" ht="12.75" hidden="false" customHeight="false" outlineLevel="0" collapsed="false">
      <c r="A51" s="600" t="s">
        <v>872</v>
      </c>
      <c r="B51" s="596" t="n">
        <f aca="false">Qg_Q2*1000000000</f>
        <v>11</v>
      </c>
      <c r="C51" s="597" t="s">
        <v>110</v>
      </c>
      <c r="D51" s="598" t="s">
        <v>857</v>
      </c>
      <c r="G51" s="0" t="n">
        <v>42</v>
      </c>
      <c r="H51" s="586" t="n">
        <f aca="false">VIN_min+(VIN_max-VIN_min)*(G51/200)</f>
        <v>15.24</v>
      </c>
      <c r="I51" s="385" t="str">
        <f aca="false">IF(H51&gt;VIN_BB_to_buck, "BUCK", IF(H51&lt;VIN_boost_to_BB,"BOOST","BUCK-BST"))</f>
        <v>BUCK</v>
      </c>
      <c r="J51" s="419" t="n">
        <f aca="false">IF(I51="BOOST",2, IF(I51="BUCK", 1,3))</f>
        <v>1</v>
      </c>
      <c r="K51" s="0" t="n">
        <f aca="false">Iout</f>
        <v>6</v>
      </c>
      <c r="L51" s="385" t="n">
        <f aca="false">Vout*K51/(H51*Efficiency)</f>
        <v>5.249343832021</v>
      </c>
      <c r="M51" s="385" t="n">
        <f aca="false">Iout/(1-O51)</f>
        <v>6</v>
      </c>
      <c r="N51" s="488" t="n">
        <f aca="false">CHOOSE(J51,(Vout+(Rdson2+Rs+Rdcr)*K51)/(H51+(Rs+Rdson2-Rdson1)*K51),1,IF(H51&lt;Vout,D_max_buck_BB,Vout/H51*(1-D_min_boost_exitBB_to_buck)))</f>
        <v>0.791620879120879</v>
      </c>
      <c r="O51" s="488" t="n">
        <f aca="false">CHOOSE(J51,0,(Vout+(Rdson3+Rdcr)*L51-H51)/(Vout+(Rdson3-Rdson4-Rs)*L51),IF(H51&gt;Vout,D_min_boost_exitBB_to_buck, (Vout-H51*D_max_buck_BB)/Vout))</f>
        <v>0</v>
      </c>
      <c r="P51" s="385" t="n">
        <f aca="false">MAX(0, CHOOSE(J51, (H51-(Rdson1+Rdcr)*K51-Vout)*N51/(Fsw*Lf), (H51-(Rdson4+Rdcr+Rs)*L51)*O51/(Fsw*Lf), IF(H51&lt;Vout, (H51-(Rdson4+Rdcr+Rs)*L51)*O51/(0.5*Fsw*Lf),(H51-(Rdson1+Rdcr)*K51-Vout)*N51/(0.5*Fsw*Lf))))</f>
        <v>1.78855789689034</v>
      </c>
      <c r="Q51" s="488" t="n">
        <f aca="false">CHOOSE(J51, SQRT(K51^2+(P51^2)/12), SQRT(L51^2+(P51^2)/12), SQRT(M51^2+(P51^2)/12))</f>
        <v>6.0221738831763</v>
      </c>
      <c r="R51" s="488" t="n">
        <f aca="false">(Q51^2*Rdcr*(1+Ltc*Ta-Ltc*25))/(1-Q51^2*Rdcr*Ltc*ThetaCa)</f>
        <v>0.122685471681697</v>
      </c>
      <c r="S51" s="488" t="n">
        <f aca="false">7.759*10^-3*Fsw^0.9458*(0.00787*P51)^2.304</f>
        <v>0.0637029782726477</v>
      </c>
      <c r="T51" s="488" t="n">
        <f aca="false">R51+S51</f>
        <v>0.186388449954345</v>
      </c>
      <c r="U51" s="385" t="n">
        <f aca="false">IF(H51&gt;Vout, P51/SQRT(12), SQRT(O51/(1-O51))*SQRT(K51^2+(P51^2)/12))</f>
        <v>0.516312191615436</v>
      </c>
      <c r="V51" s="488" t="n">
        <f aca="false">RCoutEsr*U51^2</f>
        <v>0.00133289139605367</v>
      </c>
      <c r="W51" s="488" t="n">
        <f aca="false">V51</f>
        <v>0.00133289139605367</v>
      </c>
      <c r="X51" s="488" t="n">
        <f aca="false">IF(H51&gt;Vout, SQRT(N51*(1-N51))*SQRT(K51^2+(P51^2)/12), P51/SQRT(12))</f>
        <v>2.44590177363366</v>
      </c>
      <c r="Y51" s="587" t="n">
        <f aca="false">RCinEsr*X51^2</f>
        <v>0.0119648709725286</v>
      </c>
      <c r="Z51" s="588" t="n">
        <f aca="false">Y51</f>
        <v>0.0119648709725286</v>
      </c>
      <c r="AA51" s="488" t="n">
        <f aca="false">CHOOSE(J51, SQRT(N51)*SQRT(K51^2+(P51^2)/12), SQRT(L51^2+(P51^2)/12), SQRT(N51)*SQRT(M51^2+(P51^2)/12))</f>
        <v>5.3581135281081</v>
      </c>
      <c r="AB51" s="488" t="n">
        <f aca="false">Rdson1*AA51^2</f>
        <v>0.163643469306541</v>
      </c>
      <c r="AC51" s="488" t="n">
        <f aca="false">CHOOSE(J51, (H51*K51/2)*(Fsw)*(Tr_buck+Tf_buck), 0, (H51*M51/2)*(Fsw/2)*(Tr_buck+Tf_buck))</f>
        <v>0.0931192424677188</v>
      </c>
      <c r="AD51" s="0" t="n">
        <f aca="false">IF(H51&gt;Vout, IF(K51&gt;P51/2,0,ABS(K51-P51/2)*Vsd_Q1*Deadtime*Fsw),0)</f>
        <v>0</v>
      </c>
      <c r="AE51" s="488" t="n">
        <f aca="false">(AD51+AC51+AB51*(1+RdsonTopTc*Ta-RdsonTopTc*25))/(1-AB51*RdsonTopTc*ThetaJA_Q1)</f>
        <v>0.265450561951689</v>
      </c>
      <c r="AF51" s="488" t="n">
        <f aca="false">CHOOSE(J51, SQRT((1-N51))*SQRT(K51^2+(P51^2)/12), 0, SQRT((1-N51))*SQRT(M51^2+(P51^2)/12))</f>
        <v>2.74903577625242</v>
      </c>
      <c r="AG51" s="488" t="n">
        <f aca="false">Rdson2*AF51^2</f>
        <v>0.0430760268849598</v>
      </c>
      <c r="AH51" s="488" t="n">
        <f aca="false">CHOOSE(J51, IF(K51&lt;P51/2,Deadtime*Fsw*IF(VfdSky_Q2&gt;0,0,Vsd_Q2)*(K51+P51/2),2*Deadtime*Fsw*IF(VfdSky_Q2&gt;0,0,Vsd_Q2)*K51),0, IF(K51&lt;P51/2,Deadtime*Fsw/2*IF(VfdSky_Q2&gt;0,0,Vsd_Q2)*(K51+P51/2),2*Deadtime*Fsw/2*IF(VfdSky_Q2&gt;0,0,Vsd_Q2)*K51))</f>
        <v>0.144</v>
      </c>
      <c r="AI51" s="488" t="n">
        <f aca="false">(AH51+AG51*(1+RdsonBotTc*Ta-RdsonBotTc*25))/(1-AG51*RdsonBotTc*ThetaJA_Q2)</f>
        <v>0.188701731052975</v>
      </c>
      <c r="AJ51" s="488" t="n">
        <f aca="false">CHOOSE(J51, 0, SQRT(O51)*SQRT(L51^2+(P51^2)/12), SQRT(O51)*SQRT(M51^2+(P51^2)/12))</f>
        <v>0</v>
      </c>
      <c r="AK51" s="488" t="n">
        <f aca="false">Rdson4*AJ51^2</f>
        <v>0</v>
      </c>
      <c r="AL51" s="488" t="n">
        <f aca="false">CHOOSE(J51, 0, (Vout*L51/2)*(Fsw)*(Tr_boost+Tf_boost), (Vout*Iout/2)*(Fsw/2)*(Tr_boost+Tf_boost))</f>
        <v>0</v>
      </c>
      <c r="AM51" s="0" t="n">
        <f aca="false">IF(H51&gt;Vout, 0, IF(L51&gt;P51/2,0,ABS(L51-P51/2)*Vsd_Q4*Deadtime*Fsw))</f>
        <v>0</v>
      </c>
      <c r="AN51" s="488" t="n">
        <f aca="false">(AM51+AL51+AK51*(1+RdsonTopTc*Ta-RdsonTopTc*25))/(1-AK51*RdsonTopTc*ThetaJA_Q4)</f>
        <v>0</v>
      </c>
      <c r="AO51" s="488" t="n">
        <f aca="false">CHOOSE(J51, SQRT(Iout^2+(P51^2)/12), SQRT(1-O51)*SQRT(L51^2+(P51^2)/12), SQRT(1-O51)*SQRT(M51^2+(P51^2)/12))</f>
        <v>6.0221738831763</v>
      </c>
      <c r="AP51" s="488" t="n">
        <f aca="false">Rdson3*AO51^2</f>
        <v>0.0689064987305004</v>
      </c>
      <c r="AQ51" s="488" t="n">
        <f aca="false">CHOOSE(J51, 0, IF(L51&lt;P51/2,Deadtime*Fsw*IF(VfdSky_Q3&gt;0,0,Vsd_Q3)*(L51+P51/2), 2*Deadtime*Fsw*IF(VfdSky_Q3&gt;0,0,Vsd_Q3)*L51), IF(L51&lt;P51/2,Deadtime*Fsw/2*IF(VfdSky_Q3&gt;0,0,Vsd_Q3)*(L51+P51/2), 2*Deadtime*Fsw/2*IF(VfdSky_Q3&gt;0,0,Vsd_Q3)*L51))</f>
        <v>0</v>
      </c>
      <c r="AR51" s="488" t="n">
        <f aca="false">(AQ51+AP51*(1+RdsonBotTc*Ta-RdsonBotTc*25))/(1-AP51*RdsonBotTc*ThetaJA_Q3)</f>
        <v>0.0698693897334948</v>
      </c>
      <c r="AS51" s="488" t="n">
        <f aca="false">CHOOSE(J51, Rdson3*Q51^2, Rdson1*Q51^2, 0)</f>
        <v>0.0689064987305004</v>
      </c>
      <c r="AT51" s="488" t="n">
        <f aca="false">CHOOSE(J51, 2*Deadtime*Fsw*IF(VfdSky_Q2&gt;0,VfdSky_Q2,0)*K51, 2*Deadtime*Fsw*IF(VfdSky_Q3&gt;0,VfdSky_Q3,0)*L51, 2*Deadtime*Fsw/2*IF(VfdSky_Q2&gt;0,VfdSky_Q2,0)*K51+2*Deadtime*Fsw/2*IF(VfdSky_Q3&gt;0,VfdSky_Q3,0)*L51)</f>
        <v>0</v>
      </c>
      <c r="AU51" s="488" t="n">
        <f aca="false">CHOOSE(J51, IF(QrrSky_Q2&gt;0,QrrSky_Q2,Qrr_Q2)*Fsw*(H51-K51*Rdson1), IF(QrrSky_Q3&gt;0,QrrSky_Q3,Qrr_Q3)*Fsw*Vout,  IF(QrrSky_Q2&gt;0,QrrSky_Q2,Qrr_Q2)*Fsw/2*(H51-K51*Rdson1)+IF(QrrSky_Q3&gt;0,QrrSky_Q3,Qrr_Q3)*Fsw/2*Vout)</f>
        <v>0.28738962</v>
      </c>
      <c r="AV51" s="488" t="n">
        <f aca="false">CHOOSE(J51, Rs*AF51^2, Rs*AJ51^2, Rs*(AF51^2+AJ51^2))</f>
        <v>0.060457581592926</v>
      </c>
      <c r="AW51" s="488" t="n">
        <f aca="false">Rshunt_std/1000*Iout^2</f>
        <v>0.14832</v>
      </c>
      <c r="AX51" s="488" t="n">
        <f aca="false">IF(Vout&gt;8, Iq*Vout, Iq*H51)</f>
        <v>0.036</v>
      </c>
      <c r="AY51" s="488" t="n">
        <f aca="false">CHOOSE(J51, (Qg_Q1+Qg_Q2)*Fsw, (Qg_Q3+Qg_Q4)*Fsw, (Qg_Q1+Qg_Q2+Qg_Q3+Qg_Q4)*Fsw/2)*IF(Vout&gt;8, Vout, H51)</f>
        <v>0.0792</v>
      </c>
      <c r="AZ51" s="488" t="n">
        <f aca="false">(Vin-Vdd)*Fsw*(Qg_Q1+Qg_Q2)+(RdsonDRT+RdsonDRT2)*Fsw*Qg_Q1*Vdd/(RdsonDRT+2*Rgate1+RdsonDRT2)+(RdsonDRB+RdsonDRB2)*Fsw*Qg_Q2*Vdd/(RdsonDRB+2*Rgate2+RdsonDRB2)</f>
        <v>0.0522</v>
      </c>
      <c r="BA51" s="488" t="n">
        <f aca="false">SUM(AX51:AY51)</f>
        <v>0.1152</v>
      </c>
      <c r="BB51" s="488" t="n">
        <f aca="false">SUM(T51,W51,Z51,AE51,AI51,AN51,AR51, AT51,AU51,BA51,AV51,AW51)</f>
        <v>1.33507509665401</v>
      </c>
      <c r="BC51" s="419" t="n">
        <f aca="false">Vout*K51</f>
        <v>72</v>
      </c>
      <c r="BD51" s="589" t="n">
        <f aca="false">BC51/(BC51+BB51)</f>
        <v>0.981794862896173</v>
      </c>
      <c r="BE51" s="590" t="n">
        <f aca="false">IF(H51&gt;Vout,ThetaJA_Q1*(AE51+AU51),ThetaJA_Q4*(AN51+AU51))</f>
        <v>27.6420090975845</v>
      </c>
      <c r="BF51" s="590" t="n">
        <f aca="false">IF(H51&gt;Vout, AI51*ThetaJA_Q2, ThetaJA_Q3*AR51)</f>
        <v>9.43508655264876</v>
      </c>
      <c r="BG51" s="536"/>
      <c r="BH51" s="385" t="n">
        <f aca="false">BD51*100</f>
        <v>98.1794862896173</v>
      </c>
      <c r="BI51" s="488" t="n">
        <f aca="false">T51</f>
        <v>0.186388449954345</v>
      </c>
      <c r="BJ51" s="488" t="n">
        <f aca="false">AE51+AI51+AN51+AR51+AU51</f>
        <v>0.811411302738159</v>
      </c>
      <c r="BK51" s="488" t="n">
        <f aca="false">AI51+AU51*0.33</f>
        <v>0.283540305652975</v>
      </c>
      <c r="BL51" s="488" t="n">
        <f aca="false">AV51</f>
        <v>0.060457581592926</v>
      </c>
      <c r="BQ51" s="0" t="n">
        <v>9.996464</v>
      </c>
      <c r="BR51" s="0" t="n">
        <v>10.493</v>
      </c>
      <c r="BS51" s="0" t="n">
        <v>5.109228</v>
      </c>
      <c r="BT51" s="0" t="n">
        <v>89.6266602591066</v>
      </c>
      <c r="BU51" s="0" t="n">
        <v>6204.922158544</v>
      </c>
    </row>
    <row r="52" customFormat="false" ht="12.75" hidden="false" customHeight="false" outlineLevel="0" collapsed="false">
      <c r="A52" s="600" t="s">
        <v>873</v>
      </c>
      <c r="B52" s="596" t="n">
        <f aca="false">Rgate2</f>
        <v>1.5</v>
      </c>
      <c r="C52" s="601" t="s">
        <v>40</v>
      </c>
      <c r="D52" s="598" t="s">
        <v>651</v>
      </c>
      <c r="G52" s="0" t="n">
        <v>43</v>
      </c>
      <c r="H52" s="586" t="n">
        <f aca="false">VIN_min+(VIN_max-VIN_min)*(G52/200)</f>
        <v>15.46</v>
      </c>
      <c r="I52" s="385" t="str">
        <f aca="false">IF(H52&gt;VIN_BB_to_buck, "BUCK", IF(H52&lt;VIN_boost_to_BB,"BOOST","BUCK-BST"))</f>
        <v>BUCK</v>
      </c>
      <c r="J52" s="419" t="n">
        <f aca="false">IF(I52="BOOST",2, IF(I52="BUCK", 1,3))</f>
        <v>1</v>
      </c>
      <c r="K52" s="0" t="n">
        <f aca="false">Iout</f>
        <v>6</v>
      </c>
      <c r="L52" s="385" t="n">
        <f aca="false">Vout*K52/(H52*Efficiency)</f>
        <v>5.17464424320828</v>
      </c>
      <c r="M52" s="385" t="n">
        <f aca="false">Iout/(1-O52)</f>
        <v>6</v>
      </c>
      <c r="N52" s="488" t="n">
        <f aca="false">CHOOSE(J52,(Vout+(Rdson2+Rs+Rdcr)*K52)/(H52+(Rs+Rdson2-Rdson1)*K52),1,IF(H52&lt;Vout,D_max_buck_BB,Vout/H52*(1-D_min_boost_exitBB_to_buck)))</f>
        <v>0.780390766056229</v>
      </c>
      <c r="O52" s="488" t="n">
        <f aca="false">CHOOSE(J52,0,(Vout+(Rdson3+Rdcr)*L52-H52)/(Vout+(Rdson3-Rdson4-Rs)*L52),IF(H52&gt;Vout,D_min_boost_exitBB_to_buck, (Vout-H52*D_max_buck_BB)/Vout))</f>
        <v>0</v>
      </c>
      <c r="P52" s="385" t="n">
        <f aca="false">MAX(0, CHOOSE(J52, (H52-(Rdson1+Rdcr)*K52-Vout)*N52/(Fsw*Lf), (H52-(Rdson4+Rdcr+Rs)*L52)*O52/(Fsw*Lf), IF(H52&lt;Vout, (H52-(Rdson4+Rdcr+Rs)*L52)*O52/(0.5*Fsw*Lf),(H52-(Rdson1+Rdcr)*K52-Vout)*N52/(0.5*Fsw*Lf))))</f>
        <v>1.88494810777142</v>
      </c>
      <c r="Q52" s="488" t="n">
        <f aca="false">CHOOSE(J52, SQRT(K52^2+(P52^2)/12), SQRT(L52^2+(P52^2)/12), SQRT(M52^2+(P52^2)/12))</f>
        <v>6.02462328953016</v>
      </c>
      <c r="R52" s="488" t="n">
        <f aca="false">(Q52^2*Rdcr*(1+Ltc*Ta-Ltc*25))/(1-Q52^2*Rdcr*Ltc*ThetaCa)</f>
        <v>0.12278627253512</v>
      </c>
      <c r="S52" s="488" t="n">
        <f aca="false">7.759*10^-3*Fsw^0.9458*(0.00787*P52)^2.304</f>
        <v>0.0718923421393155</v>
      </c>
      <c r="T52" s="488" t="n">
        <f aca="false">R52+S52</f>
        <v>0.194678614674435</v>
      </c>
      <c r="U52" s="385" t="n">
        <f aca="false">IF(H52&gt;Vout, P52/SQRT(12), SQRT(O52/(1-O52))*SQRT(K52^2+(P52^2)/12))</f>
        <v>0.544137648715152</v>
      </c>
      <c r="V52" s="488" t="n">
        <f aca="false">RCoutEsr*U52^2</f>
        <v>0.00148042890374627</v>
      </c>
      <c r="W52" s="488" t="n">
        <f aca="false">V52</f>
        <v>0.00148042890374627</v>
      </c>
      <c r="X52" s="488" t="n">
        <f aca="false">IF(H52&gt;Vout, SQRT(N52*(1-N52))*SQRT(K52^2+(P52^2)/12), P52/SQRT(12))</f>
        <v>2.49408503098561</v>
      </c>
      <c r="Y52" s="587" t="n">
        <f aca="false">RCinEsr*X52^2</f>
        <v>0.012440920283573</v>
      </c>
      <c r="Z52" s="588" t="n">
        <f aca="false">Y52</f>
        <v>0.012440920283573</v>
      </c>
      <c r="AA52" s="488" t="n">
        <f aca="false">CHOOSE(J52, SQRT(N52)*SQRT(K52^2+(P52^2)/12), SQRT(L52^2+(P52^2)/12), SQRT(N52)*SQRT(M52^2+(P52^2)/12))</f>
        <v>5.3221358670445</v>
      </c>
      <c r="AB52" s="488" t="n">
        <f aca="false">Rdson1*AA52^2</f>
        <v>0.161453242067505</v>
      </c>
      <c r="AC52" s="488" t="n">
        <f aca="false">CHOOSE(J52, (H52*K52/2)*(Fsw)*(Tr_buck+Tf_buck), 0, (H52*M52/2)*(Fsw/2)*(Tr_buck+Tf_buck))</f>
        <v>0.0944634835007173</v>
      </c>
      <c r="AD52" s="0" t="n">
        <f aca="false">IF(H52&gt;Vout, IF(K52&gt;P52/2,0,ABS(K52-P52/2)*Vsd_Q1*Deadtime*Fsw),0)</f>
        <v>0</v>
      </c>
      <c r="AE52" s="488" t="n">
        <f aca="false">(AD52+AC52+AB52*(1+RdsonTopTc*Ta-RdsonTopTc*25))/(1-AB52*RdsonTopTc*ThetaJA_Q1)</f>
        <v>0.264456187334206</v>
      </c>
      <c r="AF52" s="488" t="n">
        <f aca="false">CHOOSE(J52, SQRT((1-N52))*SQRT(K52^2+(P52^2)/12), 0, SQRT((1-N52))*SQRT(M52^2+(P52^2)/12))</f>
        <v>2.82328808191225</v>
      </c>
      <c r="AG52" s="488" t="n">
        <f aca="false">Rdson2*AF52^2</f>
        <v>0.0454344468827661</v>
      </c>
      <c r="AH52" s="488" t="n">
        <f aca="false">CHOOSE(J52, IF(K52&lt;P52/2,Deadtime*Fsw*IF(VfdSky_Q2&gt;0,0,Vsd_Q2)*(K52+P52/2),2*Deadtime*Fsw*IF(VfdSky_Q2&gt;0,0,Vsd_Q2)*K52),0, IF(K52&lt;P52/2,Deadtime*Fsw/2*IF(VfdSky_Q2&gt;0,0,Vsd_Q2)*(K52+P52/2),2*Deadtime*Fsw/2*IF(VfdSky_Q2&gt;0,0,Vsd_Q2)*K52))</f>
        <v>0.144</v>
      </c>
      <c r="AI52" s="488" t="n">
        <f aca="false">(AH52+AG52*(1+RdsonBotTc*Ta-RdsonBotTc*25))/(1-AG52*RdsonBotTc*ThetaJA_Q2)</f>
        <v>0.191171602082831</v>
      </c>
      <c r="AJ52" s="488" t="n">
        <f aca="false">CHOOSE(J52, 0, SQRT(O52)*SQRT(L52^2+(P52^2)/12), SQRT(O52)*SQRT(M52^2+(P52^2)/12))</f>
        <v>0</v>
      </c>
      <c r="AK52" s="488" t="n">
        <f aca="false">Rdson4*AJ52^2</f>
        <v>0</v>
      </c>
      <c r="AL52" s="488" t="n">
        <f aca="false">CHOOSE(J52, 0, (Vout*L52/2)*(Fsw)*(Tr_boost+Tf_boost), (Vout*Iout/2)*(Fsw/2)*(Tr_boost+Tf_boost))</f>
        <v>0</v>
      </c>
      <c r="AM52" s="0" t="n">
        <f aca="false">IF(H52&gt;Vout, 0, IF(L52&gt;P52/2,0,ABS(L52-P52/2)*Vsd_Q4*Deadtime*Fsw))</f>
        <v>0</v>
      </c>
      <c r="AN52" s="488" t="n">
        <f aca="false">(AM52+AL52+AK52*(1+RdsonTopTc*Ta-RdsonTopTc*25))/(1-AK52*RdsonTopTc*ThetaJA_Q4)</f>
        <v>0</v>
      </c>
      <c r="AO52" s="488" t="n">
        <f aca="false">CHOOSE(J52, SQRT(Iout^2+(P52^2)/12), SQRT(1-O52)*SQRT(L52^2+(P52^2)/12), SQRT(1-O52)*SQRT(M52^2+(P52^2)/12))</f>
        <v>6.02462328953016</v>
      </c>
      <c r="AP52" s="488" t="n">
        <f aca="false">Rdson3*AO52^2</f>
        <v>0.0689625629834236</v>
      </c>
      <c r="AQ52" s="488" t="n">
        <f aca="false">CHOOSE(J52, 0, IF(L52&lt;P52/2,Deadtime*Fsw*IF(VfdSky_Q3&gt;0,0,Vsd_Q3)*(L52+P52/2), 2*Deadtime*Fsw*IF(VfdSky_Q3&gt;0,0,Vsd_Q3)*L52), IF(L52&lt;P52/2,Deadtime*Fsw/2*IF(VfdSky_Q3&gt;0,0,Vsd_Q3)*(L52+P52/2), 2*Deadtime*Fsw/2*IF(VfdSky_Q3&gt;0,0,Vsd_Q3)*L52))</f>
        <v>0</v>
      </c>
      <c r="AR52" s="488" t="n">
        <f aca="false">(AQ52+AP52*(1+RdsonBotTc*Ta-RdsonBotTc*25))/(1-AP52*RdsonBotTc*ThetaJA_Q3)</f>
        <v>0.0699270324594696</v>
      </c>
      <c r="AS52" s="488" t="n">
        <f aca="false">CHOOSE(J52, Rdson3*Q52^2, Rdson1*Q52^2, 0)</f>
        <v>0.0689625629834236</v>
      </c>
      <c r="AT52" s="488" t="n">
        <f aca="false">CHOOSE(J52, 2*Deadtime*Fsw*IF(VfdSky_Q2&gt;0,VfdSky_Q2,0)*K52, 2*Deadtime*Fsw*IF(VfdSky_Q3&gt;0,VfdSky_Q3,0)*L52, 2*Deadtime*Fsw/2*IF(VfdSky_Q2&gt;0,VfdSky_Q2,0)*K52+2*Deadtime*Fsw/2*IF(VfdSky_Q3&gt;0,VfdSky_Q3,0)*L52)</f>
        <v>0</v>
      </c>
      <c r="AU52" s="488" t="n">
        <f aca="false">CHOOSE(J52, IF(QrrSky_Q2&gt;0,QrrSky_Q2,Qrr_Q2)*Fsw*(H52-K52*Rdson1), IF(QrrSky_Q3&gt;0,QrrSky_Q3,Qrr_Q3)*Fsw*Vout,  IF(QrrSky_Q2&gt;0,QrrSky_Q2,Qrr_Q2)*Fsw/2*(H52-K52*Rdson1)+IF(QrrSky_Q3&gt;0,QrrSky_Q3,Qrr_Q3)*Fsw/2*Vout)</f>
        <v>0.29154762</v>
      </c>
      <c r="AV52" s="488" t="n">
        <f aca="false">CHOOSE(J52, Rs*AF52^2, Rs*AJ52^2, Rs*(AF52^2+AJ52^2))</f>
        <v>0.0637676447477419</v>
      </c>
      <c r="AW52" s="488" t="n">
        <f aca="false">Rshunt_std/1000*Iout^2</f>
        <v>0.14832</v>
      </c>
      <c r="AX52" s="488" t="n">
        <f aca="false">IF(Vout&gt;8, Iq*Vout, Iq*H52)</f>
        <v>0.036</v>
      </c>
      <c r="AY52" s="488" t="n">
        <f aca="false">CHOOSE(J52, (Qg_Q1+Qg_Q2)*Fsw, (Qg_Q3+Qg_Q4)*Fsw, (Qg_Q1+Qg_Q2+Qg_Q3+Qg_Q4)*Fsw/2)*IF(Vout&gt;8, Vout, H52)</f>
        <v>0.0792</v>
      </c>
      <c r="AZ52" s="488" t="n">
        <f aca="false">(Vin-Vdd)*Fsw*(Qg_Q1+Qg_Q2)+(RdsonDRT+RdsonDRT2)*Fsw*Qg_Q1*Vdd/(RdsonDRT+2*Rgate1+RdsonDRT2)+(RdsonDRB+RdsonDRB2)*Fsw*Qg_Q2*Vdd/(RdsonDRB+2*Rgate2+RdsonDRB2)</f>
        <v>0.0522</v>
      </c>
      <c r="BA52" s="488" t="n">
        <f aca="false">SUM(AX52:AY52)</f>
        <v>0.1152</v>
      </c>
      <c r="BB52" s="488" t="n">
        <f aca="false">SUM(T52,W52,Z52,AE52,AI52,AN52,AR52, AT52,AU52,BA52,AV52,AW52)</f>
        <v>1.352990050486</v>
      </c>
      <c r="BC52" s="419" t="n">
        <f aca="false">Vout*K52</f>
        <v>72</v>
      </c>
      <c r="BD52" s="589" t="n">
        <f aca="false">BC52/(BC52+BB52)</f>
        <v>0.981555079764918</v>
      </c>
      <c r="BE52" s="590" t="n">
        <f aca="false">IF(H52&gt;Vout,ThetaJA_Q1*(AE52+AU52),ThetaJA_Q4*(AN52+AU52))</f>
        <v>27.8001903667103</v>
      </c>
      <c r="BF52" s="590" t="n">
        <f aca="false">IF(H52&gt;Vout, AI52*ThetaJA_Q2, ThetaJA_Q3*AR52)</f>
        <v>9.55858010414156</v>
      </c>
      <c r="BG52" s="536"/>
      <c r="BH52" s="385" t="n">
        <f aca="false">BD52*100</f>
        <v>98.1555079764918</v>
      </c>
      <c r="BI52" s="488" t="n">
        <f aca="false">T52</f>
        <v>0.194678614674435</v>
      </c>
      <c r="BJ52" s="488" t="n">
        <f aca="false">AE52+AI52+AN52+AR52+AU52</f>
        <v>0.817102441876507</v>
      </c>
      <c r="BK52" s="488" t="n">
        <f aca="false">AI52+AU52*0.33</f>
        <v>0.287382316682831</v>
      </c>
      <c r="BL52" s="488" t="n">
        <f aca="false">AV52</f>
        <v>0.0637676447477419</v>
      </c>
      <c r="BQ52" s="0" t="n">
        <v>9.995982</v>
      </c>
      <c r="BR52" s="0" t="n">
        <v>11.519</v>
      </c>
      <c r="BS52" s="0" t="n">
        <v>5.110126</v>
      </c>
      <c r="BT52" s="0" t="n">
        <v>88.5913904202203</v>
      </c>
      <c r="BU52" s="0" t="n">
        <v>7580.320730974</v>
      </c>
    </row>
    <row r="53" customFormat="false" ht="12.75" hidden="false" customHeight="false" outlineLevel="0" collapsed="false">
      <c r="A53" s="600" t="s">
        <v>874</v>
      </c>
      <c r="B53" s="596" t="n">
        <f aca="false">Vsd_Q2</f>
        <v>0.8</v>
      </c>
      <c r="C53" s="597" t="s">
        <v>11</v>
      </c>
      <c r="D53" s="598" t="s">
        <v>875</v>
      </c>
      <c r="G53" s="0" t="n">
        <v>44</v>
      </c>
      <c r="H53" s="586" t="n">
        <f aca="false">VIN_min+(VIN_max-VIN_min)*(G53/200)</f>
        <v>15.68</v>
      </c>
      <c r="I53" s="385" t="str">
        <f aca="false">IF(H53&gt;VIN_BB_to_buck, "BUCK", IF(H53&lt;VIN_boost_to_BB,"BOOST","BUCK-BST"))</f>
        <v>BUCK</v>
      </c>
      <c r="J53" s="419" t="n">
        <f aca="false">IF(I53="BOOST",2, IF(I53="BUCK", 1,3))</f>
        <v>1</v>
      </c>
      <c r="K53" s="0" t="n">
        <f aca="false">Iout</f>
        <v>6</v>
      </c>
      <c r="L53" s="385" t="n">
        <f aca="false">Vout*K53/(H53*Efficiency)</f>
        <v>5.10204081632653</v>
      </c>
      <c r="M53" s="385" t="n">
        <f aca="false">Iout/(1-O53)</f>
        <v>6</v>
      </c>
      <c r="N53" s="488" t="n">
        <f aca="false">CHOOSE(J53,(Vout+(Rdson2+Rs+Rdcr)*K53)/(H53+(Rs+Rdson2-Rdson1)*K53),1,IF(H53&lt;Vout,D_max_buck_BB,Vout/H53*(1-D_min_boost_exitBB_to_buck)))</f>
        <v>0.76947482197355</v>
      </c>
      <c r="O53" s="488" t="n">
        <f aca="false">CHOOSE(J53,0,(Vout+(Rdson3+Rdcr)*L53-H53)/(Vout+(Rdson3-Rdson4-Rs)*L53),IF(H53&gt;Vout,D_min_boost_exitBB_to_buck, (Vout-H53*D_max_buck_BB)/Vout))</f>
        <v>0</v>
      </c>
      <c r="P53" s="385" t="n">
        <f aca="false">MAX(0, CHOOSE(J53, (H53-(Rdson1+Rdcr)*K53-Vout)*N53/(Fsw*Lf), (H53-(Rdson4+Rdcr+Rs)*L53)*O53/(Fsw*Lf), IF(H53&lt;Vout, (H53-(Rdson4+Rdcr+Rs)*L53)*O53/(0.5*Fsw*Lf),(H53-(Rdson1+Rdcr)*K53-Vout)*N53/(0.5*Fsw*Lf))))</f>
        <v>1.97864174612021</v>
      </c>
      <c r="Q53" s="488" t="n">
        <f aca="false">CHOOSE(J53, SQRT(K53^2+(P53^2)/12), SQRT(L53^2+(P53^2)/12), SQRT(M53^2+(P53^2)/12))</f>
        <v>6.02712634096528</v>
      </c>
      <c r="R53" s="488" t="n">
        <f aca="false">(Q53^2*Rdcr*(1+Ltc*Ta-Ltc*25))/(1-Q53^2*Rdcr*Ltc*ThetaCa)</f>
        <v>0.122889325065286</v>
      </c>
      <c r="S53" s="488" t="n">
        <f aca="false">7.759*10^-3*Fsw^0.9458*(0.00787*P53)^2.304</f>
        <v>0.0803938398613417</v>
      </c>
      <c r="T53" s="488" t="n">
        <f aca="false">R53+S53</f>
        <v>0.203283164926628</v>
      </c>
      <c r="U53" s="385" t="n">
        <f aca="false">IF(H53&gt;Vout, P53/SQRT(12), SQRT(O53/(1-O53))*SQRT(K53^2+(P53^2)/12))</f>
        <v>0.571184672376168</v>
      </c>
      <c r="V53" s="488" t="n">
        <f aca="false">RCoutEsr*U53^2</f>
        <v>0.00163125964978735</v>
      </c>
      <c r="W53" s="488" t="n">
        <f aca="false">V53</f>
        <v>0.00163125964978735</v>
      </c>
      <c r="X53" s="488" t="n">
        <f aca="false">IF(H53&gt;Vout, SQRT(N53*(1-N53))*SQRT(K53^2+(P53^2)/12), P53/SQRT(12))</f>
        <v>2.53843872925881</v>
      </c>
      <c r="Y53" s="587" t="n">
        <f aca="false">RCinEsr*X53^2</f>
        <v>0.0128873423644021</v>
      </c>
      <c r="Z53" s="588" t="n">
        <f aca="false">Y53</f>
        <v>0.0128873423644021</v>
      </c>
      <c r="AA53" s="488" t="n">
        <f aca="false">CHOOSE(J53, SQRT(N53)*SQRT(K53^2+(P53^2)/12), SQRT(L53^2+(P53^2)/12), SQRT(N53)*SQRT(M53^2+(P53^2)/12))</f>
        <v>5.28697798716529</v>
      </c>
      <c r="AB53" s="488" t="n">
        <f aca="false">Rdson1*AA53^2</f>
        <v>0.159327176549591</v>
      </c>
      <c r="AC53" s="488" t="n">
        <f aca="false">CHOOSE(J53, (H53*K53/2)*(Fsw)*(Tr_buck+Tf_buck), 0, (H53*M53/2)*(Fsw/2)*(Tr_buck+Tf_buck))</f>
        <v>0.0958077245337159</v>
      </c>
      <c r="AD53" s="0" t="n">
        <f aca="false">IF(H53&gt;Vout, IF(K53&gt;P53/2,0,ABS(K53-P53/2)*Vsd_Q1*Deadtime*Fsw),0)</f>
        <v>0</v>
      </c>
      <c r="AE53" s="488" t="n">
        <f aca="false">(AD53+AC53+AB53*(1+RdsonTopTc*Ta-RdsonTopTc*25))/(1-AB53*RdsonTopTc*ThetaJA_Q1)</f>
        <v>0.263532478220092</v>
      </c>
      <c r="AF53" s="488" t="n">
        <f aca="false">CHOOSE(J53, SQRT((1-N53))*SQRT(K53^2+(P53^2)/12), 0, SQRT((1-N53))*SQRT(M53^2+(P53^2)/12))</f>
        <v>2.89380643671741</v>
      </c>
      <c r="AG53" s="488" t="n">
        <f aca="false">Rdson2*AF53^2</f>
        <v>0.0477324594511665</v>
      </c>
      <c r="AH53" s="488" t="n">
        <f aca="false">CHOOSE(J53, IF(K53&lt;P53/2,Deadtime*Fsw*IF(VfdSky_Q2&gt;0,0,Vsd_Q2)*(K53+P53/2),2*Deadtime*Fsw*IF(VfdSky_Q2&gt;0,0,Vsd_Q2)*K53),0, IF(K53&lt;P53/2,Deadtime*Fsw/2*IF(VfdSky_Q2&gt;0,0,Vsd_Q2)*(K53+P53/2),2*Deadtime*Fsw/2*IF(VfdSky_Q2&gt;0,0,Vsd_Q2)*K53))</f>
        <v>0.144</v>
      </c>
      <c r="AI53" s="488" t="n">
        <f aca="false">(AH53+AG53*(1+RdsonBotTc*Ta-RdsonBotTc*25))/(1-AG53*RdsonBotTc*ThetaJA_Q2)</f>
        <v>0.193580473875123</v>
      </c>
      <c r="AJ53" s="488" t="n">
        <f aca="false">CHOOSE(J53, 0, SQRT(O53)*SQRT(L53^2+(P53^2)/12), SQRT(O53)*SQRT(M53^2+(P53^2)/12))</f>
        <v>0</v>
      </c>
      <c r="AK53" s="488" t="n">
        <f aca="false">Rdson4*AJ53^2</f>
        <v>0</v>
      </c>
      <c r="AL53" s="488" t="n">
        <f aca="false">CHOOSE(J53, 0, (Vout*L53/2)*(Fsw)*(Tr_boost+Tf_boost), (Vout*Iout/2)*(Fsw/2)*(Tr_boost+Tf_boost))</f>
        <v>0</v>
      </c>
      <c r="AM53" s="0" t="n">
        <f aca="false">IF(H53&gt;Vout, 0, IF(L53&gt;P53/2,0,ABS(L53-P53/2)*Vsd_Q4*Deadtime*Fsw))</f>
        <v>0</v>
      </c>
      <c r="AN53" s="488" t="n">
        <f aca="false">(AM53+AL53+AK53*(1+RdsonTopTc*Ta-RdsonTopTc*25))/(1-AK53*RdsonTopTc*ThetaJA_Q4)</f>
        <v>0</v>
      </c>
      <c r="AO53" s="488" t="n">
        <f aca="false">CHOOSE(J53, SQRT(Iout^2+(P53^2)/12), SQRT(1-O53)*SQRT(L53^2+(P53^2)/12), SQRT(1-O53)*SQRT(M53^2+(P53^2)/12))</f>
        <v>6.02712634096528</v>
      </c>
      <c r="AP53" s="488" t="n">
        <f aca="false">Rdson3*AO53^2</f>
        <v>0.0690198786669192</v>
      </c>
      <c r="AQ53" s="488" t="n">
        <f aca="false">CHOOSE(J53, 0, IF(L53&lt;P53/2,Deadtime*Fsw*IF(VfdSky_Q3&gt;0,0,Vsd_Q3)*(L53+P53/2), 2*Deadtime*Fsw*IF(VfdSky_Q3&gt;0,0,Vsd_Q3)*L53), IF(L53&lt;P53/2,Deadtime*Fsw/2*IF(VfdSky_Q3&gt;0,0,Vsd_Q3)*(L53+P53/2), 2*Deadtime*Fsw/2*IF(VfdSky_Q3&gt;0,0,Vsd_Q3)*L53))</f>
        <v>0</v>
      </c>
      <c r="AR53" s="488" t="n">
        <f aca="false">(AQ53+AP53*(1+RdsonBotTc*Ta-RdsonBotTc*25))/(1-AP53*RdsonBotTc*ThetaJA_Q3)</f>
        <v>0.069985963204674</v>
      </c>
      <c r="AS53" s="488" t="n">
        <f aca="false">CHOOSE(J53, Rdson3*Q53^2, Rdson1*Q53^2, 0)</f>
        <v>0.0690198786669192</v>
      </c>
      <c r="AT53" s="488" t="n">
        <f aca="false">CHOOSE(J53, 2*Deadtime*Fsw*IF(VfdSky_Q2&gt;0,VfdSky_Q2,0)*K53, 2*Deadtime*Fsw*IF(VfdSky_Q3&gt;0,VfdSky_Q3,0)*L53, 2*Deadtime*Fsw/2*IF(VfdSky_Q2&gt;0,VfdSky_Q2,0)*K53+2*Deadtime*Fsw/2*IF(VfdSky_Q3&gt;0,VfdSky_Q3,0)*L53)</f>
        <v>0</v>
      </c>
      <c r="AU53" s="488" t="n">
        <f aca="false">CHOOSE(J53, IF(QrrSky_Q2&gt;0,QrrSky_Q2,Qrr_Q2)*Fsw*(H53-K53*Rdson1), IF(QrrSky_Q3&gt;0,QrrSky_Q3,Qrr_Q3)*Fsw*Vout,  IF(QrrSky_Q2&gt;0,QrrSky_Q2,Qrr_Q2)*Fsw/2*(H53-K53*Rdson1)+IF(QrrSky_Q3&gt;0,QrrSky_Q3,Qrr_Q3)*Fsw/2*Vout)</f>
        <v>0.29570562</v>
      </c>
      <c r="AV53" s="488" t="n">
        <f aca="false">CHOOSE(J53, Rs*AF53^2, Rs*AJ53^2, Rs*(AF53^2+AJ53^2))</f>
        <v>0.0669929255454969</v>
      </c>
      <c r="AW53" s="488" t="n">
        <f aca="false">Rshunt_std/1000*Iout^2</f>
        <v>0.14832</v>
      </c>
      <c r="AX53" s="488" t="n">
        <f aca="false">IF(Vout&gt;8, Iq*Vout, Iq*H53)</f>
        <v>0.036</v>
      </c>
      <c r="AY53" s="488" t="n">
        <f aca="false">CHOOSE(J53, (Qg_Q1+Qg_Q2)*Fsw, (Qg_Q3+Qg_Q4)*Fsw, (Qg_Q1+Qg_Q2+Qg_Q3+Qg_Q4)*Fsw/2)*IF(Vout&gt;8, Vout, H53)</f>
        <v>0.0792</v>
      </c>
      <c r="AZ53" s="488" t="n">
        <f aca="false">(Vin-Vdd)*Fsw*(Qg_Q1+Qg_Q2)+(RdsonDRT+RdsonDRT2)*Fsw*Qg_Q1*Vdd/(RdsonDRT+2*Rgate1+RdsonDRT2)+(RdsonDRB+RdsonDRB2)*Fsw*Qg_Q2*Vdd/(RdsonDRB+2*Rgate2+RdsonDRB2)</f>
        <v>0.0522</v>
      </c>
      <c r="BA53" s="488" t="n">
        <f aca="false">SUM(AX53:AY53)</f>
        <v>0.1152</v>
      </c>
      <c r="BB53" s="488" t="n">
        <f aca="false">SUM(T53,W53,Z53,AE53,AI53,AN53,AR53, AT53,AU53,BA53,AV53,AW53)</f>
        <v>1.3711192277862</v>
      </c>
      <c r="BC53" s="419" t="n">
        <f aca="false">Vout*K53</f>
        <v>72</v>
      </c>
      <c r="BD53" s="589" t="n">
        <f aca="false">BC53/(BC53+BB53)</f>
        <v>0.981312548558385</v>
      </c>
      <c r="BE53" s="590" t="n">
        <f aca="false">IF(H53&gt;Vout,ThetaJA_Q1*(AE53+AU53),ThetaJA_Q4*(AN53+AU53))</f>
        <v>27.9619049110046</v>
      </c>
      <c r="BF53" s="590" t="n">
        <f aca="false">IF(H53&gt;Vout, AI53*ThetaJA_Q2, ThetaJA_Q3*AR53)</f>
        <v>9.67902369375615</v>
      </c>
      <c r="BG53" s="536"/>
      <c r="BH53" s="385" t="n">
        <f aca="false">BD53*100</f>
        <v>98.1312548558385</v>
      </c>
      <c r="BI53" s="488" t="n">
        <f aca="false">T53</f>
        <v>0.203283164926628</v>
      </c>
      <c r="BJ53" s="488" t="n">
        <f aca="false">AE53+AI53+AN53+AR53+AU53</f>
        <v>0.822804535299889</v>
      </c>
      <c r="BK53" s="488" t="n">
        <f aca="false">AI53+AU53*0.33</f>
        <v>0.291163328475123</v>
      </c>
      <c r="BL53" s="488" t="n">
        <f aca="false">AV53</f>
        <v>0.0669929255454969</v>
      </c>
      <c r="BQ53" s="0" t="n">
        <v>9.995574</v>
      </c>
      <c r="BR53" s="0" t="n">
        <v>12.605</v>
      </c>
      <c r="BS53" s="0" t="n">
        <v>5.111198</v>
      </c>
      <c r="BT53" s="0" t="n">
        <v>87.3865080982905</v>
      </c>
      <c r="BU53" s="0" t="n">
        <v>9299.433596102</v>
      </c>
    </row>
    <row r="54" customFormat="false" ht="12.75" hidden="false" customHeight="false" outlineLevel="0" collapsed="false">
      <c r="A54" s="600" t="s">
        <v>677</v>
      </c>
      <c r="B54" s="596" t="n">
        <f aca="false">Qrr_Q2*1000000000</f>
        <v>63</v>
      </c>
      <c r="C54" s="597" t="s">
        <v>110</v>
      </c>
      <c r="D54" s="598" t="s">
        <v>661</v>
      </c>
      <c r="E54" s="308"/>
      <c r="G54" s="0" t="n">
        <v>45</v>
      </c>
      <c r="H54" s="586" t="n">
        <f aca="false">VIN_min+(VIN_max-VIN_min)*(G54/200)</f>
        <v>15.9</v>
      </c>
      <c r="I54" s="385" t="str">
        <f aca="false">IF(H54&gt;VIN_BB_to_buck, "BUCK", IF(H54&lt;VIN_boost_to_BB,"BOOST","BUCK-BST"))</f>
        <v>BUCK</v>
      </c>
      <c r="J54" s="419" t="n">
        <f aca="false">IF(I54="BOOST",2, IF(I54="BUCK", 1,3))</f>
        <v>1</v>
      </c>
      <c r="K54" s="0" t="n">
        <f aca="false">Iout</f>
        <v>6</v>
      </c>
      <c r="L54" s="385" t="n">
        <f aca="false">Vout*K54/(H54*Efficiency)</f>
        <v>5.0314465408805</v>
      </c>
      <c r="M54" s="385" t="n">
        <f aca="false">Iout/(1-O54)</f>
        <v>6</v>
      </c>
      <c r="N54" s="488" t="n">
        <f aca="false">CHOOSE(J54,(Vout+(Rdson2+Rs+Rdcr)*K54)/(H54+(Rs+Rdson2-Rdson1)*K54),1,IF(H54&lt;Vout,D_max_buck_BB,Vout/H54*(1-D_min_boost_exitBB_to_buck)))</f>
        <v>0.758860045146727</v>
      </c>
      <c r="O54" s="488" t="n">
        <f aca="false">CHOOSE(J54,0,(Vout+(Rdson3+Rdcr)*L54-H54)/(Vout+(Rdson3-Rdson4-Rs)*L54),IF(H54&gt;Vout,D_min_boost_exitBB_to_buck, (Vout-H54*D_max_buck_BB)/Vout))</f>
        <v>0</v>
      </c>
      <c r="P54" s="385" t="n">
        <f aca="false">MAX(0, CHOOSE(J54, (H54-(Rdson1+Rdcr)*K54-Vout)*N54/(Fsw*Lf), (H54-(Rdson4+Rdcr+Rs)*L54)*O54/(Fsw*Lf), IF(H54&lt;Vout, (H54-(Rdson4+Rdcr+Rs)*L54)*O54/(0.5*Fsw*Lf),(H54-(Rdson1+Rdcr)*K54-Vout)*N54/(0.5*Fsw*Lf))))</f>
        <v>2.06975040824168</v>
      </c>
      <c r="Q54" s="488" t="n">
        <f aca="false">CHOOSE(J54, SQRT(K54^2+(P54^2)/12), SQRT(L54^2+(P54^2)/12), SQRT(M54^2+(P54^2)/12))</f>
        <v>6.02967568746734</v>
      </c>
      <c r="R54" s="488" t="n">
        <f aca="false">(Q54^2*Rdcr*(1+Ltc*Ta-Ltc*25))/(1-Q54^2*Rdcr*Ltc*ThetaCa)</f>
        <v>0.122994329330536</v>
      </c>
      <c r="S54" s="488" t="n">
        <f aca="false">7.759*10^-3*Fsw^0.9458*(0.00787*P54)^2.304</f>
        <v>0.0891800757231473</v>
      </c>
      <c r="T54" s="488" t="n">
        <f aca="false">R54+S54</f>
        <v>0.212174405053683</v>
      </c>
      <c r="U54" s="385" t="n">
        <f aca="false">IF(H54&gt;Vout, P54/SQRT(12), SQRT(O54/(1-O54))*SQRT(K54^2+(P54^2)/12))</f>
        <v>0.597485477676836</v>
      </c>
      <c r="V54" s="488" t="n">
        <f aca="false">RCoutEsr*U54^2</f>
        <v>0.00178494448017358</v>
      </c>
      <c r="W54" s="488" t="n">
        <f aca="false">V54</f>
        <v>0.00178494448017358</v>
      </c>
      <c r="X54" s="488" t="n">
        <f aca="false">IF(H54&gt;Vout, SQRT(N54*(1-N54))*SQRT(K54^2+(P54^2)/12), P54/SQRT(12))</f>
        <v>2.57934470327763</v>
      </c>
      <c r="Y54" s="587" t="n">
        <f aca="false">RCinEsr*X54^2</f>
        <v>0.0133060381966527</v>
      </c>
      <c r="Z54" s="588" t="n">
        <f aca="false">Y54</f>
        <v>0.0133060381966527</v>
      </c>
      <c r="AA54" s="488" t="n">
        <f aca="false">CHOOSE(J54, SQRT(N54)*SQRT(K54^2+(P54^2)/12), SQRT(L54^2+(P54^2)/12), SQRT(N54)*SQRT(M54^2+(P54^2)/12))</f>
        <v>5.25260566148307</v>
      </c>
      <c r="AB54" s="488" t="n">
        <f aca="false">Rdson1*AA54^2</f>
        <v>0.157262237539751</v>
      </c>
      <c r="AC54" s="488" t="n">
        <f aca="false">CHOOSE(J54, (H54*K54/2)*(Fsw)*(Tr_buck+Tf_buck), 0, (H54*M54/2)*(Fsw/2)*(Tr_buck+Tf_buck))</f>
        <v>0.0971519655667145</v>
      </c>
      <c r="AD54" s="0" t="n">
        <f aca="false">IF(H54&gt;Vout, IF(K54&gt;P54/2,0,ABS(K54-P54/2)*Vsd_Q1*Deadtime*Fsw),0)</f>
        <v>0</v>
      </c>
      <c r="AE54" s="488" t="n">
        <f aca="false">(AD54+AC54+AB54*(1+RdsonTopTc*Ta-RdsonTopTc*25))/(1-AB54*RdsonTopTc*ThetaJA_Q1)</f>
        <v>0.262676006409663</v>
      </c>
      <c r="AF54" s="488" t="n">
        <f aca="false">CHOOSE(J54, SQRT((1-N54))*SQRT(K54^2+(P54^2)/12), 0, SQRT((1-N54))*SQRT(M54^2+(P54^2)/12))</f>
        <v>2.96093273496558</v>
      </c>
      <c r="AG54" s="488" t="n">
        <f aca="false">Rdson2*AF54^2</f>
        <v>0.0499725991676474</v>
      </c>
      <c r="AH54" s="488" t="n">
        <f aca="false">CHOOSE(J54, IF(K54&lt;P54/2,Deadtime*Fsw*IF(VfdSky_Q2&gt;0,0,Vsd_Q2)*(K54+P54/2),2*Deadtime*Fsw*IF(VfdSky_Q2&gt;0,0,Vsd_Q2)*K54),0, IF(K54&lt;P54/2,Deadtime*Fsw/2*IF(VfdSky_Q2&gt;0,0,Vsd_Q2)*(K54+P54/2),2*Deadtime*Fsw/2*IF(VfdSky_Q2&gt;0,0,Vsd_Q2)*K54))</f>
        <v>0.144</v>
      </c>
      <c r="AI54" s="488" t="n">
        <f aca="false">(AH54+AG54*(1+RdsonBotTc*Ta-RdsonBotTc*25))/(1-AG54*RdsonBotTc*ThetaJA_Q2)</f>
        <v>0.195930833771779</v>
      </c>
      <c r="AJ54" s="488" t="n">
        <f aca="false">CHOOSE(J54, 0, SQRT(O54)*SQRT(L54^2+(P54^2)/12), SQRT(O54)*SQRT(M54^2+(P54^2)/12))</f>
        <v>0</v>
      </c>
      <c r="AK54" s="488" t="n">
        <f aca="false">Rdson4*AJ54^2</f>
        <v>0</v>
      </c>
      <c r="AL54" s="488" t="n">
        <f aca="false">CHOOSE(J54, 0, (Vout*L54/2)*(Fsw)*(Tr_boost+Tf_boost), (Vout*Iout/2)*(Fsw/2)*(Tr_boost+Tf_boost))</f>
        <v>0</v>
      </c>
      <c r="AM54" s="0" t="n">
        <f aca="false">IF(H54&gt;Vout, 0, IF(L54&gt;P54/2,0,ABS(L54-P54/2)*Vsd_Q4*Deadtime*Fsw))</f>
        <v>0</v>
      </c>
      <c r="AN54" s="488" t="n">
        <f aca="false">(AM54+AL54+AK54*(1+RdsonTopTc*Ta-RdsonTopTc*25))/(1-AK54*RdsonTopTc*ThetaJA_Q4)</f>
        <v>0</v>
      </c>
      <c r="AO54" s="488" t="n">
        <f aca="false">CHOOSE(J54, SQRT(Iout^2+(P54^2)/12), SQRT(1-O54)*SQRT(L54^2+(P54^2)/12), SQRT(1-O54)*SQRT(M54^2+(P54^2)/12))</f>
        <v>6.02967568746734</v>
      </c>
      <c r="AP54" s="488" t="n">
        <f aca="false">Rdson3*AO54^2</f>
        <v>0.069078278902466</v>
      </c>
      <c r="AQ54" s="488" t="n">
        <f aca="false">CHOOSE(J54, 0, IF(L54&lt;P54/2,Deadtime*Fsw*IF(VfdSky_Q3&gt;0,0,Vsd_Q3)*(L54+P54/2), 2*Deadtime*Fsw*IF(VfdSky_Q3&gt;0,0,Vsd_Q3)*L54), IF(L54&lt;P54/2,Deadtime*Fsw/2*IF(VfdSky_Q3&gt;0,0,Vsd_Q3)*(L54+P54/2), 2*Deadtime*Fsw/2*IF(VfdSky_Q3&gt;0,0,Vsd_Q3)*L54))</f>
        <v>0</v>
      </c>
      <c r="AR54" s="488" t="n">
        <f aca="false">(AQ54+AP54*(1+RdsonBotTc*Ta-RdsonBotTc*25))/(1-AP54*RdsonBotTc*ThetaJA_Q3)</f>
        <v>0.0700460104719432</v>
      </c>
      <c r="AS54" s="488" t="n">
        <f aca="false">CHOOSE(J54, Rdson3*Q54^2, Rdson1*Q54^2, 0)</f>
        <v>0.069078278902466</v>
      </c>
      <c r="AT54" s="488" t="n">
        <f aca="false">CHOOSE(J54, 2*Deadtime*Fsw*IF(VfdSky_Q2&gt;0,VfdSky_Q2,0)*K54, 2*Deadtime*Fsw*IF(VfdSky_Q3&gt;0,VfdSky_Q3,0)*L54, 2*Deadtime*Fsw/2*IF(VfdSky_Q2&gt;0,VfdSky_Q2,0)*K54+2*Deadtime*Fsw/2*IF(VfdSky_Q3&gt;0,VfdSky_Q3,0)*L54)</f>
        <v>0</v>
      </c>
      <c r="AU54" s="488" t="n">
        <f aca="false">CHOOSE(J54, IF(QrrSky_Q2&gt;0,QrrSky_Q2,Qrr_Q2)*Fsw*(H54-K54*Rdson1), IF(QrrSky_Q3&gt;0,QrrSky_Q3,Qrr_Q3)*Fsw*Vout,  IF(QrrSky_Q2&gt;0,QrrSky_Q2,Qrr_Q2)*Fsw/2*(H54-K54*Rdson1)+IF(QrrSky_Q3&gt;0,QrrSky_Q3,Qrr_Q3)*Fsw/2*Vout)</f>
        <v>0.29986362</v>
      </c>
      <c r="AV54" s="488" t="n">
        <f aca="false">CHOOSE(J54, Rs*AF54^2, Rs*AJ54^2, Rs*(AF54^2+AJ54^2))</f>
        <v>0.0701369812879261</v>
      </c>
      <c r="AW54" s="488" t="n">
        <f aca="false">Rshunt_std/1000*Iout^2</f>
        <v>0.14832</v>
      </c>
      <c r="AX54" s="488" t="n">
        <f aca="false">IF(Vout&gt;8, Iq*Vout, Iq*H54)</f>
        <v>0.036</v>
      </c>
      <c r="AY54" s="488" t="n">
        <f aca="false">CHOOSE(J54, (Qg_Q1+Qg_Q2)*Fsw, (Qg_Q3+Qg_Q4)*Fsw, (Qg_Q1+Qg_Q2+Qg_Q3+Qg_Q4)*Fsw/2)*IF(Vout&gt;8, Vout, H54)</f>
        <v>0.0792</v>
      </c>
      <c r="AZ54" s="488" t="n">
        <f aca="false">(Vin-Vdd)*Fsw*(Qg_Q1+Qg_Q2)+(RdsonDRT+RdsonDRT2)*Fsw*Qg_Q1*Vdd/(RdsonDRT+2*Rgate1+RdsonDRT2)+(RdsonDRB+RdsonDRB2)*Fsw*Qg_Q2*Vdd/(RdsonDRB+2*Rgate2+RdsonDRB2)</f>
        <v>0.0522</v>
      </c>
      <c r="BA54" s="488" t="n">
        <f aca="false">SUM(AX54:AY54)</f>
        <v>0.1152</v>
      </c>
      <c r="BB54" s="488" t="n">
        <f aca="false">SUM(T54,W54,Z54,AE54,AI54,AN54,AR54, AT54,AU54,BA54,AV54,AW54)</f>
        <v>1.38943883967182</v>
      </c>
      <c r="BC54" s="419" t="n">
        <f aca="false">Vout*K54</f>
        <v>72</v>
      </c>
      <c r="BD54" s="589" t="n">
        <f aca="false">BC54/(BC54+BB54)</f>
        <v>0.981067591445859</v>
      </c>
      <c r="BE54" s="590" t="n">
        <f aca="false">IF(H54&gt;Vout,ThetaJA_Q1*(AE54+AU54),ThetaJA_Q4*(AN54+AU54))</f>
        <v>28.1269813204831</v>
      </c>
      <c r="BF54" s="590" t="n">
        <f aca="false">IF(H54&gt;Vout, AI54*ThetaJA_Q2, ThetaJA_Q3*AR54)</f>
        <v>9.79654168858897</v>
      </c>
      <c r="BG54" s="536"/>
      <c r="BH54" s="385" t="n">
        <f aca="false">BD54*100</f>
        <v>98.1067591445859</v>
      </c>
      <c r="BI54" s="488" t="n">
        <f aca="false">T54</f>
        <v>0.212174405053683</v>
      </c>
      <c r="BJ54" s="488" t="n">
        <f aca="false">AE54+AI54+AN54+AR54+AU54</f>
        <v>0.828516470653385</v>
      </c>
      <c r="BK54" s="488" t="n">
        <f aca="false">AI54+AU54*0.33</f>
        <v>0.294885828371779</v>
      </c>
      <c r="BL54" s="488" t="n">
        <f aca="false">AV54</f>
        <v>0.0701369812879261</v>
      </c>
      <c r="BQ54" s="0" t="n">
        <v>9.994967</v>
      </c>
      <c r="BR54" s="0" t="n">
        <v>13.75</v>
      </c>
      <c r="BS54" s="0" t="n">
        <v>5.112233</v>
      </c>
      <c r="BT54" s="0" t="n">
        <v>85.985113444925</v>
      </c>
      <c r="BU54" s="0" t="n">
        <v>11457.23053772</v>
      </c>
    </row>
    <row r="55" customFormat="false" ht="12.75" hidden="false" customHeight="false" outlineLevel="0" collapsed="false">
      <c r="A55" s="600" t="s">
        <v>678</v>
      </c>
      <c r="B55" s="596" t="n">
        <f aca="false">Trr_Q2*1000000000</f>
        <v>40</v>
      </c>
      <c r="C55" s="597" t="s">
        <v>850</v>
      </c>
      <c r="D55" s="625" t="s">
        <v>663</v>
      </c>
      <c r="E55" s="308"/>
      <c r="G55" s="0" t="n">
        <v>46</v>
      </c>
      <c r="H55" s="586" t="n">
        <f aca="false">VIN_min+(VIN_max-VIN_min)*(G55/200)</f>
        <v>16.12</v>
      </c>
      <c r="I55" s="385" t="str">
        <f aca="false">IF(H55&gt;VIN_BB_to_buck, "BUCK", IF(H55&lt;VIN_boost_to_BB,"BOOST","BUCK-BST"))</f>
        <v>BUCK</v>
      </c>
      <c r="J55" s="419" t="n">
        <f aca="false">IF(I55="BOOST",2, IF(I55="BUCK", 1,3))</f>
        <v>1</v>
      </c>
      <c r="K55" s="0" t="n">
        <f aca="false">Iout</f>
        <v>6</v>
      </c>
      <c r="L55" s="385" t="n">
        <f aca="false">Vout*K55/(H55*Efficiency)</f>
        <v>4.96277915632754</v>
      </c>
      <c r="M55" s="385" t="n">
        <f aca="false">Iout/(1-O55)</f>
        <v>6</v>
      </c>
      <c r="N55" s="488" t="n">
        <f aca="false">CHOOSE(J55,(Vout+(Rdson2+Rs+Rdcr)*K55)/(H55+(Rs+Rdson2-Rdson1)*K55),1,IF(H55&lt;Vout,D_max_buck_BB,Vout/H55*(1-D_min_boost_exitBB_to_buck)))</f>
        <v>0.748534141514102</v>
      </c>
      <c r="O55" s="488" t="n">
        <f aca="false">CHOOSE(J55,0,(Vout+(Rdson3+Rdcr)*L55-H55)/(Vout+(Rdson3-Rdson4-Rs)*L55),IF(H55&gt;Vout,D_min_boost_exitBB_to_buck, (Vout-H55*D_max_buck_BB)/Vout))</f>
        <v>0</v>
      </c>
      <c r="P55" s="385" t="n">
        <f aca="false">MAX(0, CHOOSE(J55, (H55-(Rdson1+Rdcr)*K55-Vout)*N55/(Fsw*Lf), (H55-(Rdson4+Rdcr+Rs)*L55)*O55/(Fsw*Lf), IF(H55&lt;Vout, (H55-(Rdson4+Rdcr+Rs)*L55)*O55/(0.5*Fsw*Lf),(H55-(Rdson1+Rdcr)*K55-Vout)*N55/(0.5*Fsw*Lf))))</f>
        <v>2.15837961642119</v>
      </c>
      <c r="Q55" s="488" t="n">
        <f aca="false">CHOOSE(J55, SQRT(K55^2+(P55^2)/12), SQRT(L55^2+(P55^2)/12), SQRT(M55^2+(P55^2)/12))</f>
        <v>6.03226465605706</v>
      </c>
      <c r="R55" s="488" t="n">
        <f aca="false">(Q55^2*Rdcr*(1+Ltc*Ta-Ltc*25))/(1-Q55^2*Rdcr*Ltc*ThetaCa)</f>
        <v>0.123101012812858</v>
      </c>
      <c r="S55" s="488" t="n">
        <f aca="false">7.759*10^-3*Fsw^0.9458*(0.00787*P55)^2.304</f>
        <v>0.0982252946682162</v>
      </c>
      <c r="T55" s="488" t="n">
        <f aca="false">R55+S55</f>
        <v>0.221326307481074</v>
      </c>
      <c r="U55" s="385" t="n">
        <f aca="false">IF(H55&gt;Vout, P55/SQRT(12), SQRT(O55/(1-O55))*SQRT(K55^2+(P55^2)/12))</f>
        <v>0.623070526277089</v>
      </c>
      <c r="V55" s="488" t="n">
        <f aca="false">RCoutEsr*U55^2</f>
        <v>0.00194108440357604</v>
      </c>
      <c r="W55" s="488" t="n">
        <f aca="false">V55</f>
        <v>0.00194108440357604</v>
      </c>
      <c r="X55" s="488" t="n">
        <f aca="false">IF(H55&gt;Vout, SQRT(N55*(1-N55))*SQRT(K55^2+(P55^2)/12), P55/SQRT(12))</f>
        <v>2.61713248891369</v>
      </c>
      <c r="Y55" s="587" t="n">
        <f aca="false">RCinEsr*X55^2</f>
        <v>0.0136987649290551</v>
      </c>
      <c r="Z55" s="588" t="n">
        <f aca="false">Y55</f>
        <v>0.0136987649290551</v>
      </c>
      <c r="AA55" s="488" t="n">
        <f aca="false">CHOOSE(J55, SQRT(N55)*SQRT(K55^2+(P55^2)/12), SQRT(L55^2+(P55^2)/12), SQRT(N55)*SQRT(M55^2+(P55^2)/12))</f>
        <v>5.21898674878899</v>
      </c>
      <c r="AB55" s="488" t="n">
        <f aca="false">Rdson1*AA55^2</f>
        <v>0.155255589299</v>
      </c>
      <c r="AC55" s="488" t="n">
        <f aca="false">CHOOSE(J55, (H55*K55/2)*(Fsw)*(Tr_buck+Tf_buck), 0, (H55*M55/2)*(Fsw/2)*(Tr_buck+Tf_buck))</f>
        <v>0.098496206599713</v>
      </c>
      <c r="AD55" s="0" t="n">
        <f aca="false">IF(H55&gt;Vout, IF(K55&gt;P55/2,0,ABS(K55-P55/2)*Vsd_Q1*Deadtime*Fsw),0)</f>
        <v>0</v>
      </c>
      <c r="AE55" s="488" t="n">
        <f aca="false">(AD55+AC55+AB55*(1+RdsonTopTc*Ta-RdsonTopTc*25))/(1-AB55*RdsonTopTc*ThetaJA_Q1)</f>
        <v>0.261883573608372</v>
      </c>
      <c r="AF55" s="488" t="n">
        <f aca="false">CHOOSE(J55, SQRT((1-N55))*SQRT(K55^2+(P55^2)/12), 0, SQRT((1-N55))*SQRT(M55^2+(P55^2)/12))</f>
        <v>3.02496185045037</v>
      </c>
      <c r="AG55" s="488" t="n">
        <f aca="false">Rdson2*AF55^2</f>
        <v>0.0521572469210766</v>
      </c>
      <c r="AH55" s="488" t="n">
        <f aca="false">CHOOSE(J55, IF(K55&lt;P55/2,Deadtime*Fsw*IF(VfdSky_Q2&gt;0,0,Vsd_Q2)*(K55+P55/2),2*Deadtime*Fsw*IF(VfdSky_Q2&gt;0,0,Vsd_Q2)*K55),0, IF(K55&lt;P55/2,Deadtime*Fsw/2*IF(VfdSky_Q2&gt;0,0,Vsd_Q2)*(K55+P55/2),2*Deadtime*Fsw/2*IF(VfdSky_Q2&gt;0,0,Vsd_Q2)*K55))</f>
        <v>0.144</v>
      </c>
      <c r="AI55" s="488" t="n">
        <f aca="false">(AH55+AG55*(1+RdsonBotTc*Ta-RdsonBotTc*25))/(1-AG55*RdsonBotTc*ThetaJA_Q2)</f>
        <v>0.198225021196372</v>
      </c>
      <c r="AJ55" s="488" t="n">
        <f aca="false">CHOOSE(J55, 0, SQRT(O55)*SQRT(L55^2+(P55^2)/12), SQRT(O55)*SQRT(M55^2+(P55^2)/12))</f>
        <v>0</v>
      </c>
      <c r="AK55" s="488" t="n">
        <f aca="false">Rdson4*AJ55^2</f>
        <v>0</v>
      </c>
      <c r="AL55" s="488" t="n">
        <f aca="false">CHOOSE(J55, 0, (Vout*L55/2)*(Fsw)*(Tr_boost+Tf_boost), (Vout*Iout/2)*(Fsw/2)*(Tr_boost+Tf_boost))</f>
        <v>0</v>
      </c>
      <c r="AM55" s="0" t="n">
        <f aca="false">IF(H55&gt;Vout, 0, IF(L55&gt;P55/2,0,ABS(L55-P55/2)*Vsd_Q4*Deadtime*Fsw))</f>
        <v>0</v>
      </c>
      <c r="AN55" s="488" t="n">
        <f aca="false">(AM55+AL55+AK55*(1+RdsonTopTc*Ta-RdsonTopTc*25))/(1-AK55*RdsonTopTc*ThetaJA_Q4)</f>
        <v>0</v>
      </c>
      <c r="AO55" s="488" t="n">
        <f aca="false">CHOOSE(J55, SQRT(Iout^2+(P55^2)/12), SQRT(1-O55)*SQRT(L55^2+(P55^2)/12), SQRT(1-O55)*SQRT(M55^2+(P55^2)/12))</f>
        <v>6.03226465605706</v>
      </c>
      <c r="AP55" s="488" t="n">
        <f aca="false">Rdson3*AO55^2</f>
        <v>0.0691376120733589</v>
      </c>
      <c r="AQ55" s="488" t="n">
        <f aca="false">CHOOSE(J55, 0, IF(L55&lt;P55/2,Deadtime*Fsw*IF(VfdSky_Q3&gt;0,0,Vsd_Q3)*(L55+P55/2), 2*Deadtime*Fsw*IF(VfdSky_Q3&gt;0,0,Vsd_Q3)*L55), IF(L55&lt;P55/2,Deadtime*Fsw/2*IF(VfdSky_Q3&gt;0,0,Vsd_Q3)*(L55+P55/2), 2*Deadtime*Fsw/2*IF(VfdSky_Q3&gt;0,0,Vsd_Q3)*L55))</f>
        <v>0</v>
      </c>
      <c r="AR55" s="488" t="n">
        <f aca="false">(AQ55+AP55*(1+RdsonBotTc*Ta-RdsonBotTc*25))/(1-AP55*RdsonBotTc*ThetaJA_Q3)</f>
        <v>0.0701070184422956</v>
      </c>
      <c r="AS55" s="488" t="n">
        <f aca="false">CHOOSE(J55, Rdson3*Q55^2, Rdson1*Q55^2, 0)</f>
        <v>0.0691376120733589</v>
      </c>
      <c r="AT55" s="488" t="n">
        <f aca="false">CHOOSE(J55, 2*Deadtime*Fsw*IF(VfdSky_Q2&gt;0,VfdSky_Q2,0)*K55, 2*Deadtime*Fsw*IF(VfdSky_Q3&gt;0,VfdSky_Q3,0)*L55, 2*Deadtime*Fsw/2*IF(VfdSky_Q2&gt;0,VfdSky_Q2,0)*K55+2*Deadtime*Fsw/2*IF(VfdSky_Q3&gt;0,VfdSky_Q3,0)*L55)</f>
        <v>0</v>
      </c>
      <c r="AU55" s="488" t="n">
        <f aca="false">CHOOSE(J55, IF(QrrSky_Q2&gt;0,QrrSky_Q2,Qrr_Q2)*Fsw*(H55-K55*Rdson1), IF(QrrSky_Q3&gt;0,QrrSky_Q3,Qrr_Q3)*Fsw*Vout,  IF(QrrSky_Q2&gt;0,QrrSky_Q2,Qrr_Q2)*Fsw/2*(H55-K55*Rdson1)+IF(QrrSky_Q3&gt;0,QrrSky_Q3,Qrr_Q3)*Fsw/2*Vout)</f>
        <v>0.30402162</v>
      </c>
      <c r="AV55" s="488" t="n">
        <f aca="false">CHOOSE(J55, Rs*AF55^2, Rs*AJ55^2, Rs*(AF55^2+AJ55^2))</f>
        <v>0.0732031535734408</v>
      </c>
      <c r="AW55" s="488" t="n">
        <f aca="false">Rshunt_std/1000*Iout^2</f>
        <v>0.14832</v>
      </c>
      <c r="AX55" s="488" t="n">
        <f aca="false">IF(Vout&gt;8, Iq*Vout, Iq*H55)</f>
        <v>0.036</v>
      </c>
      <c r="AY55" s="488" t="n">
        <f aca="false">CHOOSE(J55, (Qg_Q1+Qg_Q2)*Fsw, (Qg_Q3+Qg_Q4)*Fsw, (Qg_Q1+Qg_Q2+Qg_Q3+Qg_Q4)*Fsw/2)*IF(Vout&gt;8, Vout, H55)</f>
        <v>0.0792</v>
      </c>
      <c r="AZ55" s="488" t="n">
        <f aca="false">(Vin-Vdd)*Fsw*(Qg_Q1+Qg_Q2)+(RdsonDRT+RdsonDRT2)*Fsw*Qg_Q1*Vdd/(RdsonDRT+2*Rgate1+RdsonDRT2)+(RdsonDRB+RdsonDRB2)*Fsw*Qg_Q2*Vdd/(RdsonDRB+2*Rgate2+RdsonDRB2)</f>
        <v>0.0522</v>
      </c>
      <c r="BA55" s="488" t="n">
        <f aca="false">SUM(AX55:AY55)</f>
        <v>0.1152</v>
      </c>
      <c r="BB55" s="488" t="n">
        <f aca="false">SUM(T55,W55,Z55,AE55,AI55,AN55,AR55, AT55,AU55,BA55,AV55,AW55)</f>
        <v>1.40792654363419</v>
      </c>
      <c r="BC55" s="419" t="n">
        <f aca="false">Vout*K55</f>
        <v>72</v>
      </c>
      <c r="BD55" s="589" t="n">
        <f aca="false">BC55/(BC55+BB55)</f>
        <v>0.980820510673363</v>
      </c>
      <c r="BE55" s="590" t="n">
        <f aca="false">IF(H55&gt;Vout,ThetaJA_Q1*(AE55+AU55),ThetaJA_Q4*(AN55+AU55))</f>
        <v>28.2952596804186</v>
      </c>
      <c r="BF55" s="590" t="n">
        <f aca="false">IF(H55&gt;Vout, AI55*ThetaJA_Q2, ThetaJA_Q3*AR55)</f>
        <v>9.91125105981858</v>
      </c>
      <c r="BG55" s="536"/>
      <c r="BH55" s="385" t="n">
        <f aca="false">BD55*100</f>
        <v>98.0820510673363</v>
      </c>
      <c r="BI55" s="488" t="n">
        <f aca="false">T55</f>
        <v>0.221326307481074</v>
      </c>
      <c r="BJ55" s="488" t="n">
        <f aca="false">AE55+AI55+AN55+AR55+AU55</f>
        <v>0.83423723324704</v>
      </c>
      <c r="BK55" s="488" t="n">
        <f aca="false">AI55+AU55*0.33</f>
        <v>0.298552155796372</v>
      </c>
      <c r="BL55" s="488" t="n">
        <f aca="false">AV55</f>
        <v>0.0732031535734408</v>
      </c>
      <c r="BQ55" s="0" t="n">
        <v>9.994386</v>
      </c>
      <c r="BR55" s="0" t="n">
        <v>14.954</v>
      </c>
      <c r="BS55" s="0" t="n">
        <v>5.113031</v>
      </c>
      <c r="BT55" s="0" t="n">
        <v>84.3526502645786</v>
      </c>
      <c r="BU55" s="0" t="n">
        <v>14183.3185337</v>
      </c>
    </row>
    <row r="56" customFormat="false" ht="12.75" hidden="false" customHeight="false" outlineLevel="0" collapsed="false">
      <c r="A56" s="624" t="s">
        <v>876</v>
      </c>
      <c r="B56" s="596" t="n">
        <f aca="false">ThetaJA_Q2</f>
        <v>50</v>
      </c>
      <c r="C56" s="611" t="s">
        <v>121</v>
      </c>
      <c r="D56" s="625" t="s">
        <v>665</v>
      </c>
      <c r="E56" s="336"/>
      <c r="G56" s="0" t="n">
        <v>47</v>
      </c>
      <c r="H56" s="586" t="n">
        <f aca="false">VIN_min+(VIN_max-VIN_min)*(G56/200)</f>
        <v>16.34</v>
      </c>
      <c r="I56" s="385" t="str">
        <f aca="false">IF(H56&gt;VIN_BB_to_buck, "BUCK", IF(H56&lt;VIN_boost_to_BB,"BOOST","BUCK-BST"))</f>
        <v>BUCK</v>
      </c>
      <c r="J56" s="419" t="n">
        <f aca="false">IF(I56="BOOST",2, IF(I56="BUCK", 1,3))</f>
        <v>1</v>
      </c>
      <c r="K56" s="0" t="n">
        <f aca="false">Iout</f>
        <v>6</v>
      </c>
      <c r="L56" s="385" t="n">
        <f aca="false">Vout*K56/(H56*Efficiency)</f>
        <v>4.89596083231334</v>
      </c>
      <c r="M56" s="385" t="n">
        <f aca="false">Iout/(1-O56)</f>
        <v>6</v>
      </c>
      <c r="N56" s="488" t="n">
        <f aca="false">CHOOSE(J56,(Vout+(Rdson2+Rs+Rdcr)*K56)/(H56+(Rs+Rdson2-Rdson1)*K56),1,IF(H56&lt;Vout,D_max_buck_BB,Vout/H56*(1-D_min_boost_exitBB_to_buck)))</f>
        <v>0.738485477178423</v>
      </c>
      <c r="O56" s="488" t="n">
        <f aca="false">CHOOSE(J56,0,(Vout+(Rdson3+Rdcr)*L56-H56)/(Vout+(Rdson3-Rdson4-Rs)*L56),IF(H56&gt;Vout,D_min_boost_exitBB_to_buck, (Vout-H56*D_max_buck_BB)/Vout))</f>
        <v>0</v>
      </c>
      <c r="P56" s="385" t="n">
        <f aca="false">MAX(0, CHOOSE(J56, (H56-(Rdson1+Rdcr)*K56-Vout)*N56/(Fsw*Lf), (H56-(Rdson4+Rdcr+Rs)*L56)*O56/(Fsw*Lf), IF(H56&lt;Vout, (H56-(Rdson4+Rdcr+Rs)*L56)*O56/(0.5*Fsw*Lf),(H56-(Rdson1+Rdcr)*K56-Vout)*N56/(0.5*Fsw*Lf))))</f>
        <v>2.24462922662664</v>
      </c>
      <c r="Q56" s="488" t="n">
        <f aca="false">CHOOSE(J56, SQRT(K56^2+(P56^2)/12), SQRT(L56^2+(P56^2)/12), SQRT(M56^2+(P56^2)/12))</f>
        <v>6.03488718732606</v>
      </c>
      <c r="R56" s="488" t="n">
        <f aca="false">(Q56^2*Rdcr*(1+Ltc*Ta-Ltc*25))/(1-Q56^2*Rdcr*Ltc*ThetaCa)</f>
        <v>0.123209127841681</v>
      </c>
      <c r="S56" s="488" t="n">
        <f aca="false">7.759*10^-3*Fsw^0.9458*(0.00787*P56)^2.304</f>
        <v>0.107505332634769</v>
      </c>
      <c r="T56" s="488" t="n">
        <f aca="false">R56+S56</f>
        <v>0.23071446047645</v>
      </c>
      <c r="U56" s="385" t="n">
        <f aca="false">IF(H56&gt;Vout, P56/SQRT(12), SQRT(O56/(1-O56))*SQRT(K56^2+(P56^2)/12))</f>
        <v>0.647968644111897</v>
      </c>
      <c r="V56" s="488" t="n">
        <f aca="false">RCoutEsr*U56^2</f>
        <v>0.00209931681876105</v>
      </c>
      <c r="W56" s="488" t="n">
        <f aca="false">V56</f>
        <v>0.00209931681876105</v>
      </c>
      <c r="X56" s="488" t="n">
        <f aca="false">IF(H56&gt;Vout, SQRT(N56*(1-N56))*SQRT(K56^2+(P56^2)/12), P56/SQRT(12))</f>
        <v>2.6520886777937</v>
      </c>
      <c r="Y56" s="587" t="n">
        <f aca="false">RCinEsr*X56^2</f>
        <v>0.014067148709763</v>
      </c>
      <c r="Z56" s="588" t="n">
        <f aca="false">Y56</f>
        <v>0.014067148709763</v>
      </c>
      <c r="AA56" s="488" t="n">
        <f aca="false">CHOOSE(J56, SQRT(N56)*SQRT(K56^2+(P56^2)/12), SQRT(L56^2+(P56^2)/12), SQRT(N56)*SQRT(M56^2+(P56^2)/12))</f>
        <v>5.18609103033812</v>
      </c>
      <c r="AB56" s="488" t="n">
        <f aca="false">Rdson1*AA56^2</f>
        <v>0.153304578997235</v>
      </c>
      <c r="AC56" s="488" t="n">
        <f aca="false">CHOOSE(J56, (H56*K56/2)*(Fsw)*(Tr_buck+Tf_buck), 0, (H56*M56/2)*(Fsw/2)*(Tr_buck+Tf_buck))</f>
        <v>0.0998404476327116</v>
      </c>
      <c r="AD56" s="0" t="n">
        <f aca="false">IF(H56&gt;Vout, IF(K56&gt;P56/2,0,ABS(K56-P56/2)*Vsd_Q1*Deadtime*Fsw),0)</f>
        <v>0</v>
      </c>
      <c r="AE56" s="488" t="n">
        <f aca="false">(AD56+AC56+AB56*(1+RdsonTopTc*Ta-RdsonTopTc*25))/(1-AB56*RdsonTopTc*ThetaJA_Q1)</f>
        <v>0.26115219199969</v>
      </c>
      <c r="AF56" s="488" t="n">
        <f aca="false">CHOOSE(J56, SQRT((1-N56))*SQRT(K56^2+(P56^2)/12), 0, SQRT((1-N56))*SQRT(M56^2+(P56^2)/12))</f>
        <v>3.08615022135973</v>
      </c>
      <c r="AG56" s="488" t="n">
        <f aca="false">Rdson2*AF56^2</f>
        <v>0.0542886421761525</v>
      </c>
      <c r="AH56" s="488" t="n">
        <f aca="false">CHOOSE(J56, IF(K56&lt;P56/2,Deadtime*Fsw*IF(VfdSky_Q2&gt;0,0,Vsd_Q2)*(K56+P56/2),2*Deadtime*Fsw*IF(VfdSky_Q2&gt;0,0,Vsd_Q2)*K56),0, IF(K56&lt;P56/2,Deadtime*Fsw/2*IF(VfdSky_Q2&gt;0,0,Vsd_Q2)*(K56+P56/2),2*Deadtime*Fsw/2*IF(VfdSky_Q2&gt;0,0,Vsd_Q2)*K56))</f>
        <v>0.144</v>
      </c>
      <c r="AI56" s="488" t="n">
        <f aca="false">(AH56+AG56*(1+RdsonBotTc*Ta-RdsonBotTc*25))/(1-AG56*RdsonBotTc*ThetaJA_Q2)</f>
        <v>0.200465239305232</v>
      </c>
      <c r="AJ56" s="488" t="n">
        <f aca="false">CHOOSE(J56, 0, SQRT(O56)*SQRT(L56^2+(P56^2)/12), SQRT(O56)*SQRT(M56^2+(P56^2)/12))</f>
        <v>0</v>
      </c>
      <c r="AK56" s="488" t="n">
        <f aca="false">Rdson4*AJ56^2</f>
        <v>0</v>
      </c>
      <c r="AL56" s="488" t="n">
        <f aca="false">CHOOSE(J56, 0, (Vout*L56/2)*(Fsw)*(Tr_boost+Tf_boost), (Vout*Iout/2)*(Fsw/2)*(Tr_boost+Tf_boost))</f>
        <v>0</v>
      </c>
      <c r="AM56" s="0" t="n">
        <f aca="false">IF(H56&gt;Vout, 0, IF(L56&gt;P56/2,0,ABS(L56-P56/2)*Vsd_Q4*Deadtime*Fsw))</f>
        <v>0</v>
      </c>
      <c r="AN56" s="488" t="n">
        <f aca="false">(AM56+AL56+AK56*(1+RdsonTopTc*Ta-RdsonTopTc*25))/(1-AK56*RdsonTopTc*ThetaJA_Q4)</f>
        <v>0</v>
      </c>
      <c r="AO56" s="488" t="n">
        <f aca="false">CHOOSE(J56, SQRT(Iout^2+(P56^2)/12), SQRT(1-O56)*SQRT(L56^2+(P56^2)/12), SQRT(1-O56)*SQRT(M56^2+(P56^2)/12))</f>
        <v>6.03488718732606</v>
      </c>
      <c r="AP56" s="488" t="n">
        <f aca="false">Rdson3*AO56^2</f>
        <v>0.0691977403911292</v>
      </c>
      <c r="AQ56" s="488" t="n">
        <f aca="false">CHOOSE(J56, 0, IF(L56&lt;P56/2,Deadtime*Fsw*IF(VfdSky_Q3&gt;0,0,Vsd_Q3)*(L56+P56/2), 2*Deadtime*Fsw*IF(VfdSky_Q3&gt;0,0,Vsd_Q3)*L56), IF(L56&lt;P56/2,Deadtime*Fsw/2*IF(VfdSky_Q3&gt;0,0,Vsd_Q3)*(L56+P56/2), 2*Deadtime*Fsw/2*IF(VfdSky_Q3&gt;0,0,Vsd_Q3)*L56))</f>
        <v>0</v>
      </c>
      <c r="AR56" s="488" t="n">
        <f aca="false">(AQ56+AP56*(1+RdsonBotTc*Ta-RdsonBotTc*25))/(1-AP56*RdsonBotTc*ThetaJA_Q3)</f>
        <v>0.0701688455020484</v>
      </c>
      <c r="AS56" s="488" t="n">
        <f aca="false">CHOOSE(J56, Rdson3*Q56^2, Rdson1*Q56^2, 0)</f>
        <v>0.0691977403911292</v>
      </c>
      <c r="AT56" s="488" t="n">
        <f aca="false">CHOOSE(J56, 2*Deadtime*Fsw*IF(VfdSky_Q2&gt;0,VfdSky_Q2,0)*K56, 2*Deadtime*Fsw*IF(VfdSky_Q3&gt;0,VfdSky_Q3,0)*L56, 2*Deadtime*Fsw/2*IF(VfdSky_Q2&gt;0,VfdSky_Q2,0)*K56+2*Deadtime*Fsw/2*IF(VfdSky_Q3&gt;0,VfdSky_Q3,0)*L56)</f>
        <v>0</v>
      </c>
      <c r="AU56" s="488" t="n">
        <f aca="false">CHOOSE(J56, IF(QrrSky_Q2&gt;0,QrrSky_Q2,Qrr_Q2)*Fsw*(H56-K56*Rdson1), IF(QrrSky_Q3&gt;0,QrrSky_Q3,Qrr_Q3)*Fsw*Vout,  IF(QrrSky_Q2&gt;0,QrrSky_Q2,Qrr_Q2)*Fsw/2*(H56-K56*Rdson1)+IF(QrrSky_Q3&gt;0,QrrSky_Q3,Qrr_Q3)*Fsw/2*Vout)</f>
        <v>0.30817962</v>
      </c>
      <c r="AV56" s="488" t="n">
        <f aca="false">CHOOSE(J56, Rs*AF56^2, Rs*AJ56^2, Rs*(AF56^2+AJ56^2))</f>
        <v>0.0761945855103895</v>
      </c>
      <c r="AW56" s="488" t="n">
        <f aca="false">Rshunt_std/1000*Iout^2</f>
        <v>0.14832</v>
      </c>
      <c r="AX56" s="488" t="n">
        <f aca="false">IF(Vout&gt;8, Iq*Vout, Iq*H56)</f>
        <v>0.036</v>
      </c>
      <c r="AY56" s="488" t="n">
        <f aca="false">CHOOSE(J56, (Qg_Q1+Qg_Q2)*Fsw, (Qg_Q3+Qg_Q4)*Fsw, (Qg_Q1+Qg_Q2+Qg_Q3+Qg_Q4)*Fsw/2)*IF(Vout&gt;8, Vout, H56)</f>
        <v>0.0792</v>
      </c>
      <c r="AZ56" s="488" t="n">
        <f aca="false">(Vin-Vdd)*Fsw*(Qg_Q1+Qg_Q2)+(RdsonDRT+RdsonDRT2)*Fsw*Qg_Q1*Vdd/(RdsonDRT+2*Rgate1+RdsonDRT2)+(RdsonDRB+RdsonDRB2)*Fsw*Qg_Q2*Vdd/(RdsonDRB+2*Rgate2+RdsonDRB2)</f>
        <v>0.0522</v>
      </c>
      <c r="BA56" s="488" t="n">
        <f aca="false">SUM(AX56:AY56)</f>
        <v>0.1152</v>
      </c>
      <c r="BB56" s="488" t="n">
        <f aca="false">SUM(T56,W56,Z56,AE56,AI56,AN56,AR56, AT56,AU56,BA56,AV56,AW56)</f>
        <v>1.42656140832233</v>
      </c>
      <c r="BC56" s="419" t="n">
        <f aca="false">Vout*K56</f>
        <v>72</v>
      </c>
      <c r="BD56" s="589" t="n">
        <f aca="false">BC56/(BC56+BB56)</f>
        <v>0.980571589068576</v>
      </c>
      <c r="BE56" s="590" t="n">
        <f aca="false">IF(H56&gt;Vout,ThetaJA_Q1*(AE56+AU56),ThetaJA_Q4*(AN56+AU56))</f>
        <v>28.4665905999845</v>
      </c>
      <c r="BF56" s="590" t="n">
        <f aca="false">IF(H56&gt;Vout, AI56*ThetaJA_Q2, ThetaJA_Q3*AR56)</f>
        <v>10.0232619652616</v>
      </c>
      <c r="BG56" s="536"/>
      <c r="BH56" s="385" t="n">
        <f aca="false">BD56*100</f>
        <v>98.0571589068576</v>
      </c>
      <c r="BI56" s="488" t="n">
        <f aca="false">T56</f>
        <v>0.23071446047645</v>
      </c>
      <c r="BJ56" s="488" t="n">
        <f aca="false">AE56+AI56+AN56+AR56+AU56</f>
        <v>0.839965896806971</v>
      </c>
      <c r="BK56" s="488" t="n">
        <f aca="false">AI56+AU56*0.33</f>
        <v>0.302164513905232</v>
      </c>
      <c r="BL56" s="488" t="n">
        <f aca="false">AV56</f>
        <v>0.0761945855103895</v>
      </c>
      <c r="BR56" s="591"/>
      <c r="BS56" s="592"/>
    </row>
    <row r="57" customFormat="false" ht="12.75" hidden="false" customHeight="false" outlineLevel="0" collapsed="false">
      <c r="A57" s="604" t="s">
        <v>877</v>
      </c>
      <c r="B57" s="583" t="s">
        <v>812</v>
      </c>
      <c r="C57" s="604" t="s">
        <v>697</v>
      </c>
      <c r="D57" s="626" t="s">
        <v>878</v>
      </c>
      <c r="E57" s="517"/>
      <c r="G57" s="0" t="n">
        <v>48</v>
      </c>
      <c r="H57" s="586" t="n">
        <f aca="false">VIN_min+(VIN_max-VIN_min)*(G57/200)</f>
        <v>16.56</v>
      </c>
      <c r="I57" s="385" t="str">
        <f aca="false">IF(H57&gt;VIN_BB_to_buck, "BUCK", IF(H57&lt;VIN_boost_to_BB,"BOOST","BUCK-BST"))</f>
        <v>BUCK</v>
      </c>
      <c r="J57" s="419" t="n">
        <f aca="false">IF(I57="BOOST",2, IF(I57="BUCK", 1,3))</f>
        <v>1</v>
      </c>
      <c r="K57" s="0" t="n">
        <f aca="false">Iout</f>
        <v>6</v>
      </c>
      <c r="L57" s="385" t="n">
        <f aca="false">Vout*K57/(H57*Efficiency)</f>
        <v>4.83091787439614</v>
      </c>
      <c r="M57" s="385" t="n">
        <f aca="false">Iout/(1-O57)</f>
        <v>6</v>
      </c>
      <c r="N57" s="488" t="n">
        <f aca="false">CHOOSE(J57,(Vout+(Rdson2+Rs+Rdcr)*K57)/(H57+(Rs+Rdson2-Rdson1)*K57),1,IF(H57&lt;Vout,D_max_buck_BB,Vout/H57*(1-D_min_boost_exitBB_to_buck)))</f>
        <v>0.728703034682081</v>
      </c>
      <c r="O57" s="488" t="n">
        <f aca="false">CHOOSE(J57,0,(Vout+(Rdson3+Rdcr)*L57-H57)/(Vout+(Rdson3-Rdson4-Rs)*L57),IF(H57&gt;Vout,D_min_boost_exitBB_to_buck, (Vout-H57*D_max_buck_BB)/Vout))</f>
        <v>0</v>
      </c>
      <c r="P57" s="385" t="n">
        <f aca="false">MAX(0, CHOOSE(J57, (H57-(Rdson1+Rdcr)*K57-Vout)*N57/(Fsw*Lf), (H57-(Rdson4+Rdcr+Rs)*L57)*O57/(Fsw*Lf), IF(H57&lt;Vout, (H57-(Rdson4+Rdcr+Rs)*L57)*O57/(0.5*Fsw*Lf),(H57-(Rdson1+Rdcr)*K57-Vout)*N57/(0.5*Fsw*Lf))))</f>
        <v>2.32859380380642</v>
      </c>
      <c r="Q57" s="488" t="n">
        <f aca="false">CHOOSE(J57, SQRT(K57^2+(P57^2)/12), SQRT(L57^2+(P57^2)/12), SQRT(M57^2+(P57^2)/12))</f>
        <v>6.03753777837129</v>
      </c>
      <c r="R57" s="488" t="n">
        <f aca="false">(Q57^2*Rdcr*(1+Ltc*Ta-Ltc*25))/(1-Q57^2*Rdcr*Ltc*ThetaCa)</f>
        <v>0.123318449280195</v>
      </c>
      <c r="S57" s="488" t="n">
        <f aca="false">7.759*10^-3*Fsw^0.9458*(0.00787*P57)^2.304</f>
        <v>0.116997555844798</v>
      </c>
      <c r="T57" s="488" t="n">
        <f aca="false">R57+S57</f>
        <v>0.240316005124993</v>
      </c>
      <c r="U57" s="385" t="n">
        <f aca="false">IF(H57&gt;Vout, P57/SQRT(12), SQRT(O57/(1-O57))*SQRT(K57^2+(P57^2)/12))</f>
        <v>0.672207129730465</v>
      </c>
      <c r="V57" s="488" t="n">
        <f aca="false">RCoutEsr*U57^2</f>
        <v>0.00225931212630235</v>
      </c>
      <c r="W57" s="488" t="n">
        <f aca="false">V57</f>
        <v>0.00225931212630235</v>
      </c>
      <c r="X57" s="488" t="n">
        <f aca="false">IF(H57&gt;Vout, SQRT(N57*(1-N57))*SQRT(K57^2+(P57^2)/12), P57/SQRT(12))</f>
        <v>2.68446421027794</v>
      </c>
      <c r="Y57" s="587" t="n">
        <f aca="false">RCinEsr*X57^2</f>
        <v>0.0144126961925263</v>
      </c>
      <c r="Z57" s="588" t="n">
        <f aca="false">Y57</f>
        <v>0.0144126961925263</v>
      </c>
      <c r="AA57" s="488" t="n">
        <f aca="false">CHOOSE(J57, SQRT(N57)*SQRT(K57^2+(P57^2)/12), SQRT(L57^2+(P57^2)/12), SQRT(N57)*SQRT(M57^2+(P57^2)/12))</f>
        <v>5.15389006179808</v>
      </c>
      <c r="AB57" s="488" t="n">
        <f aca="false">Rdson1*AA57^2</f>
        <v>0.151406721783876</v>
      </c>
      <c r="AC57" s="488" t="n">
        <f aca="false">CHOOSE(J57, (H57*K57/2)*(Fsw)*(Tr_buck+Tf_buck), 0, (H57*M57/2)*(Fsw/2)*(Tr_buck+Tf_buck))</f>
        <v>0.10118468866571</v>
      </c>
      <c r="AD57" s="0" t="n">
        <f aca="false">IF(H57&gt;Vout, IF(K57&gt;P57/2,0,ABS(K57-P57/2)*Vsd_Q1*Deadtime*Fsw),0)</f>
        <v>0</v>
      </c>
      <c r="AE57" s="488" t="n">
        <f aca="false">(AD57+AC57+AB57*(1+RdsonTopTc*Ta-RdsonTopTc*25))/(1-AB57*RdsonTopTc*ThetaJA_Q1)</f>
        <v>0.260479066768123</v>
      </c>
      <c r="AF57" s="488" t="n">
        <f aca="false">CHOOSE(J57, SQRT((1-N57))*SQRT(K57^2+(P57^2)/12), 0, SQRT((1-N57))*SQRT(M57^2+(P57^2)/12))</f>
        <v>3.14472250861017</v>
      </c>
      <c r="AG57" s="488" t="n">
        <f aca="false">Rdson2*AF57^2</f>
        <v>0.0563688940401088</v>
      </c>
      <c r="AH57" s="488" t="n">
        <f aca="false">CHOOSE(J57, IF(K57&lt;P57/2,Deadtime*Fsw*IF(VfdSky_Q2&gt;0,0,Vsd_Q2)*(K57+P57/2),2*Deadtime*Fsw*IF(VfdSky_Q2&gt;0,0,Vsd_Q2)*K57),0, IF(K57&lt;P57/2,Deadtime*Fsw/2*IF(VfdSky_Q2&gt;0,0,Vsd_Q2)*(K57+P57/2),2*Deadtime*Fsw/2*IF(VfdSky_Q2&gt;0,0,Vsd_Q2)*K57))</f>
        <v>0.144</v>
      </c>
      <c r="AI57" s="488" t="n">
        <f aca="false">(AH57+AG57*(1+RdsonBotTc*Ta-RdsonBotTc*25))/(1-AG57*RdsonBotTc*ThetaJA_Q2)</f>
        <v>0.202653565512352</v>
      </c>
      <c r="AJ57" s="488" t="n">
        <f aca="false">CHOOSE(J57, 0, SQRT(O57)*SQRT(L57^2+(P57^2)/12), SQRT(O57)*SQRT(M57^2+(P57^2)/12))</f>
        <v>0</v>
      </c>
      <c r="AK57" s="488" t="n">
        <f aca="false">Rdson4*AJ57^2</f>
        <v>0</v>
      </c>
      <c r="AL57" s="488" t="n">
        <f aca="false">CHOOSE(J57, 0, (Vout*L57/2)*(Fsw)*(Tr_boost+Tf_boost), (Vout*Iout/2)*(Fsw/2)*(Tr_boost+Tf_boost))</f>
        <v>0</v>
      </c>
      <c r="AM57" s="0" t="n">
        <f aca="false">IF(H57&gt;Vout, 0, IF(L57&gt;P57/2,0,ABS(L57-P57/2)*Vsd_Q4*Deadtime*Fsw))</f>
        <v>0</v>
      </c>
      <c r="AN57" s="488" t="n">
        <f aca="false">(AM57+AL57+AK57*(1+RdsonTopTc*Ta-RdsonTopTc*25))/(1-AK57*RdsonTopTc*ThetaJA_Q4)</f>
        <v>0</v>
      </c>
      <c r="AO57" s="488" t="n">
        <f aca="false">CHOOSE(J57, SQRT(Iout^2+(P57^2)/12), SQRT(1-O57)*SQRT(L57^2+(P57^2)/12), SQRT(1-O57)*SQRT(M57^2+(P57^2)/12))</f>
        <v>6.03753777837129</v>
      </c>
      <c r="AP57" s="488" t="n">
        <f aca="false">Rdson3*AO57^2</f>
        <v>0.0692585386079949</v>
      </c>
      <c r="AQ57" s="488" t="n">
        <f aca="false">CHOOSE(J57, 0, IF(L57&lt;P57/2,Deadtime*Fsw*IF(VfdSky_Q3&gt;0,0,Vsd_Q3)*(L57+P57/2), 2*Deadtime*Fsw*IF(VfdSky_Q3&gt;0,0,Vsd_Q3)*L57), IF(L57&lt;P57/2,Deadtime*Fsw/2*IF(VfdSky_Q3&gt;0,0,Vsd_Q3)*(L57+P57/2), 2*Deadtime*Fsw/2*IF(VfdSky_Q3&gt;0,0,Vsd_Q3)*L57))</f>
        <v>0</v>
      </c>
      <c r="AR57" s="488" t="n">
        <f aca="false">(AQ57+AP57*(1+RdsonBotTc*Ta-RdsonBotTc*25))/(1-AP57*RdsonBotTc*ThetaJA_Q3)</f>
        <v>0.070231362920053</v>
      </c>
      <c r="AS57" s="488" t="n">
        <f aca="false">CHOOSE(J57, Rdson3*Q57^2, Rdson1*Q57^2, 0)</f>
        <v>0.0692585386079949</v>
      </c>
      <c r="AT57" s="488" t="n">
        <f aca="false">CHOOSE(J57, 2*Deadtime*Fsw*IF(VfdSky_Q2&gt;0,VfdSky_Q2,0)*K57, 2*Deadtime*Fsw*IF(VfdSky_Q3&gt;0,VfdSky_Q3,0)*L57, 2*Deadtime*Fsw/2*IF(VfdSky_Q2&gt;0,VfdSky_Q2,0)*K57+2*Deadtime*Fsw/2*IF(VfdSky_Q3&gt;0,VfdSky_Q3,0)*L57)</f>
        <v>0</v>
      </c>
      <c r="AU57" s="488" t="n">
        <f aca="false">CHOOSE(J57, IF(QrrSky_Q2&gt;0,QrrSky_Q2,Qrr_Q2)*Fsw*(H57-K57*Rdson1), IF(QrrSky_Q3&gt;0,QrrSky_Q3,Qrr_Q3)*Fsw*Vout,  IF(QrrSky_Q2&gt;0,QrrSky_Q2,Qrr_Q2)*Fsw/2*(H57-K57*Rdson1)+IF(QrrSky_Q3&gt;0,QrrSky_Q3,Qrr_Q3)*Fsw/2*Vout)</f>
        <v>0.31233762</v>
      </c>
      <c r="AV57" s="488" t="n">
        <f aca="false">CHOOSE(J57, Rs*AF57^2, Rs*AJ57^2, Rs*(AF57^2+AJ57^2))</f>
        <v>0.0791142372492755</v>
      </c>
      <c r="AW57" s="488" t="n">
        <f aca="false">Rshunt_std/1000*Iout^2</f>
        <v>0.14832</v>
      </c>
      <c r="AX57" s="488" t="n">
        <f aca="false">IF(Vout&gt;8, Iq*Vout, Iq*H57)</f>
        <v>0.036</v>
      </c>
      <c r="AY57" s="488" t="n">
        <f aca="false">CHOOSE(J57, (Qg_Q1+Qg_Q2)*Fsw, (Qg_Q3+Qg_Q4)*Fsw, (Qg_Q1+Qg_Q2+Qg_Q3+Qg_Q4)*Fsw/2)*IF(Vout&gt;8, Vout, H57)</f>
        <v>0.0792</v>
      </c>
      <c r="AZ57" s="488" t="n">
        <f aca="false">(Vin-Vdd)*Fsw*(Qg_Q1+Qg_Q2)+(RdsonDRT+RdsonDRT2)*Fsw*Qg_Q1*Vdd/(RdsonDRT+2*Rgate1+RdsonDRT2)+(RdsonDRB+RdsonDRB2)*Fsw*Qg_Q2*Vdd/(RdsonDRB+2*Rgate2+RdsonDRB2)</f>
        <v>0.0522</v>
      </c>
      <c r="BA57" s="488" t="n">
        <f aca="false">SUM(AX57:AY57)</f>
        <v>0.1152</v>
      </c>
      <c r="BB57" s="488" t="n">
        <f aca="false">SUM(T57,W57,Z57,AE57,AI57,AN57,AR57, AT57,AU57,BA57,AV57,AW57)</f>
        <v>1.44532386589363</v>
      </c>
      <c r="BC57" s="419" t="n">
        <f aca="false">Vout*K57</f>
        <v>72</v>
      </c>
      <c r="BD57" s="589" t="n">
        <f aca="false">BC57/(BC57+BB57)</f>
        <v>0.98032109071324</v>
      </c>
      <c r="BE57" s="590" t="n">
        <f aca="false">IF(H57&gt;Vout,ThetaJA_Q1*(AE57+AU57),ThetaJA_Q4*(AN57+AU57))</f>
        <v>28.6408343384062</v>
      </c>
      <c r="BF57" s="590" t="n">
        <f aca="false">IF(H57&gt;Vout, AI57*ThetaJA_Q2, ThetaJA_Q3*AR57)</f>
        <v>10.1326782756176</v>
      </c>
      <c r="BG57" s="536"/>
      <c r="BH57" s="385" t="n">
        <f aca="false">BD57*100</f>
        <v>98.032109071324</v>
      </c>
      <c r="BI57" s="488" t="n">
        <f aca="false">T57</f>
        <v>0.240316005124993</v>
      </c>
      <c r="BJ57" s="488" t="n">
        <f aca="false">AE57+AI57+AN57+AR57+AU57</f>
        <v>0.845701615200528</v>
      </c>
      <c r="BK57" s="488" t="n">
        <f aca="false">AI57+AU57*0.33</f>
        <v>0.305724980112352</v>
      </c>
      <c r="BL57" s="488" t="n">
        <f aca="false">AV57</f>
        <v>0.0791142372492755</v>
      </c>
      <c r="BR57" s="591"/>
      <c r="BS57" s="592"/>
    </row>
    <row r="58" customFormat="false" ht="12.75" hidden="false" customHeight="false" outlineLevel="0" collapsed="false">
      <c r="A58" s="600" t="s">
        <v>683</v>
      </c>
      <c r="B58" s="627" t="n">
        <f aca="false">VfdSky_Q2</f>
        <v>0</v>
      </c>
      <c r="C58" s="597" t="s">
        <v>11</v>
      </c>
      <c r="D58" s="625" t="s">
        <v>684</v>
      </c>
      <c r="E58" s="517"/>
      <c r="G58" s="0" t="n">
        <v>49</v>
      </c>
      <c r="H58" s="586" t="n">
        <f aca="false">VIN_min+(VIN_max-VIN_min)*(G58/200)</f>
        <v>16.78</v>
      </c>
      <c r="I58" s="385" t="str">
        <f aca="false">IF(H58&gt;VIN_BB_to_buck, "BUCK", IF(H58&lt;VIN_boost_to_BB,"BOOST","BUCK-BST"))</f>
        <v>BUCK</v>
      </c>
      <c r="J58" s="419" t="n">
        <f aca="false">IF(I58="BOOST",2, IF(I58="BUCK", 1,3))</f>
        <v>1</v>
      </c>
      <c r="K58" s="0" t="n">
        <f aca="false">Iout</f>
        <v>6</v>
      </c>
      <c r="L58" s="385" t="n">
        <f aca="false">Vout*K58/(H58*Efficiency)</f>
        <v>4.76758045292014</v>
      </c>
      <c r="M58" s="385" t="n">
        <f aca="false">Iout/(1-O58)</f>
        <v>6</v>
      </c>
      <c r="N58" s="488" t="n">
        <f aca="false">CHOOSE(J58,(Vout+(Rdson2+Rs+Rdcr)*K58)/(H58+(Rs+Rdson2-Rdson1)*K58),1,IF(H58&lt;Vout,D_max_buck_BB,Vout/H58*(1-D_min_boost_exitBB_to_buck)))</f>
        <v>0.719176372712146</v>
      </c>
      <c r="O58" s="488" t="n">
        <f aca="false">CHOOSE(J58,0,(Vout+(Rdson3+Rdcr)*L58-H58)/(Vout+(Rdson3-Rdson4-Rs)*L58),IF(H58&gt;Vout,D_min_boost_exitBB_to_buck, (Vout-H58*D_max_buck_BB)/Vout))</f>
        <v>0</v>
      </c>
      <c r="P58" s="385" t="n">
        <f aca="false">MAX(0, CHOOSE(J58, (H58-(Rdson1+Rdcr)*K58-Vout)*N58/(Fsw*Lf), (H58-(Rdson4+Rdcr+Rs)*L58)*O58/(Fsw*Lf), IF(H58&lt;Vout, (H58-(Rdson4+Rdcr+Rs)*L58)*O58/(0.5*Fsw*Lf),(H58-(Rdson1+Rdcr)*K58-Vout)*N58/(0.5*Fsw*Lf))))</f>
        <v>2.41036296774879</v>
      </c>
      <c r="Q58" s="488" t="n">
        <f aca="false">CHOOSE(J58, SQRT(K58^2+(P58^2)/12), SQRT(L58^2+(P58^2)/12), SQRT(M58^2+(P58^2)/12))</f>
        <v>6.04021143142836</v>
      </c>
      <c r="R58" s="488" t="n">
        <f aca="false">(Q58^2*Rdcr*(1+Ltc*Ta-Ltc*25))/(1-Q58^2*Rdcr*Ltc*ThetaCa)</f>
        <v>0.123428772444942</v>
      </c>
      <c r="S58" s="488" t="n">
        <f aca="false">7.759*10^-3*Fsw^0.9458*(0.00787*P58)^2.304</f>
        <v>0.12668079327323</v>
      </c>
      <c r="T58" s="488" t="n">
        <f aca="false">R58+S58</f>
        <v>0.250109565718172</v>
      </c>
      <c r="U58" s="385" t="n">
        <f aca="false">IF(H58&gt;Vout, P58/SQRT(12), SQRT(O58/(1-O58))*SQRT(K58^2+(P58^2)/12))</f>
        <v>0.695811854137234</v>
      </c>
      <c r="V58" s="488" t="n">
        <f aca="false">RCoutEsr*U58^2</f>
        <v>0.00242077068178948</v>
      </c>
      <c r="W58" s="488" t="n">
        <f aca="false">V58</f>
        <v>0.00242077068178948</v>
      </c>
      <c r="X58" s="488" t="n">
        <f aca="false">IF(H58&gt;Vout, SQRT(N58*(1-N58))*SQRT(K58^2+(P58^2)/12), P58/SQRT(12))</f>
        <v>2.71448014105731</v>
      </c>
      <c r="Y58" s="587" t="n">
        <f aca="false">RCinEsr*X58^2</f>
        <v>0.014736804872389</v>
      </c>
      <c r="Z58" s="588" t="n">
        <f aca="false">Y58</f>
        <v>0.014736804872389</v>
      </c>
      <c r="AA58" s="488" t="n">
        <f aca="false">CHOOSE(J58, SQRT(N58)*SQRT(K58^2+(P58^2)/12), SQRT(L58^2+(P58^2)/12), SQRT(N58)*SQRT(M58^2+(P58^2)/12))</f>
        <v>5.12235703883053</v>
      </c>
      <c r="AB58" s="488" t="n">
        <f aca="false">Rdson1*AA58^2</f>
        <v>0.149559687309563</v>
      </c>
      <c r="AC58" s="488" t="n">
        <f aca="false">CHOOSE(J58, (H58*K58/2)*(Fsw)*(Tr_buck+Tf_buck), 0, (H58*M58/2)*(Fsw/2)*(Tr_buck+Tf_buck))</f>
        <v>0.102528929698709</v>
      </c>
      <c r="AD58" s="0" t="n">
        <f aca="false">IF(H58&gt;Vout, IF(K58&gt;P58/2,0,ABS(K58-P58/2)*Vsd_Q1*Deadtime*Fsw),0)</f>
        <v>0</v>
      </c>
      <c r="AE58" s="488" t="n">
        <f aca="false">(AD58+AC58+AB58*(1+RdsonTopTc*Ta-RdsonTopTc*25))/(1-AB58*RdsonTopTc*ThetaJA_Q1)</f>
        <v>0.259861580348407</v>
      </c>
      <c r="AF58" s="488" t="n">
        <f aca="false">CHOOSE(J58, SQRT((1-N58))*SQRT(K58^2+(P58^2)/12), 0, SQRT((1-N58))*SQRT(M58^2+(P58^2)/12))</f>
        <v>3.20087683347878</v>
      </c>
      <c r="AG58" s="488" t="n">
        <f aca="false">Rdson2*AF58^2</f>
        <v>0.0583999912676767</v>
      </c>
      <c r="AH58" s="488" t="n">
        <f aca="false">CHOOSE(J58, IF(K58&lt;P58/2,Deadtime*Fsw*IF(VfdSky_Q2&gt;0,0,Vsd_Q2)*(K58+P58/2),2*Deadtime*Fsw*IF(VfdSky_Q2&gt;0,0,Vsd_Q2)*K58),0, IF(K58&lt;P58/2,Deadtime*Fsw/2*IF(VfdSky_Q2&gt;0,0,Vsd_Q2)*(K58+P58/2),2*Deadtime*Fsw/2*IF(VfdSky_Q2&gt;0,0,Vsd_Q2)*K58))</f>
        <v>0.144</v>
      </c>
      <c r="AI58" s="488" t="n">
        <f aca="false">(AH58+AG58*(1+RdsonBotTc*Ta-RdsonBotTc*25))/(1-AG58*RdsonBotTc*ThetaJA_Q2)</f>
        <v>0.204791961014666</v>
      </c>
      <c r="AJ58" s="488" t="n">
        <f aca="false">CHOOSE(J58, 0, SQRT(O58)*SQRT(L58^2+(P58^2)/12), SQRT(O58)*SQRT(M58^2+(P58^2)/12))</f>
        <v>0</v>
      </c>
      <c r="AK58" s="488" t="n">
        <f aca="false">Rdson4*AJ58^2</f>
        <v>0</v>
      </c>
      <c r="AL58" s="488" t="n">
        <f aca="false">CHOOSE(J58, 0, (Vout*L58/2)*(Fsw)*(Tr_boost+Tf_boost), (Vout*Iout/2)*(Fsw/2)*(Tr_boost+Tf_boost))</f>
        <v>0</v>
      </c>
      <c r="AM58" s="0" t="n">
        <f aca="false">IF(H58&gt;Vout, 0, IF(L58&gt;P58/2,0,ABS(L58-P58/2)*Vsd_Q4*Deadtime*Fsw))</f>
        <v>0</v>
      </c>
      <c r="AN58" s="488" t="n">
        <f aca="false">(AM58+AL58+AK58*(1+RdsonTopTc*Ta-RdsonTopTc*25))/(1-AK58*RdsonTopTc*ThetaJA_Q4)</f>
        <v>0</v>
      </c>
      <c r="AO58" s="488" t="n">
        <f aca="false">CHOOSE(J58, SQRT(Iout^2+(P58^2)/12), SQRT(1-O58)*SQRT(L58^2+(P58^2)/12), SQRT(1-O58)*SQRT(M58^2+(P58^2)/12))</f>
        <v>6.04021143142836</v>
      </c>
      <c r="AP58" s="488" t="n">
        <f aca="false">Rdson3*AO58^2</f>
        <v>0.06931989285908</v>
      </c>
      <c r="AQ58" s="488" t="n">
        <f aca="false">CHOOSE(J58, 0, IF(L58&lt;P58/2,Deadtime*Fsw*IF(VfdSky_Q3&gt;0,0,Vsd_Q3)*(L58+P58/2), 2*Deadtime*Fsw*IF(VfdSky_Q3&gt;0,0,Vsd_Q3)*L58), IF(L58&lt;P58/2,Deadtime*Fsw/2*IF(VfdSky_Q3&gt;0,0,Vsd_Q3)*(L58+P58/2), 2*Deadtime*Fsw/2*IF(VfdSky_Q3&gt;0,0,Vsd_Q3)*L58))</f>
        <v>0</v>
      </c>
      <c r="AR58" s="488" t="n">
        <f aca="false">(AQ58+AP58*(1+RdsonBotTc*Ta-RdsonBotTc*25))/(1-AP58*RdsonBotTc*ThetaJA_Q3)</f>
        <v>0.0702944536583164</v>
      </c>
      <c r="AS58" s="488" t="n">
        <f aca="false">CHOOSE(J58, Rdson3*Q58^2, Rdson1*Q58^2, 0)</f>
        <v>0.06931989285908</v>
      </c>
      <c r="AT58" s="488" t="n">
        <f aca="false">CHOOSE(J58, 2*Deadtime*Fsw*IF(VfdSky_Q2&gt;0,VfdSky_Q2,0)*K58, 2*Deadtime*Fsw*IF(VfdSky_Q3&gt;0,VfdSky_Q3,0)*L58, 2*Deadtime*Fsw/2*IF(VfdSky_Q2&gt;0,VfdSky_Q2,0)*K58+2*Deadtime*Fsw/2*IF(VfdSky_Q3&gt;0,VfdSky_Q3,0)*L58)</f>
        <v>0</v>
      </c>
      <c r="AU58" s="488" t="n">
        <f aca="false">CHOOSE(J58, IF(QrrSky_Q2&gt;0,QrrSky_Q2,Qrr_Q2)*Fsw*(H58-K58*Rdson1), IF(QrrSky_Q3&gt;0,QrrSky_Q3,Qrr_Q3)*Fsw*Vout,  IF(QrrSky_Q2&gt;0,QrrSky_Q2,Qrr_Q2)*Fsw/2*(H58-K58*Rdson1)+IF(QrrSky_Q3&gt;0,QrrSky_Q3,Qrr_Q3)*Fsw/2*Vout)</f>
        <v>0.31649562</v>
      </c>
      <c r="AV58" s="488" t="n">
        <f aca="false">CHOOSE(J58, Rs*AF58^2, Rs*AJ58^2, Rs*(AF58^2+AJ58^2))</f>
        <v>0.0819649000248094</v>
      </c>
      <c r="AW58" s="488" t="n">
        <f aca="false">Rshunt_std/1000*Iout^2</f>
        <v>0.14832</v>
      </c>
      <c r="AX58" s="488" t="n">
        <f aca="false">IF(Vout&gt;8, Iq*Vout, Iq*H58)</f>
        <v>0.036</v>
      </c>
      <c r="AY58" s="488" t="n">
        <f aca="false">CHOOSE(J58, (Qg_Q1+Qg_Q2)*Fsw, (Qg_Q3+Qg_Q4)*Fsw, (Qg_Q1+Qg_Q2+Qg_Q3+Qg_Q4)*Fsw/2)*IF(Vout&gt;8, Vout, H58)</f>
        <v>0.0792</v>
      </c>
      <c r="AZ58" s="488" t="n">
        <f aca="false">(Vin-Vdd)*Fsw*(Qg_Q1+Qg_Q2)+(RdsonDRT+RdsonDRT2)*Fsw*Qg_Q1*Vdd/(RdsonDRT+2*Rgate1+RdsonDRT2)+(RdsonDRB+RdsonDRB2)*Fsw*Qg_Q2*Vdd/(RdsonDRB+2*Rgate2+RdsonDRB2)</f>
        <v>0.0522</v>
      </c>
      <c r="BA58" s="488" t="n">
        <f aca="false">SUM(AX58:AY58)</f>
        <v>0.1152</v>
      </c>
      <c r="BB58" s="488" t="n">
        <f aca="false">SUM(T58,W58,Z58,AE58,AI58,AN58,AR58, AT58,AU58,BA58,AV58,AW58)</f>
        <v>1.46419565631855</v>
      </c>
      <c r="BC58" s="419" t="n">
        <f aca="false">Vout*K58</f>
        <v>72</v>
      </c>
      <c r="BD58" s="589" t="n">
        <f aca="false">BC58/(BC58+BB58)</f>
        <v>0.980069261723515</v>
      </c>
      <c r="BE58" s="590" t="n">
        <f aca="false">IF(H58&gt;Vout,ThetaJA_Q1*(AE58+AU58),ThetaJA_Q4*(AN58+AU58))</f>
        <v>28.8178600174204</v>
      </c>
      <c r="BF58" s="590" t="n">
        <f aca="false">IF(H58&gt;Vout, AI58*ThetaJA_Q2, ThetaJA_Q3*AR58)</f>
        <v>10.2395980507333</v>
      </c>
      <c r="BG58" s="536"/>
      <c r="BH58" s="385" t="n">
        <f aca="false">BD58*100</f>
        <v>98.0069261723515</v>
      </c>
      <c r="BI58" s="488" t="n">
        <f aca="false">T58</f>
        <v>0.250109565718172</v>
      </c>
      <c r="BJ58" s="488" t="n">
        <f aca="false">AE58+AI58+AN58+AR58+AU58</f>
        <v>0.85144361502139</v>
      </c>
      <c r="BK58" s="488" t="n">
        <f aca="false">AI58+AU58*0.33</f>
        <v>0.309235515614666</v>
      </c>
      <c r="BL58" s="488" t="n">
        <f aca="false">AV58</f>
        <v>0.0819649000248094</v>
      </c>
      <c r="BR58" s="591"/>
      <c r="BS58" s="592"/>
    </row>
    <row r="59" customFormat="false" ht="12.75" hidden="false" customHeight="false" outlineLevel="0" collapsed="false">
      <c r="A59" s="600" t="s">
        <v>685</v>
      </c>
      <c r="B59" s="628" t="n">
        <f aca="false">QrrSky_Q2*1000000000</f>
        <v>0</v>
      </c>
      <c r="C59" s="597" t="s">
        <v>110</v>
      </c>
      <c r="D59" s="625" t="s">
        <v>686</v>
      </c>
      <c r="E59" s="517"/>
      <c r="G59" s="0" t="n">
        <v>50</v>
      </c>
      <c r="H59" s="586" t="n">
        <f aca="false">VIN_min+(VIN_max-VIN_min)*(G59/200)</f>
        <v>17</v>
      </c>
      <c r="I59" s="385" t="str">
        <f aca="false">IF(H59&gt;VIN_BB_to_buck, "BUCK", IF(H59&lt;VIN_boost_to_BB,"BOOST","BUCK-BST"))</f>
        <v>BUCK</v>
      </c>
      <c r="J59" s="419" t="n">
        <f aca="false">IF(I59="BOOST",2, IF(I59="BUCK", 1,3))</f>
        <v>1</v>
      </c>
      <c r="K59" s="0" t="n">
        <f aca="false">Iout</f>
        <v>6</v>
      </c>
      <c r="L59" s="385" t="n">
        <f aca="false">Vout*K59/(H59*Efficiency)</f>
        <v>4.70588235294118</v>
      </c>
      <c r="M59" s="385" t="n">
        <f aca="false">Iout/(1-O59)</f>
        <v>6</v>
      </c>
      <c r="N59" s="488" t="n">
        <f aca="false">CHOOSE(J59,(Vout+(Rdson2+Rs+Rdcr)*K59)/(H59+(Rs+Rdson2-Rdson1)*K59),1,IF(H59&lt;Vout,D_max_buck_BB,Vout/H59*(1-D_min_boost_exitBB_to_buck)))</f>
        <v>0.709895588925387</v>
      </c>
      <c r="O59" s="488" t="n">
        <f aca="false">CHOOSE(J59,0,(Vout+(Rdson3+Rdcr)*L59-H59)/(Vout+(Rdson3-Rdson4-Rs)*L59),IF(H59&gt;Vout,D_min_boost_exitBB_to_buck, (Vout-H59*D_max_buck_BB)/Vout))</f>
        <v>0</v>
      </c>
      <c r="P59" s="385" t="n">
        <f aca="false">MAX(0, CHOOSE(J59, (H59-(Rdson1+Rdcr)*K59-Vout)*N59/(Fsw*Lf), (H59-(Rdson4+Rdcr+Rs)*L59)*O59/(Fsw*Lf), IF(H59&lt;Vout, (H59-(Rdson4+Rdcr+Rs)*L59)*O59/(0.5*Fsw*Lf),(H59-(Rdson1+Rdcr)*K59-Vout)*N59/(0.5*Fsw*Lf))))</f>
        <v>2.49002171216191</v>
      </c>
      <c r="Q59" s="488" t="n">
        <f aca="false">CHOOSE(J59, SQRT(K59^2+(P59^2)/12), SQRT(L59^2+(P59^2)/12), SQRT(M59^2+(P59^2)/12))</f>
        <v>6.04290360758688</v>
      </c>
      <c r="R59" s="488" t="n">
        <f aca="false">(Q59^2*Rdcr*(1+Ltc*Ta-Ltc*25))/(1-Q59^2*Rdcr*Ltc*ThetaCa)</f>
        <v>0.123539911232984</v>
      </c>
      <c r="S59" s="488" t="n">
        <f aca="false">7.759*10^-3*Fsw^0.9458*(0.00787*P59)^2.304</f>
        <v>0.136535265354858</v>
      </c>
      <c r="T59" s="488" t="n">
        <f aca="false">R59+S59</f>
        <v>0.260075176587842</v>
      </c>
      <c r="U59" s="385" t="n">
        <f aca="false">IF(H59&gt;Vout, P59/SQRT(12), SQRT(O59/(1-O59))*SQRT(K59^2+(P59^2)/12))</f>
        <v>0.718807352902345</v>
      </c>
      <c r="V59" s="488" t="n">
        <f aca="false">RCoutEsr*U59^2</f>
        <v>0.00258342005293238</v>
      </c>
      <c r="W59" s="488" t="n">
        <f aca="false">V59</f>
        <v>0.00258342005293238</v>
      </c>
      <c r="X59" s="488" t="n">
        <f aca="false">IF(H59&gt;Vout, SQRT(N59*(1-N59))*SQRT(K59^2+(P59^2)/12), P59/SQRT(12))</f>
        <v>2.74233225432272</v>
      </c>
      <c r="Y59" s="587" t="n">
        <f aca="false">RCinEsr*X59^2</f>
        <v>0.0150407723861975</v>
      </c>
      <c r="Z59" s="588" t="n">
        <f aca="false">Y59</f>
        <v>0.0150407723861975</v>
      </c>
      <c r="AA59" s="488" t="n">
        <f aca="false">CHOOSE(J59, SQRT(N59)*SQRT(K59^2+(P59^2)/12), SQRT(L59^2+(P59^2)/12), SQRT(N59)*SQRT(M59^2+(P59^2)/12))</f>
        <v>5.0914666748686</v>
      </c>
      <c r="AB59" s="488" t="n">
        <f aca="false">Rdson1*AA59^2</f>
        <v>0.147761287537396</v>
      </c>
      <c r="AC59" s="488" t="n">
        <f aca="false">CHOOSE(J59, (H59*K59/2)*(Fsw)*(Tr_buck+Tf_buck), 0, (H59*M59/2)*(Fsw/2)*(Tr_buck+Tf_buck))</f>
        <v>0.103873170731707</v>
      </c>
      <c r="AD59" s="0" t="n">
        <f aca="false">IF(H59&gt;Vout, IF(K59&gt;P59/2,0,ABS(K59-P59/2)*Vsd_Q1*Deadtime*Fsw),0)</f>
        <v>0</v>
      </c>
      <c r="AE59" s="488" t="n">
        <f aca="false">(AD59+AC59+AB59*(1+RdsonTopTc*Ta-RdsonTopTc*25))/(1-AB59*RdsonTopTc*ThetaJA_Q1)</f>
        <v>0.259297278205625</v>
      </c>
      <c r="AF59" s="488" t="n">
        <f aca="false">CHOOSE(J59, SQRT((1-N59))*SQRT(K59^2+(P59^2)/12), 0, SQRT((1-N59))*SQRT(M59^2+(P59^2)/12))</f>
        <v>3.25478895003792</v>
      </c>
      <c r="AG59" s="488" t="n">
        <f aca="false">Rdson2*AF59^2</f>
        <v>0.0603838113229469</v>
      </c>
      <c r="AH59" s="488" t="n">
        <f aca="false">CHOOSE(J59, IF(K59&lt;P59/2,Deadtime*Fsw*IF(VfdSky_Q2&gt;0,0,Vsd_Q2)*(K59+P59/2),2*Deadtime*Fsw*IF(VfdSky_Q2&gt;0,0,Vsd_Q2)*K59),0, IF(K59&lt;P59/2,Deadtime*Fsw/2*IF(VfdSky_Q2&gt;0,0,Vsd_Q2)*(K59+P59/2),2*Deadtime*Fsw/2*IF(VfdSky_Q2&gt;0,0,Vsd_Q2)*K59))</f>
        <v>0.144</v>
      </c>
      <c r="AI59" s="488" t="n">
        <f aca="false">(AH59+AG59*(1+RdsonBotTc*Ta-RdsonBotTc*25))/(1-AG59*RdsonBotTc*ThetaJA_Q2)</f>
        <v>0.20688227942836</v>
      </c>
      <c r="AJ59" s="488" t="n">
        <f aca="false">CHOOSE(J59, 0, SQRT(O59)*SQRT(L59^2+(P59^2)/12), SQRT(O59)*SQRT(M59^2+(P59^2)/12))</f>
        <v>0</v>
      </c>
      <c r="AK59" s="488" t="n">
        <f aca="false">Rdson4*AJ59^2</f>
        <v>0</v>
      </c>
      <c r="AL59" s="488" t="n">
        <f aca="false">CHOOSE(J59, 0, (Vout*L59/2)*(Fsw)*(Tr_boost+Tf_boost), (Vout*Iout/2)*(Fsw/2)*(Tr_boost+Tf_boost))</f>
        <v>0</v>
      </c>
      <c r="AM59" s="0" t="n">
        <f aca="false">IF(H59&gt;Vout, 0, IF(L59&gt;P59/2,0,ABS(L59-P59/2)*Vsd_Q4*Deadtime*Fsw))</f>
        <v>0</v>
      </c>
      <c r="AN59" s="488" t="n">
        <f aca="false">(AM59+AL59+AK59*(1+RdsonTopTc*Ta-RdsonTopTc*25))/(1-AK59*RdsonTopTc*ThetaJA_Q4)</f>
        <v>0</v>
      </c>
      <c r="AO59" s="488" t="n">
        <f aca="false">CHOOSE(J59, SQRT(Iout^2+(P59^2)/12), SQRT(1-O59)*SQRT(L59^2+(P59^2)/12), SQRT(1-O59)*SQRT(M59^2+(P59^2)/12))</f>
        <v>6.04290360758688</v>
      </c>
      <c r="AP59" s="488" t="n">
        <f aca="false">Rdson3*AO59^2</f>
        <v>0.0693816996201143</v>
      </c>
      <c r="AQ59" s="488" t="n">
        <f aca="false">CHOOSE(J59, 0, IF(L59&lt;P59/2,Deadtime*Fsw*IF(VfdSky_Q3&gt;0,0,Vsd_Q3)*(L59+P59/2), 2*Deadtime*Fsw*IF(VfdSky_Q3&gt;0,0,Vsd_Q3)*L59), IF(L59&lt;P59/2,Deadtime*Fsw/2*IF(VfdSky_Q3&gt;0,0,Vsd_Q3)*(L59+P59/2), 2*Deadtime*Fsw/2*IF(VfdSky_Q3&gt;0,0,Vsd_Q3)*L59))</f>
        <v>0</v>
      </c>
      <c r="AR59" s="488" t="n">
        <f aca="false">(AQ59+AP59*(1+RdsonBotTc*Ta-RdsonBotTc*25))/(1-AP59*RdsonBotTc*ThetaJA_Q3)</f>
        <v>0.0703580113013095</v>
      </c>
      <c r="AS59" s="488" t="n">
        <f aca="false">CHOOSE(J59, Rdson3*Q59^2, Rdson1*Q59^2, 0)</f>
        <v>0.0693816996201143</v>
      </c>
      <c r="AT59" s="488" t="n">
        <f aca="false">CHOOSE(J59, 2*Deadtime*Fsw*IF(VfdSky_Q2&gt;0,VfdSky_Q2,0)*K59, 2*Deadtime*Fsw*IF(VfdSky_Q3&gt;0,VfdSky_Q3,0)*L59, 2*Deadtime*Fsw/2*IF(VfdSky_Q2&gt;0,VfdSky_Q2,0)*K59+2*Deadtime*Fsw/2*IF(VfdSky_Q3&gt;0,VfdSky_Q3,0)*L59)</f>
        <v>0</v>
      </c>
      <c r="AU59" s="488" t="n">
        <f aca="false">CHOOSE(J59, IF(QrrSky_Q2&gt;0,QrrSky_Q2,Qrr_Q2)*Fsw*(H59-K59*Rdson1), IF(QrrSky_Q3&gt;0,QrrSky_Q3,Qrr_Q3)*Fsw*Vout,  IF(QrrSky_Q2&gt;0,QrrSky_Q2,Qrr_Q2)*Fsw/2*(H59-K59*Rdson1)+IF(QrrSky_Q3&gt;0,QrrSky_Q3,Qrr_Q3)*Fsw/2*Vout)</f>
        <v>0.32065362</v>
      </c>
      <c r="AV59" s="488" t="n">
        <f aca="false">CHOOSE(J59, Rs*AF59^2, Rs*AJ59^2, Rs*(AF59^2+AJ59^2))</f>
        <v>0.0847492088743114</v>
      </c>
      <c r="AW59" s="488" t="n">
        <f aca="false">Rshunt_std/1000*Iout^2</f>
        <v>0.14832</v>
      </c>
      <c r="AX59" s="488" t="n">
        <f aca="false">IF(Vout&gt;8, Iq*Vout, Iq*H59)</f>
        <v>0.036</v>
      </c>
      <c r="AY59" s="488" t="n">
        <f aca="false">CHOOSE(J59, (Qg_Q1+Qg_Q2)*Fsw, (Qg_Q3+Qg_Q4)*Fsw, (Qg_Q1+Qg_Q2+Qg_Q3+Qg_Q4)*Fsw/2)*IF(Vout&gt;8, Vout, H59)</f>
        <v>0.0792</v>
      </c>
      <c r="AZ59" s="488" t="n">
        <f aca="false">(Vin-Vdd)*Fsw*(Qg_Q1+Qg_Q2)+(RdsonDRT+RdsonDRT2)*Fsw*Qg_Q1*Vdd/(RdsonDRT+2*Rgate1+RdsonDRT2)+(RdsonDRB+RdsonDRB2)*Fsw*Qg_Q2*Vdd/(RdsonDRB+2*Rgate2+RdsonDRB2)</f>
        <v>0.0522</v>
      </c>
      <c r="BA59" s="488" t="n">
        <f aca="false">SUM(AX59:AY59)</f>
        <v>0.1152</v>
      </c>
      <c r="BB59" s="488" t="n">
        <f aca="false">SUM(T59,W59,Z59,AE59,AI59,AN59,AR59, AT59,AU59,BA59,AV59,AW59)</f>
        <v>1.48315976683658</v>
      </c>
      <c r="BC59" s="419" t="n">
        <f aca="false">Vout*K59</f>
        <v>72</v>
      </c>
      <c r="BD59" s="589" t="n">
        <f aca="false">BC59/(BC59+BB59)</f>
        <v>0.97981633109487</v>
      </c>
      <c r="BE59" s="590" t="n">
        <f aca="false">IF(H59&gt;Vout,ThetaJA_Q1*(AE59+AU59),ThetaJA_Q4*(AN59+AU59))</f>
        <v>28.9975449102812</v>
      </c>
      <c r="BF59" s="590" t="n">
        <f aca="false">IF(H59&gt;Vout, AI59*ThetaJA_Q2, ThetaJA_Q3*AR59)</f>
        <v>10.344113971418</v>
      </c>
      <c r="BG59" s="536"/>
      <c r="BH59" s="385" t="n">
        <f aca="false">BD59*100</f>
        <v>97.981633109487</v>
      </c>
      <c r="BI59" s="488" t="n">
        <f aca="false">T59</f>
        <v>0.260075176587842</v>
      </c>
      <c r="BJ59" s="488" t="n">
        <f aca="false">AE59+AI59+AN59+AR59+AU59</f>
        <v>0.857191188935293</v>
      </c>
      <c r="BK59" s="488" t="n">
        <f aca="false">AI59+AU59*0.33</f>
        <v>0.31269797402836</v>
      </c>
      <c r="BL59" s="488" t="n">
        <f aca="false">AV59</f>
        <v>0.0847492088743114</v>
      </c>
      <c r="BR59" s="591"/>
      <c r="BS59" s="592"/>
    </row>
    <row r="60" customFormat="false" ht="12.75" hidden="false" customHeight="false" outlineLevel="0" collapsed="false">
      <c r="A60" s="600" t="s">
        <v>687</v>
      </c>
      <c r="B60" s="627" t="n">
        <f aca="false">Ireverse</f>
        <v>0</v>
      </c>
      <c r="C60" s="597" t="s">
        <v>454</v>
      </c>
      <c r="D60" s="625" t="s">
        <v>688</v>
      </c>
      <c r="E60" s="336"/>
      <c r="G60" s="0" t="n">
        <v>51</v>
      </c>
      <c r="H60" s="586" t="n">
        <f aca="false">VIN_min+(VIN_max-VIN_min)*(G60/200)</f>
        <v>17.22</v>
      </c>
      <c r="I60" s="385" t="str">
        <f aca="false">IF(H60&gt;VIN_BB_to_buck, "BUCK", IF(H60&lt;VIN_boost_to_BB,"BOOST","BUCK-BST"))</f>
        <v>BUCK</v>
      </c>
      <c r="J60" s="419" t="n">
        <f aca="false">IF(I60="BOOST",2, IF(I60="BUCK", 1,3))</f>
        <v>1</v>
      </c>
      <c r="K60" s="0" t="n">
        <f aca="false">Iout</f>
        <v>6</v>
      </c>
      <c r="L60" s="385" t="n">
        <f aca="false">Vout*K60/(H60*Efficiency)</f>
        <v>4.64576074332172</v>
      </c>
      <c r="M60" s="385" t="n">
        <f aca="false">Iout/(1-O60)</f>
        <v>6</v>
      </c>
      <c r="N60" s="488" t="n">
        <f aca="false">CHOOSE(J60,(Vout+(Rdson2+Rs+Rdcr)*K60)/(H60+(Rs+Rdson2-Rdson1)*K60),1,IF(H60&lt;Vout,D_max_buck_BB,Vout/H60*(1-D_min_boost_exitBB_to_buck)))</f>
        <v>0.700851285615011</v>
      </c>
      <c r="O60" s="488" t="n">
        <f aca="false">CHOOSE(J60,0,(Vout+(Rdson3+Rdcr)*L60-H60)/(Vout+(Rdson3-Rdson4-Rs)*L60),IF(H60&gt;Vout,D_min_boost_exitBB_to_buck, (Vout-H60*D_max_buck_BB)/Vout))</f>
        <v>0</v>
      </c>
      <c r="P60" s="385" t="n">
        <f aca="false">MAX(0, CHOOSE(J60, (H60-(Rdson1+Rdcr)*K60-Vout)*N60/(Fsw*Lf), (H60-(Rdson4+Rdcr+Rs)*L60)*O60/(Fsw*Lf), IF(H60&lt;Vout, (H60-(Rdson4+Rdcr+Rs)*L60)*O60/(0.5*Fsw*Lf),(H60-(Rdson1+Rdcr)*K60-Vout)*N60/(0.5*Fsw*Lf))))</f>
        <v>2.56765069936274</v>
      </c>
      <c r="Q60" s="488" t="n">
        <f aca="false">CHOOSE(J60, SQRT(K60^2+(P60^2)/12), SQRT(L60^2+(P60^2)/12), SQRT(M60^2+(P60^2)/12))</f>
        <v>6.04561018504293</v>
      </c>
      <c r="R60" s="488" t="n">
        <f aca="false">(Q60^2*Rdcr*(1+Ltc*Ta-Ltc*25))/(1-Q60^2*Rdcr*Ltc*ThetaCa)</f>
        <v>0.123651696434026</v>
      </c>
      <c r="S60" s="488" t="n">
        <f aca="false">7.759*10^-3*Fsw^0.9458*(0.00787*P60)^2.304</f>
        <v>0.146542511136638</v>
      </c>
      <c r="T60" s="488" t="n">
        <f aca="false">R60+S60</f>
        <v>0.270194207570664</v>
      </c>
      <c r="U60" s="385" t="n">
        <f aca="false">IF(H60&gt;Vout, P60/SQRT(12), SQRT(O60/(1-O60))*SQRT(K60^2+(P60^2)/12))</f>
        <v>0.741216911231003</v>
      </c>
      <c r="V60" s="488" t="n">
        <f aca="false">RCoutEsr*U60^2</f>
        <v>0.00274701254747415</v>
      </c>
      <c r="W60" s="488" t="n">
        <f aca="false">V60</f>
        <v>0.00274701254747415</v>
      </c>
      <c r="X60" s="488" t="n">
        <f aca="false">IF(H60&gt;Vout, SQRT(N60*(1-N60))*SQRT(K60^2+(P60^2)/12), P60/SQRT(12))</f>
        <v>2.76819479948077</v>
      </c>
      <c r="Y60" s="587" t="n">
        <f aca="false">RCinEsr*X60^2</f>
        <v>0.0153258048957448</v>
      </c>
      <c r="Z60" s="588" t="n">
        <f aca="false">Y60</f>
        <v>0.0153258048957448</v>
      </c>
      <c r="AA60" s="488" t="n">
        <f aca="false">CHOOSE(J60, SQRT(N60)*SQRT(K60^2+(P60^2)/12), SQRT(L60^2+(P60^2)/12), SQRT(N60)*SQRT(M60^2+(P60^2)/12))</f>
        <v>5.06119508982216</v>
      </c>
      <c r="AB60" s="488" t="n">
        <f aca="false">Rdson1*AA60^2</f>
        <v>0.146009465702268</v>
      </c>
      <c r="AC60" s="488" t="n">
        <f aca="false">CHOOSE(J60, (H60*K60/2)*(Fsw)*(Tr_buck+Tf_buck), 0, (H60*M60/2)*(Fsw/2)*(Tr_buck+Tf_buck))</f>
        <v>0.105217411764706</v>
      </c>
      <c r="AD60" s="0" t="n">
        <f aca="false">IF(H60&gt;Vout, IF(K60&gt;P60/2,0,ABS(K60-P60/2)*Vsd_Q1*Deadtime*Fsw),0)</f>
        <v>0</v>
      </c>
      <c r="AE60" s="488" t="n">
        <f aca="false">(AD60+AC60+AB60*(1+RdsonTopTc*Ta-RdsonTopTc*25))/(1-AB60*RdsonTopTc*ThetaJA_Q1)</f>
        <v>0.258783855975649</v>
      </c>
      <c r="AF60" s="488" t="n">
        <f aca="false">CHOOSE(J60, SQRT((1-N60))*SQRT(K60^2+(P60^2)/12), 0, SQRT((1-N60))*SQRT(M60^2+(P60^2)/12))</f>
        <v>3.30661560696959</v>
      </c>
      <c r="AG60" s="488" t="n">
        <f aca="false">Rdson2*AF60^2</f>
        <v>0.0623221286018528</v>
      </c>
      <c r="AH60" s="488" t="n">
        <f aca="false">CHOOSE(J60, IF(K60&lt;P60/2,Deadtime*Fsw*IF(VfdSky_Q2&gt;0,0,Vsd_Q2)*(K60+P60/2),2*Deadtime*Fsw*IF(VfdSky_Q2&gt;0,0,Vsd_Q2)*K60),0, IF(K60&lt;P60/2,Deadtime*Fsw/2*IF(VfdSky_Q2&gt;0,0,Vsd_Q2)*(K60+P60/2),2*Deadtime*Fsw/2*IF(VfdSky_Q2&gt;0,0,Vsd_Q2)*K60))</f>
        <v>0.144</v>
      </c>
      <c r="AI60" s="488" t="n">
        <f aca="false">(AH60+AG60*(1+RdsonBotTc*Ta-RdsonBotTc*25))/(1-AG60*RdsonBotTc*ThetaJA_Q2)</f>
        <v>0.20892627463305</v>
      </c>
      <c r="AJ60" s="488" t="n">
        <f aca="false">CHOOSE(J60, 0, SQRT(O60)*SQRT(L60^2+(P60^2)/12), SQRT(O60)*SQRT(M60^2+(P60^2)/12))</f>
        <v>0</v>
      </c>
      <c r="AK60" s="488" t="n">
        <f aca="false">Rdson4*AJ60^2</f>
        <v>0</v>
      </c>
      <c r="AL60" s="488" t="n">
        <f aca="false">CHOOSE(J60, 0, (Vout*L60/2)*(Fsw)*(Tr_boost+Tf_boost), (Vout*Iout/2)*(Fsw/2)*(Tr_boost+Tf_boost))</f>
        <v>0</v>
      </c>
      <c r="AM60" s="0" t="n">
        <f aca="false">IF(H60&gt;Vout, 0, IF(L60&gt;P60/2,0,ABS(L60-P60/2)*Vsd_Q4*Deadtime*Fsw))</f>
        <v>0</v>
      </c>
      <c r="AN60" s="488" t="n">
        <f aca="false">(AM60+AL60+AK60*(1+RdsonTopTc*Ta-RdsonTopTc*25))/(1-AK60*RdsonTopTc*ThetaJA_Q4)</f>
        <v>0</v>
      </c>
      <c r="AO60" s="488" t="n">
        <f aca="false">CHOOSE(J60, SQRT(Iout^2+(P60^2)/12), SQRT(1-O60)*SQRT(L60^2+(P60^2)/12), SQRT(1-O60)*SQRT(M60^2+(P60^2)/12))</f>
        <v>6.04561018504293</v>
      </c>
      <c r="AP60" s="488" t="n">
        <f aca="false">Rdson3*AO60^2</f>
        <v>0.0694438647680402</v>
      </c>
      <c r="AQ60" s="488" t="n">
        <f aca="false">CHOOSE(J60, 0, IF(L60&lt;P60/2,Deadtime*Fsw*IF(VfdSky_Q3&gt;0,0,Vsd_Q3)*(L60+P60/2), 2*Deadtime*Fsw*IF(VfdSky_Q3&gt;0,0,Vsd_Q3)*L60), IF(L60&lt;P60/2,Deadtime*Fsw/2*IF(VfdSky_Q3&gt;0,0,Vsd_Q3)*(L60+P60/2), 2*Deadtime*Fsw/2*IF(VfdSky_Q3&gt;0,0,Vsd_Q3)*L60))</f>
        <v>0</v>
      </c>
      <c r="AR60" s="488" t="n">
        <f aca="false">(AQ60+AP60*(1+RdsonBotTc*Ta-RdsonBotTc*25))/(1-AP60*RdsonBotTc*ThetaJA_Q3)</f>
        <v>0.0704219390910283</v>
      </c>
      <c r="AS60" s="488" t="n">
        <f aca="false">CHOOSE(J60, Rdson3*Q60^2, Rdson1*Q60^2, 0)</f>
        <v>0.0694438647680402</v>
      </c>
      <c r="AT60" s="488" t="n">
        <f aca="false">CHOOSE(J60, 2*Deadtime*Fsw*IF(VfdSky_Q2&gt;0,VfdSky_Q2,0)*K60, 2*Deadtime*Fsw*IF(VfdSky_Q3&gt;0,VfdSky_Q3,0)*L60, 2*Deadtime*Fsw/2*IF(VfdSky_Q2&gt;0,VfdSky_Q2,0)*K60+2*Deadtime*Fsw/2*IF(VfdSky_Q3&gt;0,VfdSky_Q3,0)*L60)</f>
        <v>0</v>
      </c>
      <c r="AU60" s="488" t="n">
        <f aca="false">CHOOSE(J60, IF(QrrSky_Q2&gt;0,QrrSky_Q2,Qrr_Q2)*Fsw*(H60-K60*Rdson1), IF(QrrSky_Q3&gt;0,QrrSky_Q3,Qrr_Q3)*Fsw*Vout,  IF(QrrSky_Q2&gt;0,QrrSky_Q2,Qrr_Q2)*Fsw/2*(H60-K60*Rdson1)+IF(QrrSky_Q3&gt;0,QrrSky_Q3,Qrr_Q3)*Fsw/2*Vout)</f>
        <v>0.32481162</v>
      </c>
      <c r="AV60" s="488" t="n">
        <f aca="false">CHOOSE(J60, Rs*AF60^2, Rs*AJ60^2, Rs*(AF60^2+AJ60^2))</f>
        <v>0.0874696541780391</v>
      </c>
      <c r="AW60" s="488" t="n">
        <f aca="false">Rshunt_std/1000*Iout^2</f>
        <v>0.14832</v>
      </c>
      <c r="AX60" s="488" t="n">
        <f aca="false">IF(Vout&gt;8, Iq*Vout, Iq*H60)</f>
        <v>0.036</v>
      </c>
      <c r="AY60" s="488" t="n">
        <f aca="false">CHOOSE(J60, (Qg_Q1+Qg_Q2)*Fsw, (Qg_Q3+Qg_Q4)*Fsw, (Qg_Q1+Qg_Q2+Qg_Q3+Qg_Q4)*Fsw/2)*IF(Vout&gt;8, Vout, H60)</f>
        <v>0.0792</v>
      </c>
      <c r="AZ60" s="488" t="n">
        <f aca="false">(Vin-Vdd)*Fsw*(Qg_Q1+Qg_Q2)+(RdsonDRT+RdsonDRT2)*Fsw*Qg_Q1*Vdd/(RdsonDRT+2*Rgate1+RdsonDRT2)+(RdsonDRB+RdsonDRB2)*Fsw*Qg_Q2*Vdd/(RdsonDRB+2*Rgate2+RdsonDRB2)</f>
        <v>0.0522</v>
      </c>
      <c r="BA60" s="488" t="n">
        <f aca="false">SUM(AX60:AY60)</f>
        <v>0.1152</v>
      </c>
      <c r="BB60" s="488" t="n">
        <f aca="false">SUM(T60,W60,Z60,AE60,AI60,AN60,AR60, AT60,AU60,BA60,AV60,AW60)</f>
        <v>1.50220036889165</v>
      </c>
      <c r="BC60" s="419" t="n">
        <f aca="false">Vout*K60</f>
        <v>72</v>
      </c>
      <c r="BD60" s="589" t="n">
        <f aca="false">BC60/(BC60+BB60)</f>
        <v>0.979562511579892</v>
      </c>
      <c r="BE60" s="590" t="n">
        <f aca="false">IF(H60&gt;Vout,ThetaJA_Q1*(AE60+AU60),ThetaJA_Q4*(AN60+AU60))</f>
        <v>29.1797737987825</v>
      </c>
      <c r="BF60" s="590" t="n">
        <f aca="false">IF(H60&gt;Vout, AI60*ThetaJA_Q2, ThetaJA_Q3*AR60)</f>
        <v>10.4463137316525</v>
      </c>
      <c r="BG60" s="536"/>
      <c r="BH60" s="385" t="n">
        <f aca="false">BD60*100</f>
        <v>97.9562511579892</v>
      </c>
      <c r="BI60" s="488" t="n">
        <f aca="false">T60</f>
        <v>0.270194207570664</v>
      </c>
      <c r="BJ60" s="488" t="n">
        <f aca="false">AE60+AI60+AN60+AR60+AU60</f>
        <v>0.862943689699728</v>
      </c>
      <c r="BK60" s="488" t="n">
        <f aca="false">AI60+AU60*0.33</f>
        <v>0.31611410923305</v>
      </c>
      <c r="BL60" s="488" t="n">
        <f aca="false">AV60</f>
        <v>0.0874696541780391</v>
      </c>
      <c r="BR60" s="591"/>
      <c r="BS60" s="592"/>
    </row>
    <row r="61" customFormat="false" ht="12.75" hidden="false" customHeight="false" outlineLevel="0" collapsed="false">
      <c r="A61" s="604" t="s">
        <v>689</v>
      </c>
      <c r="B61" s="583" t="s">
        <v>812</v>
      </c>
      <c r="C61" s="604" t="s">
        <v>697</v>
      </c>
      <c r="D61" s="626" t="s">
        <v>878</v>
      </c>
      <c r="E61" s="308"/>
      <c r="G61" s="0" t="n">
        <v>52</v>
      </c>
      <c r="H61" s="586" t="n">
        <f aca="false">VIN_min+(VIN_max-VIN_min)*(G61/200)</f>
        <v>17.44</v>
      </c>
      <c r="I61" s="385" t="str">
        <f aca="false">IF(H61&gt;VIN_BB_to_buck, "BUCK", IF(H61&lt;VIN_boost_to_BB,"BOOST","BUCK-BST"))</f>
        <v>BUCK</v>
      </c>
      <c r="J61" s="419" t="n">
        <f aca="false">IF(I61="BOOST",2, IF(I61="BUCK", 1,3))</f>
        <v>1</v>
      </c>
      <c r="K61" s="0" t="n">
        <f aca="false">Iout</f>
        <v>6</v>
      </c>
      <c r="L61" s="385" t="n">
        <f aca="false">Vout*K61/(H61*Efficiency)</f>
        <v>4.58715596330275</v>
      </c>
      <c r="M61" s="385" t="n">
        <f aca="false">Iout/(1-O61)</f>
        <v>6</v>
      </c>
      <c r="N61" s="488" t="n">
        <f aca="false">CHOOSE(J61,(Vout+(Rdson2+Rs+Rdcr)*K61)/(H61+(Rs+Rdson2-Rdson1)*K61),1,IF(H61&lt;Vout,D_max_buck_BB,Vout/H61*(1-D_min_boost_exitBB_to_buck)))</f>
        <v>0.692034537968893</v>
      </c>
      <c r="O61" s="488" t="n">
        <f aca="false">CHOOSE(J61,0,(Vout+(Rdson3+Rdcr)*L61-H61)/(Vout+(Rdson3-Rdson4-Rs)*L61),IF(H61&gt;Vout,D_min_boost_exitBB_to_buck, (Vout-H61*D_max_buck_BB)/Vout))</f>
        <v>0</v>
      </c>
      <c r="P61" s="385" t="n">
        <f aca="false">MAX(0, CHOOSE(J61, (H61-(Rdson1+Rdcr)*K61-Vout)*N61/(Fsw*Lf), (H61-(Rdson4+Rdcr+Rs)*L61)*O61/(Fsw*Lf), IF(H61&lt;Vout, (H61-(Rdson4+Rdcr+Rs)*L61)*O61/(0.5*Fsw*Lf),(H61-(Rdson1+Rdcr)*K61-Vout)*N61/(0.5*Fsw*Lf))))</f>
        <v>2.64332653272274</v>
      </c>
      <c r="Q61" s="488" t="n">
        <f aca="false">CHOOSE(J61, SQRT(K61^2+(P61^2)/12), SQRT(L61^2+(P61^2)/12), SQRT(M61^2+(P61^2)/12))</f>
        <v>6.04832742140748</v>
      </c>
      <c r="R61" s="488" t="n">
        <f aca="false">(Q61^2*Rdcr*(1+Ltc*Ta-Ltc*25))/(1-Q61^2*Rdcr*Ltc*ThetaCa)</f>
        <v>0.123763974207573</v>
      </c>
      <c r="S61" s="488" t="n">
        <f aca="false">7.759*10^-3*Fsw^0.9458*(0.00787*P61)^2.304</f>
        <v>0.156685315459914</v>
      </c>
      <c r="T61" s="488" t="n">
        <f aca="false">R61+S61</f>
        <v>0.280449289667486</v>
      </c>
      <c r="U61" s="385" t="n">
        <f aca="false">IF(H61&gt;Vout, P61/SQRT(12), SQRT(O61/(1-O61))*SQRT(K61^2+(P61^2)/12))</f>
        <v>0.763062642611778</v>
      </c>
      <c r="V61" s="488" t="n">
        <f aca="false">RCoutEsr*U61^2</f>
        <v>0.00291132298274835</v>
      </c>
      <c r="W61" s="488" t="n">
        <f aca="false">V61</f>
        <v>0.00291132298274835</v>
      </c>
      <c r="X61" s="488" t="n">
        <f aca="false">IF(H61&gt;Vout, SQRT(N61*(1-N61))*SQRT(K61^2+(P61^2)/12), P61/SQRT(12))</f>
        <v>2.79222354552774</v>
      </c>
      <c r="Y61" s="587" t="n">
        <f aca="false">RCinEsr*X61^2</f>
        <v>0.015593024656399</v>
      </c>
      <c r="Z61" s="588" t="n">
        <f aca="false">Y61</f>
        <v>0.015593024656399</v>
      </c>
      <c r="AA61" s="488" t="n">
        <f aca="false">CHOOSE(J61, SQRT(N61)*SQRT(K61^2+(P61^2)/12), SQRT(L61^2+(P61^2)/12), SQRT(N61)*SQRT(M61^2+(P61^2)/12))</f>
        <v>5.03151970858994</v>
      </c>
      <c r="AB61" s="488" t="n">
        <f aca="false">Rdson1*AA61^2</f>
        <v>0.144302286294196</v>
      </c>
      <c r="AC61" s="488" t="n">
        <f aca="false">CHOOSE(J61, (H61*K61/2)*(Fsw)*(Tr_buck+Tf_buck), 0, (H61*M61/2)*(Fsw/2)*(Tr_buck+Tf_buck))</f>
        <v>0.106561652797704</v>
      </c>
      <c r="AD61" s="0" t="n">
        <f aca="false">IF(H61&gt;Vout, IF(K61&gt;P61/2,0,ABS(K61-P61/2)*Vsd_Q1*Deadtime*Fsw),0)</f>
        <v>0</v>
      </c>
      <c r="AE61" s="488" t="n">
        <f aca="false">(AD61+AC61+AB61*(1+RdsonTopTc*Ta-RdsonTopTc*25))/(1-AB61*RdsonTopTc*ThetaJA_Q1)</f>
        <v>0.258319147816601</v>
      </c>
      <c r="AF61" s="488" t="n">
        <f aca="false">CHOOSE(J61, SQRT((1-N61))*SQRT(K61^2+(P61^2)/12), 0, SQRT((1-N61))*SQRT(M61^2+(P61^2)/12))</f>
        <v>3.35649728416703</v>
      </c>
      <c r="AG61" s="488" t="n">
        <f aca="false">Rdson2*AF61^2</f>
        <v>0.0642166219061376</v>
      </c>
      <c r="AH61" s="488" t="n">
        <f aca="false">CHOOSE(J61, IF(K61&lt;P61/2,Deadtime*Fsw*IF(VfdSky_Q2&gt;0,0,Vsd_Q2)*(K61+P61/2),2*Deadtime*Fsw*IF(VfdSky_Q2&gt;0,0,Vsd_Q2)*K61),0, IF(K61&lt;P61/2,Deadtime*Fsw/2*IF(VfdSky_Q2&gt;0,0,Vsd_Q2)*(K61+P61/2),2*Deadtime*Fsw/2*IF(VfdSky_Q2&gt;0,0,Vsd_Q2)*K61))</f>
        <v>0.144</v>
      </c>
      <c r="AI61" s="488" t="n">
        <f aca="false">(AH61+AG61*(1+RdsonBotTc*Ta-RdsonBotTc*25))/(1-AG61*RdsonBotTc*ThetaJA_Q2)</f>
        <v>0.210925607908818</v>
      </c>
      <c r="AJ61" s="488" t="n">
        <f aca="false">CHOOSE(J61, 0, SQRT(O61)*SQRT(L61^2+(P61^2)/12), SQRT(O61)*SQRT(M61^2+(P61^2)/12))</f>
        <v>0</v>
      </c>
      <c r="AK61" s="488" t="n">
        <f aca="false">Rdson4*AJ61^2</f>
        <v>0</v>
      </c>
      <c r="AL61" s="488" t="n">
        <f aca="false">CHOOSE(J61, 0, (Vout*L61/2)*(Fsw)*(Tr_boost+Tf_boost), (Vout*Iout/2)*(Fsw/2)*(Tr_boost+Tf_boost))</f>
        <v>0</v>
      </c>
      <c r="AM61" s="0" t="n">
        <f aca="false">IF(H61&gt;Vout, 0, IF(L61&gt;P61/2,0,ABS(L61-P61/2)*Vsd_Q4*Deadtime*Fsw))</f>
        <v>0</v>
      </c>
      <c r="AN61" s="488" t="n">
        <f aca="false">(AM61+AL61+AK61*(1+RdsonTopTc*Ta-RdsonTopTc*25))/(1-AK61*RdsonTopTc*ThetaJA_Q4)</f>
        <v>0</v>
      </c>
      <c r="AO61" s="488" t="n">
        <f aca="false">CHOOSE(J61, SQRT(Iout^2+(P61^2)/12), SQRT(1-O61)*SQRT(L61^2+(P61^2)/12), SQRT(1-O61)*SQRT(M61^2+(P61^2)/12))</f>
        <v>6.04832742140748</v>
      </c>
      <c r="AP61" s="488" t="n">
        <f aca="false">Rdson3*AO61^2</f>
        <v>0.0695063027334444</v>
      </c>
      <c r="AQ61" s="488" t="n">
        <f aca="false">CHOOSE(J61, 0, IF(L61&lt;P61/2,Deadtime*Fsw*IF(VfdSky_Q3&gt;0,0,Vsd_Q3)*(L61+P61/2), 2*Deadtime*Fsw*IF(VfdSky_Q3&gt;0,0,Vsd_Q3)*L61), IF(L61&lt;P61/2,Deadtime*Fsw/2*IF(VfdSky_Q3&gt;0,0,Vsd_Q3)*(L61+P61/2), 2*Deadtime*Fsw/2*IF(VfdSky_Q3&gt;0,0,Vsd_Q3)*L61))</f>
        <v>0</v>
      </c>
      <c r="AR61" s="488" t="n">
        <f aca="false">(AQ61+AP61*(1+RdsonBotTc*Ta-RdsonBotTc*25))/(1-AP61*RdsonBotTc*ThetaJA_Q3)</f>
        <v>0.0704861490564103</v>
      </c>
      <c r="AS61" s="488" t="n">
        <f aca="false">CHOOSE(J61, Rdson3*Q61^2, Rdson1*Q61^2, 0)</f>
        <v>0.0695063027334444</v>
      </c>
      <c r="AT61" s="488" t="n">
        <f aca="false">CHOOSE(J61, 2*Deadtime*Fsw*IF(VfdSky_Q2&gt;0,VfdSky_Q2,0)*K61, 2*Deadtime*Fsw*IF(VfdSky_Q3&gt;0,VfdSky_Q3,0)*L61, 2*Deadtime*Fsw/2*IF(VfdSky_Q2&gt;0,VfdSky_Q2,0)*K61+2*Deadtime*Fsw/2*IF(VfdSky_Q3&gt;0,VfdSky_Q3,0)*L61)</f>
        <v>0</v>
      </c>
      <c r="AU61" s="488" t="n">
        <f aca="false">CHOOSE(J61, IF(QrrSky_Q2&gt;0,QrrSky_Q2,Qrr_Q2)*Fsw*(H61-K61*Rdson1), IF(QrrSky_Q3&gt;0,QrrSky_Q3,Qrr_Q3)*Fsw*Vout,  IF(QrrSky_Q2&gt;0,QrrSky_Q2,Qrr_Q2)*Fsw/2*(H61-K61*Rdson1)+IF(QrrSky_Q3&gt;0,QrrSky_Q3,Qrr_Q3)*Fsw/2*Vout)</f>
        <v>0.32896962</v>
      </c>
      <c r="AV61" s="488" t="n">
        <f aca="false">CHOOSE(J61, Rs*AF61^2, Rs*AJ61^2, Rs*(AF61^2+AJ61^2))</f>
        <v>0.090128592148965</v>
      </c>
      <c r="AW61" s="488" t="n">
        <f aca="false">Rshunt_std/1000*Iout^2</f>
        <v>0.14832</v>
      </c>
      <c r="AX61" s="488" t="n">
        <f aca="false">IF(Vout&gt;8, Iq*Vout, Iq*H61)</f>
        <v>0.036</v>
      </c>
      <c r="AY61" s="488" t="n">
        <f aca="false">CHOOSE(J61, (Qg_Q1+Qg_Q2)*Fsw, (Qg_Q3+Qg_Q4)*Fsw, (Qg_Q1+Qg_Q2+Qg_Q3+Qg_Q4)*Fsw/2)*IF(Vout&gt;8, Vout, H61)</f>
        <v>0.0792</v>
      </c>
      <c r="AZ61" s="488" t="n">
        <f aca="false">(Vin-Vdd)*Fsw*(Qg_Q1+Qg_Q2)+(RdsonDRT+RdsonDRT2)*Fsw*Qg_Q1*Vdd/(RdsonDRT+2*Rgate1+RdsonDRT2)+(RdsonDRB+RdsonDRB2)*Fsw*Qg_Q2*Vdd/(RdsonDRB+2*Rgate2+RdsonDRB2)</f>
        <v>0.0522</v>
      </c>
      <c r="BA61" s="488" t="n">
        <f aca="false">SUM(AX61:AY61)</f>
        <v>0.1152</v>
      </c>
      <c r="BB61" s="488" t="n">
        <f aca="false">SUM(T61,W61,Z61,AE61,AI61,AN61,AR61, AT61,AU61,BA61,AV61,AW61)</f>
        <v>1.52130275423743</v>
      </c>
      <c r="BC61" s="419" t="n">
        <f aca="false">Vout*K61</f>
        <v>72</v>
      </c>
      <c r="BD61" s="589" t="n">
        <f aca="false">BC61/(BC61+BB61)</f>
        <v>0.979308000576068</v>
      </c>
      <c r="BE61" s="590" t="n">
        <f aca="false">IF(H61&gt;Vout,ThetaJA_Q1*(AE61+AU61),ThetaJA_Q4*(AN61+AU61))</f>
        <v>29.36443839083</v>
      </c>
      <c r="BF61" s="590" t="n">
        <f aca="false">IF(H61&gt;Vout, AI61*ThetaJA_Q2, ThetaJA_Q3*AR61)</f>
        <v>10.5462803954409</v>
      </c>
      <c r="BG61" s="536"/>
      <c r="BH61" s="385" t="n">
        <f aca="false">BD61*100</f>
        <v>97.9308000576068</v>
      </c>
      <c r="BI61" s="488" t="n">
        <f aca="false">T61</f>
        <v>0.280449289667486</v>
      </c>
      <c r="BJ61" s="488" t="n">
        <f aca="false">AE61+AI61+AN61+AR61+AU61</f>
        <v>0.868700524781829</v>
      </c>
      <c r="BK61" s="488" t="n">
        <f aca="false">AI61+AU61*0.33</f>
        <v>0.319485582508818</v>
      </c>
      <c r="BL61" s="488" t="n">
        <f aca="false">AV61</f>
        <v>0.090128592148965</v>
      </c>
      <c r="BR61" s="591"/>
      <c r="BS61" s="592"/>
    </row>
    <row r="62" customFormat="false" ht="12.75" hidden="false" customHeight="false" outlineLevel="0" collapsed="false">
      <c r="A62" s="629" t="s">
        <v>879</v>
      </c>
      <c r="B62" s="630" t="n">
        <v>30</v>
      </c>
      <c r="C62" s="611" t="s">
        <v>121</v>
      </c>
      <c r="D62" s="625" t="s">
        <v>665</v>
      </c>
      <c r="G62" s="0" t="n">
        <v>53</v>
      </c>
      <c r="H62" s="586" t="n">
        <f aca="false">VIN_min+(VIN_max-VIN_min)*(G62/200)</f>
        <v>17.66</v>
      </c>
      <c r="I62" s="385" t="str">
        <f aca="false">IF(H62&gt;VIN_BB_to_buck, "BUCK", IF(H62&lt;VIN_boost_to_BB,"BOOST","BUCK-BST"))</f>
        <v>BUCK</v>
      </c>
      <c r="J62" s="419" t="n">
        <f aca="false">IF(I62="BOOST",2, IF(I62="BUCK", 1,3))</f>
        <v>1</v>
      </c>
      <c r="K62" s="0" t="n">
        <f aca="false">Iout</f>
        <v>6</v>
      </c>
      <c r="L62" s="385" t="n">
        <f aca="false">Vout*K62/(H62*Efficiency)</f>
        <v>4.53001132502831</v>
      </c>
      <c r="M62" s="385" t="n">
        <f aca="false">Iout/(1-O62)</f>
        <v>6</v>
      </c>
      <c r="N62" s="488" t="n">
        <f aca="false">CHOOSE(J62,(Vout+(Rdson2+Rs+Rdcr)*K62)/(H62+(Rs+Rdson2-Rdson1)*K62),1,IF(H62&lt;Vout,D_max_buck_BB,Vout/H62*(1-D_min_boost_exitBB_to_buck)))</f>
        <v>0.683436864693924</v>
      </c>
      <c r="O62" s="488" t="n">
        <f aca="false">CHOOSE(J62,0,(Vout+(Rdson3+Rdcr)*L62-H62)/(Vout+(Rdson3-Rdson4-Rs)*L62),IF(H62&gt;Vout,D_min_boost_exitBB_to_buck, (Vout-H62*D_max_buck_BB)/Vout))</f>
        <v>0</v>
      </c>
      <c r="P62" s="385" t="n">
        <f aca="false">MAX(0, CHOOSE(J62, (H62-(Rdson1+Rdcr)*K62-Vout)*N62/(Fsw*Lf), (H62-(Rdson4+Rdcr+Rs)*L62)*O62/(Fsw*Lf), IF(H62&lt;Vout, (H62-(Rdson4+Rdcr+Rs)*L62)*O62/(0.5*Fsw*Lf),(H62-(Rdson1+Rdcr)*K62-Vout)*N62/(0.5*Fsw*Lf))))</f>
        <v>2.71712200880477</v>
      </c>
      <c r="Q62" s="488" t="n">
        <f aca="false">CHOOSE(J62, SQRT(K62^2+(P62^2)/12), SQRT(L62^2+(P62^2)/12), SQRT(M62^2+(P62^2)/12))</f>
        <v>6.05105191964402</v>
      </c>
      <c r="R62" s="488" t="n">
        <f aca="false">(Q62^2*Rdcr*(1+Ltc*Ta-Ltc*25))/(1-Q62^2*Rdcr*Ltc*ThetaCa)</f>
        <v>0.12387660470752</v>
      </c>
      <c r="S62" s="488" t="n">
        <f aca="false">7.759*10^-3*Fsw^0.9458*(0.00787*P62)^2.304</f>
        <v>0.166947637297585</v>
      </c>
      <c r="T62" s="488" t="n">
        <f aca="false">R62+S62</f>
        <v>0.290824242005105</v>
      </c>
      <c r="U62" s="385" t="n">
        <f aca="false">IF(H62&gt;Vout, P62/SQRT(12), SQRT(O62/(1-O62))*SQRT(K62^2+(P62^2)/12))</f>
        <v>0.784365561602246</v>
      </c>
      <c r="V62" s="488" t="n">
        <f aca="false">RCoutEsr*U62^2</f>
        <v>0.00307614667113803</v>
      </c>
      <c r="W62" s="488" t="n">
        <f aca="false">V62</f>
        <v>0.00307614667113803</v>
      </c>
      <c r="X62" s="488" t="n">
        <f aca="false">IF(H62&gt;Vout, SQRT(N62*(1-N62))*SQRT(K62^2+(P62^2)/12), P62/SQRT(12))</f>
        <v>2.81455830115289</v>
      </c>
      <c r="Y62" s="587" t="n">
        <f aca="false">RCinEsr*X62^2</f>
        <v>0.0158434768611773</v>
      </c>
      <c r="Z62" s="588" t="n">
        <f aca="false">Y62</f>
        <v>0.0158434768611773</v>
      </c>
      <c r="AA62" s="488" t="n">
        <f aca="false">CHOOSE(J62, SQRT(N62)*SQRT(K62^2+(P62^2)/12), SQRT(L62^2+(P62^2)/12), SQRT(N62)*SQRT(M62^2+(P62^2)/12))</f>
        <v>5.00241916838578</v>
      </c>
      <c r="AB62" s="488" t="n">
        <f aca="false">Rdson1*AA62^2</f>
        <v>0.142637925956531</v>
      </c>
      <c r="AC62" s="488" t="n">
        <f aca="false">CHOOSE(J62, (H62*K62/2)*(Fsw)*(Tr_buck+Tf_buck), 0, (H62*M62/2)*(Fsw/2)*(Tr_buck+Tf_buck))</f>
        <v>0.107905893830703</v>
      </c>
      <c r="AD62" s="0" t="n">
        <f aca="false">IF(H62&gt;Vout, IF(K62&gt;P62/2,0,ABS(K62-P62/2)*Vsd_Q1*Deadtime*Fsw),0)</f>
        <v>0</v>
      </c>
      <c r="AE62" s="488" t="n">
        <f aca="false">(AD62+AC62+AB62*(1+RdsonTopTc*Ta-RdsonTopTc*25))/(1-AB62*RdsonTopTc*ThetaJA_Q1)</f>
        <v>0.257901115840301</v>
      </c>
      <c r="AF62" s="488" t="n">
        <f aca="false">CHOOSE(J62, SQRT((1-N62))*SQRT(K62^2+(P62^2)/12), 0, SQRT((1-N62))*SQRT(M62^2+(P62^2)/12))</f>
        <v>3.40456044123087</v>
      </c>
      <c r="AG62" s="488" t="n">
        <f aca="false">Rdson2*AF62^2</f>
        <v>0.0660688812485664</v>
      </c>
      <c r="AH62" s="488" t="n">
        <f aca="false">CHOOSE(J62, IF(K62&lt;P62/2,Deadtime*Fsw*IF(VfdSky_Q2&gt;0,0,Vsd_Q2)*(K62+P62/2),2*Deadtime*Fsw*IF(VfdSky_Q2&gt;0,0,Vsd_Q2)*K62),0, IF(K62&lt;P62/2,Deadtime*Fsw/2*IF(VfdSky_Q2&gt;0,0,Vsd_Q2)*(K62+P62/2),2*Deadtime*Fsw/2*IF(VfdSky_Q2&gt;0,0,Vsd_Q2)*K62))</f>
        <v>0.144</v>
      </c>
      <c r="AI62" s="488" t="n">
        <f aca="false">(AH62+AG62*(1+RdsonBotTc*Ta-RdsonBotTc*25))/(1-AG62*RdsonBotTc*ThetaJA_Q2)</f>
        <v>0.212881854440771</v>
      </c>
      <c r="AJ62" s="488" t="n">
        <f aca="false">CHOOSE(J62, 0, SQRT(O62)*SQRT(L62^2+(P62^2)/12), SQRT(O62)*SQRT(M62^2+(P62^2)/12))</f>
        <v>0</v>
      </c>
      <c r="AK62" s="488" t="n">
        <f aca="false">Rdson4*AJ62^2</f>
        <v>0</v>
      </c>
      <c r="AL62" s="488" t="n">
        <f aca="false">CHOOSE(J62, 0, (Vout*L62/2)*(Fsw)*(Tr_boost+Tf_boost), (Vout*Iout/2)*(Fsw/2)*(Tr_boost+Tf_boost))</f>
        <v>0</v>
      </c>
      <c r="AM62" s="0" t="n">
        <f aca="false">IF(H62&gt;Vout, 0, IF(L62&gt;P62/2,0,ABS(L62-P62/2)*Vsd_Q4*Deadtime*Fsw))</f>
        <v>0</v>
      </c>
      <c r="AN62" s="488" t="n">
        <f aca="false">(AM62+AL62+AK62*(1+RdsonTopTc*Ta-RdsonTopTc*25))/(1-AK62*RdsonTopTc*ThetaJA_Q4)</f>
        <v>0</v>
      </c>
      <c r="AO62" s="488" t="n">
        <f aca="false">CHOOSE(J62, SQRT(Iout^2+(P62^2)/12), SQRT(1-O62)*SQRT(L62^2+(P62^2)/12), SQRT(1-O62)*SQRT(M62^2+(P62^2)/12))</f>
        <v>6.05105191964402</v>
      </c>
      <c r="AP62" s="488" t="n">
        <f aca="false">Rdson3*AO62^2</f>
        <v>0.0695689357350325</v>
      </c>
      <c r="AQ62" s="488" t="n">
        <f aca="false">CHOOSE(J62, 0, IF(L62&lt;P62/2,Deadtime*Fsw*IF(VfdSky_Q3&gt;0,0,Vsd_Q3)*(L62+P62/2), 2*Deadtime*Fsw*IF(VfdSky_Q3&gt;0,0,Vsd_Q3)*L62), IF(L62&lt;P62/2,Deadtime*Fsw/2*IF(VfdSky_Q3&gt;0,0,Vsd_Q3)*(L62+P62/2), 2*Deadtime*Fsw/2*IF(VfdSky_Q3&gt;0,0,Vsd_Q3)*L62))</f>
        <v>0</v>
      </c>
      <c r="AR62" s="488" t="n">
        <f aca="false">(AQ62+AP62*(1+RdsonBotTc*Ta-RdsonBotTc*25))/(1-AP62*RdsonBotTc*ThetaJA_Q3)</f>
        <v>0.0705505612270474</v>
      </c>
      <c r="AS62" s="488" t="n">
        <f aca="false">CHOOSE(J62, Rdson3*Q62^2, Rdson1*Q62^2, 0)</f>
        <v>0.0695689357350325</v>
      </c>
      <c r="AT62" s="488" t="n">
        <f aca="false">CHOOSE(J62, 2*Deadtime*Fsw*IF(VfdSky_Q2&gt;0,VfdSky_Q2,0)*K62, 2*Deadtime*Fsw*IF(VfdSky_Q3&gt;0,VfdSky_Q3,0)*L62, 2*Deadtime*Fsw/2*IF(VfdSky_Q2&gt;0,VfdSky_Q2,0)*K62+2*Deadtime*Fsw/2*IF(VfdSky_Q3&gt;0,VfdSky_Q3,0)*L62)</f>
        <v>0</v>
      </c>
      <c r="AU62" s="488" t="n">
        <f aca="false">CHOOSE(J62, IF(QrrSky_Q2&gt;0,QrrSky_Q2,Qrr_Q2)*Fsw*(H62-K62*Rdson1), IF(QrrSky_Q3&gt;0,QrrSky_Q3,Qrr_Q3)*Fsw*Vout,  IF(QrrSky_Q2&gt;0,QrrSky_Q2,Qrr_Q2)*Fsw/2*(H62-K62*Rdson1)+IF(QrrSky_Q3&gt;0,QrrSky_Q3,Qrr_Q3)*Fsw/2*Vout)</f>
        <v>0.33312762</v>
      </c>
      <c r="AV62" s="488" t="n">
        <f aca="false">CHOOSE(J62, Rs*AF62^2, Rs*AJ62^2, Rs*(AF62^2+AJ62^2))</f>
        <v>0.0927282543839529</v>
      </c>
      <c r="AW62" s="488" t="n">
        <f aca="false">Rshunt_std/1000*Iout^2</f>
        <v>0.14832</v>
      </c>
      <c r="AX62" s="488" t="n">
        <f aca="false">IF(Vout&gt;8, Iq*Vout, Iq*H62)</f>
        <v>0.036</v>
      </c>
      <c r="AY62" s="488" t="n">
        <f aca="false">CHOOSE(J62, (Qg_Q1+Qg_Q2)*Fsw, (Qg_Q3+Qg_Q4)*Fsw, (Qg_Q1+Qg_Q2+Qg_Q3+Qg_Q4)*Fsw/2)*IF(Vout&gt;8, Vout, H62)</f>
        <v>0.0792</v>
      </c>
      <c r="AZ62" s="488" t="n">
        <f aca="false">(Vin-Vdd)*Fsw*(Qg_Q1+Qg_Q2)+(RdsonDRT+RdsonDRT2)*Fsw*Qg_Q1*Vdd/(RdsonDRT+2*Rgate1+RdsonDRT2)+(RdsonDRB+RdsonDRB2)*Fsw*Qg_Q2*Vdd/(RdsonDRB+2*Rgate2+RdsonDRB2)</f>
        <v>0.0522</v>
      </c>
      <c r="BA62" s="488" t="n">
        <f aca="false">SUM(AX62:AY62)</f>
        <v>0.1152</v>
      </c>
      <c r="BB62" s="488" t="n">
        <f aca="false">SUM(T62,W62,Z62,AE62,AI62,AN62,AR62, AT62,AU62,BA62,AV62,AW62)</f>
        <v>1.54045327142949</v>
      </c>
      <c r="BC62" s="419" t="n">
        <f aca="false">Vout*K62</f>
        <v>72</v>
      </c>
      <c r="BD62" s="589" t="n">
        <f aca="false">BC62/(BC62+BB62)</f>
        <v>0.979052981007013</v>
      </c>
      <c r="BE62" s="590" t="n">
        <f aca="false">IF(H62&gt;Vout,ThetaJA_Q1*(AE62+AU62),ThetaJA_Q4*(AN62+AU62))</f>
        <v>29.5514367920151</v>
      </c>
      <c r="BF62" s="590" t="n">
        <f aca="false">IF(H62&gt;Vout, AI62*ThetaJA_Q2, ThetaJA_Q3*AR62)</f>
        <v>10.6440927220385</v>
      </c>
      <c r="BG62" s="536"/>
      <c r="BH62" s="385" t="n">
        <f aca="false">BD62*100</f>
        <v>97.9052981007013</v>
      </c>
      <c r="BI62" s="488" t="n">
        <f aca="false">T62</f>
        <v>0.290824242005105</v>
      </c>
      <c r="BJ62" s="488" t="n">
        <f aca="false">AE62+AI62+AN62+AR62+AU62</f>
        <v>0.874461151508119</v>
      </c>
      <c r="BK62" s="488" t="n">
        <f aca="false">AI62+AU62*0.33</f>
        <v>0.322813969040771</v>
      </c>
      <c r="BL62" s="488" t="n">
        <f aca="false">AV62</f>
        <v>0.0927282543839529</v>
      </c>
      <c r="BR62" s="591"/>
      <c r="BS62" s="592"/>
    </row>
    <row r="63" customFormat="false" ht="12.75" hidden="false" customHeight="false" outlineLevel="0" collapsed="false">
      <c r="A63" s="600" t="s">
        <v>880</v>
      </c>
      <c r="B63" s="630" t="n">
        <v>2</v>
      </c>
      <c r="C63" s="611" t="s">
        <v>121</v>
      </c>
      <c r="D63" s="598" t="s">
        <v>665</v>
      </c>
      <c r="G63" s="0" t="n">
        <v>54</v>
      </c>
      <c r="H63" s="586" t="n">
        <f aca="false">VIN_min+(VIN_max-VIN_min)*(G63/200)</f>
        <v>17.88</v>
      </c>
      <c r="I63" s="385" t="str">
        <f aca="false">IF(H63&gt;VIN_BB_to_buck, "BUCK", IF(H63&lt;VIN_boost_to_BB,"BOOST","BUCK-BST"))</f>
        <v>BUCK</v>
      </c>
      <c r="J63" s="419" t="n">
        <f aca="false">IF(I63="BOOST",2, IF(I63="BUCK", 1,3))</f>
        <v>1</v>
      </c>
      <c r="K63" s="0" t="n">
        <f aca="false">Iout</f>
        <v>6</v>
      </c>
      <c r="L63" s="385" t="n">
        <f aca="false">Vout*K63/(H63*Efficiency)</f>
        <v>4.47427293064877</v>
      </c>
      <c r="M63" s="385" t="n">
        <f aca="false">Iout/(1-O63)</f>
        <v>6</v>
      </c>
      <c r="N63" s="488" t="n">
        <f aca="false">CHOOSE(J63,(Vout+(Rdson2+Rs+Rdcr)*K63)/(H63+(Rs+Rdson2-Rdson1)*K63),1,IF(H63&lt;Vout,D_max_buck_BB,Vout/H63*(1-D_min_boost_exitBB_to_buck)))</f>
        <v>0.675050200803213</v>
      </c>
      <c r="O63" s="488" t="n">
        <f aca="false">CHOOSE(J63,0,(Vout+(Rdson3+Rdcr)*L63-H63)/(Vout+(Rdson3-Rdson4-Rs)*L63),IF(H63&gt;Vout,D_min_boost_exitBB_to_buck, (Vout-H63*D_max_buck_BB)/Vout))</f>
        <v>0</v>
      </c>
      <c r="P63" s="385" t="n">
        <f aca="false">MAX(0, CHOOSE(J63, (H63-(Rdson1+Rdcr)*K63-Vout)*N63/(Fsw*Lf), (H63-(Rdson4+Rdcr+Rs)*L63)*O63/(Fsw*Lf), IF(H63&lt;Vout, (H63-(Rdson4+Rdcr+Rs)*L63)*O63/(0.5*Fsw*Lf),(H63-(Rdson1+Rdcr)*K63-Vout)*N63/(0.5*Fsw*Lf))))</f>
        <v>2.78910635093566</v>
      </c>
      <c r="Q63" s="488" t="n">
        <f aca="false">CHOOSE(J63, SQRT(K63^2+(P63^2)/12), SQRT(L63^2+(P63^2)/12), SQRT(M63^2+(P63^2)/12))</f>
        <v>6.05378059725787</v>
      </c>
      <c r="R63" s="488" t="n">
        <f aca="false">(Q63^2*Rdcr*(1+Ltc*Ta-Ltc*25))/(1-Q63^2*Rdcr*Ltc*ThetaCa)</f>
        <v>0.12398946083864</v>
      </c>
      <c r="S63" s="488" t="n">
        <f aca="false">7.759*10^-3*Fsw^0.9458*(0.00787*P63)^2.304</f>
        <v>0.177314540030827</v>
      </c>
      <c r="T63" s="488" t="n">
        <f aca="false">R63+S63</f>
        <v>0.301304000869467</v>
      </c>
      <c r="U63" s="385" t="n">
        <f aca="false">IF(H63&gt;Vout, P63/SQRT(12), SQRT(O63/(1-O63))*SQRT(K63^2+(P63^2)/12))</f>
        <v>0.805145651255598</v>
      </c>
      <c r="V63" s="488" t="n">
        <f aca="false">RCoutEsr*U63^2</f>
        <v>0.00324129759867901</v>
      </c>
      <c r="W63" s="488" t="n">
        <f aca="false">V63</f>
        <v>0.00324129759867901</v>
      </c>
      <c r="X63" s="488" t="n">
        <f aca="false">IF(H63&gt;Vout, SQRT(N63*(1-N63))*SQRT(K63^2+(P63^2)/12), P63/SQRT(12))</f>
        <v>2.83532501127499</v>
      </c>
      <c r="Y63" s="587" t="n">
        <f aca="false">RCinEsr*X63^2</f>
        <v>0.0160781358391231</v>
      </c>
      <c r="Z63" s="588" t="n">
        <f aca="false">Y63</f>
        <v>0.0160781358391231</v>
      </c>
      <c r="AA63" s="488" t="n">
        <f aca="false">CHOOSE(J63, SQRT(N63)*SQRT(K63^2+(P63^2)/12), SQRT(L63^2+(P63^2)/12), SQRT(N63)*SQRT(M63^2+(P63^2)/12))</f>
        <v>4.97387323399842</v>
      </c>
      <c r="AB63" s="488" t="n">
        <f aca="false">Rdson1*AA63^2</f>
        <v>0.14101466520295</v>
      </c>
      <c r="AC63" s="488" t="n">
        <f aca="false">CHOOSE(J63, (H63*K63/2)*(Fsw)*(Tr_buck+Tf_buck), 0, (H63*M63/2)*(Fsw/2)*(Tr_buck+Tf_buck))</f>
        <v>0.109250134863702</v>
      </c>
      <c r="AD63" s="0" t="n">
        <f aca="false">IF(H63&gt;Vout, IF(K63&gt;P63/2,0,ABS(K63-P63/2)*Vsd_Q1*Deadtime*Fsw),0)</f>
        <v>0</v>
      </c>
      <c r="AE63" s="488" t="n">
        <f aca="false">(AD63+AC63+AB63*(1+RdsonTopTc*Ta-RdsonTopTc*25))/(1-AB63*RdsonTopTc*ThetaJA_Q1)</f>
        <v>0.257527840508603</v>
      </c>
      <c r="AF63" s="488" t="n">
        <f aca="false">CHOOSE(J63, SQRT((1-N63))*SQRT(K63^2+(P63^2)/12), 0, SQRT((1-N63))*SQRT(M63^2+(P63^2)/12))</f>
        <v>3.45091938066509</v>
      </c>
      <c r="AG63" s="488" t="n">
        <f aca="false">Rdson2*AF63^2</f>
        <v>0.0678804140595444</v>
      </c>
      <c r="AH63" s="488" t="n">
        <f aca="false">CHOOSE(J63, IF(K63&lt;P63/2,Deadtime*Fsw*IF(VfdSky_Q2&gt;0,0,Vsd_Q2)*(K63+P63/2),2*Deadtime*Fsw*IF(VfdSky_Q2&gt;0,0,Vsd_Q2)*K63),0, IF(K63&lt;P63/2,Deadtime*Fsw/2*IF(VfdSky_Q2&gt;0,0,Vsd_Q2)*(K63+P63/2),2*Deadtime*Fsw/2*IF(VfdSky_Q2&gt;0,0,Vsd_Q2)*K63))</f>
        <v>0.144</v>
      </c>
      <c r="AI63" s="488" t="n">
        <f aca="false">(AH63+AG63*(1+RdsonBotTc*Ta-RdsonBotTc*25))/(1-AG63*RdsonBotTc*ThetaJA_Q2)</f>
        <v>0.214796509256925</v>
      </c>
      <c r="AJ63" s="488" t="n">
        <f aca="false">CHOOSE(J63, 0, SQRT(O63)*SQRT(L63^2+(P63^2)/12), SQRT(O63)*SQRT(M63^2+(P63^2)/12))</f>
        <v>0</v>
      </c>
      <c r="AK63" s="488" t="n">
        <f aca="false">Rdson4*AJ63^2</f>
        <v>0</v>
      </c>
      <c r="AL63" s="488" t="n">
        <f aca="false">CHOOSE(J63, 0, (Vout*L63/2)*(Fsw)*(Tr_boost+Tf_boost), (Vout*Iout/2)*(Fsw/2)*(Tr_boost+Tf_boost))</f>
        <v>0</v>
      </c>
      <c r="AM63" s="0" t="n">
        <f aca="false">IF(H63&gt;Vout, 0, IF(L63&gt;P63/2,0,ABS(L63-P63/2)*Vsd_Q4*Deadtime*Fsw))</f>
        <v>0</v>
      </c>
      <c r="AN63" s="488" t="n">
        <f aca="false">(AM63+AL63+AK63*(1+RdsonTopTc*Ta-RdsonTopTc*25))/(1-AK63*RdsonTopTc*ThetaJA_Q4)</f>
        <v>0</v>
      </c>
      <c r="AO63" s="488" t="n">
        <f aca="false">CHOOSE(J63, SQRT(Iout^2+(P63^2)/12), SQRT(1-O63)*SQRT(L63^2+(P63^2)/12), SQRT(1-O63)*SQRT(M63^2+(P63^2)/12))</f>
        <v>6.05378059725787</v>
      </c>
      <c r="AP63" s="488" t="n">
        <f aca="false">Rdson3*AO63^2</f>
        <v>0.069631693087498</v>
      </c>
      <c r="AQ63" s="488" t="n">
        <f aca="false">CHOOSE(J63, 0, IF(L63&lt;P63/2,Deadtime*Fsw*IF(VfdSky_Q3&gt;0,0,Vsd_Q3)*(L63+P63/2), 2*Deadtime*Fsw*IF(VfdSky_Q3&gt;0,0,Vsd_Q3)*L63), IF(L63&lt;P63/2,Deadtime*Fsw/2*IF(VfdSky_Q3&gt;0,0,Vsd_Q3)*(L63+P63/2), 2*Deadtime*Fsw/2*IF(VfdSky_Q3&gt;0,0,Vsd_Q3)*L63))</f>
        <v>0</v>
      </c>
      <c r="AR63" s="488" t="n">
        <f aca="false">(AQ63+AP63*(1+RdsonBotTc*Ta-RdsonBotTc*25))/(1-AP63*RdsonBotTc*ThetaJA_Q3)</f>
        <v>0.0706151029223036</v>
      </c>
      <c r="AS63" s="488" t="n">
        <f aca="false">CHOOSE(J63, Rdson3*Q63^2, Rdson1*Q63^2, 0)</f>
        <v>0.069631693087498</v>
      </c>
      <c r="AT63" s="488" t="n">
        <f aca="false">CHOOSE(J63, 2*Deadtime*Fsw*IF(VfdSky_Q2&gt;0,VfdSky_Q2,0)*K63, 2*Deadtime*Fsw*IF(VfdSky_Q3&gt;0,VfdSky_Q3,0)*L63, 2*Deadtime*Fsw/2*IF(VfdSky_Q2&gt;0,VfdSky_Q2,0)*K63+2*Deadtime*Fsw/2*IF(VfdSky_Q3&gt;0,VfdSky_Q3,0)*L63)</f>
        <v>0</v>
      </c>
      <c r="AU63" s="488" t="n">
        <f aca="false">CHOOSE(J63, IF(QrrSky_Q2&gt;0,QrrSky_Q2,Qrr_Q2)*Fsw*(H63-K63*Rdson1), IF(QrrSky_Q3&gt;0,QrrSky_Q3,Qrr_Q3)*Fsw*Vout,  IF(QrrSky_Q2&gt;0,QrrSky_Q2,Qrr_Q2)*Fsw/2*(H63-K63*Rdson1)+IF(QrrSky_Q3&gt;0,QrrSky_Q3,Qrr_Q3)*Fsw/2*Vout)</f>
        <v>0.33728562</v>
      </c>
      <c r="AV63" s="488" t="n">
        <f aca="false">CHOOSE(J63, Rs*AF63^2, Rs*AJ63^2, Rs*(AF63^2+AJ63^2))</f>
        <v>0.0952707565747992</v>
      </c>
      <c r="AW63" s="488" t="n">
        <f aca="false">Rshunt_std/1000*Iout^2</f>
        <v>0.14832</v>
      </c>
      <c r="AX63" s="488" t="n">
        <f aca="false">IF(Vout&gt;8, Iq*Vout, Iq*H63)</f>
        <v>0.036</v>
      </c>
      <c r="AY63" s="488" t="n">
        <f aca="false">CHOOSE(J63, (Qg_Q1+Qg_Q2)*Fsw, (Qg_Q3+Qg_Q4)*Fsw, (Qg_Q1+Qg_Q2+Qg_Q3+Qg_Q4)*Fsw/2)*IF(Vout&gt;8, Vout, H63)</f>
        <v>0.0792</v>
      </c>
      <c r="AZ63" s="488" t="n">
        <f aca="false">(Vin-Vdd)*Fsw*(Qg_Q1+Qg_Q2)+(RdsonDRT+RdsonDRT2)*Fsw*Qg_Q1*Vdd/(RdsonDRT+2*Rgate1+RdsonDRT2)+(RdsonDRB+RdsonDRB2)*Fsw*Qg_Q2*Vdd/(RdsonDRB+2*Rgate2+RdsonDRB2)</f>
        <v>0.0522</v>
      </c>
      <c r="BA63" s="488" t="n">
        <f aca="false">SUM(AX63:AY63)</f>
        <v>0.1152</v>
      </c>
      <c r="BB63" s="488" t="n">
        <f aca="false">SUM(T63,W63,Z63,AE63,AI63,AN63,AR63, AT63,AU63,BA63,AV63,AW63)</f>
        <v>1.5596392635699</v>
      </c>
      <c r="BC63" s="419" t="n">
        <f aca="false">Vout*K63</f>
        <v>72</v>
      </c>
      <c r="BD63" s="589" t="n">
        <f aca="false">BC63/(BC63+BB63)</f>
        <v>0.978797622185427</v>
      </c>
      <c r="BE63" s="590" t="n">
        <f aca="false">IF(H63&gt;Vout,ThetaJA_Q1*(AE63+AU63),ThetaJA_Q4*(AN63+AU63))</f>
        <v>29.7406730254302</v>
      </c>
      <c r="BF63" s="590" t="n">
        <f aca="false">IF(H63&gt;Vout, AI63*ThetaJA_Q2, ThetaJA_Q3*AR63)</f>
        <v>10.7398254628463</v>
      </c>
      <c r="BG63" s="536"/>
      <c r="BH63" s="385" t="n">
        <f aca="false">BD63*100</f>
        <v>97.8797622185427</v>
      </c>
      <c r="BI63" s="488" t="n">
        <f aca="false">T63</f>
        <v>0.301304000869467</v>
      </c>
      <c r="BJ63" s="488" t="n">
        <f aca="false">AE63+AI63+AN63+AR63+AU63</f>
        <v>0.880225072687832</v>
      </c>
      <c r="BK63" s="488" t="n">
        <f aca="false">AI63+AU63*0.33</f>
        <v>0.326100763856925</v>
      </c>
      <c r="BL63" s="488" t="n">
        <f aca="false">AV63</f>
        <v>0.0952707565747992</v>
      </c>
      <c r="BR63" s="591"/>
      <c r="BS63" s="592"/>
    </row>
    <row r="64" customFormat="false" ht="12.75" hidden="false" customHeight="false" outlineLevel="0" collapsed="false">
      <c r="A64" s="534"/>
      <c r="B64" s="381"/>
      <c r="G64" s="0" t="n">
        <v>55</v>
      </c>
      <c r="H64" s="586" t="n">
        <f aca="false">VIN_min+(VIN_max-VIN_min)*(G64/200)</f>
        <v>18.1</v>
      </c>
      <c r="I64" s="385" t="str">
        <f aca="false">IF(H64&gt;VIN_BB_to_buck, "BUCK", IF(H64&lt;VIN_boost_to_BB,"BOOST","BUCK-BST"))</f>
        <v>BUCK</v>
      </c>
      <c r="J64" s="419" t="n">
        <f aca="false">IF(I64="BOOST",2, IF(I64="BUCK", 1,3))</f>
        <v>1</v>
      </c>
      <c r="K64" s="0" t="n">
        <f aca="false">Iout</f>
        <v>6</v>
      </c>
      <c r="L64" s="385" t="n">
        <f aca="false">Vout*K64/(H64*Efficiency)</f>
        <v>4.41988950276243</v>
      </c>
      <c r="M64" s="385" t="n">
        <f aca="false">Iout/(1-O64)</f>
        <v>6</v>
      </c>
      <c r="N64" s="488" t="n">
        <f aca="false">CHOOSE(J64,(Vout+(Rdson2+Rs+Rdcr)*K64)/(H64+(Rs+Rdson2-Rdson1)*K64),1,IF(H64&lt;Vout,D_max_buck_BB,Vout/H64*(1-D_min_boost_exitBB_to_buck)))</f>
        <v>0.666866872382632</v>
      </c>
      <c r="O64" s="488" t="n">
        <f aca="false">CHOOSE(J64,0,(Vout+(Rdson3+Rdcr)*L64-H64)/(Vout+(Rdson3-Rdson4-Rs)*L64),IF(H64&gt;Vout,D_min_boost_exitBB_to_buck, (Vout-H64*D_max_buck_BB)/Vout))</f>
        <v>0</v>
      </c>
      <c r="P64" s="385" t="n">
        <f aca="false">MAX(0, CHOOSE(J64, (H64-(Rdson1+Rdcr)*K64-Vout)*N64/(Fsw*Lf), (H64-(Rdson4+Rdcr+Rs)*L64)*O64/(Fsw*Lf), IF(H64&lt;Vout, (H64-(Rdson4+Rdcr+Rs)*L64)*O64/(0.5*Fsw*Lf),(H64-(Rdson1+Rdcr)*K64-Vout)*N64/(0.5*Fsw*Lf))))</f>
        <v>2.85934542578984</v>
      </c>
      <c r="Q64" s="488" t="n">
        <f aca="false">CHOOSE(J64, SQRT(K64^2+(P64^2)/12), SQRT(L64^2+(P64^2)/12), SQRT(M64^2+(P64^2)/12))</f>
        <v>6.05651065840159</v>
      </c>
      <c r="R64" s="488" t="n">
        <f aca="false">(Q64^2*Rdcr*(1+Ltc*Ta-Ltc*25))/(1-Q64^2*Rdcr*Ltc*ThetaCa)</f>
        <v>0.124102427131197</v>
      </c>
      <c r="S64" s="488" t="n">
        <f aca="false">7.759*10^-3*Fsw^0.9458*(0.00787*P64)^2.304</f>
        <v>0.187772124197201</v>
      </c>
      <c r="T64" s="488" t="n">
        <f aca="false">R64+S64</f>
        <v>0.311874551328398</v>
      </c>
      <c r="U64" s="385" t="n">
        <f aca="false">IF(H64&gt;Vout, P64/SQRT(12), SQRT(O64/(1-O64))*SQRT(K64^2+(P64^2)/12))</f>
        <v>0.825421925642945</v>
      </c>
      <c r="V64" s="488" t="n">
        <f aca="false">RCoutEsr*U64^2</f>
        <v>0.00340660677666054</v>
      </c>
      <c r="W64" s="488" t="n">
        <f aca="false">V64</f>
        <v>0.00340660677666054</v>
      </c>
      <c r="X64" s="488" t="n">
        <f aca="false">IF(H64&gt;Vout, SQRT(N64*(1-N64))*SQRT(K64^2+(P64^2)/12), P64/SQRT(12))</f>
        <v>2.85463751440034</v>
      </c>
      <c r="Y64" s="587" t="n">
        <f aca="false">RCinEsr*X64^2</f>
        <v>0.0162979106772435</v>
      </c>
      <c r="Z64" s="588" t="n">
        <f aca="false">Y64</f>
        <v>0.0162979106772435</v>
      </c>
      <c r="AA64" s="488" t="n">
        <f aca="false">CHOOSE(J64, SQRT(N64)*SQRT(K64^2+(P64^2)/12), SQRT(L64^2+(P64^2)/12), SQRT(N64)*SQRT(M64^2+(P64^2)/12))</f>
        <v>4.94586272020287</v>
      </c>
      <c r="AB64" s="488" t="n">
        <f aca="false">Rdson1*AA64^2</f>
        <v>0.139430880868428</v>
      </c>
      <c r="AC64" s="488" t="n">
        <f aca="false">CHOOSE(J64, (H64*K64/2)*(Fsw)*(Tr_buck+Tf_buck), 0, (H64*M64/2)*(Fsw/2)*(Tr_buck+Tf_buck))</f>
        <v>0.1105943758967</v>
      </c>
      <c r="AD64" s="0" t="n">
        <f aca="false">IF(H64&gt;Vout, IF(K64&gt;P64/2,0,ABS(K64-P64/2)*Vsd_Q1*Deadtime*Fsw),0)</f>
        <v>0</v>
      </c>
      <c r="AE64" s="488" t="n">
        <f aca="false">(AD64+AC64+AB64*(1+RdsonTopTc*Ta-RdsonTopTc*25))/(1-AB64*RdsonTopTc*ThetaJA_Q1)</f>
        <v>0.257197511893216</v>
      </c>
      <c r="AF64" s="488" t="n">
        <f aca="false">CHOOSE(J64, SQRT((1-N64))*SQRT(K64^2+(P64^2)/12), 0, SQRT((1-N64))*SQRT(M64^2+(P64^2)/12))</f>
        <v>3.49567780383713</v>
      </c>
      <c r="AG64" s="488" t="n">
        <f aca="false">Rdson2*AF64^2</f>
        <v>0.0696526508569655</v>
      </c>
      <c r="AH64" s="488" t="n">
        <f aca="false">CHOOSE(J64, IF(K64&lt;P64/2,Deadtime*Fsw*IF(VfdSky_Q2&gt;0,0,Vsd_Q2)*(K64+P64/2),2*Deadtime*Fsw*IF(VfdSky_Q2&gt;0,0,Vsd_Q2)*K64),0, IF(K64&lt;P64/2,Deadtime*Fsw/2*IF(VfdSky_Q2&gt;0,0,Vsd_Q2)*(K64+P64/2),2*Deadtime*Fsw/2*IF(VfdSky_Q2&gt;0,0,Vsd_Q2)*K64))</f>
        <v>0.144</v>
      </c>
      <c r="AI64" s="488" t="n">
        <f aca="false">(AH64+AG64*(1+RdsonBotTc*Ta-RdsonBotTc*25))/(1-AG64*RdsonBotTc*ThetaJA_Q2)</f>
        <v>0.216670992657446</v>
      </c>
      <c r="AJ64" s="488" t="n">
        <f aca="false">CHOOSE(J64, 0, SQRT(O64)*SQRT(L64^2+(P64^2)/12), SQRT(O64)*SQRT(M64^2+(P64^2)/12))</f>
        <v>0</v>
      </c>
      <c r="AK64" s="488" t="n">
        <f aca="false">Rdson4*AJ64^2</f>
        <v>0</v>
      </c>
      <c r="AL64" s="488" t="n">
        <f aca="false">CHOOSE(J64, 0, (Vout*L64/2)*(Fsw)*(Tr_boost+Tf_boost), (Vout*Iout/2)*(Fsw/2)*(Tr_boost+Tf_boost))</f>
        <v>0</v>
      </c>
      <c r="AM64" s="0" t="n">
        <f aca="false">IF(H64&gt;Vout, 0, IF(L64&gt;P64/2,0,ABS(L64-P64/2)*Vsd_Q4*Deadtime*Fsw))</f>
        <v>0</v>
      </c>
      <c r="AN64" s="488" t="n">
        <f aca="false">(AM64+AL64+AK64*(1+RdsonTopTc*Ta-RdsonTopTc*25))/(1-AK64*RdsonTopTc*ThetaJA_Q4)</f>
        <v>0</v>
      </c>
      <c r="AO64" s="488" t="n">
        <f aca="false">CHOOSE(J64, SQRT(Iout^2+(P64^2)/12), SQRT(1-O64)*SQRT(L64^2+(P64^2)/12), SQRT(1-O64)*SQRT(M64^2+(P64^2)/12))</f>
        <v>6.05651065840159</v>
      </c>
      <c r="AP64" s="488" t="n">
        <f aca="false">Rdson3*AO64^2</f>
        <v>0.069694510575131</v>
      </c>
      <c r="AQ64" s="488" t="n">
        <f aca="false">CHOOSE(J64, 0, IF(L64&lt;P64/2,Deadtime*Fsw*IF(VfdSky_Q3&gt;0,0,Vsd_Q3)*(L64+P64/2), 2*Deadtime*Fsw*IF(VfdSky_Q3&gt;0,0,Vsd_Q3)*L64), IF(L64&lt;P64/2,Deadtime*Fsw/2*IF(VfdSky_Q3&gt;0,0,Vsd_Q3)*(L64+P64/2), 2*Deadtime*Fsw/2*IF(VfdSky_Q3&gt;0,0,Vsd_Q3)*L64))</f>
        <v>0</v>
      </c>
      <c r="AR64" s="488" t="n">
        <f aca="false">(AQ64+AP64*(1+RdsonBotTc*Ta-RdsonBotTc*25))/(1-AP64*RdsonBotTc*ThetaJA_Q3)</f>
        <v>0.0706797081079666</v>
      </c>
      <c r="AS64" s="488" t="n">
        <f aca="false">CHOOSE(J64, Rdson3*Q64^2, Rdson1*Q64^2, 0)</f>
        <v>0.069694510575131</v>
      </c>
      <c r="AT64" s="488" t="n">
        <f aca="false">CHOOSE(J64, 2*Deadtime*Fsw*IF(VfdSky_Q2&gt;0,VfdSky_Q2,0)*K64, 2*Deadtime*Fsw*IF(VfdSky_Q3&gt;0,VfdSky_Q3,0)*L64, 2*Deadtime*Fsw/2*IF(VfdSky_Q2&gt;0,VfdSky_Q2,0)*K64+2*Deadtime*Fsw/2*IF(VfdSky_Q3&gt;0,VfdSky_Q3,0)*L64)</f>
        <v>0</v>
      </c>
      <c r="AU64" s="488" t="n">
        <f aca="false">CHOOSE(J64, IF(QrrSky_Q2&gt;0,QrrSky_Q2,Qrr_Q2)*Fsw*(H64-K64*Rdson1), IF(QrrSky_Q3&gt;0,QrrSky_Q3,Qrr_Q3)*Fsw*Vout,  IF(QrrSky_Q2&gt;0,QrrSky_Q2,Qrr_Q2)*Fsw/2*(H64-K64*Rdson1)+IF(QrrSky_Q3&gt;0,QrrSky_Q3,Qrr_Q3)*Fsw/2*Vout)</f>
        <v>0.34144362</v>
      </c>
      <c r="AV64" s="488" t="n">
        <f aca="false">CHOOSE(J64, Rs*AF64^2, Rs*AJ64^2, Rs*(AF64^2+AJ64^2))</f>
        <v>0.0977581064659164</v>
      </c>
      <c r="AW64" s="488" t="n">
        <f aca="false">Rshunt_std/1000*Iout^2</f>
        <v>0.14832</v>
      </c>
      <c r="AX64" s="488" t="n">
        <f aca="false">IF(Vout&gt;8, Iq*Vout, Iq*H64)</f>
        <v>0.036</v>
      </c>
      <c r="AY64" s="488" t="n">
        <f aca="false">CHOOSE(J64, (Qg_Q1+Qg_Q2)*Fsw, (Qg_Q3+Qg_Q4)*Fsw, (Qg_Q1+Qg_Q2+Qg_Q3+Qg_Q4)*Fsw/2)*IF(Vout&gt;8, Vout, H64)</f>
        <v>0.0792</v>
      </c>
      <c r="AZ64" s="488" t="n">
        <f aca="false">(Vin-Vdd)*Fsw*(Qg_Q1+Qg_Q2)+(RdsonDRT+RdsonDRT2)*Fsw*Qg_Q1*Vdd/(RdsonDRT+2*Rgate1+RdsonDRT2)+(RdsonDRB+RdsonDRB2)*Fsw*Qg_Q2*Vdd/(RdsonDRB+2*Rgate2+RdsonDRB2)</f>
        <v>0.0522</v>
      </c>
      <c r="BA64" s="488" t="n">
        <f aca="false">SUM(AX64:AY64)</f>
        <v>0.1152</v>
      </c>
      <c r="BB64" s="488" t="n">
        <f aca="false">SUM(T64,W64,Z64,AE64,AI64,AN64,AR64, AT64,AU64,BA64,AV64,AW64)</f>
        <v>1.57884900790685</v>
      </c>
      <c r="BC64" s="419" t="n">
        <f aca="false">Vout*K64</f>
        <v>72</v>
      </c>
      <c r="BD64" s="589" t="n">
        <f aca="false">BC64/(BC64+BB64)</f>
        <v>0.978542080649601</v>
      </c>
      <c r="BE64" s="590" t="n">
        <f aca="false">IF(H64&gt;Vout,ThetaJA_Q1*(AE64+AU64),ThetaJA_Q4*(AN64+AU64))</f>
        <v>29.9320565946608</v>
      </c>
      <c r="BF64" s="590" t="n">
        <f aca="false">IF(H64&gt;Vout, AI64*ThetaJA_Q2, ThetaJA_Q3*AR64)</f>
        <v>10.8335496328723</v>
      </c>
      <c r="BG64" s="536"/>
      <c r="BH64" s="385" t="n">
        <f aca="false">BD64*100</f>
        <v>97.8542080649601</v>
      </c>
      <c r="BI64" s="488" t="n">
        <f aca="false">T64</f>
        <v>0.311874551328398</v>
      </c>
      <c r="BJ64" s="488" t="n">
        <f aca="false">AE64+AI64+AN64+AR64+AU64</f>
        <v>0.885991832658628</v>
      </c>
      <c r="BK64" s="488" t="n">
        <f aca="false">AI64+AU64*0.33</f>
        <v>0.329347387257446</v>
      </c>
      <c r="BL64" s="488" t="n">
        <f aca="false">AV64</f>
        <v>0.0977581064659164</v>
      </c>
      <c r="BR64" s="591"/>
      <c r="BS64" s="592"/>
    </row>
    <row r="65" customFormat="false" ht="12.75" hidden="false" customHeight="false" outlineLevel="0" collapsed="false">
      <c r="G65" s="0" t="n">
        <v>56</v>
      </c>
      <c r="H65" s="586" t="n">
        <f aca="false">VIN_min+(VIN_max-VIN_min)*(G65/200)</f>
        <v>18.32</v>
      </c>
      <c r="I65" s="385" t="str">
        <f aca="false">IF(H65&gt;VIN_BB_to_buck, "BUCK", IF(H65&lt;VIN_boost_to_BB,"BOOST","BUCK-BST"))</f>
        <v>BUCK</v>
      </c>
      <c r="J65" s="419" t="n">
        <f aca="false">IF(I65="BOOST",2, IF(I65="BUCK", 1,3))</f>
        <v>1</v>
      </c>
      <c r="K65" s="0" t="n">
        <f aca="false">Iout</f>
        <v>6</v>
      </c>
      <c r="L65" s="385" t="n">
        <f aca="false">Vout*K65/(H65*Efficiency)</f>
        <v>4.36681222707424</v>
      </c>
      <c r="M65" s="385" t="n">
        <f aca="false">Iout/(1-O65)</f>
        <v>6</v>
      </c>
      <c r="N65" s="488" t="n">
        <f aca="false">CHOOSE(J65,(Vout+(Rdson2+Rs+Rdcr)*K65)/(H65+(Rs+Rdson2-Rdson1)*K65),1,IF(H65&lt;Vout,D_max_buck_BB,Vout/H65*(1-D_min_boost_exitBB_to_buck)))</f>
        <v>0.658879573170732</v>
      </c>
      <c r="O65" s="488" t="n">
        <f aca="false">CHOOSE(J65,0,(Vout+(Rdson3+Rdcr)*L65-H65)/(Vout+(Rdson3-Rdson4-Rs)*L65),IF(H65&gt;Vout,D_min_boost_exitBB_to_buck, (Vout-H65*D_max_buck_BB)/Vout))</f>
        <v>0</v>
      </c>
      <c r="P65" s="385" t="n">
        <f aca="false">MAX(0, CHOOSE(J65, (H65-(Rdson1+Rdcr)*K65-Vout)*N65/(Fsw*Lf), (H65-(Rdson4+Rdcr+Rs)*L65)*O65/(Fsw*Lf), IF(H65&lt;Vout, (H65-(Rdson4+Rdcr+Rs)*L65)*O65/(0.5*Fsw*Lf),(H65-(Rdson1+Rdcr)*K65-Vout)*N65/(0.5*Fsw*Lf))))</f>
        <v>2.92790194440841</v>
      </c>
      <c r="Q65" s="488" t="n">
        <f aca="false">CHOOSE(J65, SQRT(K65^2+(P65^2)/12), SQRT(L65^2+(P65^2)/12), SQRT(M65^2+(P65^2)/12))</f>
        <v>6.05923956859873</v>
      </c>
      <c r="R65" s="488" t="n">
        <f aca="false">(Q65^2*Rdcr*(1+Ltc*Ta-Ltc*25))/(1-Q65^2*Rdcr*Ltc*ThetaCa)</f>
        <v>0.124215398721482</v>
      </c>
      <c r="S65" s="488" t="n">
        <f aca="false">7.759*10^-3*Fsw^0.9458*(0.00787*P65)^2.304</f>
        <v>0.198307463054135</v>
      </c>
      <c r="T65" s="488" t="n">
        <f aca="false">R65+S65</f>
        <v>0.322522861775616</v>
      </c>
      <c r="U65" s="385" t="n">
        <f aca="false">IF(H65&gt;Vout, P65/SQRT(12), SQRT(O65/(1-O65))*SQRT(K65^2+(P65^2)/12))</f>
        <v>0.845212487882511</v>
      </c>
      <c r="V65" s="488" t="n">
        <f aca="false">RCoutEsr*U65^2</f>
        <v>0.00357192074836272</v>
      </c>
      <c r="W65" s="488" t="n">
        <f aca="false">V65</f>
        <v>0.00357192074836272</v>
      </c>
      <c r="X65" s="488" t="n">
        <f aca="false">IF(H65&gt;Vout, SQRT(N65*(1-N65))*SQRT(K65^2+(P65^2)/12), P65/SQRT(12))</f>
        <v>2.87259902587894</v>
      </c>
      <c r="Y65" s="587" t="n">
        <f aca="false">RCinEsr*X65^2</f>
        <v>0.0165036503269613</v>
      </c>
      <c r="Z65" s="588" t="n">
        <f aca="false">Y65</f>
        <v>0.0165036503269613</v>
      </c>
      <c r="AA65" s="488" t="n">
        <f aca="false">CHOOSE(J65, SQRT(N65)*SQRT(K65^2+(P65^2)/12), SQRT(L65^2+(P65^2)/12), SQRT(N65)*SQRT(M65^2+(P65^2)/12))</f>
        <v>4.91836942062738</v>
      </c>
      <c r="AB65" s="488" t="n">
        <f aca="false">Rdson1*AA65^2</f>
        <v>0.137885039219246</v>
      </c>
      <c r="AC65" s="488" t="n">
        <f aca="false">CHOOSE(J65, (H65*K65/2)*(Fsw)*(Tr_buck+Tf_buck), 0, (H65*M65/2)*(Fsw/2)*(Tr_buck+Tf_buck))</f>
        <v>0.111938616929699</v>
      </c>
      <c r="AD65" s="0" t="n">
        <f aca="false">IF(H65&gt;Vout, IF(K65&gt;P65/2,0,ABS(K65-P65/2)*Vsd_Q1*Deadtime*Fsw),0)</f>
        <v>0</v>
      </c>
      <c r="AE65" s="488" t="n">
        <f aca="false">(AD65+AC65+AB65*(1+RdsonTopTc*Ta-RdsonTopTc*25))/(1-AB65*RdsonTopTc*ThetaJA_Q1)</f>
        <v>0.256908421709581</v>
      </c>
      <c r="AF65" s="488" t="n">
        <f aca="false">CHOOSE(J65, SQRT((1-N65))*SQRT(K65^2+(P65^2)/12), 0, SQRT((1-N65))*SQRT(M65^2+(P65^2)/12))</f>
        <v>3.53893011967035</v>
      </c>
      <c r="AG65" s="488" t="n">
        <f aca="false">Rdson2*AF65^2</f>
        <v>0.0713869504338871</v>
      </c>
      <c r="AH65" s="488" t="n">
        <f aca="false">CHOOSE(J65, IF(K65&lt;P65/2,Deadtime*Fsw*IF(VfdSky_Q2&gt;0,0,Vsd_Q2)*(K65+P65/2),2*Deadtime*Fsw*IF(VfdSky_Q2&gt;0,0,Vsd_Q2)*K65),0, IF(K65&lt;P65/2,Deadtime*Fsw/2*IF(VfdSky_Q2&gt;0,0,Vsd_Q2)*(K65+P65/2),2*Deadtime*Fsw/2*IF(VfdSky_Q2&gt;0,0,Vsd_Q2)*K65))</f>
        <v>0.144</v>
      </c>
      <c r="AI65" s="488" t="n">
        <f aca="false">(AH65+AG65*(1+RdsonBotTc*Ta-RdsonBotTc*25))/(1-AG65*RdsonBotTc*ThetaJA_Q2)</f>
        <v>0.218506655186542</v>
      </c>
      <c r="AJ65" s="488" t="n">
        <f aca="false">CHOOSE(J65, 0, SQRT(O65)*SQRT(L65^2+(P65^2)/12), SQRT(O65)*SQRT(M65^2+(P65^2)/12))</f>
        <v>0</v>
      </c>
      <c r="AK65" s="488" t="n">
        <f aca="false">Rdson4*AJ65^2</f>
        <v>0</v>
      </c>
      <c r="AL65" s="488" t="n">
        <f aca="false">CHOOSE(J65, 0, (Vout*L65/2)*(Fsw)*(Tr_boost+Tf_boost), (Vout*Iout/2)*(Fsw/2)*(Tr_boost+Tf_boost))</f>
        <v>0</v>
      </c>
      <c r="AM65" s="0" t="n">
        <f aca="false">IF(H65&gt;Vout, 0, IF(L65&gt;P65/2,0,ABS(L65-P65/2)*Vsd_Q4*Deadtime*Fsw))</f>
        <v>0</v>
      </c>
      <c r="AN65" s="488" t="n">
        <f aca="false">(AM65+AL65+AK65*(1+RdsonTopTc*Ta-RdsonTopTc*25))/(1-AK65*RdsonTopTc*ThetaJA_Q4)</f>
        <v>0</v>
      </c>
      <c r="AO65" s="488" t="n">
        <f aca="false">CHOOSE(J65, SQRT(Iout^2+(P65^2)/12), SQRT(1-O65)*SQRT(L65^2+(P65^2)/12), SQRT(1-O65)*SQRT(M65^2+(P65^2)/12))</f>
        <v>6.05923956859873</v>
      </c>
      <c r="AP65" s="488" t="n">
        <f aca="false">Rdson3*AO65^2</f>
        <v>0.0697573298843779</v>
      </c>
      <c r="AQ65" s="488" t="n">
        <f aca="false">CHOOSE(J65, 0, IF(L65&lt;P65/2,Deadtime*Fsw*IF(VfdSky_Q3&gt;0,0,Vsd_Q3)*(L65+P65/2), 2*Deadtime*Fsw*IF(VfdSky_Q3&gt;0,0,Vsd_Q3)*L65), IF(L65&lt;P65/2,Deadtime*Fsw/2*IF(VfdSky_Q3&gt;0,0,Vsd_Q3)*(L65+P65/2), 2*Deadtime*Fsw/2*IF(VfdSky_Q3&gt;0,0,Vsd_Q3)*L65))</f>
        <v>0</v>
      </c>
      <c r="AR65" s="488" t="n">
        <f aca="false">(AQ65+AP65*(1+RdsonBotTc*Ta-RdsonBotTc*25))/(1-AP65*RdsonBotTc*ThetaJA_Q3)</f>
        <v>0.0707443168134581</v>
      </c>
      <c r="AS65" s="488" t="n">
        <f aca="false">CHOOSE(J65, Rdson3*Q65^2, Rdson1*Q65^2, 0)</f>
        <v>0.0697573298843779</v>
      </c>
      <c r="AT65" s="488" t="n">
        <f aca="false">CHOOSE(J65, 2*Deadtime*Fsw*IF(VfdSky_Q2&gt;0,VfdSky_Q2,0)*K65, 2*Deadtime*Fsw*IF(VfdSky_Q3&gt;0,VfdSky_Q3,0)*L65, 2*Deadtime*Fsw/2*IF(VfdSky_Q2&gt;0,VfdSky_Q2,0)*K65+2*Deadtime*Fsw/2*IF(VfdSky_Q3&gt;0,VfdSky_Q3,0)*L65)</f>
        <v>0</v>
      </c>
      <c r="AU65" s="488" t="n">
        <f aca="false">CHOOSE(J65, IF(QrrSky_Q2&gt;0,QrrSky_Q2,Qrr_Q2)*Fsw*(H65-K65*Rdson1), IF(QrrSky_Q3&gt;0,QrrSky_Q3,Qrr_Q3)*Fsw*Vout,  IF(QrrSky_Q2&gt;0,QrrSky_Q2,Qrr_Q2)*Fsw/2*(H65-K65*Rdson1)+IF(QrrSky_Q3&gt;0,QrrSky_Q3,Qrr_Q3)*Fsw/2*Vout)</f>
        <v>0.34560162</v>
      </c>
      <c r="AV65" s="488" t="n">
        <f aca="false">CHOOSE(J65, Rs*AF65^2, Rs*AJ65^2, Rs*(AF65^2+AJ65^2))</f>
        <v>0.10019221113528</v>
      </c>
      <c r="AW65" s="488" t="n">
        <f aca="false">Rshunt_std/1000*Iout^2</f>
        <v>0.14832</v>
      </c>
      <c r="AX65" s="488" t="n">
        <f aca="false">IF(Vout&gt;8, Iq*Vout, Iq*H65)</f>
        <v>0.036</v>
      </c>
      <c r="AY65" s="488" t="n">
        <f aca="false">CHOOSE(J65, (Qg_Q1+Qg_Q2)*Fsw, (Qg_Q3+Qg_Q4)*Fsw, (Qg_Q1+Qg_Q2+Qg_Q3+Qg_Q4)*Fsw/2)*IF(Vout&gt;8, Vout, H65)</f>
        <v>0.0792</v>
      </c>
      <c r="AZ65" s="488" t="n">
        <f aca="false">(Vin-Vdd)*Fsw*(Qg_Q1+Qg_Q2)+(RdsonDRT+RdsonDRT2)*Fsw*Qg_Q1*Vdd/(RdsonDRT+2*Rgate1+RdsonDRT2)+(RdsonDRB+RdsonDRB2)*Fsw*Qg_Q2*Vdd/(RdsonDRB+2*Rgate2+RdsonDRB2)</f>
        <v>0.0522</v>
      </c>
      <c r="BA65" s="488" t="n">
        <f aca="false">SUM(AX65:AY65)</f>
        <v>0.1152</v>
      </c>
      <c r="BB65" s="488" t="n">
        <f aca="false">SUM(T65,W65,Z65,AE65,AI65,AN65,AR65, AT65,AU65,BA65,AV65,AW65)</f>
        <v>1.5980716576958</v>
      </c>
      <c r="BC65" s="419" t="n">
        <f aca="false">Vout*K65</f>
        <v>72</v>
      </c>
      <c r="BD65" s="589" t="n">
        <f aca="false">BC65/(BC65+BB65)</f>
        <v>0.978286500968009</v>
      </c>
      <c r="BE65" s="590" t="n">
        <f aca="false">IF(H65&gt;Vout,ThetaJA_Q1*(AE65+AU65),ThetaJA_Q4*(AN65+AU65))</f>
        <v>30.1255020854791</v>
      </c>
      <c r="BF65" s="590" t="n">
        <f aca="false">IF(H65&gt;Vout, AI65*ThetaJA_Q2, ThetaJA_Q3*AR65)</f>
        <v>10.9253327593271</v>
      </c>
      <c r="BG65" s="536"/>
      <c r="BH65" s="385" t="n">
        <f aca="false">BD65*100</f>
        <v>97.8286500968009</v>
      </c>
      <c r="BI65" s="488" t="n">
        <f aca="false">T65</f>
        <v>0.322522861775616</v>
      </c>
      <c r="BJ65" s="488" t="n">
        <f aca="false">AE65+AI65+AN65+AR65+AU65</f>
        <v>0.891761013709582</v>
      </c>
      <c r="BK65" s="488" t="n">
        <f aca="false">AI65+AU65*0.33</f>
        <v>0.332555189786542</v>
      </c>
      <c r="BL65" s="488" t="n">
        <f aca="false">AV65</f>
        <v>0.10019221113528</v>
      </c>
      <c r="BR65" s="591"/>
      <c r="BS65" s="592"/>
    </row>
    <row r="66" customFormat="false" ht="12.75" hidden="false" customHeight="false" outlineLevel="0" collapsed="false">
      <c r="A66" s="540" t="s">
        <v>692</v>
      </c>
      <c r="B66" s="631"/>
      <c r="C66" s="631"/>
      <c r="D66" s="632"/>
      <c r="G66" s="0" t="n">
        <v>57</v>
      </c>
      <c r="H66" s="586" t="n">
        <f aca="false">VIN_min+(VIN_max-VIN_min)*(G66/200)</f>
        <v>18.54</v>
      </c>
      <c r="I66" s="385" t="str">
        <f aca="false">IF(H66&gt;VIN_BB_to_buck, "BUCK", IF(H66&lt;VIN_boost_to_BB,"BOOST","BUCK-BST"))</f>
        <v>BUCK</v>
      </c>
      <c r="J66" s="419" t="n">
        <f aca="false">IF(I66="BOOST",2, IF(I66="BUCK", 1,3))</f>
        <v>1</v>
      </c>
      <c r="K66" s="0" t="n">
        <f aca="false">Iout</f>
        <v>6</v>
      </c>
      <c r="L66" s="385" t="n">
        <f aca="false">Vout*K66/(H66*Efficiency)</f>
        <v>4.31499460625674</v>
      </c>
      <c r="M66" s="385" t="n">
        <f aca="false">Iout/(1-O66)</f>
        <v>6</v>
      </c>
      <c r="N66" s="488" t="n">
        <f aca="false">CHOOSE(J66,(Vout+(Rdson2+Rs+Rdcr)*K66)/(H66+(Rs+Rdson2-Rdson1)*K66),1,IF(H66&lt;Vout,D_max_buck_BB,Vout/H66*(1-D_min_boost_exitBB_to_buck)))</f>
        <v>0.651081342801808</v>
      </c>
      <c r="O66" s="488" t="n">
        <f aca="false">CHOOSE(J66,0,(Vout+(Rdson3+Rdcr)*L66-H66)/(Vout+(Rdson3-Rdson4-Rs)*L66),IF(H66&gt;Vout,D_min_boost_exitBB_to_buck, (Vout-H66*D_max_buck_BB)/Vout))</f>
        <v>0</v>
      </c>
      <c r="P66" s="385" t="n">
        <f aca="false">MAX(0, CHOOSE(J66, (H66-(Rdson1+Rdcr)*K66-Vout)*N66/(Fsw*Lf), (H66-(Rdson4+Rdcr+Rs)*L66)*O66/(Fsw*Lf), IF(H66&lt;Vout, (H66-(Rdson4+Rdcr+Rs)*L66)*O66/(0.5*Fsw*Lf),(H66-(Rdson1+Rdcr)*K66-Vout)*N66/(0.5*Fsw*Lf))))</f>
        <v>2.99483564894304</v>
      </c>
      <c r="Q66" s="488" t="n">
        <f aca="false">CHOOSE(J66, SQRT(K66^2+(P66^2)/12), SQRT(L66^2+(P66^2)/12), SQRT(M66^2+(P66^2)/12))</f>
        <v>6.06196503182054</v>
      </c>
      <c r="R66" s="488" t="n">
        <f aca="false">(Q66^2*Rdcr*(1+Ltc*Ta-Ltc*25))/(1-Q66^2*Rdcr*Ltc*ThetaCa)</f>
        <v>0.124328280427451</v>
      </c>
      <c r="S66" s="488" t="n">
        <f aca="false">7.759*10^-3*Fsw^0.9458*(0.00787*P66)^2.304</f>
        <v>0.208908541162368</v>
      </c>
      <c r="T66" s="488" t="n">
        <f aca="false">R66+S66</f>
        <v>0.333236821589818</v>
      </c>
      <c r="U66" s="385" t="n">
        <f aca="false">IF(H66&gt;Vout, P66/SQRT(12), SQRT(O66/(1-O66))*SQRT(K66^2+(P66^2)/12))</f>
        <v>0.864534584047975</v>
      </c>
      <c r="V66" s="488" t="n">
        <f aca="false">RCoutEsr*U66^2</f>
        <v>0.00373710023507503</v>
      </c>
      <c r="W66" s="488" t="n">
        <f aca="false">V66</f>
        <v>0.00373710023507503</v>
      </c>
      <c r="X66" s="488" t="n">
        <f aca="false">IF(H66&gt;Vout, SQRT(N66*(1-N66))*SQRT(K66^2+(P66^2)/12), P66/SQRT(12))</f>
        <v>2.88930339777756</v>
      </c>
      <c r="Y66" s="587" t="n">
        <f aca="false">RCinEsr*X66^2</f>
        <v>0.0166961482488179</v>
      </c>
      <c r="Z66" s="588" t="n">
        <f aca="false">Y66</f>
        <v>0.0166961482488179</v>
      </c>
      <c r="AA66" s="488" t="n">
        <f aca="false">CHOOSE(J66, SQRT(N66)*SQRT(K66^2+(P66^2)/12), SQRT(L66^2+(P66^2)/12), SQRT(N66)*SQRT(M66^2+(P66^2)/12))</f>
        <v>4.89137604245601</v>
      </c>
      <c r="AB66" s="488" t="n">
        <f aca="false">Rdson1*AA66^2</f>
        <v>0.136375689655662</v>
      </c>
      <c r="AC66" s="488" t="n">
        <f aca="false">CHOOSE(J66, (H66*K66/2)*(Fsw)*(Tr_buck+Tf_buck), 0, (H66*M66/2)*(Fsw/2)*(Tr_buck+Tf_buck))</f>
        <v>0.113282857962697</v>
      </c>
      <c r="AD66" s="0" t="n">
        <f aca="false">IF(H66&gt;Vout, IF(K66&gt;P66/2,0,ABS(K66-P66/2)*Vsd_Q1*Deadtime*Fsw),0)</f>
        <v>0</v>
      </c>
      <c r="AE66" s="488" t="n">
        <f aca="false">(AD66+AC66+AB66*(1+RdsonTopTc*Ta-RdsonTopTc*25))/(1-AB66*RdsonTopTc*ThetaJA_Q1)</f>
        <v>0.256658956045768</v>
      </c>
      <c r="AF66" s="488" t="n">
        <f aca="false">CHOOSE(J66, SQRT((1-N66))*SQRT(K66^2+(P66^2)/12), 0, SQRT((1-N66))*SQRT(M66^2+(P66^2)/12))</f>
        <v>3.58076255262792</v>
      </c>
      <c r="AG66" s="488" t="n">
        <f aca="false">Rdson2*AF66^2</f>
        <v>0.0730846046123237</v>
      </c>
      <c r="AH66" s="488" t="n">
        <f aca="false">CHOOSE(J66, IF(K66&lt;P66/2,Deadtime*Fsw*IF(VfdSky_Q2&gt;0,0,Vsd_Q2)*(K66+P66/2),2*Deadtime*Fsw*IF(VfdSky_Q2&gt;0,0,Vsd_Q2)*K66),0, IF(K66&lt;P66/2,Deadtime*Fsw/2*IF(VfdSky_Q2&gt;0,0,Vsd_Q2)*(K66+P66/2),2*Deadtime*Fsw/2*IF(VfdSky_Q2&gt;0,0,Vsd_Q2)*K66))</f>
        <v>0.144</v>
      </c>
      <c r="AI66" s="488" t="n">
        <f aca="false">(AH66+AG66*(1+RdsonBotTc*Ta-RdsonBotTc*25))/(1-AG66*RdsonBotTc*ThetaJA_Q2)</f>
        <v>0.220304782192472</v>
      </c>
      <c r="AJ66" s="488" t="n">
        <f aca="false">CHOOSE(J66, 0, SQRT(O66)*SQRT(L66^2+(P66^2)/12), SQRT(O66)*SQRT(M66^2+(P66^2)/12))</f>
        <v>0</v>
      </c>
      <c r="AK66" s="488" t="n">
        <f aca="false">Rdson4*AJ66^2</f>
        <v>0</v>
      </c>
      <c r="AL66" s="488" t="n">
        <f aca="false">CHOOSE(J66, 0, (Vout*L66/2)*(Fsw)*(Tr_boost+Tf_boost), (Vout*Iout/2)*(Fsw/2)*(Tr_boost+Tf_boost))</f>
        <v>0</v>
      </c>
      <c r="AM66" s="0" t="n">
        <f aca="false">IF(H66&gt;Vout, 0, IF(L66&gt;P66/2,0,ABS(L66-P66/2)*Vsd_Q4*Deadtime*Fsw))</f>
        <v>0</v>
      </c>
      <c r="AN66" s="488" t="n">
        <f aca="false">(AM66+AL66+AK66*(1+RdsonTopTc*Ta-RdsonTopTc*25))/(1-AK66*RdsonTopTc*ThetaJA_Q4)</f>
        <v>0</v>
      </c>
      <c r="AO66" s="488" t="n">
        <f aca="false">CHOOSE(J66, SQRT(Iout^2+(P66^2)/12), SQRT(1-O66)*SQRT(L66^2+(P66^2)/12), SQRT(1-O66)*SQRT(M66^2+(P66^2)/12))</f>
        <v>6.06196503182054</v>
      </c>
      <c r="AP66" s="488" t="n">
        <f aca="false">Rdson3*AO66^2</f>
        <v>0.0698200980893285</v>
      </c>
      <c r="AQ66" s="488" t="n">
        <f aca="false">CHOOSE(J66, 0, IF(L66&lt;P66/2,Deadtime*Fsw*IF(VfdSky_Q3&gt;0,0,Vsd_Q3)*(L66+P66/2), 2*Deadtime*Fsw*IF(VfdSky_Q3&gt;0,0,Vsd_Q3)*L66), IF(L66&lt;P66/2,Deadtime*Fsw/2*IF(VfdSky_Q3&gt;0,0,Vsd_Q3)*(L66+P66/2), 2*Deadtime*Fsw/2*IF(VfdSky_Q3&gt;0,0,Vsd_Q3)*L66))</f>
        <v>0</v>
      </c>
      <c r="AR66" s="488" t="n">
        <f aca="false">(AQ66+AP66*(1+RdsonBotTc*Ta-RdsonBotTc*25))/(1-AP66*RdsonBotTc*ThetaJA_Q3)</f>
        <v>0.0708088746034095</v>
      </c>
      <c r="AS66" s="488" t="n">
        <f aca="false">CHOOSE(J66, Rdson3*Q66^2, Rdson1*Q66^2, 0)</f>
        <v>0.0698200980893285</v>
      </c>
      <c r="AT66" s="488" t="n">
        <f aca="false">CHOOSE(J66, 2*Deadtime*Fsw*IF(VfdSky_Q2&gt;0,VfdSky_Q2,0)*K66, 2*Deadtime*Fsw*IF(VfdSky_Q3&gt;0,VfdSky_Q3,0)*L66, 2*Deadtime*Fsw/2*IF(VfdSky_Q2&gt;0,VfdSky_Q2,0)*K66+2*Deadtime*Fsw/2*IF(VfdSky_Q3&gt;0,VfdSky_Q3,0)*L66)</f>
        <v>0</v>
      </c>
      <c r="AU66" s="488" t="n">
        <f aca="false">CHOOSE(J66, IF(QrrSky_Q2&gt;0,QrrSky_Q2,Qrr_Q2)*Fsw*(H66-K66*Rdson1), IF(QrrSky_Q3&gt;0,QrrSky_Q3,Qrr_Q3)*Fsw*Vout,  IF(QrrSky_Q2&gt;0,QrrSky_Q2,Qrr_Q2)*Fsw/2*(H66-K66*Rdson1)+IF(QrrSky_Q3&gt;0,QrrSky_Q3,Qrr_Q3)*Fsw/2*Vout)</f>
        <v>0.34975962</v>
      </c>
      <c r="AV66" s="488" t="n">
        <f aca="false">CHOOSE(J66, Rs*AF66^2, Rs*AJ66^2, Rs*(AF66^2+AJ66^2))</f>
        <v>0.102574883666419</v>
      </c>
      <c r="AW66" s="488" t="n">
        <f aca="false">Rshunt_std/1000*Iout^2</f>
        <v>0.14832</v>
      </c>
      <c r="AX66" s="488" t="n">
        <f aca="false">IF(Vout&gt;8, Iq*Vout, Iq*H66)</f>
        <v>0.036</v>
      </c>
      <c r="AY66" s="488" t="n">
        <f aca="false">CHOOSE(J66, (Qg_Q1+Qg_Q2)*Fsw, (Qg_Q3+Qg_Q4)*Fsw, (Qg_Q1+Qg_Q2+Qg_Q3+Qg_Q4)*Fsw/2)*IF(Vout&gt;8, Vout, H66)</f>
        <v>0.0792</v>
      </c>
      <c r="AZ66" s="488" t="n">
        <f aca="false">(Vin-Vdd)*Fsw*(Qg_Q1+Qg_Q2)+(RdsonDRT+RdsonDRT2)*Fsw*Qg_Q1*Vdd/(RdsonDRT+2*Rgate1+RdsonDRT2)+(RdsonDRB+RdsonDRB2)*Fsw*Qg_Q2*Vdd/(RdsonDRB+2*Rgate2+RdsonDRB2)</f>
        <v>0.0522</v>
      </c>
      <c r="BA66" s="488" t="n">
        <f aca="false">SUM(AX66:AY66)</f>
        <v>0.1152</v>
      </c>
      <c r="BB66" s="488" t="n">
        <f aca="false">SUM(T66,W66,Z66,AE66,AI66,AN66,AR66, AT66,AU66,BA66,AV66,AW66)</f>
        <v>1.61729718658178</v>
      </c>
      <c r="BC66" s="419" t="n">
        <f aca="false">Vout*K66</f>
        <v>72</v>
      </c>
      <c r="BD66" s="589" t="n">
        <f aca="false">BC66/(BC66+BB66)</f>
        <v>0.978031016508488</v>
      </c>
      <c r="BE66" s="590" t="n">
        <f aca="false">IF(H66&gt;Vout,ThetaJA_Q1*(AE66+AU66),ThetaJA_Q4*(AN66+AU66))</f>
        <v>30.3209288022884</v>
      </c>
      <c r="BF66" s="590" t="n">
        <f aca="false">IF(H66&gt;Vout, AI66*ThetaJA_Q2, ThetaJA_Q3*AR66)</f>
        <v>11.0152391096236</v>
      </c>
      <c r="BG66" s="536"/>
      <c r="BH66" s="385" t="n">
        <f aca="false">BD66*100</f>
        <v>97.8031016508488</v>
      </c>
      <c r="BI66" s="488" t="n">
        <f aca="false">T66</f>
        <v>0.333236821589818</v>
      </c>
      <c r="BJ66" s="488" t="n">
        <f aca="false">AE66+AI66+AN66+AR66+AU66</f>
        <v>0.897532232841649</v>
      </c>
      <c r="BK66" s="488" t="n">
        <f aca="false">AI66+AU66*0.33</f>
        <v>0.335725456792472</v>
      </c>
      <c r="BL66" s="488" t="n">
        <f aca="false">AV66</f>
        <v>0.102574883666419</v>
      </c>
      <c r="BR66" s="591"/>
      <c r="BS66" s="592"/>
    </row>
    <row r="67" customFormat="false" ht="12.75" hidden="false" customHeight="false" outlineLevel="0" collapsed="false">
      <c r="A67" s="633" t="s">
        <v>607</v>
      </c>
      <c r="B67" s="583" t="s">
        <v>133</v>
      </c>
      <c r="C67" s="634" t="s">
        <v>697</v>
      </c>
      <c r="D67" s="632"/>
      <c r="G67" s="0" t="n">
        <v>58</v>
      </c>
      <c r="H67" s="586" t="n">
        <f aca="false">VIN_min+(VIN_max-VIN_min)*(G67/200)</f>
        <v>18.76</v>
      </c>
      <c r="I67" s="385" t="str">
        <f aca="false">IF(H67&gt;VIN_BB_to_buck, "BUCK", IF(H67&lt;VIN_boost_to_BB,"BOOST","BUCK-BST"))</f>
        <v>BUCK</v>
      </c>
      <c r="J67" s="419" t="n">
        <f aca="false">IF(I67="BOOST",2, IF(I67="BUCK", 1,3))</f>
        <v>1</v>
      </c>
      <c r="K67" s="0" t="n">
        <f aca="false">Iout</f>
        <v>6</v>
      </c>
      <c r="L67" s="385" t="n">
        <f aca="false">Vout*K67/(H67*Efficiency)</f>
        <v>4.26439232409382</v>
      </c>
      <c r="M67" s="385" t="n">
        <f aca="false">Iout/(1-O67)</f>
        <v>6</v>
      </c>
      <c r="N67" s="488" t="n">
        <f aca="false">CHOOSE(J67,(Vout+(Rdson2+Rs+Rdcr)*K67)/(H67+(Rs+Rdson2-Rdson1)*K67),1,IF(H67&lt;Vout,D_max_buck_BB,Vout/H67*(1-D_min_boost_exitBB_to_buck)))</f>
        <v>0.643465546575925</v>
      </c>
      <c r="O67" s="488" t="n">
        <f aca="false">CHOOSE(J67,0,(Vout+(Rdson3+Rdcr)*L67-H67)/(Vout+(Rdson3-Rdson4-Rs)*L67),IF(H67&gt;Vout,D_min_boost_exitBB_to_buck, (Vout-H67*D_max_buck_BB)/Vout))</f>
        <v>0</v>
      </c>
      <c r="P67" s="385" t="n">
        <f aca="false">MAX(0, CHOOSE(J67, (H67-(Rdson1+Rdcr)*K67-Vout)*N67/(Fsw*Lf), (H67-(Rdson4+Rdcr+Rs)*L67)*O67/(Fsw*Lf), IF(H67&lt;Vout, (H67-(Rdson4+Rdcr+Rs)*L67)*O67/(0.5*Fsw*Lf),(H67-(Rdson1+Rdcr)*K67-Vout)*N67/(0.5*Fsw*Lf))))</f>
        <v>3.06020348629374</v>
      </c>
      <c r="Q67" s="488" t="n">
        <f aca="false">CHOOSE(J67, SQRT(K67^2+(P67^2)/12), SQRT(L67^2+(P67^2)/12), SQRT(M67^2+(P67^2)/12))</f>
        <v>6.06468496967982</v>
      </c>
      <c r="R67" s="488" t="n">
        <f aca="false">(Q67^2*Rdcr*(1+Ltc*Ta-Ltc*25))/(1-Q67^2*Rdcr*Ltc*ThetaCa)</f>
        <v>0.124440985909831</v>
      </c>
      <c r="S67" s="488" t="n">
        <f aca="false">7.759*10^-3*Fsw^0.9458*(0.00787*P67)^2.304</f>
        <v>0.219564196090923</v>
      </c>
      <c r="T67" s="488" t="n">
        <f aca="false">R67+S67</f>
        <v>0.344005182000754</v>
      </c>
      <c r="U67" s="385" t="n">
        <f aca="false">IF(H67&gt;Vout, P67/SQRT(12), SQRT(O67/(1-O67))*SQRT(K67^2+(P67^2)/12))</f>
        <v>0.883404653293362</v>
      </c>
      <c r="V67" s="488" t="n">
        <f aca="false">RCoutEsr*U67^2</f>
        <v>0.00390201890730183</v>
      </c>
      <c r="W67" s="488" t="n">
        <f aca="false">V67</f>
        <v>0.00390201890730183</v>
      </c>
      <c r="X67" s="488" t="n">
        <f aca="false">IF(H67&gt;Vout, SQRT(N67*(1-N67))*SQRT(K67^2+(P67^2)/12), P67/SQRT(12))</f>
        <v>2.90483619528714</v>
      </c>
      <c r="Y67" s="587" t="n">
        <f aca="false">RCinEsr*X67^2</f>
        <v>0.0168761466429005</v>
      </c>
      <c r="Z67" s="588" t="n">
        <f aca="false">Y67</f>
        <v>0.0168761466429005</v>
      </c>
      <c r="AA67" s="488" t="n">
        <f aca="false">CHOOSE(J67, SQRT(N67)*SQRT(K67^2+(P67^2)/12), SQRT(L67^2+(P67^2)/12), SQRT(N67)*SQRT(M67^2+(P67^2)/12))</f>
        <v>4.86486614641355</v>
      </c>
      <c r="AB67" s="488" t="n">
        <f aca="false">Rdson1*AA67^2</f>
        <v>0.134901458948368</v>
      </c>
      <c r="AC67" s="488" t="n">
        <f aca="false">CHOOSE(J67, (H67*K67/2)*(Fsw)*(Tr_buck+Tf_buck), 0, (H67*M67/2)*(Fsw/2)*(Tr_buck+Tf_buck))</f>
        <v>0.114627098995696</v>
      </c>
      <c r="AD67" s="0" t="n">
        <f aca="false">IF(H67&gt;Vout, IF(K67&gt;P67/2,0,ABS(K67-P67/2)*Vsd_Q1*Deadtime*Fsw),0)</f>
        <v>0</v>
      </c>
      <c r="AE67" s="488" t="n">
        <f aca="false">(AD67+AC67+AB67*(1+RdsonTopTc*Ta-RdsonTopTc*25))/(1-AB67*RdsonTopTc*ThetaJA_Q1)</f>
        <v>0.25644758871639</v>
      </c>
      <c r="AF67" s="488" t="n">
        <f aca="false">CHOOSE(J67, SQRT((1-N67))*SQRT(K67^2+(P67^2)/12), 0, SQRT((1-N67))*SQRT(M67^2+(P67^2)/12))</f>
        <v>3.62125408649265</v>
      </c>
      <c r="AG67" s="488" t="n">
        <f aca="false">Rdson2*AF67^2</f>
        <v>0.0747468426059565</v>
      </c>
      <c r="AH67" s="488" t="n">
        <f aca="false">CHOOSE(J67, IF(K67&lt;P67/2,Deadtime*Fsw*IF(VfdSky_Q2&gt;0,0,Vsd_Q2)*(K67+P67/2),2*Deadtime*Fsw*IF(VfdSky_Q2&gt;0,0,Vsd_Q2)*K67),0, IF(K67&lt;P67/2,Deadtime*Fsw/2*IF(VfdSky_Q2&gt;0,0,Vsd_Q2)*(K67+P67/2),2*Deadtime*Fsw/2*IF(VfdSky_Q2&gt;0,0,Vsd_Q2)*K67))</f>
        <v>0.144</v>
      </c>
      <c r="AI67" s="488" t="n">
        <f aca="false">(AH67+AG67*(1+RdsonBotTc*Ta-RdsonBotTc*25))/(1-AG67*RdsonBotTc*ThetaJA_Q2)</f>
        <v>0.222066598015944</v>
      </c>
      <c r="AJ67" s="488" t="n">
        <f aca="false">CHOOSE(J67, 0, SQRT(O67)*SQRT(L67^2+(P67^2)/12), SQRT(O67)*SQRT(M67^2+(P67^2)/12))</f>
        <v>0</v>
      </c>
      <c r="AK67" s="488" t="n">
        <f aca="false">Rdson4*AJ67^2</f>
        <v>0</v>
      </c>
      <c r="AL67" s="488" t="n">
        <f aca="false">CHOOSE(J67, 0, (Vout*L67/2)*(Fsw)*(Tr_boost+Tf_boost), (Vout*Iout/2)*(Fsw/2)*(Tr_boost+Tf_boost))</f>
        <v>0</v>
      </c>
      <c r="AM67" s="0" t="n">
        <f aca="false">IF(H67&gt;Vout, 0, IF(L67&gt;P67/2,0,ABS(L67-P67/2)*Vsd_Q4*Deadtime*Fsw))</f>
        <v>0</v>
      </c>
      <c r="AN67" s="488" t="n">
        <f aca="false">(AM67+AL67+AK67*(1+RdsonTopTc*Ta-RdsonTopTc*25))/(1-AK67*RdsonTopTc*ThetaJA_Q4)</f>
        <v>0</v>
      </c>
      <c r="AO67" s="488" t="n">
        <f aca="false">CHOOSE(J67, SQRT(Iout^2+(P67^2)/12), SQRT(1-O67)*SQRT(L67^2+(P67^2)/12), SQRT(1-O67)*SQRT(M67^2+(P67^2)/12))</f>
        <v>6.06468496967982</v>
      </c>
      <c r="AP67" s="488" t="n">
        <f aca="false">Rdson3*AO67^2</f>
        <v>0.0698827671847747</v>
      </c>
      <c r="AQ67" s="488" t="n">
        <f aca="false">CHOOSE(J67, 0, IF(L67&lt;P67/2,Deadtime*Fsw*IF(VfdSky_Q3&gt;0,0,Vsd_Q3)*(L67+P67/2), 2*Deadtime*Fsw*IF(VfdSky_Q3&gt;0,0,Vsd_Q3)*L67), IF(L67&lt;P67/2,Deadtime*Fsw/2*IF(VfdSky_Q3&gt;0,0,Vsd_Q3)*(L67+P67/2), 2*Deadtime*Fsw/2*IF(VfdSky_Q3&gt;0,0,Vsd_Q3)*L67))</f>
        <v>0</v>
      </c>
      <c r="AR67" s="488" t="n">
        <f aca="false">(AQ67+AP67*(1+RdsonBotTc*Ta-RdsonBotTc*25))/(1-AP67*RdsonBotTc*ThetaJA_Q3)</f>
        <v>0.0708733320980988</v>
      </c>
      <c r="AS67" s="488" t="n">
        <f aca="false">CHOOSE(J67, Rdson3*Q67^2, Rdson1*Q67^2, 0)</f>
        <v>0.0698827671847747</v>
      </c>
      <c r="AT67" s="488" t="n">
        <f aca="false">CHOOSE(J67, 2*Deadtime*Fsw*IF(VfdSky_Q2&gt;0,VfdSky_Q2,0)*K67, 2*Deadtime*Fsw*IF(VfdSky_Q3&gt;0,VfdSky_Q3,0)*L67, 2*Deadtime*Fsw/2*IF(VfdSky_Q2&gt;0,VfdSky_Q2,0)*K67+2*Deadtime*Fsw/2*IF(VfdSky_Q3&gt;0,VfdSky_Q3,0)*L67)</f>
        <v>0</v>
      </c>
      <c r="AU67" s="488" t="n">
        <f aca="false">CHOOSE(J67, IF(QrrSky_Q2&gt;0,QrrSky_Q2,Qrr_Q2)*Fsw*(H67-K67*Rdson1), IF(QrrSky_Q3&gt;0,QrrSky_Q3,Qrr_Q3)*Fsw*Vout,  IF(QrrSky_Q2&gt;0,QrrSky_Q2,Qrr_Q2)*Fsw/2*(H67-K67*Rdson1)+IF(QrrSky_Q3&gt;0,QrrSky_Q3,Qrr_Q3)*Fsw/2*Vout)</f>
        <v>0.35391762</v>
      </c>
      <c r="AV67" s="488" t="n">
        <f aca="false">CHOOSE(J67, Rs*AF67^2, Rs*AJ67^2, Rs*(AF67^2+AJ67^2))</f>
        <v>0.104907849271518</v>
      </c>
      <c r="AW67" s="488" t="n">
        <f aca="false">Rshunt_std/1000*Iout^2</f>
        <v>0.14832</v>
      </c>
      <c r="AX67" s="488" t="n">
        <f aca="false">IF(Vout&gt;8, Iq*Vout, Iq*H67)</f>
        <v>0.036</v>
      </c>
      <c r="AY67" s="488" t="n">
        <f aca="false">CHOOSE(J67, (Qg_Q1+Qg_Q2)*Fsw, (Qg_Q3+Qg_Q4)*Fsw, (Qg_Q1+Qg_Q2+Qg_Q3+Qg_Q4)*Fsw/2)*IF(Vout&gt;8, Vout, H67)</f>
        <v>0.0792</v>
      </c>
      <c r="AZ67" s="488" t="n">
        <f aca="false">(Vin-Vdd)*Fsw*(Qg_Q1+Qg_Q2)+(RdsonDRT+RdsonDRT2)*Fsw*Qg_Q1*Vdd/(RdsonDRT+2*Rgate1+RdsonDRT2)+(RdsonDRB+RdsonDRB2)*Fsw*Qg_Q2*Vdd/(RdsonDRB+2*Rgate2+RdsonDRB2)</f>
        <v>0.0522</v>
      </c>
      <c r="BA67" s="488" t="n">
        <f aca="false">SUM(AX67:AY67)</f>
        <v>0.1152</v>
      </c>
      <c r="BB67" s="488" t="n">
        <f aca="false">SUM(T67,W67,Z67,AE67,AI67,AN67,AR67, AT67,AU67,BA67,AV67,AW67)</f>
        <v>1.63651633565291</v>
      </c>
      <c r="BC67" s="419" t="n">
        <f aca="false">Vout*K67</f>
        <v>72</v>
      </c>
      <c r="BD67" s="589" t="n">
        <f aca="false">BC67/(BC67+BB67)</f>
        <v>0.977775750170021</v>
      </c>
      <c r="BE67" s="590" t="n">
        <f aca="false">IF(H67&gt;Vout,ThetaJA_Q1*(AE67+AU67),ThetaJA_Q4*(AN67+AU67))</f>
        <v>30.5182604358195</v>
      </c>
      <c r="BF67" s="590" t="n">
        <f aca="false">IF(H67&gt;Vout, AI67*ThetaJA_Q2, ThetaJA_Q3*AR67)</f>
        <v>11.1033299007972</v>
      </c>
      <c r="BG67" s="536"/>
      <c r="BH67" s="385" t="n">
        <f aca="false">BD67*100</f>
        <v>97.7775750170021</v>
      </c>
      <c r="BI67" s="488" t="n">
        <f aca="false">T67</f>
        <v>0.344005182000754</v>
      </c>
      <c r="BJ67" s="488" t="n">
        <f aca="false">AE67+AI67+AN67+AR67+AU67</f>
        <v>0.903305138830433</v>
      </c>
      <c r="BK67" s="488" t="n">
        <f aca="false">AI67+AU67*0.33</f>
        <v>0.338859412615944</v>
      </c>
      <c r="BL67" s="488" t="n">
        <f aca="false">AV67</f>
        <v>0.104907849271518</v>
      </c>
      <c r="BR67" s="591"/>
      <c r="BS67" s="592"/>
    </row>
    <row r="68" customFormat="false" ht="12.75" hidden="false" customHeight="false" outlineLevel="0" collapsed="false">
      <c r="A68" s="635" t="s">
        <v>881</v>
      </c>
      <c r="B68" s="636" t="e">
        <f aca="false">#REF!</f>
        <v>#REF!</v>
      </c>
      <c r="C68" s="618" t="s">
        <v>882</v>
      </c>
      <c r="D68" s="632"/>
      <c r="G68" s="0" t="n">
        <v>59</v>
      </c>
      <c r="H68" s="586" t="n">
        <f aca="false">VIN_min+(VIN_max-VIN_min)*(G68/200)</f>
        <v>18.98</v>
      </c>
      <c r="I68" s="385" t="str">
        <f aca="false">IF(H68&gt;VIN_BB_to_buck, "BUCK", IF(H68&lt;VIN_boost_to_BB,"BOOST","BUCK-BST"))</f>
        <v>BUCK</v>
      </c>
      <c r="J68" s="419" t="n">
        <f aca="false">IF(I68="BOOST",2, IF(I68="BUCK", 1,3))</f>
        <v>1</v>
      </c>
      <c r="K68" s="0" t="n">
        <f aca="false">Iout</f>
        <v>6</v>
      </c>
      <c r="L68" s="385" t="n">
        <f aca="false">Vout*K68/(H68*Efficiency)</f>
        <v>4.21496311907271</v>
      </c>
      <c r="M68" s="385" t="n">
        <f aca="false">Iout/(1-O68)</f>
        <v>6</v>
      </c>
      <c r="N68" s="488" t="n">
        <f aca="false">CHOOSE(J68,(Vout+(Rdson2+Rs+Rdcr)*K68)/(H68+(Rs+Rdson2-Rdson1)*K68),1,IF(H68&lt;Vout,D_max_buck_BB,Vout/H68*(1-D_min_boost_exitBB_to_buck)))</f>
        <v>0.636025856632332</v>
      </c>
      <c r="O68" s="488" t="n">
        <f aca="false">CHOOSE(J68,0,(Vout+(Rdson3+Rdcr)*L68-H68)/(Vout+(Rdson3-Rdson4-Rs)*L68),IF(H68&gt;Vout,D_min_boost_exitBB_to_buck, (Vout-H68*D_max_buck_BB)/Vout))</f>
        <v>0</v>
      </c>
      <c r="P68" s="385" t="n">
        <f aca="false">MAX(0, CHOOSE(J68, (H68-(Rdson1+Rdcr)*K68-Vout)*N68/(Fsw*Lf), (H68-(Rdson4+Rdcr+Rs)*L68)*O68/(Fsw*Lf), IF(H68&lt;Vout, (H68-(Rdson4+Rdcr+Rs)*L68)*O68/(0.5*Fsw*Lf),(H68-(Rdson1+Rdcr)*K68-Vout)*N68/(0.5*Fsw*Lf))))</f>
        <v>3.12405976970109</v>
      </c>
      <c r="Q68" s="488" t="n">
        <f aca="false">CHOOSE(J68, SQRT(K68^2+(P68^2)/12), SQRT(L68^2+(P68^2)/12), SQRT(M68^2+(P68^2)/12))</f>
        <v>6.06739750253122</v>
      </c>
      <c r="R68" s="488" t="n">
        <f aca="false">(Q68^2*Rdcr*(1+Ltc*Ta-Ltc*25))/(1-Q68^2*Rdcr*Ltc*ThetaCa)</f>
        <v>0.124553436910131</v>
      </c>
      <c r="S68" s="488" t="n">
        <f aca="false">7.759*10^-3*Fsw^0.9458*(0.00787*P68)^2.304</f>
        <v>0.230264063269489</v>
      </c>
      <c r="T68" s="488" t="n">
        <f aca="false">R68+S68</f>
        <v>0.35481750017962</v>
      </c>
      <c r="U68" s="385" t="n">
        <f aca="false">IF(H68&gt;Vout, P68/SQRT(12), SQRT(O68/(1-O68))*SQRT(K68^2+(P68^2)/12))</f>
        <v>0.901838374500702</v>
      </c>
      <c r="V68" s="488" t="n">
        <f aca="false">RCoutEsr*U68^2</f>
        <v>0.00406656226861034</v>
      </c>
      <c r="W68" s="488" t="n">
        <f aca="false">V68</f>
        <v>0.00406656226861034</v>
      </c>
      <c r="X68" s="488" t="n">
        <f aca="false">IF(H68&gt;Vout, SQRT(N68*(1-N68))*SQRT(K68^2+(P68^2)/12), P68/SQRT(12))</f>
        <v>2.91927562136583</v>
      </c>
      <c r="Y68" s="587" t="n">
        <f aca="false">RCinEsr*X68^2</f>
        <v>0.0170443403070017</v>
      </c>
      <c r="Z68" s="588" t="n">
        <f aca="false">Y68</f>
        <v>0.0170443403070017</v>
      </c>
      <c r="AA68" s="488" t="n">
        <f aca="false">CHOOSE(J68, SQRT(N68)*SQRT(K68^2+(P68^2)/12), SQRT(L68^2+(P68^2)/12), SQRT(N68)*SQRT(M68^2+(P68^2)/12))</f>
        <v>4.83882409153838</v>
      </c>
      <c r="AB68" s="488" t="n">
        <f aca="false">Rdson1*AA68^2</f>
        <v>0.133461045956458</v>
      </c>
      <c r="AC68" s="488" t="n">
        <f aca="false">CHOOSE(J68, (H68*K68/2)*(Fsw)*(Tr_buck+Tf_buck), 0, (H68*M68/2)*(Fsw/2)*(Tr_buck+Tf_buck))</f>
        <v>0.115971340028694</v>
      </c>
      <c r="AD68" s="0" t="n">
        <f aca="false">IF(H68&gt;Vout, IF(K68&gt;P68/2,0,ABS(K68-P68/2)*Vsd_Q1*Deadtime*Fsw),0)</f>
        <v>0</v>
      </c>
      <c r="AE68" s="488" t="n">
        <f aca="false">(AD68+AC68+AB68*(1+RdsonTopTc*Ta-RdsonTopTc*25))/(1-AB68*RdsonTopTc*ThetaJA_Q1)</f>
        <v>0.256272875179497</v>
      </c>
      <c r="AF68" s="488" t="n">
        <f aca="false">CHOOSE(J68, SQRT((1-N68))*SQRT(K68^2+(P68^2)/12), 0, SQRT((1-N68))*SQRT(M68^2+(P68^2)/12))</f>
        <v>3.6604772728252</v>
      </c>
      <c r="AG68" s="488" t="n">
        <f aca="false">Rdson2*AF68^2</f>
        <v>0.076374835029758</v>
      </c>
      <c r="AH68" s="488" t="n">
        <f aca="false">CHOOSE(J68, IF(K68&lt;P68/2,Deadtime*Fsw*IF(VfdSky_Q2&gt;0,0,Vsd_Q2)*(K68+P68/2),2*Deadtime*Fsw*IF(VfdSky_Q2&gt;0,0,Vsd_Q2)*K68),0, IF(K68&lt;P68/2,Deadtime*Fsw/2*IF(VfdSky_Q2&gt;0,0,Vsd_Q2)*(K68+P68/2),2*Deadtime*Fsw/2*IF(VfdSky_Q2&gt;0,0,Vsd_Q2)*K68))</f>
        <v>0.144</v>
      </c>
      <c r="AI68" s="488" t="n">
        <f aca="false">(AH68+AG68*(1+RdsonBotTc*Ta-RdsonBotTc*25))/(1-AG68*RdsonBotTc*ThetaJA_Q2)</f>
        <v>0.22379326984276</v>
      </c>
      <c r="AJ68" s="488" t="n">
        <f aca="false">CHOOSE(J68, 0, SQRT(O68)*SQRT(L68^2+(P68^2)/12), SQRT(O68)*SQRT(M68^2+(P68^2)/12))</f>
        <v>0</v>
      </c>
      <c r="AK68" s="488" t="n">
        <f aca="false">Rdson4*AJ68^2</f>
        <v>0</v>
      </c>
      <c r="AL68" s="488" t="n">
        <f aca="false">CHOOSE(J68, 0, (Vout*L68/2)*(Fsw)*(Tr_boost+Tf_boost), (Vout*Iout/2)*(Fsw/2)*(Tr_boost+Tf_boost))</f>
        <v>0</v>
      </c>
      <c r="AM68" s="0" t="n">
        <f aca="false">IF(H68&gt;Vout, 0, IF(L68&gt;P68/2,0,ABS(L68-P68/2)*Vsd_Q4*Deadtime*Fsw))</f>
        <v>0</v>
      </c>
      <c r="AN68" s="488" t="n">
        <f aca="false">(AM68+AL68+AK68*(1+RdsonTopTc*Ta-RdsonTopTc*25))/(1-AK68*RdsonTopTc*ThetaJA_Q4)</f>
        <v>0</v>
      </c>
      <c r="AO68" s="488" t="n">
        <f aca="false">CHOOSE(J68, SQRT(Iout^2+(P68^2)/12), SQRT(1-O68)*SQRT(L68^2+(P68^2)/12), SQRT(1-O68)*SQRT(M68^2+(P68^2)/12))</f>
        <v>6.06739750253122</v>
      </c>
      <c r="AP68" s="488" t="n">
        <f aca="false">Rdson3*AO68^2</f>
        <v>0.0699452936620719</v>
      </c>
      <c r="AQ68" s="488" t="n">
        <f aca="false">CHOOSE(J68, 0, IF(L68&lt;P68/2,Deadtime*Fsw*IF(VfdSky_Q3&gt;0,0,Vsd_Q3)*(L68+P68/2), 2*Deadtime*Fsw*IF(VfdSky_Q3&gt;0,0,Vsd_Q3)*L68), IF(L68&lt;P68/2,Deadtime*Fsw/2*IF(VfdSky_Q3&gt;0,0,Vsd_Q3)*(L68+P68/2), 2*Deadtime*Fsw/2*IF(VfdSky_Q3&gt;0,0,Vsd_Q3)*L68))</f>
        <v>0</v>
      </c>
      <c r="AR68" s="488" t="n">
        <f aca="false">(AQ68+AP68*(1+RdsonBotTc*Ta-RdsonBotTc*25))/(1-AP68*RdsonBotTc*ThetaJA_Q3)</f>
        <v>0.0709376445378511</v>
      </c>
      <c r="AS68" s="488" t="n">
        <f aca="false">CHOOSE(J68, Rdson3*Q68^2, Rdson1*Q68^2, 0)</f>
        <v>0.0699452936620719</v>
      </c>
      <c r="AT68" s="488" t="n">
        <f aca="false">CHOOSE(J68, 2*Deadtime*Fsw*IF(VfdSky_Q2&gt;0,VfdSky_Q2,0)*K68, 2*Deadtime*Fsw*IF(VfdSky_Q3&gt;0,VfdSky_Q3,0)*L68, 2*Deadtime*Fsw/2*IF(VfdSky_Q2&gt;0,VfdSky_Q2,0)*K68+2*Deadtime*Fsw/2*IF(VfdSky_Q3&gt;0,VfdSky_Q3,0)*L68)</f>
        <v>0</v>
      </c>
      <c r="AU68" s="488" t="n">
        <f aca="false">CHOOSE(J68, IF(QrrSky_Q2&gt;0,QrrSky_Q2,Qrr_Q2)*Fsw*(H68-K68*Rdson1), IF(QrrSky_Q3&gt;0,QrrSky_Q3,Qrr_Q3)*Fsw*Vout,  IF(QrrSky_Q2&gt;0,QrrSky_Q2,Qrr_Q2)*Fsw/2*(H68-K68*Rdson1)+IF(QrrSky_Q3&gt;0,QrrSky_Q3,Qrr_Q3)*Fsw/2*Vout)</f>
        <v>0.35807562</v>
      </c>
      <c r="AV68" s="488" t="n">
        <f aca="false">CHOOSE(J68, Rs*AF68^2, Rs*AJ68^2, Rs*(AF68^2+AJ68^2))</f>
        <v>0.107192750918959</v>
      </c>
      <c r="AW68" s="488" t="n">
        <f aca="false">Rshunt_std/1000*Iout^2</f>
        <v>0.14832</v>
      </c>
      <c r="AX68" s="488" t="n">
        <f aca="false">IF(Vout&gt;8, Iq*Vout, Iq*H68)</f>
        <v>0.036</v>
      </c>
      <c r="AY68" s="488" t="n">
        <f aca="false">CHOOSE(J68, (Qg_Q1+Qg_Q2)*Fsw, (Qg_Q3+Qg_Q4)*Fsw, (Qg_Q1+Qg_Q2+Qg_Q3+Qg_Q4)*Fsw/2)*IF(Vout&gt;8, Vout, H68)</f>
        <v>0.0792</v>
      </c>
      <c r="AZ68" s="488" t="n">
        <f aca="false">(Vin-Vdd)*Fsw*(Qg_Q1+Qg_Q2)+(RdsonDRT+RdsonDRT2)*Fsw*Qg_Q1*Vdd/(RdsonDRT+2*Rgate1+RdsonDRT2)+(RdsonDRB+RdsonDRB2)*Fsw*Qg_Q2*Vdd/(RdsonDRB+2*Rgate2+RdsonDRB2)</f>
        <v>0.0522</v>
      </c>
      <c r="BA68" s="488" t="n">
        <f aca="false">SUM(AX68:AY68)</f>
        <v>0.1152</v>
      </c>
      <c r="BB68" s="488" t="n">
        <f aca="false">SUM(T68,W68,Z68,AE68,AI68,AN68,AR68, AT68,AU68,BA68,AV68,AW68)</f>
        <v>1.6557205632343</v>
      </c>
      <c r="BC68" s="419" t="n">
        <f aca="false">Vout*K68</f>
        <v>72</v>
      </c>
      <c r="BD68" s="589" t="n">
        <f aca="false">BC68/(BC68+BB68)</f>
        <v>0.977520815076232</v>
      </c>
      <c r="BE68" s="590" t="n">
        <f aca="false">IF(H68&gt;Vout,ThetaJA_Q1*(AE68+AU68),ThetaJA_Q4*(AN68+AU68))</f>
        <v>30.7174247589749</v>
      </c>
      <c r="BF68" s="590" t="n">
        <f aca="false">IF(H68&gt;Vout, AI68*ThetaJA_Q2, ThetaJA_Q3*AR68)</f>
        <v>11.189663492138</v>
      </c>
      <c r="BG68" s="536"/>
      <c r="BH68" s="385" t="n">
        <f aca="false">BD68*100</f>
        <v>97.7520815076232</v>
      </c>
      <c r="BI68" s="488" t="n">
        <f aca="false">T68</f>
        <v>0.35481750017962</v>
      </c>
      <c r="BJ68" s="488" t="n">
        <f aca="false">AE68+AI68+AN68+AR68+AU68</f>
        <v>0.909079409560109</v>
      </c>
      <c r="BK68" s="488" t="n">
        <f aca="false">AI68+AU68*0.33</f>
        <v>0.34195822444276</v>
      </c>
      <c r="BL68" s="488" t="n">
        <f aca="false">AV68</f>
        <v>0.107192750918959</v>
      </c>
      <c r="BR68" s="591"/>
      <c r="BS68" s="592"/>
    </row>
    <row r="69" customFormat="false" ht="12.75" hidden="false" customHeight="false" outlineLevel="0" collapsed="false">
      <c r="A69" s="600" t="s">
        <v>883</v>
      </c>
      <c r="B69" s="636" t="e">
        <f aca="false">1-B68</f>
        <v>#REF!</v>
      </c>
      <c r="C69" s="618" t="s">
        <v>882</v>
      </c>
      <c r="G69" s="0" t="n">
        <v>60</v>
      </c>
      <c r="H69" s="586" t="n">
        <f aca="false">VIN_min+(VIN_max-VIN_min)*(G69/200)</f>
        <v>19.2</v>
      </c>
      <c r="I69" s="385" t="str">
        <f aca="false">IF(H69&gt;VIN_BB_to_buck, "BUCK", IF(H69&lt;VIN_boost_to_BB,"BOOST","BUCK-BST"))</f>
        <v>BUCK</v>
      </c>
      <c r="J69" s="419" t="n">
        <f aca="false">IF(I69="BOOST",2, IF(I69="BUCK", 1,3))</f>
        <v>1</v>
      </c>
      <c r="K69" s="0" t="n">
        <f aca="false">Iout</f>
        <v>6</v>
      </c>
      <c r="L69" s="385" t="n">
        <f aca="false">Vout*K69/(H69*Efficiency)</f>
        <v>4.16666666666667</v>
      </c>
      <c r="M69" s="385" t="n">
        <f aca="false">Iout/(1-O69)</f>
        <v>6</v>
      </c>
      <c r="N69" s="488" t="n">
        <f aca="false">CHOOSE(J69,(Vout+(Rdson2+Rs+Rdcr)*K69)/(H69+(Rs+Rdson2-Rdson1)*K69),1,IF(H69&lt;Vout,D_max_buck_BB,Vout/H69*(1-D_min_boost_exitBB_to_buck)))</f>
        <v>0.628756234413965</v>
      </c>
      <c r="O69" s="488" t="n">
        <f aca="false">CHOOSE(J69,0,(Vout+(Rdson3+Rdcr)*L69-H69)/(Vout+(Rdson3-Rdson4-Rs)*L69),IF(H69&gt;Vout,D_min_boost_exitBB_to_buck, (Vout-H69*D_max_buck_BB)/Vout))</f>
        <v>0</v>
      </c>
      <c r="P69" s="385" t="n">
        <f aca="false">MAX(0, CHOOSE(J69, (H69-(Rdson1+Rdcr)*K69-Vout)*N69/(Fsw*Lf), (H69-(Rdson4+Rdcr+Rs)*L69)*O69/(Fsw*Lf), IF(H69&lt;Vout, (H69-(Rdson4+Rdcr+Rs)*L69)*O69/(0.5*Fsw*Lf),(H69-(Rdson1+Rdcr)*K69-Vout)*N69/(0.5*Fsw*Lf))))</f>
        <v>3.18645632925665</v>
      </c>
      <c r="Q69" s="488" t="n">
        <f aca="false">CHOOSE(J69, SQRT(K69^2+(P69^2)/12), SQRT(L69^2+(P69^2)/12), SQRT(M69^2+(P69^2)/12))</f>
        <v>6.07010093229003</v>
      </c>
      <c r="R69" s="488" t="n">
        <f aca="false">(Q69^2*Rdcr*(1+Ltc*Ta-Ltc*25))/(1-Q69^2*Rdcr*Ltc*ThetaCa)</f>
        <v>0.124665562557919</v>
      </c>
      <c r="S69" s="488" t="n">
        <f aca="false">7.759*10^-3*Fsw^0.9458*(0.00787*P69)^2.304</f>
        <v>0.240998523959123</v>
      </c>
      <c r="T69" s="488" t="n">
        <f aca="false">R69+S69</f>
        <v>0.365664086517041</v>
      </c>
      <c r="U69" s="385" t="n">
        <f aca="false">IF(H69&gt;Vout, P69/SQRT(12), SQRT(O69/(1-O69))*SQRT(K69^2+(P69^2)/12))</f>
        <v>0.919850709728656</v>
      </c>
      <c r="V69" s="488" t="n">
        <f aca="false">RCoutEsr*U69^2</f>
        <v>0.00423062664094156</v>
      </c>
      <c r="W69" s="488" t="n">
        <f aca="false">V69</f>
        <v>0.00423062664094156</v>
      </c>
      <c r="X69" s="488" t="n">
        <f aca="false">IF(H69&gt;Vout, SQRT(N69*(1-N69))*SQRT(K69^2+(P69^2)/12), P69/SQRT(12))</f>
        <v>2.93269331500497</v>
      </c>
      <c r="Y69" s="587" t="n">
        <f aca="false">RCinEsr*X69^2</f>
        <v>0.0172013801597497</v>
      </c>
      <c r="Z69" s="588" t="n">
        <f aca="false">Y69</f>
        <v>0.0172013801597497</v>
      </c>
      <c r="AA69" s="488" t="n">
        <f aca="false">CHOOSE(J69, SQRT(N69)*SQRT(K69^2+(P69^2)/12), SQRT(L69^2+(P69^2)/12), SQRT(N69)*SQRT(M69^2+(P69^2)/12))</f>
        <v>4.81323498430076</v>
      </c>
      <c r="AB69" s="488" t="n">
        <f aca="false">Rdson1*AA69^2</f>
        <v>0.132053216780351</v>
      </c>
      <c r="AC69" s="488" t="n">
        <f aca="false">CHOOSE(J69, (H69*K69/2)*(Fsw)*(Tr_buck+Tf_buck), 0, (H69*M69/2)*(Fsw/2)*(Tr_buck+Tf_buck))</f>
        <v>0.117315581061693</v>
      </c>
      <c r="AD69" s="0" t="n">
        <f aca="false">IF(H69&gt;Vout, IF(K69&gt;P69/2,0,ABS(K69-P69/2)*Vsd_Q1*Deadtime*Fsw),0)</f>
        <v>0</v>
      </c>
      <c r="AE69" s="488" t="n">
        <f aca="false">(AD69+AC69+AB69*(1+RdsonTopTc*Ta-RdsonTopTc*25))/(1-AB69*RdsonTopTc*ThetaJA_Q1)</f>
        <v>0.2561334469613</v>
      </c>
      <c r="AF69" s="488" t="n">
        <f aca="false">CHOOSE(J69, SQRT((1-N69))*SQRT(K69^2+(P69^2)/12), 0, SQRT((1-N69))*SQRT(M69^2+(P69^2)/12))</f>
        <v>3.69849892714485</v>
      </c>
      <c r="AG69" s="488" t="n">
        <f aca="false">Rdson2*AF69^2</f>
        <v>0.0779696975903222</v>
      </c>
      <c r="AH69" s="488" t="n">
        <f aca="false">CHOOSE(J69, IF(K69&lt;P69/2,Deadtime*Fsw*IF(VfdSky_Q2&gt;0,0,Vsd_Q2)*(K69+P69/2),2*Deadtime*Fsw*IF(VfdSky_Q2&gt;0,0,Vsd_Q2)*K69),0, IF(K69&lt;P69/2,Deadtime*Fsw/2*IF(VfdSky_Q2&gt;0,0,Vsd_Q2)*(K69+P69/2),2*Deadtime*Fsw/2*IF(VfdSky_Q2&gt;0,0,Vsd_Q2)*K69))</f>
        <v>0.144</v>
      </c>
      <c r="AI69" s="488" t="n">
        <f aca="false">(AH69+AG69*(1+RdsonBotTc*Ta-RdsonBotTc*25))/(1-AG69*RdsonBotTc*ThetaJA_Q2)</f>
        <v>0.22548591125257</v>
      </c>
      <c r="AJ69" s="488" t="n">
        <f aca="false">CHOOSE(J69, 0, SQRT(O69)*SQRT(L69^2+(P69^2)/12), SQRT(O69)*SQRT(M69^2+(P69^2)/12))</f>
        <v>0</v>
      </c>
      <c r="AK69" s="488" t="n">
        <f aca="false">Rdson4*AJ69^2</f>
        <v>0</v>
      </c>
      <c r="AL69" s="488" t="n">
        <f aca="false">CHOOSE(J69, 0, (Vout*L69/2)*(Fsw)*(Tr_boost+Tf_boost), (Vout*Iout/2)*(Fsw/2)*(Tr_boost+Tf_boost))</f>
        <v>0</v>
      </c>
      <c r="AM69" s="0" t="n">
        <f aca="false">IF(H69&gt;Vout, 0, IF(L69&gt;P69/2,0,ABS(L69-P69/2)*Vsd_Q4*Deadtime*Fsw))</f>
        <v>0</v>
      </c>
      <c r="AN69" s="488" t="n">
        <f aca="false">(AM69+AL69+AK69*(1+RdsonTopTc*Ta-RdsonTopTc*25))/(1-AK69*RdsonTopTc*ThetaJA_Q4)</f>
        <v>0</v>
      </c>
      <c r="AO69" s="488" t="n">
        <f aca="false">CHOOSE(J69, SQRT(Iout^2+(P69^2)/12), SQRT(1-O69)*SQRT(L69^2+(P69^2)/12), SQRT(1-O69)*SQRT(M69^2+(P69^2)/12))</f>
        <v>6.07010093229003</v>
      </c>
      <c r="AP69" s="488" t="n">
        <f aca="false">Rdson3*AO69^2</f>
        <v>0.0700076381235578</v>
      </c>
      <c r="AQ69" s="488" t="n">
        <f aca="false">CHOOSE(J69, 0, IF(L69&lt;P69/2,Deadtime*Fsw*IF(VfdSky_Q3&gt;0,0,Vsd_Q3)*(L69+P69/2), 2*Deadtime*Fsw*IF(VfdSky_Q3&gt;0,0,Vsd_Q3)*L69), IF(L69&lt;P69/2,Deadtime*Fsw/2*IF(VfdSky_Q3&gt;0,0,Vsd_Q3)*(L69+P69/2), 2*Deadtime*Fsw/2*IF(VfdSky_Q3&gt;0,0,Vsd_Q3)*L69))</f>
        <v>0</v>
      </c>
      <c r="AR69" s="488" t="n">
        <f aca="false">(AQ69+AP69*(1+RdsonBotTc*Ta-RdsonBotTc*25))/(1-AP69*RdsonBotTc*ThetaJA_Q3)</f>
        <v>0.0710017713870369</v>
      </c>
      <c r="AS69" s="488" t="n">
        <f aca="false">CHOOSE(J69, Rdson3*Q69^2, Rdson1*Q69^2, 0)</f>
        <v>0.0700076381235578</v>
      </c>
      <c r="AT69" s="488" t="n">
        <f aca="false">CHOOSE(J69, 2*Deadtime*Fsw*IF(VfdSky_Q2&gt;0,VfdSky_Q2,0)*K69, 2*Deadtime*Fsw*IF(VfdSky_Q3&gt;0,VfdSky_Q3,0)*L69, 2*Deadtime*Fsw/2*IF(VfdSky_Q2&gt;0,VfdSky_Q2,0)*K69+2*Deadtime*Fsw/2*IF(VfdSky_Q3&gt;0,VfdSky_Q3,0)*L69)</f>
        <v>0</v>
      </c>
      <c r="AU69" s="488" t="n">
        <f aca="false">CHOOSE(J69, IF(QrrSky_Q2&gt;0,QrrSky_Q2,Qrr_Q2)*Fsw*(H69-K69*Rdson1), IF(QrrSky_Q3&gt;0,QrrSky_Q3,Qrr_Q3)*Fsw*Vout,  IF(QrrSky_Q2&gt;0,QrrSky_Q2,Qrr_Q2)*Fsw/2*(H69-K69*Rdson1)+IF(QrrSky_Q3&gt;0,QrrSky_Q3,Qrr_Q3)*Fsw/2*Vout)</f>
        <v>0.36223362</v>
      </c>
      <c r="AV69" s="488" t="n">
        <f aca="false">CHOOSE(J69, Rs*AF69^2, Rs*AJ69^2, Rs*(AF69^2+AJ69^2))</f>
        <v>0.109431154512733</v>
      </c>
      <c r="AW69" s="488" t="n">
        <f aca="false">Rshunt_std/1000*Iout^2</f>
        <v>0.14832</v>
      </c>
      <c r="AX69" s="488" t="n">
        <f aca="false">IF(Vout&gt;8, Iq*Vout, Iq*H69)</f>
        <v>0.036</v>
      </c>
      <c r="AY69" s="488" t="n">
        <f aca="false">CHOOSE(J69, (Qg_Q1+Qg_Q2)*Fsw, (Qg_Q3+Qg_Q4)*Fsw, (Qg_Q1+Qg_Q2+Qg_Q3+Qg_Q4)*Fsw/2)*IF(Vout&gt;8, Vout, H69)</f>
        <v>0.0792</v>
      </c>
      <c r="AZ69" s="488" t="n">
        <f aca="false">(Vin-Vdd)*Fsw*(Qg_Q1+Qg_Q2)+(RdsonDRT+RdsonDRT2)*Fsw*Qg_Q1*Vdd/(RdsonDRT+2*Rgate1+RdsonDRT2)+(RdsonDRB+RdsonDRB2)*Fsw*Qg_Q2*Vdd/(RdsonDRB+2*Rgate2+RdsonDRB2)</f>
        <v>0.0522</v>
      </c>
      <c r="BA69" s="488" t="n">
        <f aca="false">SUM(AX69:AY69)</f>
        <v>0.1152</v>
      </c>
      <c r="BB69" s="488" t="n">
        <f aca="false">SUM(T69,W69,Z69,AE69,AI69,AN69,AR69, AT69,AU69,BA69,AV69,AW69)</f>
        <v>1.67490199743137</v>
      </c>
      <c r="BC69" s="419" t="n">
        <f aca="false">Vout*K69</f>
        <v>72</v>
      </c>
      <c r="BD69" s="589" t="n">
        <f aca="false">BC69/(BC69+BB69)</f>
        <v>0.977266315230528</v>
      </c>
      <c r="BE69" s="590" t="n">
        <f aca="false">IF(H69&gt;Vout,ThetaJA_Q1*(AE69+AU69),ThetaJA_Q4*(AN69+AU69))</f>
        <v>30.918353348065</v>
      </c>
      <c r="BF69" s="590" t="n">
        <f aca="false">IF(H69&gt;Vout, AI69*ThetaJA_Q2, ThetaJA_Q3*AR69)</f>
        <v>11.2742955626285</v>
      </c>
      <c r="BG69" s="536"/>
      <c r="BH69" s="385" t="n">
        <f aca="false">BD69*100</f>
        <v>97.7266315230528</v>
      </c>
      <c r="BI69" s="488" t="n">
        <f aca="false">T69</f>
        <v>0.365664086517041</v>
      </c>
      <c r="BJ69" s="488" t="n">
        <f aca="false">AE69+AI69+AN69+AR69+AU69</f>
        <v>0.914854749600907</v>
      </c>
      <c r="BK69" s="488" t="n">
        <f aca="false">AI69+AU69*0.33</f>
        <v>0.34502300585257</v>
      </c>
      <c r="BL69" s="488" t="n">
        <f aca="false">AV69</f>
        <v>0.109431154512733</v>
      </c>
      <c r="BR69" s="591"/>
      <c r="BS69" s="592"/>
    </row>
    <row r="70" customFormat="false" ht="12.75" hidden="false" customHeight="false" outlineLevel="0" collapsed="false">
      <c r="A70" s="637" t="s">
        <v>884</v>
      </c>
      <c r="B70" s="636" t="n">
        <f aca="false">Iripple_Vinnom</f>
        <v>0.0159099544072948</v>
      </c>
      <c r="C70" s="618" t="s">
        <v>16</v>
      </c>
      <c r="G70" s="0" t="n">
        <v>61</v>
      </c>
      <c r="H70" s="586" t="n">
        <f aca="false">VIN_min+(VIN_max-VIN_min)*(G70/200)</f>
        <v>19.42</v>
      </c>
      <c r="I70" s="385" t="str">
        <f aca="false">IF(H70&gt;VIN_BB_to_buck, "BUCK", IF(H70&lt;VIN_boost_to_BB,"BOOST","BUCK-BST"))</f>
        <v>BUCK</v>
      </c>
      <c r="J70" s="419" t="n">
        <f aca="false">IF(I70="BOOST",2, IF(I70="BUCK", 1,3))</f>
        <v>1</v>
      </c>
      <c r="K70" s="0" t="n">
        <f aca="false">Iout</f>
        <v>6</v>
      </c>
      <c r="L70" s="385" t="n">
        <f aca="false">Vout*K70/(H70*Efficiency)</f>
        <v>4.11946446961895</v>
      </c>
      <c r="M70" s="385" t="n">
        <f aca="false">Iout/(1-O70)</f>
        <v>6</v>
      </c>
      <c r="N70" s="488" t="n">
        <f aca="false">CHOOSE(J70,(Vout+(Rdson2+Rs+Rdcr)*K70)/(H70+(Rs+Rdson2-Rdson1)*K70),1,IF(H70&lt;Vout,D_max_buck_BB,Vout/H70*(1-D_min_boost_exitBB_to_buck)))</f>
        <v>0.621650914320937</v>
      </c>
      <c r="O70" s="488" t="n">
        <f aca="false">CHOOSE(J70,0,(Vout+(Rdson3+Rdcr)*L70-H70)/(Vout+(Rdson3-Rdson4-Rs)*L70),IF(H70&gt;Vout,D_min_boost_exitBB_to_buck, (Vout-H70*D_max_buck_BB)/Vout))</f>
        <v>0</v>
      </c>
      <c r="P70" s="385" t="n">
        <f aca="false">MAX(0, CHOOSE(J70, (H70-(Rdson1+Rdcr)*K70-Vout)*N70/(Fsw*Lf), (H70-(Rdson4+Rdcr+Rs)*L70)*O70/(Fsw*Lf), IF(H70&lt;Vout, (H70-(Rdson4+Rdcr+Rs)*L70)*O70/(0.5*Fsw*Lf),(H70-(Rdson1+Rdcr)*K70-Vout)*N70/(0.5*Fsw*Lf))))</f>
        <v>3.24744265220832</v>
      </c>
      <c r="Q70" s="488" t="n">
        <f aca="false">CHOOSE(J70, SQRT(K70^2+(P70^2)/12), SQRT(L70^2+(P70^2)/12), SQRT(M70^2+(P70^2)/12))</f>
        <v>6.07279372680168</v>
      </c>
      <c r="R70" s="488" t="n">
        <f aca="false">(Q70^2*Rdcr*(1+Ltc*Ta-Ltc*25))/(1-Q70^2*Rdcr*Ltc*ThetaCa)</f>
        <v>0.124777298740555</v>
      </c>
      <c r="S70" s="488" t="n">
        <f aca="false">7.759*10^-3*Fsw^0.9458*(0.00787*P70)^2.304</f>
        <v>0.251758656272827</v>
      </c>
      <c r="T70" s="488" t="n">
        <f aca="false">R70+S70</f>
        <v>0.376535955013382</v>
      </c>
      <c r="U70" s="385" t="n">
        <f aca="false">IF(H70&gt;Vout, P70/SQRT(12), SQRT(O70/(1-O70))*SQRT(K70^2+(P70^2)/12))</f>
        <v>0.937455944715172</v>
      </c>
      <c r="V70" s="488" t="n">
        <f aca="false">RCoutEsr*U70^2</f>
        <v>0.00439411824140908</v>
      </c>
      <c r="W70" s="488" t="n">
        <f aca="false">V70</f>
        <v>0.00439411824140908</v>
      </c>
      <c r="X70" s="488" t="n">
        <f aca="false">IF(H70&gt;Vout, SQRT(N70*(1-N70))*SQRT(K70^2+(P70^2)/12), P70/SQRT(12))</f>
        <v>2.94515504360805</v>
      </c>
      <c r="Y70" s="587" t="n">
        <f aca="false">RCinEsr*X70^2</f>
        <v>0.0173478764617799</v>
      </c>
      <c r="Z70" s="588" t="n">
        <f aca="false">Y70</f>
        <v>0.0173478764617799</v>
      </c>
      <c r="AA70" s="488" t="n">
        <f aca="false">CHOOSE(J70, SQRT(N70)*SQRT(K70^2+(P70^2)/12), SQRT(L70^2+(P70^2)/12), SQRT(N70)*SQRT(M70^2+(P70^2)/12))</f>
        <v>4.78808463167006</v>
      </c>
      <c r="AB70" s="488" t="n">
        <f aca="false">Rdson1*AA70^2</f>
        <v>0.130676800308199</v>
      </c>
      <c r="AC70" s="488" t="n">
        <f aca="false">CHOOSE(J70, (H70*K70/2)*(Fsw)*(Tr_buck+Tf_buck), 0, (H70*M70/2)*(Fsw/2)*(Tr_buck+Tf_buck))</f>
        <v>0.118659822094692</v>
      </c>
      <c r="AD70" s="0" t="n">
        <f aca="false">IF(H70&gt;Vout, IF(K70&gt;P70/2,0,ABS(K70-P70/2)*Vsd_Q1*Deadtime*Fsw),0)</f>
        <v>0</v>
      </c>
      <c r="AE70" s="488" t="n">
        <f aca="false">(AD70+AC70+AB70*(1+RdsonTopTc*Ta-RdsonTopTc*25))/(1-AB70*RdsonTopTc*ThetaJA_Q1)</f>
        <v>0.256028006539669</v>
      </c>
      <c r="AF70" s="488" t="n">
        <f aca="false">CHOOSE(J70, SQRT((1-N70))*SQRT(K70^2+(P70^2)/12), 0, SQRT((1-N70))*SQRT(M70^2+(P70^2)/12))</f>
        <v>3.73538073136419</v>
      </c>
      <c r="AG70" s="488" t="n">
        <f aca="false">Rdson2*AF70^2</f>
        <v>0.0795324944870069</v>
      </c>
      <c r="AH70" s="488" t="n">
        <f aca="false">CHOOSE(J70, IF(K70&lt;P70/2,Deadtime*Fsw*IF(VfdSky_Q2&gt;0,0,Vsd_Q2)*(K70+P70/2),2*Deadtime*Fsw*IF(VfdSky_Q2&gt;0,0,Vsd_Q2)*K70),0, IF(K70&lt;P70/2,Deadtime*Fsw/2*IF(VfdSky_Q2&gt;0,0,Vsd_Q2)*(K70+P70/2),2*Deadtime*Fsw/2*IF(VfdSky_Q2&gt;0,0,Vsd_Q2)*K70))</f>
        <v>0.144</v>
      </c>
      <c r="AI70" s="488" t="n">
        <f aca="false">(AH70+AG70*(1+RdsonBotTc*Ta-RdsonBotTc*25))/(1-AG70*RdsonBotTc*ThetaJA_Q2)</f>
        <v>0.227145585492188</v>
      </c>
      <c r="AJ70" s="488" t="n">
        <f aca="false">CHOOSE(J70, 0, SQRT(O70)*SQRT(L70^2+(P70^2)/12), SQRT(O70)*SQRT(M70^2+(P70^2)/12))</f>
        <v>0</v>
      </c>
      <c r="AK70" s="488" t="n">
        <f aca="false">Rdson4*AJ70^2</f>
        <v>0</v>
      </c>
      <c r="AL70" s="488" t="n">
        <f aca="false">CHOOSE(J70, 0, (Vout*L70/2)*(Fsw)*(Tr_boost+Tf_boost), (Vout*Iout/2)*(Fsw/2)*(Tr_boost+Tf_boost))</f>
        <v>0</v>
      </c>
      <c r="AM70" s="0" t="n">
        <f aca="false">IF(H70&gt;Vout, 0, IF(L70&gt;P70/2,0,ABS(L70-P70/2)*Vsd_Q4*Deadtime*Fsw))</f>
        <v>0</v>
      </c>
      <c r="AN70" s="488" t="n">
        <f aca="false">(AM70+AL70+AK70*(1+RdsonTopTc*Ta-RdsonTopTc*25))/(1-AK70*RdsonTopTc*ThetaJA_Q4)</f>
        <v>0</v>
      </c>
      <c r="AO70" s="488" t="n">
        <f aca="false">CHOOSE(J70, SQRT(Iout^2+(P70^2)/12), SQRT(1-O70)*SQRT(L70^2+(P70^2)/12), SQRT(1-O70)*SQRT(M70^2+(P70^2)/12))</f>
        <v>6.07279372680168</v>
      </c>
      <c r="AP70" s="488" t="n">
        <f aca="false">Rdson3*AO70^2</f>
        <v>0.0700697649317355</v>
      </c>
      <c r="AQ70" s="488" t="n">
        <f aca="false">CHOOSE(J70, 0, IF(L70&lt;P70/2,Deadtime*Fsw*IF(VfdSky_Q3&gt;0,0,Vsd_Q3)*(L70+P70/2), 2*Deadtime*Fsw*IF(VfdSky_Q3&gt;0,0,Vsd_Q3)*L70), IF(L70&lt;P70/2,Deadtime*Fsw/2*IF(VfdSky_Q3&gt;0,0,Vsd_Q3)*(L70+P70/2), 2*Deadtime*Fsw/2*IF(VfdSky_Q3&gt;0,0,Vsd_Q3)*L70))</f>
        <v>0</v>
      </c>
      <c r="AR70" s="488" t="n">
        <f aca="false">(AQ70+AP70*(1+RdsonBotTc*Ta-RdsonBotTc*25))/(1-AP70*RdsonBotTc*ThetaJA_Q3)</f>
        <v>0.0710656759737749</v>
      </c>
      <c r="AS70" s="488" t="n">
        <f aca="false">CHOOSE(J70, Rdson3*Q70^2, Rdson1*Q70^2, 0)</f>
        <v>0.0700697649317355</v>
      </c>
      <c r="AT70" s="488" t="n">
        <f aca="false">CHOOSE(J70, 2*Deadtime*Fsw*IF(VfdSky_Q2&gt;0,VfdSky_Q2,0)*K70, 2*Deadtime*Fsw*IF(VfdSky_Q3&gt;0,VfdSky_Q3,0)*L70, 2*Deadtime*Fsw/2*IF(VfdSky_Q2&gt;0,VfdSky_Q2,0)*K70+2*Deadtime*Fsw/2*IF(VfdSky_Q3&gt;0,VfdSky_Q3,0)*L70)</f>
        <v>0</v>
      </c>
      <c r="AU70" s="488" t="n">
        <f aca="false">CHOOSE(J70, IF(QrrSky_Q2&gt;0,QrrSky_Q2,Qrr_Q2)*Fsw*(H70-K70*Rdson1), IF(QrrSky_Q3&gt;0,QrrSky_Q3,Qrr_Q3)*Fsw*Vout,  IF(QrrSky_Q2&gt;0,QrrSky_Q2,Qrr_Q2)*Fsw/2*(H70-K70*Rdson1)+IF(QrrSky_Q3&gt;0,QrrSky_Q3,Qrr_Q3)*Fsw/2*Vout)</f>
        <v>0.36639162</v>
      </c>
      <c r="AV70" s="488" t="n">
        <f aca="false">CHOOSE(J70, Rs*AF70^2, Rs*AJ70^2, Rs*(AF70^2+AJ70^2))</f>
        <v>0.111624553665975</v>
      </c>
      <c r="AW70" s="488" t="n">
        <f aca="false">Rshunt_std/1000*Iout^2</f>
        <v>0.14832</v>
      </c>
      <c r="AX70" s="488" t="n">
        <f aca="false">IF(Vout&gt;8, Iq*Vout, Iq*H70)</f>
        <v>0.036</v>
      </c>
      <c r="AY70" s="488" t="n">
        <f aca="false">CHOOSE(J70, (Qg_Q1+Qg_Q2)*Fsw, (Qg_Q3+Qg_Q4)*Fsw, (Qg_Q1+Qg_Q2+Qg_Q3+Qg_Q4)*Fsw/2)*IF(Vout&gt;8, Vout, H70)</f>
        <v>0.0792</v>
      </c>
      <c r="AZ70" s="488" t="n">
        <f aca="false">(Vin-Vdd)*Fsw*(Qg_Q1+Qg_Q2)+(RdsonDRT+RdsonDRT2)*Fsw*Qg_Q1*Vdd/(RdsonDRT+2*Rgate1+RdsonDRT2)+(RdsonDRB+RdsonDRB2)*Fsw*Qg_Q2*Vdd/(RdsonDRB+2*Rgate2+RdsonDRB2)</f>
        <v>0.0522</v>
      </c>
      <c r="BA70" s="488" t="n">
        <f aca="false">SUM(AX70:AY70)</f>
        <v>0.1152</v>
      </c>
      <c r="BB70" s="488" t="n">
        <f aca="false">SUM(T70,W70,Z70,AE70,AI70,AN70,AR70, AT70,AU70,BA70,AV70,AW70)</f>
        <v>1.69405339138818</v>
      </c>
      <c r="BC70" s="419" t="n">
        <f aca="false">Vout*K70</f>
        <v>72</v>
      </c>
      <c r="BD70" s="589" t="n">
        <f aca="false">BC70/(BC70+BB70)</f>
        <v>0.977012346133397</v>
      </c>
      <c r="BE70" s="590" t="n">
        <f aca="false">IF(H70&gt;Vout,ThetaJA_Q1*(AE70+AU70),ThetaJA_Q4*(AN70+AU70))</f>
        <v>31.1209813269835</v>
      </c>
      <c r="BF70" s="590" t="n">
        <f aca="false">IF(H70&gt;Vout, AI70*ThetaJA_Q2, ThetaJA_Q3*AR70)</f>
        <v>11.3572792746094</v>
      </c>
      <c r="BG70" s="536"/>
      <c r="BH70" s="385" t="n">
        <f aca="false">BD70*100</f>
        <v>97.7012346133397</v>
      </c>
      <c r="BI70" s="488" t="n">
        <f aca="false">T70</f>
        <v>0.376535955013382</v>
      </c>
      <c r="BJ70" s="488" t="n">
        <f aca="false">AE70+AI70+AN70+AR70+AU70</f>
        <v>0.920630888005632</v>
      </c>
      <c r="BK70" s="488" t="n">
        <f aca="false">AI70+AU70*0.33</f>
        <v>0.348054820092188</v>
      </c>
      <c r="BL70" s="488" t="n">
        <f aca="false">AV70</f>
        <v>0.111624553665975</v>
      </c>
      <c r="BR70" s="591"/>
      <c r="BS70" s="592"/>
    </row>
    <row r="71" customFormat="false" ht="12.75" hidden="false" customHeight="false" outlineLevel="0" collapsed="false">
      <c r="A71" s="633" t="s">
        <v>693</v>
      </c>
      <c r="B71" s="583" t="s">
        <v>133</v>
      </c>
      <c r="C71" s="585" t="s">
        <v>697</v>
      </c>
      <c r="G71" s="0" t="n">
        <v>62</v>
      </c>
      <c r="H71" s="586" t="n">
        <f aca="false">VIN_min+(VIN_max-VIN_min)*(G71/200)</f>
        <v>19.64</v>
      </c>
      <c r="I71" s="385" t="str">
        <f aca="false">IF(H71&gt;VIN_BB_to_buck, "BUCK", IF(H71&lt;VIN_boost_to_BB,"BOOST","BUCK-BST"))</f>
        <v>BUCK</v>
      </c>
      <c r="J71" s="419" t="n">
        <f aca="false">IF(I71="BOOST",2, IF(I71="BUCK", 1,3))</f>
        <v>1</v>
      </c>
      <c r="K71" s="0" t="n">
        <f aca="false">Iout</f>
        <v>6</v>
      </c>
      <c r="L71" s="385" t="n">
        <f aca="false">Vout*K71/(H71*Efficiency)</f>
        <v>4.07331975560081</v>
      </c>
      <c r="M71" s="385" t="n">
        <f aca="false">Iout/(1-O71)</f>
        <v>6</v>
      </c>
      <c r="N71" s="488" t="n">
        <f aca="false">CHOOSE(J71,(Vout+(Rdson2+Rs+Rdcr)*K71)/(H71+(Rs+Rdson2-Rdson1)*K71),1,IF(H71&lt;Vout,D_max_buck_BB,Vout/H71*(1-D_min_boost_exitBB_to_buck)))</f>
        <v>0.614704388459976</v>
      </c>
      <c r="O71" s="488" t="n">
        <f aca="false">CHOOSE(J71,0,(Vout+(Rdson3+Rdcr)*L71-H71)/(Vout+(Rdson3-Rdson4-Rs)*L71),IF(H71&gt;Vout,D_min_boost_exitBB_to_buck, (Vout-H71*D_max_buck_BB)/Vout))</f>
        <v>0</v>
      </c>
      <c r="P71" s="385" t="n">
        <f aca="false">MAX(0, CHOOSE(J71, (H71-(Rdson1+Rdcr)*K71-Vout)*N71/(Fsw*Lf), (H71-(Rdson4+Rdcr+Rs)*L71)*O71/(Fsw*Lf), IF(H71&lt;Vout, (H71-(Rdson4+Rdcr+Rs)*L71)*O71/(0.5*Fsw*Lf),(H71-(Rdson1+Rdcr)*K71-Vout)*N71/(0.5*Fsw*Lf))))</f>
        <v>3.30706601385875</v>
      </c>
      <c r="Q71" s="488" t="n">
        <f aca="false">CHOOSE(J71, SQRT(K71^2+(P71^2)/12), SQRT(L71^2+(P71^2)/12), SQRT(M71^2+(P71^2)/12))</f>
        <v>6.07547450561147</v>
      </c>
      <c r="R71" s="488" t="n">
        <f aca="false">(Q71^2*Rdcr*(1+Ltc*Ta-Ltc*25))/(1-Q71^2*Rdcr*Ltc*ThetaCa)</f>
        <v>0.124888587529303</v>
      </c>
      <c r="S71" s="488" t="n">
        <f aca="false">7.759*10^-3*Fsw^0.9458*(0.00787*P71)^2.304</f>
        <v>0.26253618915009</v>
      </c>
      <c r="T71" s="488" t="n">
        <f aca="false">R71+S71</f>
        <v>0.387424776679393</v>
      </c>
      <c r="U71" s="385" t="n">
        <f aca="false">IF(H71&gt;Vout, P71/SQRT(12), SQRT(O71/(1-O71))*SQRT(K71^2+(P71^2)/12))</f>
        <v>0.954667726664606</v>
      </c>
      <c r="V71" s="488" t="n">
        <f aca="false">RCoutEsr*U71^2</f>
        <v>0.00455695234167483</v>
      </c>
      <c r="W71" s="488" t="n">
        <f aca="false">V71</f>
        <v>0.00455695234167483</v>
      </c>
      <c r="X71" s="488" t="n">
        <f aca="false">IF(H71&gt;Vout, SQRT(N71*(1-N71))*SQRT(K71^2+(P71^2)/12), P71/SQRT(12))</f>
        <v>2.95672130613964</v>
      </c>
      <c r="Y71" s="587" t="n">
        <f aca="false">RCinEsr*X71^2</f>
        <v>0.0174844017643602</v>
      </c>
      <c r="Z71" s="588" t="n">
        <f aca="false">Y71</f>
        <v>0.0174844017643602</v>
      </c>
      <c r="AA71" s="488" t="n">
        <f aca="false">CHOOSE(J71, SQRT(N71)*SQRT(K71^2+(P71^2)/12), SQRT(L71^2+(P71^2)/12), SQRT(N71)*SQRT(M71^2+(P71^2)/12))</f>
        <v>4.7633594977752</v>
      </c>
      <c r="AB71" s="488" t="n">
        <f aca="false">Rdson1*AA71^2</f>
        <v>0.129330684118758</v>
      </c>
      <c r="AC71" s="488" t="n">
        <f aca="false">CHOOSE(J71, (H71*K71/2)*(Fsw)*(Tr_buck+Tf_buck), 0, (H71*M71/2)*(Fsw/2)*(Tr_buck+Tf_buck))</f>
        <v>0.12000406312769</v>
      </c>
      <c r="AD71" s="0" t="n">
        <f aca="false">IF(H71&gt;Vout, IF(K71&gt;P71/2,0,ABS(K71-P71/2)*Vsd_Q1*Deadtime*Fsw),0)</f>
        <v>0</v>
      </c>
      <c r="AE71" s="488" t="n">
        <f aca="false">(AD71+AC71+AB71*(1+RdsonTopTc*Ta-RdsonTopTc*25))/(1-AB71*RdsonTopTc*ThetaJA_Q1)</f>
        <v>0.255955322642691</v>
      </c>
      <c r="AF71" s="488" t="n">
        <f aca="false">CHOOSE(J71, SQRT((1-N71))*SQRT(K71^2+(P71^2)/12), 0, SQRT((1-N71))*SQRT(M71^2+(P71^2)/12))</f>
        <v>3.77117975748833</v>
      </c>
      <c r="AG71" s="488" t="n">
        <f aca="false">Rdson2*AF71^2</f>
        <v>0.0810642415507516</v>
      </c>
      <c r="AH71" s="488" t="n">
        <f aca="false">CHOOSE(J71, IF(K71&lt;P71/2,Deadtime*Fsw*IF(VfdSky_Q2&gt;0,0,Vsd_Q2)*(K71+P71/2),2*Deadtime*Fsw*IF(VfdSky_Q2&gt;0,0,Vsd_Q2)*K71),0, IF(K71&lt;P71/2,Deadtime*Fsw/2*IF(VfdSky_Q2&gt;0,0,Vsd_Q2)*(K71+P71/2),2*Deadtime*Fsw/2*IF(VfdSky_Q2&gt;0,0,Vsd_Q2)*K71))</f>
        <v>0.144</v>
      </c>
      <c r="AI71" s="488" t="n">
        <f aca="false">(AH71+AG71*(1+RdsonBotTc*Ta-RdsonBotTc*25))/(1-AG71*RdsonBotTc*ThetaJA_Q2)</f>
        <v>0.228773308498855</v>
      </c>
      <c r="AJ71" s="488" t="n">
        <f aca="false">CHOOSE(J71, 0, SQRT(O71)*SQRT(L71^2+(P71^2)/12), SQRT(O71)*SQRT(M71^2+(P71^2)/12))</f>
        <v>0</v>
      </c>
      <c r="AK71" s="488" t="n">
        <f aca="false">Rdson4*AJ71^2</f>
        <v>0</v>
      </c>
      <c r="AL71" s="488" t="n">
        <f aca="false">CHOOSE(J71, 0, (Vout*L71/2)*(Fsw)*(Tr_boost+Tf_boost), (Vout*Iout/2)*(Fsw/2)*(Tr_boost+Tf_boost))</f>
        <v>0</v>
      </c>
      <c r="AM71" s="0" t="n">
        <f aca="false">IF(H71&gt;Vout, 0, IF(L71&gt;P71/2,0,ABS(L71-P71/2)*Vsd_Q4*Deadtime*Fsw))</f>
        <v>0</v>
      </c>
      <c r="AN71" s="488" t="n">
        <f aca="false">(AM71+AL71+AK71*(1+RdsonTopTc*Ta-RdsonTopTc*25))/(1-AK71*RdsonTopTc*ThetaJA_Q4)</f>
        <v>0</v>
      </c>
      <c r="AO71" s="488" t="n">
        <f aca="false">CHOOSE(J71, SQRT(Iout^2+(P71^2)/12), SQRT(1-O71)*SQRT(L71^2+(P71^2)/12), SQRT(1-O71)*SQRT(M71^2+(P71^2)/12))</f>
        <v>6.07547450561147</v>
      </c>
      <c r="AP71" s="488" t="n">
        <f aca="false">Rdson3*AO71^2</f>
        <v>0.0701316418898364</v>
      </c>
      <c r="AQ71" s="488" t="n">
        <f aca="false">CHOOSE(J71, 0, IF(L71&lt;P71/2,Deadtime*Fsw*IF(VfdSky_Q3&gt;0,0,Vsd_Q3)*(L71+P71/2), 2*Deadtime*Fsw*IF(VfdSky_Q3&gt;0,0,Vsd_Q3)*L71), IF(L71&lt;P71/2,Deadtime*Fsw/2*IF(VfdSky_Q3&gt;0,0,Vsd_Q3)*(L71+P71/2), 2*Deadtime*Fsw/2*IF(VfdSky_Q3&gt;0,0,Vsd_Q3)*L71))</f>
        <v>0</v>
      </c>
      <c r="AR71" s="488" t="n">
        <f aca="false">(AQ71+AP71*(1+RdsonBotTc*Ta-RdsonBotTc*25))/(1-AP71*RdsonBotTc*ThetaJA_Q3)</f>
        <v>0.0711293251618599</v>
      </c>
      <c r="AS71" s="488" t="n">
        <f aca="false">CHOOSE(J71, Rdson3*Q71^2, Rdson1*Q71^2, 0)</f>
        <v>0.0701316418898364</v>
      </c>
      <c r="AT71" s="488" t="n">
        <f aca="false">CHOOSE(J71, 2*Deadtime*Fsw*IF(VfdSky_Q2&gt;0,VfdSky_Q2,0)*K71, 2*Deadtime*Fsw*IF(VfdSky_Q3&gt;0,VfdSky_Q3,0)*L71, 2*Deadtime*Fsw/2*IF(VfdSky_Q2&gt;0,VfdSky_Q2,0)*K71+2*Deadtime*Fsw/2*IF(VfdSky_Q3&gt;0,VfdSky_Q3,0)*L71)</f>
        <v>0</v>
      </c>
      <c r="AU71" s="488" t="n">
        <f aca="false">CHOOSE(J71, IF(QrrSky_Q2&gt;0,QrrSky_Q2,Qrr_Q2)*Fsw*(H71-K71*Rdson1), IF(QrrSky_Q3&gt;0,QrrSky_Q3,Qrr_Q3)*Fsw*Vout,  IF(QrrSky_Q2&gt;0,QrrSky_Q2,Qrr_Q2)*Fsw/2*(H71-K71*Rdson1)+IF(QrrSky_Q3&gt;0,QrrSky_Q3,Qrr_Q3)*Fsw/2*Vout)</f>
        <v>0.37054962</v>
      </c>
      <c r="AV71" s="488" t="n">
        <f aca="false">CHOOSE(J71, Rs*AF71^2, Rs*AJ71^2, Rs*(AF71^2+AJ71^2))</f>
        <v>0.113774374106318</v>
      </c>
      <c r="AW71" s="488" t="n">
        <f aca="false">Rshunt_std/1000*Iout^2</f>
        <v>0.14832</v>
      </c>
      <c r="AX71" s="488" t="n">
        <f aca="false">IF(Vout&gt;8, Iq*Vout, Iq*H71)</f>
        <v>0.036</v>
      </c>
      <c r="AY71" s="488" t="n">
        <f aca="false">CHOOSE(J71, (Qg_Q1+Qg_Q2)*Fsw, (Qg_Q3+Qg_Q4)*Fsw, (Qg_Q1+Qg_Q2+Qg_Q3+Qg_Q4)*Fsw/2)*IF(Vout&gt;8, Vout, H71)</f>
        <v>0.0792</v>
      </c>
      <c r="AZ71" s="488" t="n">
        <f aca="false">(Vin-Vdd)*Fsw*(Qg_Q1+Qg_Q2)+(RdsonDRT+RdsonDRT2)*Fsw*Qg_Q1*Vdd/(RdsonDRT+2*Rgate1+RdsonDRT2)+(RdsonDRB+RdsonDRB2)*Fsw*Qg_Q2*Vdd/(RdsonDRB+2*Rgate2+RdsonDRB2)</f>
        <v>0.0522</v>
      </c>
      <c r="BA71" s="488" t="n">
        <f aca="false">SUM(AX71:AY71)</f>
        <v>0.1152</v>
      </c>
      <c r="BB71" s="488" t="n">
        <f aca="false">SUM(T71,W71,Z71,AE71,AI71,AN71,AR71, AT71,AU71,BA71,AV71,AW71)</f>
        <v>1.71316808119515</v>
      </c>
      <c r="BC71" s="419" t="n">
        <f aca="false">Vout*K71</f>
        <v>72</v>
      </c>
      <c r="BD71" s="589" t="n">
        <f aca="false">BC71/(BC71+BB71)</f>
        <v>0.976758995362835</v>
      </c>
      <c r="BE71" s="590" t="n">
        <f aca="false">IF(H71&gt;Vout,ThetaJA_Q1*(AE71+AU71),ThetaJA_Q4*(AN71+AU71))</f>
        <v>31.3252471321346</v>
      </c>
      <c r="BF71" s="590" t="n">
        <f aca="false">IF(H71&gt;Vout, AI71*ThetaJA_Q2, ThetaJA_Q3*AR71)</f>
        <v>11.4386654249427</v>
      </c>
      <c r="BG71" s="536"/>
      <c r="BH71" s="385" t="n">
        <f aca="false">BD71*100</f>
        <v>97.6758995362835</v>
      </c>
      <c r="BI71" s="488" t="n">
        <f aca="false">T71</f>
        <v>0.387424776679393</v>
      </c>
      <c r="BJ71" s="488" t="n">
        <f aca="false">AE71+AI71+AN71+AR71+AU71</f>
        <v>0.926407576303406</v>
      </c>
      <c r="BK71" s="488" t="n">
        <f aca="false">AI71+AU71*0.33</f>
        <v>0.351054683098855</v>
      </c>
      <c r="BL71" s="488" t="n">
        <f aca="false">AV71</f>
        <v>0.113774374106318</v>
      </c>
      <c r="BR71" s="591"/>
      <c r="BS71" s="592"/>
    </row>
    <row r="72" customFormat="false" ht="12.75" hidden="false" customHeight="false" outlineLevel="0" collapsed="false">
      <c r="A72" s="635" t="s">
        <v>694</v>
      </c>
      <c r="B72" s="638" t="n">
        <f aca="false">(Qgd_Q1+Qgs_Q1/2)*(RdsonDRT+Rgate1)/(Vdd-Vsp_Q1)*1000000000</f>
        <v>4.01470588235294</v>
      </c>
      <c r="C72" s="618" t="s">
        <v>850</v>
      </c>
      <c r="D72" s="320" t="s">
        <v>885</v>
      </c>
      <c r="G72" s="0" t="n">
        <v>63</v>
      </c>
      <c r="H72" s="586" t="n">
        <f aca="false">VIN_min+(VIN_max-VIN_min)*(G72/200)</f>
        <v>19.86</v>
      </c>
      <c r="I72" s="385" t="str">
        <f aca="false">IF(H72&gt;VIN_BB_to_buck, "BUCK", IF(H72&lt;VIN_boost_to_BB,"BOOST","BUCK-BST"))</f>
        <v>BUCK</v>
      </c>
      <c r="J72" s="419" t="n">
        <f aca="false">IF(I72="BOOST",2, IF(I72="BUCK", 1,3))</f>
        <v>1</v>
      </c>
      <c r="K72" s="0" t="n">
        <f aca="false">Iout</f>
        <v>6</v>
      </c>
      <c r="L72" s="385" t="n">
        <f aca="false">Vout*K72/(H72*Efficiency)</f>
        <v>4.0281973816717</v>
      </c>
      <c r="M72" s="385" t="n">
        <f aca="false">Iout/(1-O72)</f>
        <v>6</v>
      </c>
      <c r="N72" s="488" t="n">
        <f aca="false">CHOOSE(J72,(Vout+(Rdson2+Rs+Rdcr)*K72)/(H72+(Rs+Rdson2-Rdson1)*K72),1,IF(H72&lt;Vout,D_max_buck_BB,Vout/H72*(1-D_min_boost_exitBB_to_buck)))</f>
        <v>0.607911392405063</v>
      </c>
      <c r="O72" s="488" t="n">
        <f aca="false">CHOOSE(J72,0,(Vout+(Rdson3+Rdcr)*L72-H72)/(Vout+(Rdson3-Rdson4-Rs)*L72),IF(H72&gt;Vout,D_min_boost_exitBB_to_buck, (Vout-H72*D_max_buck_BB)/Vout))</f>
        <v>0</v>
      </c>
      <c r="P72" s="385" t="n">
        <f aca="false">MAX(0, CHOOSE(J72, (H72-(Rdson1+Rdcr)*K72-Vout)*N72/(Fsw*Lf), (H72-(Rdson4+Rdcr+Rs)*L72)*O72/(Fsw*Lf), IF(H72&lt;Vout, (H72-(Rdson4+Rdcr+Rs)*L72)*O72/(0.5*Fsw*Lf),(H72-(Rdson1+Rdcr)*K72-Vout)*N72/(0.5*Fsw*Lf))))</f>
        <v>3.36537159978454</v>
      </c>
      <c r="Q72" s="488" t="n">
        <f aca="false">CHOOSE(J72, SQRT(K72^2+(P72^2)/12), SQRT(L72^2+(P72^2)/12), SQRT(M72^2+(P72^2)/12))</f>
        <v>6.07814202700022</v>
      </c>
      <c r="R72" s="488" t="n">
        <f aca="false">(Q72^2*Rdcr*(1+Ltc*Ta-Ltc*25))/(1-Q72^2*Rdcr*Ltc*ThetaCa)</f>
        <v>0.124999376656369</v>
      </c>
      <c r="S72" s="488" t="n">
        <f aca="false">7.759*10^-3*Fsw^0.9458*(0.00787*P72)^2.304</f>
        <v>0.273323459170925</v>
      </c>
      <c r="T72" s="488" t="n">
        <f aca="false">R72+S72</f>
        <v>0.398322835827293</v>
      </c>
      <c r="U72" s="385" t="n">
        <f aca="false">IF(H72&gt;Vout, P72/SQRT(12), SQRT(O72/(1-O72))*SQRT(K72^2+(P72^2)/12))</f>
        <v>0.971499099529363</v>
      </c>
      <c r="V72" s="488" t="n">
        <f aca="false">RCoutEsr*U72^2</f>
        <v>0.00471905250193182</v>
      </c>
      <c r="W72" s="488" t="n">
        <f aca="false">V72</f>
        <v>0.00471905250193182</v>
      </c>
      <c r="X72" s="488" t="n">
        <f aca="false">IF(H72&gt;Vout, SQRT(N72*(1-N72))*SQRT(K72^2+(P72^2)/12), P72/SQRT(12))</f>
        <v>2.96744786067714</v>
      </c>
      <c r="Y72" s="587" t="n">
        <f aca="false">RCinEsr*X72^2</f>
        <v>0.0176114936116746</v>
      </c>
      <c r="Z72" s="588" t="n">
        <f aca="false">Y72</f>
        <v>0.0176114936116746</v>
      </c>
      <c r="AA72" s="488" t="n">
        <f aca="false">CHOOSE(J72, SQRT(N72)*SQRT(K72^2+(P72^2)/12), SQRT(L72^2+(P72^2)/12), SQRT(N72)*SQRT(M72^2+(P72^2)/12))</f>
        <v>4.73904666383849</v>
      </c>
      <c r="AB72" s="488" t="n">
        <f aca="false">Rdson1*AA72^2</f>
        <v>0.12801381070762</v>
      </c>
      <c r="AC72" s="488" t="n">
        <f aca="false">CHOOSE(J72, (H72*K72/2)*(Fsw)*(Tr_buck+Tf_buck), 0, (H72*M72/2)*(Fsw/2)*(Tr_buck+Tf_buck))</f>
        <v>0.121348304160689</v>
      </c>
      <c r="AD72" s="0" t="n">
        <f aca="false">IF(H72&gt;Vout, IF(K72&gt;P72/2,0,ABS(K72-P72/2)*Vsd_Q1*Deadtime*Fsw),0)</f>
        <v>0</v>
      </c>
      <c r="AE72" s="488" t="n">
        <f aca="false">(AD72+AC72+AB72*(1+RdsonTopTc*Ta-RdsonTopTc*25))/(1-AB72*RdsonTopTc*ThetaJA_Q1)</f>
        <v>0.255914225923254</v>
      </c>
      <c r="AF72" s="488" t="n">
        <f aca="false">CHOOSE(J72, SQRT((1-N72))*SQRT(K72^2+(P72^2)/12), 0, SQRT((1-N72))*SQRT(M72^2+(P72^2)/12))</f>
        <v>3.80594892482121</v>
      </c>
      <c r="AG72" s="488" t="n">
        <f aca="false">Rdson2*AF72^2</f>
        <v>0.0825659091445818</v>
      </c>
      <c r="AH72" s="488" t="n">
        <f aca="false">CHOOSE(J72, IF(K72&lt;P72/2,Deadtime*Fsw*IF(VfdSky_Q2&gt;0,0,Vsd_Q2)*(K72+P72/2),2*Deadtime*Fsw*IF(VfdSky_Q2&gt;0,0,Vsd_Q2)*K72),0, IF(K72&lt;P72/2,Deadtime*Fsw/2*IF(VfdSky_Q2&gt;0,0,Vsd_Q2)*(K72+P72/2),2*Deadtime*Fsw/2*IF(VfdSky_Q2&gt;0,0,Vsd_Q2)*K72))</f>
        <v>0.144</v>
      </c>
      <c r="AI72" s="488" t="n">
        <f aca="false">(AH72+AG72*(1+RdsonBotTc*Ta-RdsonBotTc*25))/(1-AG72*RdsonBotTc*ThetaJA_Q2)</f>
        <v>0.230370051696178</v>
      </c>
      <c r="AJ72" s="488" t="n">
        <f aca="false">CHOOSE(J72, 0, SQRT(O72)*SQRT(L72^2+(P72^2)/12), SQRT(O72)*SQRT(M72^2+(P72^2)/12))</f>
        <v>0</v>
      </c>
      <c r="AK72" s="488" t="n">
        <f aca="false">Rdson4*AJ72^2</f>
        <v>0</v>
      </c>
      <c r="AL72" s="488" t="n">
        <f aca="false">CHOOSE(J72, 0, (Vout*L72/2)*(Fsw)*(Tr_boost+Tf_boost), (Vout*Iout/2)*(Fsw/2)*(Tr_boost+Tf_boost))</f>
        <v>0</v>
      </c>
      <c r="AM72" s="0" t="n">
        <f aca="false">IF(H72&gt;Vout, 0, IF(L72&gt;P72/2,0,ABS(L72-P72/2)*Vsd_Q4*Deadtime*Fsw))</f>
        <v>0</v>
      </c>
      <c r="AN72" s="488" t="n">
        <f aca="false">(AM72+AL72+AK72*(1+RdsonTopTc*Ta-RdsonTopTc*25))/(1-AK72*RdsonTopTc*ThetaJA_Q4)</f>
        <v>0</v>
      </c>
      <c r="AO72" s="488" t="n">
        <f aca="false">CHOOSE(J72, SQRT(Iout^2+(P72^2)/12), SQRT(1-O72)*SQRT(L72^2+(P72^2)/12), SQRT(1-O72)*SQRT(M72^2+(P72^2)/12))</f>
        <v>6.07814202700022</v>
      </c>
      <c r="AP72" s="488" t="n">
        <f aca="false">Rdson3*AO72^2</f>
        <v>0.0701932399507341</v>
      </c>
      <c r="AQ72" s="488" t="n">
        <f aca="false">CHOOSE(J72, 0, IF(L72&lt;P72/2,Deadtime*Fsw*IF(VfdSky_Q3&gt;0,0,Vsd_Q3)*(L72+P72/2), 2*Deadtime*Fsw*IF(VfdSky_Q3&gt;0,0,Vsd_Q3)*L72), IF(L72&lt;P72/2,Deadtime*Fsw/2*IF(VfdSky_Q3&gt;0,0,Vsd_Q3)*(L72+P72/2), 2*Deadtime*Fsw/2*IF(VfdSky_Q3&gt;0,0,Vsd_Q3)*L72))</f>
        <v>0</v>
      </c>
      <c r="AR72" s="488" t="n">
        <f aca="false">(AQ72+AP72*(1+RdsonBotTc*Ta-RdsonBotTc*25))/(1-AP72*RdsonBotTc*ThetaJA_Q3)</f>
        <v>0.0711926890518044</v>
      </c>
      <c r="AS72" s="488" t="n">
        <f aca="false">CHOOSE(J72, Rdson3*Q72^2, Rdson1*Q72^2, 0)</f>
        <v>0.0701932399507341</v>
      </c>
      <c r="AT72" s="488" t="n">
        <f aca="false">CHOOSE(J72, 2*Deadtime*Fsw*IF(VfdSky_Q2&gt;0,VfdSky_Q2,0)*K72, 2*Deadtime*Fsw*IF(VfdSky_Q3&gt;0,VfdSky_Q3,0)*L72, 2*Deadtime*Fsw/2*IF(VfdSky_Q2&gt;0,VfdSky_Q2,0)*K72+2*Deadtime*Fsw/2*IF(VfdSky_Q3&gt;0,VfdSky_Q3,0)*L72)</f>
        <v>0</v>
      </c>
      <c r="AU72" s="488" t="n">
        <f aca="false">CHOOSE(J72, IF(QrrSky_Q2&gt;0,QrrSky_Q2,Qrr_Q2)*Fsw*(H72-K72*Rdson1), IF(QrrSky_Q3&gt;0,QrrSky_Q3,Qrr_Q3)*Fsw*Vout,  IF(QrrSky_Q2&gt;0,QrrSky_Q2,Qrr_Q2)*Fsw/2*(H72-K72*Rdson1)+IF(QrrSky_Q3&gt;0,QrrSky_Q3,Qrr_Q3)*Fsw/2*Vout)</f>
        <v>0.37470762</v>
      </c>
      <c r="AV72" s="488" t="n">
        <f aca="false">CHOOSE(J72, Rs*AF72^2, Rs*AJ72^2, Rs*(AF72^2+AJ72^2))</f>
        <v>0.115881977746782</v>
      </c>
      <c r="AW72" s="488" t="n">
        <f aca="false">Rshunt_std/1000*Iout^2</f>
        <v>0.14832</v>
      </c>
      <c r="AX72" s="488" t="n">
        <f aca="false">IF(Vout&gt;8, Iq*Vout, Iq*H72)</f>
        <v>0.036</v>
      </c>
      <c r="AY72" s="488" t="n">
        <f aca="false">CHOOSE(J72, (Qg_Q1+Qg_Q2)*Fsw, (Qg_Q3+Qg_Q4)*Fsw, (Qg_Q1+Qg_Q2+Qg_Q3+Qg_Q4)*Fsw/2)*IF(Vout&gt;8, Vout, H72)</f>
        <v>0.0792</v>
      </c>
      <c r="AZ72" s="488" t="n">
        <f aca="false">(Vin-Vdd)*Fsw*(Qg_Q1+Qg_Q2)+(RdsonDRT+RdsonDRT2)*Fsw*Qg_Q1*Vdd/(RdsonDRT+2*Rgate1+RdsonDRT2)+(RdsonDRB+RdsonDRB2)*Fsw*Qg_Q2*Vdd/(RdsonDRB+2*Rgate2+RdsonDRB2)</f>
        <v>0.0522</v>
      </c>
      <c r="BA72" s="488" t="n">
        <f aca="false">SUM(AX72:AY72)</f>
        <v>0.1152</v>
      </c>
      <c r="BB72" s="488" t="n">
        <f aca="false">SUM(T72,W72,Z72,AE72,AI72,AN72,AR72, AT72,AU72,BA72,AV72,AW72)</f>
        <v>1.73223994635892</v>
      </c>
      <c r="BC72" s="419" t="n">
        <f aca="false">Vout*K72</f>
        <v>72</v>
      </c>
      <c r="BD72" s="589" t="n">
        <f aca="false">BC72/(BC72+BB72)</f>
        <v>0.976506343119114</v>
      </c>
      <c r="BE72" s="590" t="n">
        <f aca="false">IF(H72&gt;Vout,ThetaJA_Q1*(AE72+AU72),ThetaJA_Q4*(AN72+AU72))</f>
        <v>31.5310922961627</v>
      </c>
      <c r="BF72" s="590" t="n">
        <f aca="false">IF(H72&gt;Vout, AI72*ThetaJA_Q2, ThetaJA_Q3*AR72)</f>
        <v>11.5185025848089</v>
      </c>
      <c r="BG72" s="536"/>
      <c r="BH72" s="385" t="n">
        <f aca="false">BD72*100</f>
        <v>97.6506343119114</v>
      </c>
      <c r="BI72" s="488" t="n">
        <f aca="false">T72</f>
        <v>0.398322835827293</v>
      </c>
      <c r="BJ72" s="488" t="n">
        <f aca="false">AE72+AI72+AN72+AR72+AU72</f>
        <v>0.932184586671237</v>
      </c>
      <c r="BK72" s="488" t="n">
        <f aca="false">AI72+AU72*0.33</f>
        <v>0.354023566296178</v>
      </c>
      <c r="BL72" s="488" t="n">
        <f aca="false">AV72</f>
        <v>0.115881977746782</v>
      </c>
      <c r="BR72" s="591"/>
      <c r="BS72" s="592"/>
    </row>
    <row r="73" customFormat="false" ht="12.75" hidden="false" customHeight="false" outlineLevel="0" collapsed="false">
      <c r="A73" s="637" t="s">
        <v>695</v>
      </c>
      <c r="B73" s="638" t="n">
        <f aca="false">(Qgd_Q1+Qgs_Q1/2)*(RdsonDRT2+Rgate1)/(Vsp_Q1)*1000000000</f>
        <v>2.77439024390244</v>
      </c>
      <c r="C73" s="618" t="s">
        <v>850</v>
      </c>
      <c r="D73" s="320" t="s">
        <v>886</v>
      </c>
      <c r="G73" s="0" t="n">
        <v>64</v>
      </c>
      <c r="H73" s="586" t="n">
        <f aca="false">VIN_min+(VIN_max-VIN_min)*(G73/200)</f>
        <v>20.08</v>
      </c>
      <c r="I73" s="385" t="str">
        <f aca="false">IF(H73&gt;VIN_BB_to_buck, "BUCK", IF(H73&lt;VIN_boost_to_BB,"BOOST","BUCK-BST"))</f>
        <v>BUCK</v>
      </c>
      <c r="J73" s="419" t="n">
        <f aca="false">IF(I73="BOOST",2, IF(I73="BUCK", 1,3))</f>
        <v>1</v>
      </c>
      <c r="K73" s="0" t="n">
        <f aca="false">Iout</f>
        <v>6</v>
      </c>
      <c r="L73" s="385" t="n">
        <f aca="false">Vout*K73/(H73*Efficiency)</f>
        <v>3.98406374501992</v>
      </c>
      <c r="M73" s="385" t="n">
        <f aca="false">Iout/(1-O73)</f>
        <v>6</v>
      </c>
      <c r="N73" s="488" t="n">
        <f aca="false">CHOOSE(J73,(Vout+(Rdson2+Rs+Rdcr)*K73)/(H73+(Rs+Rdson2-Rdson1)*K73),1,IF(H73&lt;Vout,D_max_buck_BB,Vout/H73*(1-D_min_boost_exitBB_to_buck)))</f>
        <v>0.601266891891892</v>
      </c>
      <c r="O73" s="488" t="n">
        <f aca="false">CHOOSE(J73,0,(Vout+(Rdson3+Rdcr)*L73-H73)/(Vout+(Rdson3-Rdson4-Rs)*L73),IF(H73&gt;Vout,D_min_boost_exitBB_to_buck, (Vout-H73*D_max_buck_BB)/Vout))</f>
        <v>0</v>
      </c>
      <c r="P73" s="385" t="n">
        <f aca="false">MAX(0, CHOOSE(J73, (H73-(Rdson1+Rdcr)*K73-Vout)*N73/(Fsw*Lf), (H73-(Rdson4+Rdcr+Rs)*L73)*O73/(Fsw*Lf), IF(H73&lt;Vout, (H73-(Rdson4+Rdcr+Rs)*L73)*O73/(0.5*Fsw*Lf),(H73-(Rdson1+Rdcr)*K73-Vout)*N73/(0.5*Fsw*Lf))))</f>
        <v>3.42240262004025</v>
      </c>
      <c r="Q73" s="488" t="n">
        <f aca="false">CHOOSE(J73, SQRT(K73^2+(P73^2)/12), SQRT(L73^2+(P73^2)/12), SQRT(M73^2+(P73^2)/12))</f>
        <v>6.080795176165</v>
      </c>
      <c r="R73" s="488" t="n">
        <f aca="false">(Q73^2*Rdcr*(1+Ltc*Ta-Ltc*25))/(1-Q73^2*Rdcr*Ltc*ThetaCa)</f>
        <v>0.125109619037991</v>
      </c>
      <c r="S73" s="488" t="n">
        <f aca="false">7.759*10^-3*Fsw^0.9458*(0.00787*P73)^2.304</f>
        <v>0.284113370083206</v>
      </c>
      <c r="T73" s="488" t="n">
        <f aca="false">R73+S73</f>
        <v>0.409222989121197</v>
      </c>
      <c r="U73" s="385" t="n">
        <f aca="false">IF(H73&gt;Vout, P73/SQRT(12), SQRT(O73/(1-O73))*SQRT(K73^2+(P73^2)/12))</f>
        <v>0.98796253697776</v>
      </c>
      <c r="V73" s="488" t="n">
        <f aca="false">RCoutEsr*U73^2</f>
        <v>0.00488034987235766</v>
      </c>
      <c r="W73" s="488" t="n">
        <f aca="false">V73</f>
        <v>0.00488034987235766</v>
      </c>
      <c r="X73" s="488" t="n">
        <f aca="false">IF(H73&gt;Vout, SQRT(N73*(1-N73))*SQRT(K73^2+(P73^2)/12), P73/SQRT(12))</f>
        <v>2.97738618759389</v>
      </c>
      <c r="Y73" s="587" t="n">
        <f aca="false">RCinEsr*X73^2</f>
        <v>0.0177296570201497</v>
      </c>
      <c r="Z73" s="588" t="n">
        <f aca="false">Y73</f>
        <v>0.0177296570201497</v>
      </c>
      <c r="AA73" s="488" t="n">
        <f aca="false">CHOOSE(J73, SQRT(N73)*SQRT(K73^2+(P73^2)/12), SQRT(L73^2+(P73^2)/12), SQRT(N73)*SQRT(M73^2+(P73^2)/12))</f>
        <v>4.71513379109518</v>
      </c>
      <c r="AB73" s="488" t="n">
        <f aca="false">Rdson1*AA73^2</f>
        <v>0.126725174007187</v>
      </c>
      <c r="AC73" s="488" t="n">
        <f aca="false">CHOOSE(J73, (H73*K73/2)*(Fsw)*(Tr_buck+Tf_buck), 0, (H73*M73/2)*(Fsw/2)*(Tr_buck+Tf_buck))</f>
        <v>0.122692545193687</v>
      </c>
      <c r="AD73" s="0" t="n">
        <f aca="false">IF(H73&gt;Vout, IF(K73&gt;P73/2,0,ABS(K73-P73/2)*Vsd_Q1*Deadtime*Fsw),0)</f>
        <v>0</v>
      </c>
      <c r="AE73" s="488" t="n">
        <f aca="false">(AD73+AC73+AB73*(1+RdsonTopTc*Ta-RdsonTopTc*25))/(1-AB73*RdsonTopTc*ThetaJA_Q1)</f>
        <v>0.255903604974774</v>
      </c>
      <c r="AF73" s="488" t="n">
        <f aca="false">CHOOSE(J73, SQRT((1-N73))*SQRT(K73^2+(P73^2)/12), 0, SQRT((1-N73))*SQRT(M73^2+(P73^2)/12))</f>
        <v>3.83973740072729</v>
      </c>
      <c r="AG73" s="488" t="n">
        <f aca="false">Rdson2*AF73^2</f>
        <v>0.0840384248473004</v>
      </c>
      <c r="AH73" s="488" t="n">
        <f aca="false">CHOOSE(J73, IF(K73&lt;P73/2,Deadtime*Fsw*IF(VfdSky_Q2&gt;0,0,Vsd_Q2)*(K73+P73/2),2*Deadtime*Fsw*IF(VfdSky_Q2&gt;0,0,Vsd_Q2)*K73),0, IF(K73&lt;P73/2,Deadtime*Fsw/2*IF(VfdSky_Q2&gt;0,0,Vsd_Q2)*(K73+P73/2),2*Deadtime*Fsw/2*IF(VfdSky_Q2&gt;0,0,Vsd_Q2)*K73))</f>
        <v>0.144</v>
      </c>
      <c r="AI73" s="488" t="n">
        <f aca="false">(AH73+AG73*(1+RdsonBotTc*Ta-RdsonBotTc*25))/(1-AG73*RdsonBotTc*ThetaJA_Q2)</f>
        <v>0.231936744583095</v>
      </c>
      <c r="AJ73" s="488" t="n">
        <f aca="false">CHOOSE(J73, 0, SQRT(O73)*SQRT(L73^2+(P73^2)/12), SQRT(O73)*SQRT(M73^2+(P73^2)/12))</f>
        <v>0</v>
      </c>
      <c r="AK73" s="488" t="n">
        <f aca="false">Rdson4*AJ73^2</f>
        <v>0</v>
      </c>
      <c r="AL73" s="488" t="n">
        <f aca="false">CHOOSE(J73, 0, (Vout*L73/2)*(Fsw)*(Tr_boost+Tf_boost), (Vout*Iout/2)*(Fsw/2)*(Tr_boost+Tf_boost))</f>
        <v>0</v>
      </c>
      <c r="AM73" s="0" t="n">
        <f aca="false">IF(H73&gt;Vout, 0, IF(L73&gt;P73/2,0,ABS(L73-P73/2)*Vsd_Q4*Deadtime*Fsw))</f>
        <v>0</v>
      </c>
      <c r="AN73" s="488" t="n">
        <f aca="false">(AM73+AL73+AK73*(1+RdsonTopTc*Ta-RdsonTopTc*25))/(1-AK73*RdsonTopTc*ThetaJA_Q4)</f>
        <v>0</v>
      </c>
      <c r="AO73" s="488" t="n">
        <f aca="false">CHOOSE(J73, SQRT(Iout^2+(P73^2)/12), SQRT(1-O73)*SQRT(L73^2+(P73^2)/12), SQRT(1-O73)*SQRT(M73^2+(P73^2)/12))</f>
        <v>6.080795176165</v>
      </c>
      <c r="AP73" s="488" t="n">
        <f aca="false">Rdson3*AO73^2</f>
        <v>0.0702545329514959</v>
      </c>
      <c r="AQ73" s="488" t="n">
        <f aca="false">CHOOSE(J73, 0, IF(L73&lt;P73/2,Deadtime*Fsw*IF(VfdSky_Q3&gt;0,0,Vsd_Q3)*(L73+P73/2), 2*Deadtime*Fsw*IF(VfdSky_Q3&gt;0,0,Vsd_Q3)*L73), IF(L73&lt;P73/2,Deadtime*Fsw/2*IF(VfdSky_Q3&gt;0,0,Vsd_Q3)*(L73+P73/2), 2*Deadtime*Fsw/2*IF(VfdSky_Q3&gt;0,0,Vsd_Q3)*L73))</f>
        <v>0</v>
      </c>
      <c r="AR73" s="488" t="n">
        <f aca="false">(AQ73+AP73*(1+RdsonBotTc*Ta-RdsonBotTc*25))/(1-AP73*RdsonBotTc*ThetaJA_Q3)</f>
        <v>0.0712557407082095</v>
      </c>
      <c r="AS73" s="488" t="n">
        <f aca="false">CHOOSE(J73, Rdson3*Q73^2, Rdson1*Q73^2, 0)</f>
        <v>0.0702545329514959</v>
      </c>
      <c r="AT73" s="488" t="n">
        <f aca="false">CHOOSE(J73, 2*Deadtime*Fsw*IF(VfdSky_Q2&gt;0,VfdSky_Q2,0)*K73, 2*Deadtime*Fsw*IF(VfdSky_Q3&gt;0,VfdSky_Q3,0)*L73, 2*Deadtime*Fsw/2*IF(VfdSky_Q2&gt;0,VfdSky_Q2,0)*K73+2*Deadtime*Fsw/2*IF(VfdSky_Q3&gt;0,VfdSky_Q3,0)*L73)</f>
        <v>0</v>
      </c>
      <c r="AU73" s="488" t="n">
        <f aca="false">CHOOSE(J73, IF(QrrSky_Q2&gt;0,QrrSky_Q2,Qrr_Q2)*Fsw*(H73-K73*Rdson1), IF(QrrSky_Q3&gt;0,QrrSky_Q3,Qrr_Q3)*Fsw*Vout,  IF(QrrSky_Q2&gt;0,QrrSky_Q2,Qrr_Q2)*Fsw/2*(H73-K73*Rdson1)+IF(QrrSky_Q3&gt;0,QrrSky_Q3,Qrr_Q3)*Fsw/2*Vout)</f>
        <v>0.37886562</v>
      </c>
      <c r="AV73" s="488" t="n">
        <f aca="false">CHOOSE(J73, Rs*AF73^2, Rs*AJ73^2, Rs*(AF73^2+AJ73^2))</f>
        <v>0.117948666452351</v>
      </c>
      <c r="AW73" s="488" t="n">
        <f aca="false">Rshunt_std/1000*Iout^2</f>
        <v>0.14832</v>
      </c>
      <c r="AX73" s="488" t="n">
        <f aca="false">IF(Vout&gt;8, Iq*Vout, Iq*H73)</f>
        <v>0.036</v>
      </c>
      <c r="AY73" s="488" t="n">
        <f aca="false">CHOOSE(J73, (Qg_Q1+Qg_Q2)*Fsw, (Qg_Q3+Qg_Q4)*Fsw, (Qg_Q1+Qg_Q2+Qg_Q3+Qg_Q4)*Fsw/2)*IF(Vout&gt;8, Vout, H73)</f>
        <v>0.0792</v>
      </c>
      <c r="AZ73" s="488" t="n">
        <f aca="false">(Vin-Vdd)*Fsw*(Qg_Q1+Qg_Q2)+(RdsonDRT+RdsonDRT2)*Fsw*Qg_Q1*Vdd/(RdsonDRT+2*Rgate1+RdsonDRT2)+(RdsonDRB+RdsonDRB2)*Fsw*Qg_Q2*Vdd/(RdsonDRB+2*Rgate2+RdsonDRB2)</f>
        <v>0.0522</v>
      </c>
      <c r="BA73" s="488" t="n">
        <f aca="false">SUM(AX73:AY73)</f>
        <v>0.1152</v>
      </c>
      <c r="BB73" s="488" t="n">
        <f aca="false">SUM(T73,W73,Z73,AE73,AI73,AN73,AR73, AT73,AU73,BA73,AV73,AW73)</f>
        <v>1.75126337273213</v>
      </c>
      <c r="BC73" s="419" t="n">
        <f aca="false">Vout*K73</f>
        <v>72</v>
      </c>
      <c r="BD73" s="589" t="n">
        <f aca="false">BC73/(BC73+BB73)</f>
        <v>0.976254462735351</v>
      </c>
      <c r="BE73" s="590" t="n">
        <f aca="false">IF(H73&gt;Vout,ThetaJA_Q1*(AE73+AU73),ThetaJA_Q4*(AN73+AU73))</f>
        <v>31.7384612487387</v>
      </c>
      <c r="BF73" s="590" t="n">
        <f aca="false">IF(H73&gt;Vout, AI73*ThetaJA_Q2, ThetaJA_Q3*AR73)</f>
        <v>11.5968372291548</v>
      </c>
      <c r="BG73" s="536"/>
      <c r="BH73" s="385" t="n">
        <f aca="false">BD73*100</f>
        <v>97.6254462735351</v>
      </c>
      <c r="BI73" s="488" t="n">
        <f aca="false">T73</f>
        <v>0.409222989121197</v>
      </c>
      <c r="BJ73" s="488" t="n">
        <f aca="false">AE73+AI73+AN73+AR73+AU73</f>
        <v>0.937961710266078</v>
      </c>
      <c r="BK73" s="488" t="n">
        <f aca="false">AI73+AU73*0.33</f>
        <v>0.356962399183095</v>
      </c>
      <c r="BL73" s="488" t="n">
        <f aca="false">AV73</f>
        <v>0.117948666452351</v>
      </c>
      <c r="BR73" s="591"/>
      <c r="BS73" s="592"/>
    </row>
    <row r="74" customFormat="false" ht="12.75" hidden="false" customHeight="false" outlineLevel="0" collapsed="false">
      <c r="A74" s="633" t="s">
        <v>705</v>
      </c>
      <c r="B74" s="583" t="s">
        <v>133</v>
      </c>
      <c r="C74" s="585" t="s">
        <v>697</v>
      </c>
      <c r="G74" s="0" t="n">
        <v>65</v>
      </c>
      <c r="H74" s="586" t="n">
        <f aca="false">VIN_min+(VIN_max-VIN_min)*(G74/200)</f>
        <v>20.3</v>
      </c>
      <c r="I74" s="385" t="str">
        <f aca="false">IF(H74&gt;VIN_BB_to_buck, "BUCK", IF(H74&lt;VIN_boost_to_BB,"BOOST","BUCK-BST"))</f>
        <v>BUCK</v>
      </c>
      <c r="J74" s="419" t="n">
        <f aca="false">IF(I74="BOOST",2, IF(I74="BUCK", 1,3))</f>
        <v>1</v>
      </c>
      <c r="K74" s="0" t="n">
        <f aca="false">Iout</f>
        <v>6</v>
      </c>
      <c r="L74" s="385" t="n">
        <f aca="false">Vout*K74/(H74*Efficiency)</f>
        <v>3.94088669950739</v>
      </c>
      <c r="M74" s="385" t="n">
        <f aca="false">Iout/(1-O74)</f>
        <v>6</v>
      </c>
      <c r="N74" s="488" t="n">
        <f aca="false">CHOOSE(J74,(Vout+(Rdson2+Rs+Rdcr)*K74)/(H74+(Rs+Rdson2-Rdson1)*K74),1,IF(H74&lt;Vout,D_max_buck_BB,Vout/H74*(1-D_min_boost_exitBB_to_buck)))</f>
        <v>0.594766070375467</v>
      </c>
      <c r="O74" s="488" t="n">
        <f aca="false">CHOOSE(J74,0,(Vout+(Rdson3+Rdcr)*L74-H74)/(Vout+(Rdson3-Rdson4-Rs)*L74),IF(H74&gt;Vout,D_min_boost_exitBB_to_buck, (Vout-H74*D_max_buck_BB)/Vout))</f>
        <v>0</v>
      </c>
      <c r="P74" s="385" t="n">
        <f aca="false">MAX(0, CHOOSE(J74, (H74-(Rdson1+Rdcr)*K74-Vout)*N74/(Fsw*Lf), (H74-(Rdson4+Rdcr+Rs)*L74)*O74/(Fsw*Lf), IF(H74&lt;Vout, (H74-(Rdson4+Rdcr+Rs)*L74)*O74/(0.5*Fsw*Lf),(H74-(Rdson1+Rdcr)*K74-Vout)*N74/(0.5*Fsw*Lf))))</f>
        <v>3.47820041595389</v>
      </c>
      <c r="Q74" s="488" t="n">
        <f aca="false">CHOOSE(J74, SQRT(K74^2+(P74^2)/12), SQRT(L74^2+(P74^2)/12), SQRT(M74^2+(P74^2)/12))</f>
        <v>6.08343295443687</v>
      </c>
      <c r="R74" s="488" t="n">
        <f aca="false">(Q74^2*Rdcr*(1+Ltc*Ta-Ltc*25))/(1-Q74^2*Rdcr*Ltc*ThetaCa)</f>
        <v>0.125219272339236</v>
      </c>
      <c r="S74" s="488" t="n">
        <f aca="false">7.759*10^-3*Fsw^0.9458*(0.00787*P74)^2.304</f>
        <v>0.294899354910416</v>
      </c>
      <c r="T74" s="488" t="n">
        <f aca="false">R74+S74</f>
        <v>0.420118627249652</v>
      </c>
      <c r="U74" s="385" t="n">
        <f aca="false">IF(H74&gt;Vout, P74/SQRT(12), SQRT(O74/(1-O74))*SQRT(K74^2+(P74^2)/12))</f>
        <v>1.00406997322322</v>
      </c>
      <c r="V74" s="488" t="n">
        <f aca="false">RCoutEsr*U74^2</f>
        <v>0.00504078255564243</v>
      </c>
      <c r="W74" s="488" t="n">
        <f aca="false">V74</f>
        <v>0.00504078255564243</v>
      </c>
      <c r="X74" s="488" t="n">
        <f aca="false">IF(H74&gt;Vout, SQRT(N74*(1-N74))*SQRT(K74^2+(P74^2)/12), P74/SQRT(12))</f>
        <v>2.98658389767627</v>
      </c>
      <c r="Y74" s="587" t="n">
        <f aca="false">RCinEsr*X74^2</f>
        <v>0.0178393667557183</v>
      </c>
      <c r="Z74" s="588" t="n">
        <f aca="false">Y74</f>
        <v>0.0178393667557183</v>
      </c>
      <c r="AA74" s="488" t="n">
        <f aca="false">CHOOSE(J74, SQRT(N74)*SQRT(K74^2+(P74^2)/12), SQRT(L74^2+(P74^2)/12), SQRT(N74)*SQRT(M74^2+(P74^2)/12))</f>
        <v>4.69160908643976</v>
      </c>
      <c r="AB74" s="488" t="n">
        <f aca="false">Rdson1*AA74^2</f>
        <v>0.125463816173796</v>
      </c>
      <c r="AC74" s="488" t="n">
        <f aca="false">CHOOSE(J74, (H74*K74/2)*(Fsw)*(Tr_buck+Tf_buck), 0, (H74*M74/2)*(Fsw/2)*(Tr_buck+Tf_buck))</f>
        <v>0.124036786226686</v>
      </c>
      <c r="AD74" s="0" t="n">
        <f aca="false">IF(H74&gt;Vout, IF(K74&gt;P74/2,0,ABS(K74-P74/2)*Vsd_Q1*Deadtime*Fsw),0)</f>
        <v>0</v>
      </c>
      <c r="AE74" s="488" t="n">
        <f aca="false">(AD74+AC74+AB74*(1+RdsonTopTc*Ta-RdsonTopTc*25))/(1-AB74*RdsonTopTc*ThetaJA_Q1)</f>
        <v>0.25592240265682</v>
      </c>
      <c r="AF74" s="488" t="n">
        <f aca="false">CHOOSE(J74, SQRT((1-N74))*SQRT(K74^2+(P74^2)/12), 0, SQRT((1-N74))*SQRT(M74^2+(P74^2)/12))</f>
        <v>3.8725909532462</v>
      </c>
      <c r="AG74" s="488" t="n">
        <f aca="false">Rdson2*AF74^2</f>
        <v>0.0854826759396368</v>
      </c>
      <c r="AH74" s="488" t="n">
        <f aca="false">CHOOSE(J74, IF(K74&lt;P74/2,Deadtime*Fsw*IF(VfdSky_Q2&gt;0,0,Vsd_Q2)*(K74+P74/2),2*Deadtime*Fsw*IF(VfdSky_Q2&gt;0,0,Vsd_Q2)*K74),0, IF(K74&lt;P74/2,Deadtime*Fsw/2*IF(VfdSky_Q2&gt;0,0,Vsd_Q2)*(K74+P74/2),2*Deadtime*Fsw/2*IF(VfdSky_Q2&gt;0,0,Vsd_Q2)*K74))</f>
        <v>0.144</v>
      </c>
      <c r="AI74" s="488" t="n">
        <f aca="false">(AH74+AG74*(1+RdsonBotTc*Ta-RdsonBotTc*25))/(1-AG74*RdsonBotTc*ThetaJA_Q2)</f>
        <v>0.233474277134136</v>
      </c>
      <c r="AJ74" s="488" t="n">
        <f aca="false">CHOOSE(J74, 0, SQRT(O74)*SQRT(L74^2+(P74^2)/12), SQRT(O74)*SQRT(M74^2+(P74^2)/12))</f>
        <v>0</v>
      </c>
      <c r="AK74" s="488" t="n">
        <f aca="false">Rdson4*AJ74^2</f>
        <v>0</v>
      </c>
      <c r="AL74" s="488" t="n">
        <f aca="false">CHOOSE(J74, 0, (Vout*L74/2)*(Fsw)*(Tr_boost+Tf_boost), (Vout*Iout/2)*(Fsw/2)*(Tr_boost+Tf_boost))</f>
        <v>0</v>
      </c>
      <c r="AM74" s="0" t="n">
        <f aca="false">IF(H74&gt;Vout, 0, IF(L74&gt;P74/2,0,ABS(L74-P74/2)*Vsd_Q4*Deadtime*Fsw))</f>
        <v>0</v>
      </c>
      <c r="AN74" s="488" t="n">
        <f aca="false">(AM74+AL74+AK74*(1+RdsonTopTc*Ta-RdsonTopTc*25))/(1-AK74*RdsonTopTc*ThetaJA_Q4)</f>
        <v>0</v>
      </c>
      <c r="AO74" s="488" t="n">
        <f aca="false">CHOOSE(J74, SQRT(Iout^2+(P74^2)/12), SQRT(1-O74)*SQRT(L74^2+(P74^2)/12), SQRT(1-O74)*SQRT(M74^2+(P74^2)/12))</f>
        <v>6.08343295443687</v>
      </c>
      <c r="AP74" s="488" t="n">
        <f aca="false">Rdson3*AO74^2</f>
        <v>0.0703154973711441</v>
      </c>
      <c r="AQ74" s="488" t="n">
        <f aca="false">CHOOSE(J74, 0, IF(L74&lt;P74/2,Deadtime*Fsw*IF(VfdSky_Q3&gt;0,0,Vsd_Q3)*(L74+P74/2), 2*Deadtime*Fsw*IF(VfdSky_Q3&gt;0,0,Vsd_Q3)*L74), IF(L74&lt;P74/2,Deadtime*Fsw/2*IF(VfdSky_Q3&gt;0,0,Vsd_Q3)*(L74+P74/2), 2*Deadtime*Fsw/2*IF(VfdSky_Q3&gt;0,0,Vsd_Q3)*L74))</f>
        <v>0</v>
      </c>
      <c r="AR74" s="488" t="n">
        <f aca="false">(AQ74+AP74*(1+RdsonBotTc*Ta-RdsonBotTc*25))/(1-AP74*RdsonBotTc*ThetaJA_Q3)</f>
        <v>0.0713184559109685</v>
      </c>
      <c r="AS74" s="488" t="n">
        <f aca="false">CHOOSE(J74, Rdson3*Q74^2, Rdson1*Q74^2, 0)</f>
        <v>0.0703154973711441</v>
      </c>
      <c r="AT74" s="488" t="n">
        <f aca="false">CHOOSE(J74, 2*Deadtime*Fsw*IF(VfdSky_Q2&gt;0,VfdSky_Q2,0)*K74, 2*Deadtime*Fsw*IF(VfdSky_Q3&gt;0,VfdSky_Q3,0)*L74, 2*Deadtime*Fsw/2*IF(VfdSky_Q2&gt;0,VfdSky_Q2,0)*K74+2*Deadtime*Fsw/2*IF(VfdSky_Q3&gt;0,VfdSky_Q3,0)*L74)</f>
        <v>0</v>
      </c>
      <c r="AU74" s="488" t="n">
        <f aca="false">CHOOSE(J74, IF(QrrSky_Q2&gt;0,QrrSky_Q2,Qrr_Q2)*Fsw*(H74-K74*Rdson1), IF(QrrSky_Q3&gt;0,QrrSky_Q3,Qrr_Q3)*Fsw*Vout,  IF(QrrSky_Q2&gt;0,QrrSky_Q2,Qrr_Q2)*Fsw/2*(H74-K74*Rdson1)+IF(QrrSky_Q3&gt;0,QrrSky_Q3,Qrr_Q3)*Fsw/2*Vout)</f>
        <v>0.38302362</v>
      </c>
      <c r="AV74" s="488" t="n">
        <f aca="false">CHOOSE(J74, Rs*AF74^2, Rs*AJ74^2, Rs*(AF74^2+AJ74^2))</f>
        <v>0.119975685529315</v>
      </c>
      <c r="AW74" s="488" t="n">
        <f aca="false">Rshunt_std/1000*Iout^2</f>
        <v>0.14832</v>
      </c>
      <c r="AX74" s="488" t="n">
        <f aca="false">IF(Vout&gt;8, Iq*Vout, Iq*H74)</f>
        <v>0.036</v>
      </c>
      <c r="AY74" s="488" t="n">
        <f aca="false">CHOOSE(J74, (Qg_Q1+Qg_Q2)*Fsw, (Qg_Q3+Qg_Q4)*Fsw, (Qg_Q1+Qg_Q2+Qg_Q3+Qg_Q4)*Fsw/2)*IF(Vout&gt;8, Vout, H74)</f>
        <v>0.0792</v>
      </c>
      <c r="AZ74" s="488" t="n">
        <f aca="false">(Vin-Vdd)*Fsw*(Qg_Q1+Qg_Q2)+(RdsonDRT+RdsonDRT2)*Fsw*Qg_Q1*Vdd/(RdsonDRT+2*Rgate1+RdsonDRT2)+(RdsonDRB+RdsonDRB2)*Fsw*Qg_Q2*Vdd/(RdsonDRB+2*Rgate2+RdsonDRB2)</f>
        <v>0.0522</v>
      </c>
      <c r="BA74" s="488" t="n">
        <f aca="false">SUM(AX74:AY74)</f>
        <v>0.1152</v>
      </c>
      <c r="BB74" s="488" t="n">
        <f aca="false">SUM(T74,W74,Z74,AE74,AI74,AN74,AR74, AT74,AU74,BA74,AV74,AW74)</f>
        <v>1.77023321779225</v>
      </c>
      <c r="BC74" s="419" t="n">
        <f aca="false">Vout*K74</f>
        <v>72</v>
      </c>
      <c r="BD74" s="589" t="n">
        <f aca="false">BC74/(BC74+BB74)</f>
        <v>0.976003421155441</v>
      </c>
      <c r="BE74" s="590" t="n">
        <f aca="false">IF(H74&gt;Vout,ThetaJA_Q1*(AE74+AU74),ThetaJA_Q4*(AN74+AU74))</f>
        <v>31.947301132841</v>
      </c>
      <c r="BF74" s="590" t="n">
        <f aca="false">IF(H74&gt;Vout, AI74*ThetaJA_Q2, ThetaJA_Q3*AR74)</f>
        <v>11.6737138567068</v>
      </c>
      <c r="BG74" s="536"/>
      <c r="BH74" s="385" t="n">
        <f aca="false">BD74*100</f>
        <v>97.6003421155441</v>
      </c>
      <c r="BI74" s="488" t="n">
        <f aca="false">T74</f>
        <v>0.420118627249652</v>
      </c>
      <c r="BJ74" s="488" t="n">
        <f aca="false">AE74+AI74+AN74+AR74+AU74</f>
        <v>0.943738755701925</v>
      </c>
      <c r="BK74" s="488" t="n">
        <f aca="false">AI74+AU74*0.33</f>
        <v>0.359872071734137</v>
      </c>
      <c r="BL74" s="488" t="n">
        <f aca="false">AV74</f>
        <v>0.119975685529315</v>
      </c>
      <c r="BR74" s="591"/>
      <c r="BS74" s="592"/>
    </row>
    <row r="75" customFormat="false" ht="12.75" hidden="false" customHeight="false" outlineLevel="0" collapsed="false">
      <c r="A75" s="639" t="s">
        <v>698</v>
      </c>
      <c r="B75" s="640" t="n">
        <f aca="false">BA9</f>
        <v>0.1944</v>
      </c>
      <c r="C75" s="641" t="s">
        <v>40</v>
      </c>
      <c r="G75" s="0" t="n">
        <v>66</v>
      </c>
      <c r="H75" s="586" t="n">
        <f aca="false">VIN_min+(VIN_max-VIN_min)*(G75/200)</f>
        <v>20.52</v>
      </c>
      <c r="I75" s="385" t="str">
        <f aca="false">IF(H75&gt;VIN_BB_to_buck, "BUCK", IF(H75&lt;VIN_boost_to_BB,"BOOST","BUCK-BST"))</f>
        <v>BUCK</v>
      </c>
      <c r="J75" s="419" t="n">
        <f aca="false">IF(I75="BOOST",2, IF(I75="BUCK", 1,3))</f>
        <v>1</v>
      </c>
      <c r="K75" s="0" t="n">
        <f aca="false">Iout</f>
        <v>6</v>
      </c>
      <c r="L75" s="385" t="n">
        <f aca="false">Vout*K75/(H75*Efficiency)</f>
        <v>3.89863547758285</v>
      </c>
      <c r="M75" s="385" t="n">
        <f aca="false">Iout/(1-O75)</f>
        <v>6</v>
      </c>
      <c r="N75" s="488" t="n">
        <f aca="false">CHOOSE(J75,(Vout+(Rdson2+Rs+Rdcr)*K75)/(H75+(Rs+Rdson2-Rdson1)*K75),1,IF(H75&lt;Vout,D_max_buck_BB,Vout/H75*(1-D_min_boost_exitBB_to_buck)))</f>
        <v>0.588404317386231</v>
      </c>
      <c r="O75" s="488" t="n">
        <f aca="false">CHOOSE(J75,0,(Vout+(Rdson3+Rdcr)*L75-H75)/(Vout+(Rdson3-Rdson4-Rs)*L75),IF(H75&gt;Vout,D_min_boost_exitBB_to_buck, (Vout-H75*D_max_buck_BB)/Vout))</f>
        <v>0</v>
      </c>
      <c r="P75" s="385" t="n">
        <f aca="false">MAX(0, CHOOSE(J75, (H75-(Rdson1+Rdcr)*K75-Vout)*N75/(Fsw*Lf), (H75-(Rdson4+Rdcr+Rs)*L75)*O75/(Fsw*Lf), IF(H75&lt;Vout, (H75-(Rdson4+Rdcr+Rs)*L75)*O75/(0.5*Fsw*Lf),(H75-(Rdson1+Rdcr)*K75-Vout)*N75/(0.5*Fsw*Lf))))</f>
        <v>3.53280456006852</v>
      </c>
      <c r="Q75" s="488" t="n">
        <f aca="false">CHOOSE(J75, SQRT(K75^2+(P75^2)/12), SQRT(L75^2+(P75^2)/12), SQRT(M75^2+(P75^2)/12))</f>
        <v>6.08605446943832</v>
      </c>
      <c r="R75" s="488" t="n">
        <f aca="false">(Q75^2*Rdcr*(1+Ltc*Ta-Ltc*25))/(1-Q75^2*Rdcr*Ltc*ThetaCa)</f>
        <v>0.125328298576554</v>
      </c>
      <c r="S75" s="488" t="n">
        <f aca="false">7.759*10^-3*Fsw^0.9458*(0.00787*P75)^2.304</f>
        <v>0.30567534050404</v>
      </c>
      <c r="T75" s="488" t="n">
        <f aca="false">R75+S75</f>
        <v>0.431003639080594</v>
      </c>
      <c r="U75" s="385" t="n">
        <f aca="false">IF(H75&gt;Vout, P75/SQRT(12), SQRT(O75/(1-O75))*SQRT(K75^2+(P75^2)/12))</f>
        <v>1.01983283187495</v>
      </c>
      <c r="V75" s="488" t="n">
        <f aca="false">RCoutEsr*U75^2</f>
        <v>0.0052002950248504</v>
      </c>
      <c r="W75" s="488" t="n">
        <f aca="false">V75</f>
        <v>0.0052002950248504</v>
      </c>
      <c r="X75" s="488" t="n">
        <f aca="false">IF(H75&gt;Vout, SQRT(N75*(1-N75))*SQRT(K75^2+(P75^2)/12), P75/SQRT(12))</f>
        <v>2.99508509292522</v>
      </c>
      <c r="Y75" s="587" t="n">
        <f aca="false">RCinEsr*X75^2</f>
        <v>0.0179410694277257</v>
      </c>
      <c r="Z75" s="588" t="n">
        <f aca="false">Y75</f>
        <v>0.0179410694277257</v>
      </c>
      <c r="AA75" s="488" t="n">
        <f aca="false">CHOOSE(J75, SQRT(N75)*SQRT(K75^2+(P75^2)/12), SQRT(L75^2+(P75^2)/12), SQRT(N75)*SQRT(M75^2+(P75^2)/12))</f>
        <v>4.66846127056498</v>
      </c>
      <c r="AB75" s="488" t="n">
        <f aca="false">Rdson1*AA75^2</f>
        <v>0.124228824618161</v>
      </c>
      <c r="AC75" s="488" t="n">
        <f aca="false">CHOOSE(J75, (H75*K75/2)*(Fsw)*(Tr_buck+Tf_buck), 0, (H75*M75/2)*(Fsw/2)*(Tr_buck+Tf_buck))</f>
        <v>0.125381027259684</v>
      </c>
      <c r="AD75" s="0" t="n">
        <f aca="false">IF(H75&gt;Vout, IF(K75&gt;P75/2,0,ABS(K75-P75/2)*Vsd_Q1*Deadtime*Fsw),0)</f>
        <v>0</v>
      </c>
      <c r="AE75" s="488" t="n">
        <f aca="false">(AD75+AC75+AB75*(1+RdsonTopTc*Ta-RdsonTopTc*25))/(1-AB75*RdsonTopTc*ThetaJA_Q1)</f>
        <v>0.255969612702649</v>
      </c>
      <c r="AF75" s="488" t="n">
        <f aca="false">CHOOSE(J75, SQRT((1-N75))*SQRT(K75^2+(P75^2)/12), 0, SQRT((1-N75))*SQRT(M75^2+(P75^2)/12))</f>
        <v>3.9045522624502</v>
      </c>
      <c r="AG75" s="488" t="n">
        <f aca="false">Rdson2*AF75^2</f>
        <v>0.0868995117101682</v>
      </c>
      <c r="AH75" s="488" t="n">
        <f aca="false">CHOOSE(J75, IF(K75&lt;P75/2,Deadtime*Fsw*IF(VfdSky_Q2&gt;0,0,Vsd_Q2)*(K75+P75/2),2*Deadtime*Fsw*IF(VfdSky_Q2&gt;0,0,Vsd_Q2)*K75),0, IF(K75&lt;P75/2,Deadtime*Fsw/2*IF(VfdSky_Q2&gt;0,0,Vsd_Q2)*(K75+P75/2),2*Deadtime*Fsw/2*IF(VfdSky_Q2&gt;0,0,Vsd_Q2)*K75))</f>
        <v>0.144</v>
      </c>
      <c r="AI75" s="488" t="n">
        <f aca="false">(AH75+AG75*(1+RdsonBotTc*Ta-RdsonBotTc*25))/(1-AG75*RdsonBotTc*ThetaJA_Q2)</f>
        <v>0.234983502027393</v>
      </c>
      <c r="AJ75" s="488" t="n">
        <f aca="false">CHOOSE(J75, 0, SQRT(O75)*SQRT(L75^2+(P75^2)/12), SQRT(O75)*SQRT(M75^2+(P75^2)/12))</f>
        <v>0</v>
      </c>
      <c r="AK75" s="488" t="n">
        <f aca="false">Rdson4*AJ75^2</f>
        <v>0</v>
      </c>
      <c r="AL75" s="488" t="n">
        <f aca="false">CHOOSE(J75, 0, (Vout*L75/2)*(Fsw)*(Tr_boost+Tf_boost), (Vout*Iout/2)*(Fsw/2)*(Tr_boost+Tf_boost))</f>
        <v>0</v>
      </c>
      <c r="AM75" s="0" t="n">
        <f aca="false">IF(H75&gt;Vout, 0, IF(L75&gt;P75/2,0,ABS(L75-P75/2)*Vsd_Q4*Deadtime*Fsw))</f>
        <v>0</v>
      </c>
      <c r="AN75" s="488" t="n">
        <f aca="false">(AM75+AL75+AK75*(1+RdsonTopTc*Ta-RdsonTopTc*25))/(1-AK75*RdsonTopTc*ThetaJA_Q4)</f>
        <v>0</v>
      </c>
      <c r="AO75" s="488" t="n">
        <f aca="false">CHOOSE(J75, SQRT(Iout^2+(P75^2)/12), SQRT(1-O75)*SQRT(L75^2+(P75^2)/12), SQRT(1-O75)*SQRT(M75^2+(P75^2)/12))</f>
        <v>6.08605446943832</v>
      </c>
      <c r="AP75" s="488" t="n">
        <f aca="false">Rdson3*AO75^2</f>
        <v>0.0703761121094432</v>
      </c>
      <c r="AQ75" s="488" t="n">
        <f aca="false">CHOOSE(J75, 0, IF(L75&lt;P75/2,Deadtime*Fsw*IF(VfdSky_Q3&gt;0,0,Vsd_Q3)*(L75+P75/2), 2*Deadtime*Fsw*IF(VfdSky_Q3&gt;0,0,Vsd_Q3)*L75), IF(L75&lt;P75/2,Deadtime*Fsw/2*IF(VfdSky_Q3&gt;0,0,Vsd_Q3)*(L75+P75/2), 2*Deadtime*Fsw/2*IF(VfdSky_Q3&gt;0,0,Vsd_Q3)*L75))</f>
        <v>0</v>
      </c>
      <c r="AR75" s="488" t="n">
        <f aca="false">(AQ75+AP75*(1+RdsonBotTc*Ta-RdsonBotTc*25))/(1-AP75*RdsonBotTc*ThetaJA_Q3)</f>
        <v>0.0713808129280609</v>
      </c>
      <c r="AS75" s="488" t="n">
        <f aca="false">CHOOSE(J75, Rdson3*Q75^2, Rdson1*Q75^2, 0)</f>
        <v>0.0703761121094432</v>
      </c>
      <c r="AT75" s="488" t="n">
        <f aca="false">CHOOSE(J75, 2*Deadtime*Fsw*IF(VfdSky_Q2&gt;0,VfdSky_Q2,0)*K75, 2*Deadtime*Fsw*IF(VfdSky_Q3&gt;0,VfdSky_Q3,0)*L75, 2*Deadtime*Fsw/2*IF(VfdSky_Q2&gt;0,VfdSky_Q2,0)*K75+2*Deadtime*Fsw/2*IF(VfdSky_Q3&gt;0,VfdSky_Q3,0)*L75)</f>
        <v>0</v>
      </c>
      <c r="AU75" s="488" t="n">
        <f aca="false">CHOOSE(J75, IF(QrrSky_Q2&gt;0,QrrSky_Q2,Qrr_Q2)*Fsw*(H75-K75*Rdson1), IF(QrrSky_Q3&gt;0,QrrSky_Q3,Qrr_Q3)*Fsw*Vout,  IF(QrrSky_Q2&gt;0,QrrSky_Q2,Qrr_Q2)*Fsw/2*(H75-K75*Rdson1)+IF(QrrSky_Q3&gt;0,QrrSky_Q3,Qrr_Q3)*Fsw/2*Vout)</f>
        <v>0.38718162</v>
      </c>
      <c r="AV75" s="488" t="n">
        <f aca="false">CHOOSE(J75, Rs*AF75^2, Rs*AJ75^2, Rs*(AF75^2+AJ75^2))</f>
        <v>0.12196422696164</v>
      </c>
      <c r="AW75" s="488" t="n">
        <f aca="false">Rshunt_std/1000*Iout^2</f>
        <v>0.14832</v>
      </c>
      <c r="AX75" s="488" t="n">
        <f aca="false">IF(Vout&gt;8, Iq*Vout, Iq*H75)</f>
        <v>0.036</v>
      </c>
      <c r="AY75" s="488" t="n">
        <f aca="false">CHOOSE(J75, (Qg_Q1+Qg_Q2)*Fsw, (Qg_Q3+Qg_Q4)*Fsw, (Qg_Q1+Qg_Q2+Qg_Q3+Qg_Q4)*Fsw/2)*IF(Vout&gt;8, Vout, H75)</f>
        <v>0.0792</v>
      </c>
      <c r="AZ75" s="488" t="n">
        <f aca="false">(Vin-Vdd)*Fsw*(Qg_Q1+Qg_Q2)+(RdsonDRT+RdsonDRT2)*Fsw*Qg_Q1*Vdd/(RdsonDRT+2*Rgate1+RdsonDRT2)+(RdsonDRB+RdsonDRB2)*Fsw*Qg_Q2*Vdd/(RdsonDRB+2*Rgate2+RdsonDRB2)</f>
        <v>0.0522</v>
      </c>
      <c r="BA75" s="488" t="n">
        <f aca="false">SUM(AX75:AY75)</f>
        <v>0.1152</v>
      </c>
      <c r="BB75" s="488" t="n">
        <f aca="false">SUM(T75,W75,Z75,AE75,AI75,AN75,AR75, AT75,AU75,BA75,AV75,AW75)</f>
        <v>1.78914477815291</v>
      </c>
      <c r="BC75" s="419" t="n">
        <f aca="false">Vout*K75</f>
        <v>72</v>
      </c>
      <c r="BD75" s="589" t="n">
        <f aca="false">BC75/(BC75+BB75)</f>
        <v>0.975753279380972</v>
      </c>
      <c r="BE75" s="590" t="n">
        <f aca="false">IF(H75&gt;Vout,ThetaJA_Q1*(AE75+AU75),ThetaJA_Q4*(AN75+AU75))</f>
        <v>32.1575616351324</v>
      </c>
      <c r="BF75" s="590" t="n">
        <f aca="false">IF(H75&gt;Vout, AI75*ThetaJA_Q2, ThetaJA_Q3*AR75)</f>
        <v>11.7491751013697</v>
      </c>
      <c r="BG75" s="536"/>
      <c r="BH75" s="385" t="n">
        <f aca="false">BD75*100</f>
        <v>97.5753279380972</v>
      </c>
      <c r="BI75" s="488" t="n">
        <f aca="false">T75</f>
        <v>0.431003639080594</v>
      </c>
      <c r="BJ75" s="488" t="n">
        <f aca="false">AE75+AI75+AN75+AR75+AU75</f>
        <v>0.949515547658103</v>
      </c>
      <c r="BK75" s="488" t="n">
        <f aca="false">AI75+AU75*0.33</f>
        <v>0.362753436627393</v>
      </c>
      <c r="BL75" s="488" t="n">
        <f aca="false">AV75</f>
        <v>0.12196422696164</v>
      </c>
      <c r="BR75" s="591"/>
      <c r="BS75" s="592"/>
    </row>
    <row r="76" customFormat="false" ht="12.75" hidden="false" customHeight="false" outlineLevel="0" collapsed="false">
      <c r="A76" s="639" t="s">
        <v>699</v>
      </c>
      <c r="B76" s="642" t="n">
        <f aca="false">B75*B62</f>
        <v>5.832</v>
      </c>
      <c r="C76" s="601" t="s">
        <v>819</v>
      </c>
      <c r="G76" s="0" t="n">
        <v>67</v>
      </c>
      <c r="H76" s="586" t="n">
        <f aca="false">VIN_min+(VIN_max-VIN_min)*(G76/200)</f>
        <v>20.74</v>
      </c>
      <c r="I76" s="385" t="str">
        <f aca="false">IF(H76&gt;VIN_BB_to_buck, "BUCK", IF(H76&lt;VIN_boost_to_BB,"BOOST","BUCK-BST"))</f>
        <v>BUCK</v>
      </c>
      <c r="J76" s="419" t="n">
        <f aca="false">IF(I76="BOOST",2, IF(I76="BUCK", 1,3))</f>
        <v>1</v>
      </c>
      <c r="K76" s="0" t="n">
        <f aca="false">Iout</f>
        <v>6</v>
      </c>
      <c r="L76" s="385" t="n">
        <f aca="false">Vout*K76/(H76*Efficiency)</f>
        <v>3.8572806171649</v>
      </c>
      <c r="M76" s="385" t="n">
        <f aca="false">Iout/(1-O76)</f>
        <v>6</v>
      </c>
      <c r="N76" s="488" t="n">
        <f aca="false">CHOOSE(J76,(Vout+(Rdson2+Rs+Rdcr)*K76)/(H76+(Rs+Rdson2-Rdson1)*K76),1,IF(H76&lt;Vout,D_max_buck_BB,Vout/H76*(1-D_min_boost_exitBB_to_buck)))</f>
        <v>0.582177217625553</v>
      </c>
      <c r="O76" s="488" t="n">
        <f aca="false">CHOOSE(J76,0,(Vout+(Rdson3+Rdcr)*L76-H76)/(Vout+(Rdson3-Rdson4-Rs)*L76),IF(H76&gt;Vout,D_min_boost_exitBB_to_buck, (Vout-H76*D_max_buck_BB)/Vout))</f>
        <v>0</v>
      </c>
      <c r="P76" s="385" t="n">
        <f aca="false">MAX(0, CHOOSE(J76, (H76-(Rdson1+Rdcr)*K76-Vout)*N76/(Fsw*Lf), (H76-(Rdson4+Rdcr+Rs)*L76)*O76/(Fsw*Lf), IF(H76&lt;Vout, (H76-(Rdson4+Rdcr+Rs)*L76)*O76/(0.5*Fsw*Lf),(H76-(Rdson1+Rdcr)*K76-Vout)*N76/(0.5*Fsw*Lf))))</f>
        <v>3.58625294973778</v>
      </c>
      <c r="Q76" s="488" t="n">
        <f aca="false">CHOOSE(J76, SQRT(K76^2+(P76^2)/12), SQRT(L76^2+(P76^2)/12), SQRT(M76^2+(P76^2)/12))</f>
        <v>6.088658926093</v>
      </c>
      <c r="R76" s="488" t="n">
        <f aca="false">(Q76^2*Rdcr*(1+Ltc*Ta-Ltc*25))/(1-Q76^2*Rdcr*Ltc*ThetaCa)</f>
        <v>0.125436663754589</v>
      </c>
      <c r="S76" s="488" t="n">
        <f aca="false">7.759*10^-3*Fsw^0.9458*(0.00787*P76)^2.304</f>
        <v>0.316435714404801</v>
      </c>
      <c r="T76" s="488" t="n">
        <f aca="false">R76+S76</f>
        <v>0.44187237815939</v>
      </c>
      <c r="U76" s="385" t="n">
        <f aca="false">IF(H76&gt;Vout, P76/SQRT(12), SQRT(O76/(1-O76))*SQRT(K76^2+(P76^2)/12))</f>
        <v>1.0352620529566</v>
      </c>
      <c r="V76" s="488" t="n">
        <f aca="false">RCoutEsr*U76^2</f>
        <v>0.00535883759145955</v>
      </c>
      <c r="W76" s="488" t="n">
        <f aca="false">V76</f>
        <v>0.00535883759145955</v>
      </c>
      <c r="X76" s="488" t="n">
        <f aca="false">IF(H76&gt;Vout, SQRT(N76*(1-N76))*SQRT(K76^2+(P76^2)/12), P76/SQRT(12))</f>
        <v>3.00293068653275</v>
      </c>
      <c r="Y76" s="587" t="n">
        <f aca="false">RCinEsr*X76^2</f>
        <v>0.0180351854162401</v>
      </c>
      <c r="Z76" s="588" t="n">
        <f aca="false">Y76</f>
        <v>0.0180351854162401</v>
      </c>
      <c r="AA76" s="488" t="n">
        <f aca="false">CHOOSE(J76, SQRT(N76)*SQRT(K76^2+(P76^2)/12), SQRT(L76^2+(P76^2)/12), SQRT(N76)*SQRT(M76^2+(P76^2)/12))</f>
        <v>4.64567954838262</v>
      </c>
      <c r="AB76" s="488" t="n">
        <f aca="false">Rdson1*AA76^2</f>
        <v>0.123019329257685</v>
      </c>
      <c r="AC76" s="488" t="n">
        <f aca="false">CHOOSE(J76, (H76*K76/2)*(Fsw)*(Tr_buck+Tf_buck), 0, (H76*M76/2)*(Fsw/2)*(Tr_buck+Tf_buck))</f>
        <v>0.126725268292683</v>
      </c>
      <c r="AD76" s="0" t="n">
        <f aca="false">IF(H76&gt;Vout, IF(K76&gt;P76/2,0,ABS(K76-P76/2)*Vsd_Q1*Deadtime*Fsw),0)</f>
        <v>0</v>
      </c>
      <c r="AE76" s="488" t="n">
        <f aca="false">(AD76+AC76+AB76*(1+RdsonTopTc*Ta-RdsonTopTc*25))/(1-AB76*RdsonTopTc*ThetaJA_Q1)</f>
        <v>0.256044276583482</v>
      </c>
      <c r="AF76" s="488" t="n">
        <f aca="false">CHOOSE(J76, SQRT((1-N76))*SQRT(K76^2+(P76^2)/12), 0, SQRT((1-N76))*SQRT(M76^2+(P76^2)/12))</f>
        <v>3.93566119629617</v>
      </c>
      <c r="AG76" s="488" t="n">
        <f aca="false">Rdson2*AF76^2</f>
        <v>0.0882897455965788</v>
      </c>
      <c r="AH76" s="488" t="n">
        <f aca="false">CHOOSE(J76, IF(K76&lt;P76/2,Deadtime*Fsw*IF(VfdSky_Q2&gt;0,0,Vsd_Q2)*(K76+P76/2),2*Deadtime*Fsw*IF(VfdSky_Q2&gt;0,0,Vsd_Q2)*K76),0, IF(K76&lt;P76/2,Deadtime*Fsw/2*IF(VfdSky_Q2&gt;0,0,Vsd_Q2)*(K76+P76/2),2*Deadtime*Fsw/2*IF(VfdSky_Q2&gt;0,0,Vsd_Q2)*K76))</f>
        <v>0.144</v>
      </c>
      <c r="AI76" s="488" t="n">
        <f aca="false">(AH76+AG76*(1+RdsonBotTc*Ta-RdsonBotTc*25))/(1-AG76*RdsonBotTc*ThetaJA_Q2)</f>
        <v>0.236465236714979</v>
      </c>
      <c r="AJ76" s="488" t="n">
        <f aca="false">CHOOSE(J76, 0, SQRT(O76)*SQRT(L76^2+(P76^2)/12), SQRT(O76)*SQRT(M76^2+(P76^2)/12))</f>
        <v>0</v>
      </c>
      <c r="AK76" s="488" t="n">
        <f aca="false">Rdson4*AJ76^2</f>
        <v>0</v>
      </c>
      <c r="AL76" s="488" t="n">
        <f aca="false">CHOOSE(J76, 0, (Vout*L76/2)*(Fsw)*(Tr_boost+Tf_boost), (Vout*Iout/2)*(Fsw/2)*(Tr_boost+Tf_boost))</f>
        <v>0</v>
      </c>
      <c r="AM76" s="0" t="n">
        <f aca="false">IF(H76&gt;Vout, 0, IF(L76&gt;P76/2,0,ABS(L76-P76/2)*Vsd_Q4*Deadtime*Fsw))</f>
        <v>0</v>
      </c>
      <c r="AN76" s="488" t="n">
        <f aca="false">(AM76+AL76+AK76*(1+RdsonTopTc*Ta-RdsonTopTc*25))/(1-AK76*RdsonTopTc*ThetaJA_Q4)</f>
        <v>0</v>
      </c>
      <c r="AO76" s="488" t="n">
        <f aca="false">CHOOSE(J76, SQRT(Iout^2+(P76^2)/12), SQRT(1-O76)*SQRT(L76^2+(P76^2)/12), SQRT(1-O76)*SQRT(M76^2+(P76^2)/12))</f>
        <v>6.088658926093</v>
      </c>
      <c r="AP76" s="488" t="n">
        <f aca="false">Rdson3*AO76^2</f>
        <v>0.0704363582847546</v>
      </c>
      <c r="AQ76" s="488" t="n">
        <f aca="false">CHOOSE(J76, 0, IF(L76&lt;P76/2,Deadtime*Fsw*IF(VfdSky_Q3&gt;0,0,Vsd_Q3)*(L76+P76/2), 2*Deadtime*Fsw*IF(VfdSky_Q3&gt;0,0,Vsd_Q3)*L76), IF(L76&lt;P76/2,Deadtime*Fsw/2*IF(VfdSky_Q3&gt;0,0,Vsd_Q3)*(L76+P76/2), 2*Deadtime*Fsw/2*IF(VfdSky_Q3&gt;0,0,Vsd_Q3)*L76))</f>
        <v>0</v>
      </c>
      <c r="AR76" s="488" t="n">
        <f aca="false">(AQ76+AP76*(1+RdsonBotTc*Ta-RdsonBotTc*25))/(1-AP76*RdsonBotTc*ThetaJA_Q3)</f>
        <v>0.0714427923079275</v>
      </c>
      <c r="AS76" s="488" t="n">
        <f aca="false">CHOOSE(J76, Rdson3*Q76^2, Rdson1*Q76^2, 0)</f>
        <v>0.0704363582847546</v>
      </c>
      <c r="AT76" s="488" t="n">
        <f aca="false">CHOOSE(J76, 2*Deadtime*Fsw*IF(VfdSky_Q2&gt;0,VfdSky_Q2,0)*K76, 2*Deadtime*Fsw*IF(VfdSky_Q3&gt;0,VfdSky_Q3,0)*L76, 2*Deadtime*Fsw/2*IF(VfdSky_Q2&gt;0,VfdSky_Q2,0)*K76+2*Deadtime*Fsw/2*IF(VfdSky_Q3&gt;0,VfdSky_Q3,0)*L76)</f>
        <v>0</v>
      </c>
      <c r="AU76" s="488" t="n">
        <f aca="false">CHOOSE(J76, IF(QrrSky_Q2&gt;0,QrrSky_Q2,Qrr_Q2)*Fsw*(H76-K76*Rdson1), IF(QrrSky_Q3&gt;0,QrrSky_Q3,Qrr_Q3)*Fsw*Vout,  IF(QrrSky_Q2&gt;0,QrrSky_Q2,Qrr_Q2)*Fsw/2*(H76-K76*Rdson1)+IF(QrrSky_Q3&gt;0,QrrSky_Q3,Qrr_Q3)*Fsw/2*Vout)</f>
        <v>0.39133962</v>
      </c>
      <c r="AV76" s="488" t="n">
        <f aca="false">CHOOSE(J76, Rs*AF76^2, Rs*AJ76^2, Rs*(AF76^2+AJ76^2))</f>
        <v>0.123915432416251</v>
      </c>
      <c r="AW76" s="488" t="n">
        <f aca="false">Rshunt_std/1000*Iout^2</f>
        <v>0.14832</v>
      </c>
      <c r="AX76" s="488" t="n">
        <f aca="false">IF(Vout&gt;8, Iq*Vout, Iq*H76)</f>
        <v>0.036</v>
      </c>
      <c r="AY76" s="488" t="n">
        <f aca="false">CHOOSE(J76, (Qg_Q1+Qg_Q2)*Fsw, (Qg_Q3+Qg_Q4)*Fsw, (Qg_Q1+Qg_Q2+Qg_Q3+Qg_Q4)*Fsw/2)*IF(Vout&gt;8, Vout, H76)</f>
        <v>0.0792</v>
      </c>
      <c r="AZ76" s="488" t="n">
        <f aca="false">(Vin-Vdd)*Fsw*(Qg_Q1+Qg_Q2)+(RdsonDRT+RdsonDRT2)*Fsw*Qg_Q1*Vdd/(RdsonDRT+2*Rgate1+RdsonDRT2)+(RdsonDRB+RdsonDRB2)*Fsw*Qg_Q2*Vdd/(RdsonDRB+2*Rgate2+RdsonDRB2)</f>
        <v>0.0522</v>
      </c>
      <c r="BA76" s="488" t="n">
        <f aca="false">SUM(AX76:AY76)</f>
        <v>0.1152</v>
      </c>
      <c r="BB76" s="488" t="n">
        <f aca="false">SUM(T76,W76,Z76,AE76,AI76,AN76,AR76, AT76,AU76,BA76,AV76,AW76)</f>
        <v>1.80799375918973</v>
      </c>
      <c r="BC76" s="419" t="n">
        <f aca="false">Vout*K76</f>
        <v>72</v>
      </c>
      <c r="BD76" s="589" t="n">
        <f aca="false">BC76/(BC76+BB76)</f>
        <v>0.975504092888792</v>
      </c>
      <c r="BE76" s="590" t="n">
        <f aca="false">IF(H76&gt;Vout,ThetaJA_Q1*(AE76+AU76),ThetaJA_Q4*(AN76+AU76))</f>
        <v>32.3691948291741</v>
      </c>
      <c r="BF76" s="590" t="n">
        <f aca="false">IF(H76&gt;Vout, AI76*ThetaJA_Q2, ThetaJA_Q3*AR76)</f>
        <v>11.8232618357489</v>
      </c>
      <c r="BG76" s="536"/>
      <c r="BH76" s="385" t="n">
        <f aca="false">BD76*100</f>
        <v>97.5504092888792</v>
      </c>
      <c r="BI76" s="488" t="n">
        <f aca="false">T76</f>
        <v>0.44187237815939</v>
      </c>
      <c r="BJ76" s="488" t="n">
        <f aca="false">AE76+AI76+AN76+AR76+AU76</f>
        <v>0.955291925606388</v>
      </c>
      <c r="BK76" s="488" t="n">
        <f aca="false">AI76+AU76*0.33</f>
        <v>0.365607311314979</v>
      </c>
      <c r="BL76" s="488" t="n">
        <f aca="false">AV76</f>
        <v>0.123915432416251</v>
      </c>
      <c r="BR76" s="591"/>
      <c r="BS76" s="592"/>
    </row>
    <row r="77" customFormat="false" ht="12.75" hidden="false" customHeight="false" outlineLevel="0" collapsed="false">
      <c r="A77" s="639" t="s">
        <v>700</v>
      </c>
      <c r="B77" s="642" t="n">
        <f aca="false">(Qg_Q1+Qg_Q2)*Fsw+Iq</f>
        <v>0.0096</v>
      </c>
      <c r="C77" s="598" t="s">
        <v>16</v>
      </c>
      <c r="G77" s="0" t="n">
        <v>68</v>
      </c>
      <c r="H77" s="586" t="n">
        <f aca="false">VIN_min+(VIN_max-VIN_min)*(G77/200)</f>
        <v>20.96</v>
      </c>
      <c r="I77" s="385" t="str">
        <f aca="false">IF(H77&gt;VIN_BB_to_buck, "BUCK", IF(H77&lt;VIN_boost_to_BB,"BOOST","BUCK-BST"))</f>
        <v>BUCK</v>
      </c>
      <c r="J77" s="419" t="n">
        <f aca="false">IF(I77="BOOST",2, IF(I77="BUCK", 1,3))</f>
        <v>1</v>
      </c>
      <c r="K77" s="0" t="n">
        <f aca="false">Iout</f>
        <v>6</v>
      </c>
      <c r="L77" s="385" t="n">
        <f aca="false">Vout*K77/(H77*Efficiency)</f>
        <v>3.81679389312977</v>
      </c>
      <c r="M77" s="385" t="n">
        <f aca="false">Iout/(1-O77)</f>
        <v>6</v>
      </c>
      <c r="N77" s="488" t="n">
        <f aca="false">CHOOSE(J77,(Vout+(Rdson2+Rs+Rdcr)*K77)/(H77+(Rs+Rdson2-Rdson1)*K77),1,IF(H77&lt;Vout,D_max_buck_BB,Vout/H77*(1-D_min_boost_exitBB_to_buck)))</f>
        <v>0.576080540746382</v>
      </c>
      <c r="O77" s="488" t="n">
        <f aca="false">CHOOSE(J77,0,(Vout+(Rdson3+Rdcr)*L77-H77)/(Vout+(Rdson3-Rdson4-Rs)*L77),IF(H77&gt;Vout,D_min_boost_exitBB_to_buck, (Vout-H77*D_max_buck_BB)/Vout))</f>
        <v>0</v>
      </c>
      <c r="P77" s="385" t="n">
        <f aca="false">MAX(0, CHOOSE(J77, (H77-(Rdson1+Rdcr)*K77-Vout)*N77/(Fsw*Lf), (H77-(Rdson4+Rdcr+Rs)*L77)*O77/(Fsw*Lf), IF(H77&lt;Vout, (H77-(Rdson4+Rdcr+Rs)*L77)*O77/(0.5*Fsw*Lf),(H77-(Rdson1+Rdcr)*K77-Vout)*N77/(0.5*Fsw*Lf))))</f>
        <v>3.63858189484047</v>
      </c>
      <c r="Q77" s="488" t="n">
        <f aca="false">CHOOSE(J77, SQRT(K77^2+(P77^2)/12), SQRT(L77^2+(P77^2)/12), SQRT(M77^2+(P77^2)/12))</f>
        <v>6.09124561840913</v>
      </c>
      <c r="R77" s="488" t="n">
        <f aca="false">(Q77^2*Rdcr*(1+Ltc*Ta-Ltc*25))/(1-Q77^2*Rdcr*Ltc*ThetaCa)</f>
        <v>0.125544337534082</v>
      </c>
      <c r="S77" s="488" t="n">
        <f aca="false">7.759*10^-3*Fsw^0.9458*(0.00787*P77)^2.304</f>
        <v>0.327175293878896</v>
      </c>
      <c r="T77" s="488" t="n">
        <f aca="false">R77+S77</f>
        <v>0.452719631412978</v>
      </c>
      <c r="U77" s="385" t="n">
        <f aca="false">IF(H77&gt;Vout, P77/SQRT(12), SQRT(O77/(1-O77))*SQRT(K77^2+(P77^2)/12))</f>
        <v>1.05036811822732</v>
      </c>
      <c r="V77" s="488" t="n">
        <f aca="false">RCoutEsr*U77^2</f>
        <v>0.00551636591894201</v>
      </c>
      <c r="W77" s="488" t="n">
        <f aca="false">V77</f>
        <v>0.00551636591894201</v>
      </c>
      <c r="X77" s="488" t="n">
        <f aca="false">IF(H77&gt;Vout, SQRT(N77*(1-N77))*SQRT(K77^2+(P77^2)/12), P77/SQRT(12))</f>
        <v>3.010158687496</v>
      </c>
      <c r="Y77" s="587" t="n">
        <f aca="false">RCinEsr*X77^2</f>
        <v>0.0181221106478153</v>
      </c>
      <c r="Z77" s="588" t="n">
        <f aca="false">Y77</f>
        <v>0.0181221106478153</v>
      </c>
      <c r="AA77" s="488" t="n">
        <f aca="false">CHOOSE(J77, SQRT(N77)*SQRT(K77^2+(P77^2)/12), SQRT(L77^2+(P77^2)/12), SQRT(N77)*SQRT(M77^2+(P77^2)/12))</f>
        <v>4.62325358153515</v>
      </c>
      <c r="AB77" s="488" t="n">
        <f aca="false">Rdson1*AA77^2</f>
        <v>0.121834499971312</v>
      </c>
      <c r="AC77" s="488" t="n">
        <f aca="false">CHOOSE(J77, (H77*K77/2)*(Fsw)*(Tr_buck+Tf_buck), 0, (H77*M77/2)*(Fsw/2)*(Tr_buck+Tf_buck))</f>
        <v>0.128069509325681</v>
      </c>
      <c r="AD77" s="0" t="n">
        <f aca="false">IF(H77&gt;Vout, IF(K77&gt;P77/2,0,ABS(K77-P77/2)*Vsd_Q1*Deadtime*Fsw),0)</f>
        <v>0</v>
      </c>
      <c r="AE77" s="488" t="n">
        <f aca="false">(AD77+AC77+AB77*(1+RdsonTopTc*Ta-RdsonTopTc*25))/(1-AB77*RdsonTopTc*ThetaJA_Q1)</f>
        <v>0.256145480606925</v>
      </c>
      <c r="AF77" s="488" t="n">
        <f aca="false">CHOOSE(J77, SQRT((1-N77))*SQRT(K77^2+(P77^2)/12), 0, SQRT((1-N77))*SQRT(M77^2+(P77^2)/12))</f>
        <v>3.96595505579814</v>
      </c>
      <c r="AG77" s="488" t="n">
        <f aca="false">Rdson2*AF77^2</f>
        <v>0.0896541571762817</v>
      </c>
      <c r="AH77" s="488" t="n">
        <f aca="false">CHOOSE(J77, IF(K77&lt;P77/2,Deadtime*Fsw*IF(VfdSky_Q2&gt;0,0,Vsd_Q2)*(K77+P77/2),2*Deadtime*Fsw*IF(VfdSky_Q2&gt;0,0,Vsd_Q2)*K77),0, IF(K77&lt;P77/2,Deadtime*Fsw/2*IF(VfdSky_Q2&gt;0,0,Vsd_Q2)*(K77+P77/2),2*Deadtime*Fsw/2*IF(VfdSky_Q2&gt;0,0,Vsd_Q2)*K77))</f>
        <v>0.144</v>
      </c>
      <c r="AI77" s="488" t="n">
        <f aca="false">(AH77+AG77*(1+RdsonBotTc*Ta-RdsonBotTc*25))/(1-AG77*RdsonBotTc*ThetaJA_Q2)</f>
        <v>0.237920265349291</v>
      </c>
      <c r="AJ77" s="488" t="n">
        <f aca="false">CHOOSE(J77, 0, SQRT(O77)*SQRT(L77^2+(P77^2)/12), SQRT(O77)*SQRT(M77^2+(P77^2)/12))</f>
        <v>0</v>
      </c>
      <c r="AK77" s="488" t="n">
        <f aca="false">Rdson4*AJ77^2</f>
        <v>0</v>
      </c>
      <c r="AL77" s="488" t="n">
        <f aca="false">CHOOSE(J77, 0, (Vout*L77/2)*(Fsw)*(Tr_boost+Tf_boost), (Vout*Iout/2)*(Fsw/2)*(Tr_boost+Tf_boost))</f>
        <v>0</v>
      </c>
      <c r="AM77" s="0" t="n">
        <f aca="false">IF(H77&gt;Vout, 0, IF(L77&gt;P77/2,0,ABS(L77-P77/2)*Vsd_Q4*Deadtime*Fsw))</f>
        <v>0</v>
      </c>
      <c r="AN77" s="488" t="n">
        <f aca="false">(AM77+AL77+AK77*(1+RdsonTopTc*Ta-RdsonTopTc*25))/(1-AK77*RdsonTopTc*ThetaJA_Q4)</f>
        <v>0</v>
      </c>
      <c r="AO77" s="488" t="n">
        <f aca="false">CHOOSE(J77, SQRT(Iout^2+(P77^2)/12), SQRT(1-O77)*SQRT(L77^2+(P77^2)/12), SQRT(1-O77)*SQRT(M77^2+(P77^2)/12))</f>
        <v>6.09124561840913</v>
      </c>
      <c r="AP77" s="488" t="n">
        <f aca="false">Rdson3*AO77^2</f>
        <v>0.070496219049198</v>
      </c>
      <c r="AQ77" s="488" t="n">
        <f aca="false">CHOOSE(J77, 0, IF(L77&lt;P77/2,Deadtime*Fsw*IF(VfdSky_Q3&gt;0,0,Vsd_Q3)*(L77+P77/2), 2*Deadtime*Fsw*IF(VfdSky_Q3&gt;0,0,Vsd_Q3)*L77), IF(L77&lt;P77/2,Deadtime*Fsw/2*IF(VfdSky_Q3&gt;0,0,Vsd_Q3)*(L77+P77/2), 2*Deadtime*Fsw/2*IF(VfdSky_Q3&gt;0,0,Vsd_Q3)*L77))</f>
        <v>0</v>
      </c>
      <c r="AR77" s="488" t="n">
        <f aca="false">(AQ77+AP77*(1+RdsonBotTc*Ta-RdsonBotTc*25))/(1-AP77*RdsonBotTc*ThetaJA_Q3)</f>
        <v>0.0715043766896155</v>
      </c>
      <c r="AS77" s="488" t="n">
        <f aca="false">CHOOSE(J77, Rdson3*Q77^2, Rdson1*Q77^2, 0)</f>
        <v>0.070496219049198</v>
      </c>
      <c r="AT77" s="488" t="n">
        <f aca="false">CHOOSE(J77, 2*Deadtime*Fsw*IF(VfdSky_Q2&gt;0,VfdSky_Q2,0)*K77, 2*Deadtime*Fsw*IF(VfdSky_Q3&gt;0,VfdSky_Q3,0)*L77, 2*Deadtime*Fsw/2*IF(VfdSky_Q2&gt;0,VfdSky_Q2,0)*K77+2*Deadtime*Fsw/2*IF(VfdSky_Q3&gt;0,VfdSky_Q3,0)*L77)</f>
        <v>0</v>
      </c>
      <c r="AU77" s="488" t="n">
        <f aca="false">CHOOSE(J77, IF(QrrSky_Q2&gt;0,QrrSky_Q2,Qrr_Q2)*Fsw*(H77-K77*Rdson1), IF(QrrSky_Q3&gt;0,QrrSky_Q3,Qrr_Q3)*Fsw*Vout,  IF(QrrSky_Q2&gt;0,QrrSky_Q2,Qrr_Q2)*Fsw/2*(H77-K77*Rdson1)+IF(QrrSky_Q3&gt;0,QrrSky_Q3,Qrr_Q3)*Fsw/2*Vout)</f>
        <v>0.39549762</v>
      </c>
      <c r="AV77" s="488" t="n">
        <f aca="false">CHOOSE(J77, Rs*AF77^2, Rs*AJ77^2, Rs*(AF77^2+AJ77^2))</f>
        <v>0.125830396036887</v>
      </c>
      <c r="AW77" s="488" t="n">
        <f aca="false">Rshunt_std/1000*Iout^2</f>
        <v>0.14832</v>
      </c>
      <c r="AX77" s="488" t="n">
        <f aca="false">IF(Vout&gt;8, Iq*Vout, Iq*H77)</f>
        <v>0.036</v>
      </c>
      <c r="AY77" s="488" t="n">
        <f aca="false">CHOOSE(J77, (Qg_Q1+Qg_Q2)*Fsw, (Qg_Q3+Qg_Q4)*Fsw, (Qg_Q1+Qg_Q2+Qg_Q3+Qg_Q4)*Fsw/2)*IF(Vout&gt;8, Vout, H77)</f>
        <v>0.0792</v>
      </c>
      <c r="AZ77" s="488" t="n">
        <f aca="false">(Vin-Vdd)*Fsw*(Qg_Q1+Qg_Q2)+(RdsonDRT+RdsonDRT2)*Fsw*Qg_Q1*Vdd/(RdsonDRT+2*Rgate1+RdsonDRT2)+(RdsonDRB+RdsonDRB2)*Fsw*Qg_Q2*Vdd/(RdsonDRB+2*Rgate2+RdsonDRB2)</f>
        <v>0.0522</v>
      </c>
      <c r="BA77" s="488" t="n">
        <f aca="false">SUM(AX77:AY77)</f>
        <v>0.1152</v>
      </c>
      <c r="BB77" s="488" t="n">
        <f aca="false">SUM(T77,W77,Z77,AE77,AI77,AN77,AR77, AT77,AU77,BA77,AV77,AW77)</f>
        <v>1.82677624666245</v>
      </c>
      <c r="BC77" s="419" t="n">
        <f aca="false">Vout*K77</f>
        <v>72</v>
      </c>
      <c r="BD77" s="589" t="n">
        <f aca="false">BC77/(BC77+BB77)</f>
        <v>0.975255912020877</v>
      </c>
      <c r="BE77" s="590" t="n">
        <f aca="false">IF(H77&gt;Vout,ThetaJA_Q1*(AE77+AU77),ThetaJA_Q4*(AN77+AU77))</f>
        <v>32.5821550303463</v>
      </c>
      <c r="BF77" s="590" t="n">
        <f aca="false">IF(H77&gt;Vout, AI77*ThetaJA_Q2, ThetaJA_Q3*AR77)</f>
        <v>11.8960132674646</v>
      </c>
      <c r="BG77" s="536"/>
      <c r="BH77" s="385" t="n">
        <f aca="false">BD77*100</f>
        <v>97.5255912020877</v>
      </c>
      <c r="BI77" s="488" t="n">
        <f aca="false">T77</f>
        <v>0.452719631412978</v>
      </c>
      <c r="BJ77" s="488" t="n">
        <f aca="false">AE77+AI77+AN77+AR77+AU77</f>
        <v>0.961067742645832</v>
      </c>
      <c r="BK77" s="488" t="n">
        <f aca="false">AI77+AU77*0.33</f>
        <v>0.368434479949291</v>
      </c>
      <c r="BL77" s="488" t="n">
        <f aca="false">AV77</f>
        <v>0.125830396036887</v>
      </c>
      <c r="BR77" s="591"/>
      <c r="BS77" s="592"/>
    </row>
    <row r="78" customFormat="false" ht="12.75" hidden="false" customHeight="false" outlineLevel="0" collapsed="false">
      <c r="A78" s="639" t="s">
        <v>701</v>
      </c>
      <c r="B78" s="643" t="n">
        <f aca="false">Qrr_Q2*Fsw</f>
        <v>0.0189</v>
      </c>
      <c r="C78" s="598" t="s">
        <v>16</v>
      </c>
      <c r="G78" s="0" t="n">
        <v>69</v>
      </c>
      <c r="H78" s="586" t="n">
        <f aca="false">VIN_min+(VIN_max-VIN_min)*(G78/200)</f>
        <v>21.18</v>
      </c>
      <c r="I78" s="385" t="str">
        <f aca="false">IF(H78&gt;VIN_BB_to_buck, "BUCK", IF(H78&lt;VIN_boost_to_BB,"BOOST","BUCK-BST"))</f>
        <v>BUCK</v>
      </c>
      <c r="J78" s="419" t="n">
        <f aca="false">IF(I78="BOOST",2, IF(I78="BUCK", 1,3))</f>
        <v>1</v>
      </c>
      <c r="K78" s="0" t="n">
        <f aca="false">Iout</f>
        <v>6</v>
      </c>
      <c r="L78" s="385" t="n">
        <f aca="false">Vout*K78/(H78*Efficiency)</f>
        <v>3.77714825306893</v>
      </c>
      <c r="M78" s="385" t="n">
        <f aca="false">Iout/(1-O78)</f>
        <v>6</v>
      </c>
      <c r="N78" s="488" t="n">
        <f aca="false">CHOOSE(J78,(Vout+(Rdson2+Rs+Rdcr)*K78)/(H78+(Rs+Rdson2-Rdson1)*K78),1,IF(H78&lt;Vout,D_max_buck_BB,Vout/H78*(1-D_min_boost_exitBB_to_buck)))</f>
        <v>0.570110231769361</v>
      </c>
      <c r="O78" s="488" t="n">
        <f aca="false">CHOOSE(J78,0,(Vout+(Rdson3+Rdcr)*L78-H78)/(Vout+(Rdson3-Rdson4-Rs)*L78),IF(H78&gt;Vout,D_min_boost_exitBB_to_buck, (Vout-H78*D_max_buck_BB)/Vout))</f>
        <v>0</v>
      </c>
      <c r="P78" s="385" t="n">
        <f aca="false">MAX(0, CHOOSE(J78, (H78-(Rdson1+Rdcr)*K78-Vout)*N78/(Fsw*Lf), (H78-(Rdson4+Rdcr+Rs)*L78)*O78/(Fsw*Lf), IF(H78&lt;Vout, (H78-(Rdson4+Rdcr+Rs)*L78)*O78/(0.5*Fsw*Lf),(H78-(Rdson1+Rdcr)*K78-Vout)*N78/(0.5*Fsw*Lf))))</f>
        <v>3.68982620004089</v>
      </c>
      <c r="Q78" s="488" t="n">
        <f aca="false">CHOOSE(J78, SQRT(K78^2+(P78^2)/12), SQRT(L78^2+(P78^2)/12), SQRT(M78^2+(P78^2)/12))</f>
        <v>6.09381392196565</v>
      </c>
      <c r="R78" s="488" t="n">
        <f aca="false">(Q78^2*Rdcr*(1+Ltc*Ta-Ltc*25))/(1-Q78^2*Rdcr*Ltc*ThetaCa)</f>
        <v>0.125651292928006</v>
      </c>
      <c r="S78" s="488" t="n">
        <f aca="false">7.759*10^-3*Fsw^0.9458*(0.00787*P78)^2.304</f>
        <v>0.337889296998883</v>
      </c>
      <c r="T78" s="488" t="n">
        <f aca="false">R78+S78</f>
        <v>0.463540589926889</v>
      </c>
      <c r="U78" s="385" t="n">
        <f aca="false">IF(H78&gt;Vout, P78/SQRT(12), SQRT(O78/(1-O78))*SQRT(K78^2+(P78^2)/12))</f>
        <v>1.06516107492827</v>
      </c>
      <c r="V78" s="488" t="n">
        <f aca="false">RCoutEsr*U78^2</f>
        <v>0.00567284057771176</v>
      </c>
      <c r="W78" s="488" t="n">
        <f aca="false">V78</f>
        <v>0.00567284057771176</v>
      </c>
      <c r="X78" s="488" t="n">
        <f aca="false">IF(H78&gt;Vout, SQRT(N78*(1-N78))*SQRT(K78^2+(P78^2)/12), P78/SQRT(12))</f>
        <v>3.0168044544874</v>
      </c>
      <c r="Y78" s="587" t="n">
        <f aca="false">RCinEsr*X78^2</f>
        <v>0.01820221823323</v>
      </c>
      <c r="Z78" s="588" t="n">
        <f aca="false">Y78</f>
        <v>0.01820221823323</v>
      </c>
      <c r="AA78" s="488" t="n">
        <f aca="false">CHOOSE(J78, SQRT(N78)*SQRT(K78^2+(P78^2)/12), SQRT(L78^2+(P78^2)/12), SQRT(N78)*SQRT(M78^2+(P78^2)/12))</f>
        <v>4.60117346282522</v>
      </c>
      <c r="AB78" s="488" t="n">
        <f aca="false">Rdson1*AA78^2</f>
        <v>0.12067354423954</v>
      </c>
      <c r="AC78" s="488" t="n">
        <f aca="false">CHOOSE(J78, (H78*K78/2)*(Fsw)*(Tr_buck+Tf_buck), 0, (H78*M78/2)*(Fsw/2)*(Tr_buck+Tf_buck))</f>
        <v>0.12941375035868</v>
      </c>
      <c r="AD78" s="0" t="n">
        <f aca="false">IF(H78&gt;Vout, IF(K78&gt;P78/2,0,ABS(K78-P78/2)*Vsd_Q1*Deadtime*Fsw),0)</f>
        <v>0</v>
      </c>
      <c r="AE78" s="488" t="n">
        <f aca="false">(AD78+AC78+AB78*(1+RdsonTopTc*Ta-RdsonTopTc*25))/(1-AB78*RdsonTopTc*ThetaJA_Q1)</f>
        <v>0.256272353229174</v>
      </c>
      <c r="AF78" s="488" t="n">
        <f aca="false">CHOOSE(J78, SQRT((1-N78))*SQRT(K78^2+(P78^2)/12), 0, SQRT((1-N78))*SQRT(M78^2+(P78^2)/12))</f>
        <v>3.99546879358798</v>
      </c>
      <c r="AG78" s="488" t="n">
        <f aca="false">Rdson2*AF78^2</f>
        <v>0.0909934940190516</v>
      </c>
      <c r="AH78" s="488" t="n">
        <f aca="false">CHOOSE(J78, IF(K78&lt;P78/2,Deadtime*Fsw*IF(VfdSky_Q2&gt;0,0,Vsd_Q2)*(K78+P78/2),2*Deadtime*Fsw*IF(VfdSky_Q2&gt;0,0,Vsd_Q2)*K78),0, IF(K78&lt;P78/2,Deadtime*Fsw/2*IF(VfdSky_Q2&gt;0,0,Vsd_Q2)*(K78+P78/2),2*Deadtime*Fsw/2*IF(VfdSky_Q2&gt;0,0,Vsd_Q2)*K78))</f>
        <v>0.144</v>
      </c>
      <c r="AI78" s="488" t="n">
        <f aca="false">(AH78+AG78*(1+RdsonBotTc*Ta-RdsonBotTc*25))/(1-AG78*RdsonBotTc*ThetaJA_Q2)</f>
        <v>0.239349340577105</v>
      </c>
      <c r="AJ78" s="488" t="n">
        <f aca="false">CHOOSE(J78, 0, SQRT(O78)*SQRT(L78^2+(P78^2)/12), SQRT(O78)*SQRT(M78^2+(P78^2)/12))</f>
        <v>0</v>
      </c>
      <c r="AK78" s="488" t="n">
        <f aca="false">Rdson4*AJ78^2</f>
        <v>0</v>
      </c>
      <c r="AL78" s="488" t="n">
        <f aca="false">CHOOSE(J78, 0, (Vout*L78/2)*(Fsw)*(Tr_boost+Tf_boost), (Vout*Iout/2)*(Fsw/2)*(Tr_boost+Tf_boost))</f>
        <v>0</v>
      </c>
      <c r="AM78" s="0" t="n">
        <f aca="false">IF(H78&gt;Vout, 0, IF(L78&gt;P78/2,0,ABS(L78-P78/2)*Vsd_Q4*Deadtime*Fsw))</f>
        <v>0</v>
      </c>
      <c r="AN78" s="488" t="n">
        <f aca="false">(AM78+AL78+AK78*(1+RdsonTopTc*Ta-RdsonTopTc*25))/(1-AK78*RdsonTopTc*ThetaJA_Q4)</f>
        <v>0</v>
      </c>
      <c r="AO78" s="488" t="n">
        <f aca="false">CHOOSE(J78, SQRT(Iout^2+(P78^2)/12), SQRT(1-O78)*SQRT(L78^2+(P78^2)/12), SQRT(1-O78)*SQRT(M78^2+(P78^2)/12))</f>
        <v>6.09381392196565</v>
      </c>
      <c r="AP78" s="488" t="n">
        <f aca="false">Rdson3*AO78^2</f>
        <v>0.0705556794195305</v>
      </c>
      <c r="AQ78" s="488" t="n">
        <f aca="false">CHOOSE(J78, 0, IF(L78&lt;P78/2,Deadtime*Fsw*IF(VfdSky_Q3&gt;0,0,Vsd_Q3)*(L78+P78/2), 2*Deadtime*Fsw*IF(VfdSky_Q3&gt;0,0,Vsd_Q3)*L78), IF(L78&lt;P78/2,Deadtime*Fsw/2*IF(VfdSky_Q3&gt;0,0,Vsd_Q3)*(L78+P78/2), 2*Deadtime*Fsw/2*IF(VfdSky_Q3&gt;0,0,Vsd_Q3)*L78))</f>
        <v>0</v>
      </c>
      <c r="AR78" s="488" t="n">
        <f aca="false">(AQ78+AP78*(1+RdsonBotTc*Ta-RdsonBotTc*25))/(1-AP78*RdsonBotTc*ThetaJA_Q3)</f>
        <v>0.0715655506290637</v>
      </c>
      <c r="AS78" s="488" t="n">
        <f aca="false">CHOOSE(J78, Rdson3*Q78^2, Rdson1*Q78^2, 0)</f>
        <v>0.0705556794195305</v>
      </c>
      <c r="AT78" s="488" t="n">
        <f aca="false">CHOOSE(J78, 2*Deadtime*Fsw*IF(VfdSky_Q2&gt;0,VfdSky_Q2,0)*K78, 2*Deadtime*Fsw*IF(VfdSky_Q3&gt;0,VfdSky_Q3,0)*L78, 2*Deadtime*Fsw/2*IF(VfdSky_Q2&gt;0,VfdSky_Q2,0)*K78+2*Deadtime*Fsw/2*IF(VfdSky_Q3&gt;0,VfdSky_Q3,0)*L78)</f>
        <v>0</v>
      </c>
      <c r="AU78" s="488" t="n">
        <f aca="false">CHOOSE(J78, IF(QrrSky_Q2&gt;0,QrrSky_Q2,Qrr_Q2)*Fsw*(H78-K78*Rdson1), IF(QrrSky_Q3&gt;0,QrrSky_Q3,Qrr_Q3)*Fsw*Vout,  IF(QrrSky_Q2&gt;0,QrrSky_Q2,Qrr_Q2)*Fsw/2*(H78-K78*Rdson1)+IF(QrrSky_Q3&gt;0,QrrSky_Q3,Qrr_Q3)*Fsw/2*Vout)</f>
        <v>0.39965562</v>
      </c>
      <c r="AV78" s="488" t="n">
        <f aca="false">CHOOSE(J78, Rs*AF78^2, Rs*AJ78^2, Rs*(AF78^2+AJ78^2))</f>
        <v>0.127710167044283</v>
      </c>
      <c r="AW78" s="488" t="n">
        <f aca="false">Rshunt_std/1000*Iout^2</f>
        <v>0.14832</v>
      </c>
      <c r="AX78" s="488" t="n">
        <f aca="false">IF(Vout&gt;8, Iq*Vout, Iq*H78)</f>
        <v>0.036</v>
      </c>
      <c r="AY78" s="488" t="n">
        <f aca="false">CHOOSE(J78, (Qg_Q1+Qg_Q2)*Fsw, (Qg_Q3+Qg_Q4)*Fsw, (Qg_Q1+Qg_Q2+Qg_Q3+Qg_Q4)*Fsw/2)*IF(Vout&gt;8, Vout, H78)</f>
        <v>0.0792</v>
      </c>
      <c r="AZ78" s="488" t="n">
        <f aca="false">(Vin-Vdd)*Fsw*(Qg_Q1+Qg_Q2)+(RdsonDRT+RdsonDRT2)*Fsw*Qg_Q1*Vdd/(RdsonDRT+2*Rgate1+RdsonDRT2)+(RdsonDRB+RdsonDRB2)*Fsw*Qg_Q2*Vdd/(RdsonDRB+2*Rgate2+RdsonDRB2)</f>
        <v>0.0522</v>
      </c>
      <c r="BA78" s="488" t="n">
        <f aca="false">SUM(AX78:AY78)</f>
        <v>0.1152</v>
      </c>
      <c r="BB78" s="488" t="n">
        <f aca="false">SUM(T78,W78,Z78,AE78,AI78,AN78,AR78, AT78,AU78,BA78,AV78,AW78)</f>
        <v>1.84548868021746</v>
      </c>
      <c r="BC78" s="419" t="n">
        <f aca="false">Vout*K78</f>
        <v>72</v>
      </c>
      <c r="BD78" s="589" t="n">
        <f aca="false">BC78/(BC78+BB78)</f>
        <v>0.975008782348111</v>
      </c>
      <c r="BE78" s="590" t="n">
        <f aca="false">IF(H78&gt;Vout,ThetaJA_Q1*(AE78+AU78),ThetaJA_Q4*(AN78+AU78))</f>
        <v>32.7963986614587</v>
      </c>
      <c r="BF78" s="590" t="n">
        <f aca="false">IF(H78&gt;Vout, AI78*ThetaJA_Q2, ThetaJA_Q3*AR78)</f>
        <v>11.9674670288552</v>
      </c>
      <c r="BG78" s="536"/>
      <c r="BH78" s="385" t="n">
        <f aca="false">BD78*100</f>
        <v>97.5008782348111</v>
      </c>
      <c r="BI78" s="488" t="n">
        <f aca="false">T78</f>
        <v>0.463540589926889</v>
      </c>
      <c r="BJ78" s="488" t="n">
        <f aca="false">AE78+AI78+AN78+AR78+AU78</f>
        <v>0.966842864435343</v>
      </c>
      <c r="BK78" s="488" t="n">
        <f aca="false">AI78+AU78*0.33</f>
        <v>0.371235695177105</v>
      </c>
      <c r="BL78" s="488" t="n">
        <f aca="false">AV78</f>
        <v>0.127710167044283</v>
      </c>
      <c r="BR78" s="591"/>
      <c r="BS78" s="592"/>
    </row>
    <row r="79" customFormat="false" ht="12.75" hidden="false" customHeight="false" outlineLevel="0" collapsed="false">
      <c r="A79" s="639" t="s">
        <v>702</v>
      </c>
      <c r="B79" s="643" t="e">
        <f aca="false">C79/Vin</f>
        <v>#NAME?</v>
      </c>
      <c r="C79" s="618" t="e">
        <f aca="false">Deadtime*Fsw*(Iripple_Vinnom/2)*(vsdtop+vsdbot)</f>
        <v>#NAME?</v>
      </c>
      <c r="G79" s="0" t="n">
        <v>70</v>
      </c>
      <c r="H79" s="586" t="n">
        <f aca="false">VIN_min+(VIN_max-VIN_min)*(G79/200)</f>
        <v>21.4</v>
      </c>
      <c r="I79" s="385" t="str">
        <f aca="false">IF(H79&gt;VIN_BB_to_buck, "BUCK", IF(H79&lt;VIN_boost_to_BB,"BOOST","BUCK-BST"))</f>
        <v>BUCK</v>
      </c>
      <c r="J79" s="419" t="n">
        <f aca="false">IF(I79="BOOST",2, IF(I79="BUCK", 1,3))</f>
        <v>1</v>
      </c>
      <c r="K79" s="0" t="n">
        <f aca="false">Iout</f>
        <v>6</v>
      </c>
      <c r="L79" s="385" t="n">
        <f aca="false">Vout*K79/(H79*Efficiency)</f>
        <v>3.73831775700935</v>
      </c>
      <c r="M79" s="385" t="n">
        <f aca="false">Iout/(1-O79)</f>
        <v>6</v>
      </c>
      <c r="N79" s="488" t="n">
        <f aca="false">CHOOSE(J79,(Vout+(Rdson2+Rs+Rdcr)*K79)/(H79+(Rs+Rdson2-Rdson1)*K79),1,IF(H79&lt;Vout,D_max_buck_BB,Vout/H79*(1-D_min_boost_exitBB_to_buck)))</f>
        <v>0.564262402088773</v>
      </c>
      <c r="O79" s="488" t="n">
        <f aca="false">CHOOSE(J79,0,(Vout+(Rdson3+Rdcr)*L79-H79)/(Vout+(Rdson3-Rdson4-Rs)*L79),IF(H79&gt;Vout,D_min_boost_exitBB_to_buck, (Vout-H79*D_max_buck_BB)/Vout))</f>
        <v>0</v>
      </c>
      <c r="P79" s="385" t="n">
        <f aca="false">MAX(0, CHOOSE(J79, (H79-(Rdson1+Rdcr)*K79-Vout)*N79/(Fsw*Lf), (H79-(Rdson4+Rdcr+Rs)*L79)*O79/(Fsw*Lf), IF(H79&lt;Vout, (H79-(Rdson4+Rdcr+Rs)*L79)*O79/(0.5*Fsw*Lf),(H79-(Rdson1+Rdcr)*K79-Vout)*N79/(0.5*Fsw*Lf))))</f>
        <v>3.74001924198656</v>
      </c>
      <c r="Q79" s="488" t="n">
        <f aca="false">CHOOSE(J79, SQRT(K79^2+(P79^2)/12), SQRT(L79^2+(P79^2)/12), SQRT(M79^2+(P79^2)/12))</f>
        <v>6.09636328703727</v>
      </c>
      <c r="R79" s="488" t="n">
        <f aca="false">(Q79^2*Rdcr*(1+Ltc*Ta-Ltc*25))/(1-Q79^2*Rdcr*Ltc*ThetaCa)</f>
        <v>0.125757506023371</v>
      </c>
      <c r="S79" s="488" t="n">
        <f aca="false">7.759*10^-3*Fsw^0.9458*(0.00787*P79)^2.304</f>
        <v>0.34857331564334</v>
      </c>
      <c r="T79" s="488" t="n">
        <f aca="false">R79+S79</f>
        <v>0.474330821666711</v>
      </c>
      <c r="U79" s="385" t="n">
        <f aca="false">IF(H79&gt;Vout, P79/SQRT(12), SQRT(O79/(1-O79))*SQRT(K79^2+(P79^2)/12))</f>
        <v>1.07965055806766</v>
      </c>
      <c r="V79" s="488" t="n">
        <f aca="false">RCoutEsr*U79^2</f>
        <v>0.00582822663767904</v>
      </c>
      <c r="W79" s="488" t="n">
        <f aca="false">V79</f>
        <v>0.00582822663767904</v>
      </c>
      <c r="X79" s="488" t="n">
        <f aca="false">IF(H79&gt;Vout, SQRT(N79*(1-N79))*SQRT(K79^2+(P79^2)/12), P79/SQRT(12))</f>
        <v>3.02290092290299</v>
      </c>
      <c r="Y79" s="587" t="n">
        <f aca="false">RCinEsr*X79^2</f>
        <v>0.0182758599793755</v>
      </c>
      <c r="Z79" s="588" t="n">
        <f aca="false">Y79</f>
        <v>0.0182758599793755</v>
      </c>
      <c r="AA79" s="488" t="n">
        <f aca="false">CHOOSE(J79, SQRT(N79)*SQRT(K79^2+(P79^2)/12), SQRT(L79^2+(P79^2)/12), SQRT(N79)*SQRT(M79^2+(P79^2)/12))</f>
        <v>4.57942969240655</v>
      </c>
      <c r="AB79" s="488" t="n">
        <f aca="false">Rdson1*AA79^2</f>
        <v>0.11953570495386</v>
      </c>
      <c r="AC79" s="488" t="n">
        <f aca="false">CHOOSE(J79, (H79*K79/2)*(Fsw)*(Tr_buck+Tf_buck), 0, (H79*M79/2)*(Fsw/2)*(Tr_buck+Tf_buck))</f>
        <v>0.130757991391679</v>
      </c>
      <c r="AD79" s="0" t="n">
        <f aca="false">IF(H79&gt;Vout, IF(K79&gt;P79/2,0,ABS(K79-P79/2)*Vsd_Q1*Deadtime*Fsw),0)</f>
        <v>0</v>
      </c>
      <c r="AE79" s="488" t="n">
        <f aca="false">(AD79+AC79+AB79*(1+RdsonTopTc*Ta-RdsonTopTc*25))/(1-AB79*RdsonTopTc*ThetaJA_Q1)</f>
        <v>0.25642406256265</v>
      </c>
      <c r="AF79" s="488" t="n">
        <f aca="false">CHOOSE(J79, SQRT((1-N79))*SQRT(K79^2+(P79^2)/12), 0, SQRT((1-N79))*SQRT(M79^2+(P79^2)/12))</f>
        <v>4.02423520930885</v>
      </c>
      <c r="AG79" s="488" t="n">
        <f aca="false">Rdson2*AF79^2</f>
        <v>0.0923084734130941</v>
      </c>
      <c r="AH79" s="488" t="n">
        <f aca="false">CHOOSE(J79, IF(K79&lt;P79/2,Deadtime*Fsw*IF(VfdSky_Q2&gt;0,0,Vsd_Q2)*(K79+P79/2),2*Deadtime*Fsw*IF(VfdSky_Q2&gt;0,0,Vsd_Q2)*K79),0, IF(K79&lt;P79/2,Deadtime*Fsw/2*IF(VfdSky_Q2&gt;0,0,Vsd_Q2)*(K79+P79/2),2*Deadtime*Fsw/2*IF(VfdSky_Q2&gt;0,0,Vsd_Q2)*K79))</f>
        <v>0.144</v>
      </c>
      <c r="AI79" s="488" t="n">
        <f aca="false">(AH79+AG79*(1+RdsonBotTc*Ta-RdsonBotTc*25))/(1-AG79*RdsonBotTc*ThetaJA_Q2)</f>
        <v>0.240753185212353</v>
      </c>
      <c r="AJ79" s="488" t="n">
        <f aca="false">CHOOSE(J79, 0, SQRT(O79)*SQRT(L79^2+(P79^2)/12), SQRT(O79)*SQRT(M79^2+(P79^2)/12))</f>
        <v>0</v>
      </c>
      <c r="AK79" s="488" t="n">
        <f aca="false">Rdson4*AJ79^2</f>
        <v>0</v>
      </c>
      <c r="AL79" s="488" t="n">
        <f aca="false">CHOOSE(J79, 0, (Vout*L79/2)*(Fsw)*(Tr_boost+Tf_boost), (Vout*Iout/2)*(Fsw/2)*(Tr_boost+Tf_boost))</f>
        <v>0</v>
      </c>
      <c r="AM79" s="0" t="n">
        <f aca="false">IF(H79&gt;Vout, 0, IF(L79&gt;P79/2,0,ABS(L79-P79/2)*Vsd_Q4*Deadtime*Fsw))</f>
        <v>0</v>
      </c>
      <c r="AN79" s="488" t="n">
        <f aca="false">(AM79+AL79+AK79*(1+RdsonTopTc*Ta-RdsonTopTc*25))/(1-AK79*RdsonTopTc*ThetaJA_Q4)</f>
        <v>0</v>
      </c>
      <c r="AO79" s="488" t="n">
        <f aca="false">CHOOSE(J79, SQRT(Iout^2+(P79^2)/12), SQRT(1-O79)*SQRT(L79^2+(P79^2)/12), SQRT(1-O79)*SQRT(M79^2+(P79^2)/12))</f>
        <v>6.09636328703727</v>
      </c>
      <c r="AP79" s="488" t="n">
        <f aca="false">Rdson3*AO79^2</f>
        <v>0.070614726122318</v>
      </c>
      <c r="AQ79" s="488" t="n">
        <f aca="false">CHOOSE(J79, 0, IF(L79&lt;P79/2,Deadtime*Fsw*IF(VfdSky_Q3&gt;0,0,Vsd_Q3)*(L79+P79/2), 2*Deadtime*Fsw*IF(VfdSky_Q3&gt;0,0,Vsd_Q3)*L79), IF(L79&lt;P79/2,Deadtime*Fsw/2*IF(VfdSky_Q3&gt;0,0,Vsd_Q3)*(L79+P79/2), 2*Deadtime*Fsw/2*IF(VfdSky_Q3&gt;0,0,Vsd_Q3)*L79))</f>
        <v>0</v>
      </c>
      <c r="AR79" s="488" t="n">
        <f aca="false">(AQ79+AP79*(1+RdsonBotTc*Ta-RdsonBotTc*25))/(1-AP79*RdsonBotTc*ThetaJA_Q3)</f>
        <v>0.071626300440064</v>
      </c>
      <c r="AS79" s="488" t="n">
        <f aca="false">CHOOSE(J79, Rdson3*Q79^2, Rdson1*Q79^2, 0)</f>
        <v>0.070614726122318</v>
      </c>
      <c r="AT79" s="488" t="n">
        <f aca="false">CHOOSE(J79, 2*Deadtime*Fsw*IF(VfdSky_Q2&gt;0,VfdSky_Q2,0)*K79, 2*Deadtime*Fsw*IF(VfdSky_Q3&gt;0,VfdSky_Q3,0)*L79, 2*Deadtime*Fsw/2*IF(VfdSky_Q2&gt;0,VfdSky_Q2,0)*K79+2*Deadtime*Fsw/2*IF(VfdSky_Q3&gt;0,VfdSky_Q3,0)*L79)</f>
        <v>0</v>
      </c>
      <c r="AU79" s="488" t="n">
        <f aca="false">CHOOSE(J79, IF(QrrSky_Q2&gt;0,QrrSky_Q2,Qrr_Q2)*Fsw*(H79-K79*Rdson1), IF(QrrSky_Q3&gt;0,QrrSky_Q3,Qrr_Q3)*Fsw*Vout,  IF(QrrSky_Q2&gt;0,QrrSky_Q2,Qrr_Q2)*Fsw/2*(H79-K79*Rdson1)+IF(QrrSky_Q3&gt;0,QrrSky_Q3,Qrr_Q3)*Fsw/2*Vout)</f>
        <v>0.40381362</v>
      </c>
      <c r="AV79" s="488" t="n">
        <f aca="false">CHOOSE(J79, Rs*AF79^2, Rs*AJ79^2, Rs*(AF79^2+AJ79^2))</f>
        <v>0.129555752158729</v>
      </c>
      <c r="AW79" s="488" t="n">
        <f aca="false">Rshunt_std/1000*Iout^2</f>
        <v>0.14832</v>
      </c>
      <c r="AX79" s="488" t="n">
        <f aca="false">IF(Vout&gt;8, Iq*Vout, Iq*H79)</f>
        <v>0.036</v>
      </c>
      <c r="AY79" s="488" t="n">
        <f aca="false">CHOOSE(J79, (Qg_Q1+Qg_Q2)*Fsw, (Qg_Q3+Qg_Q4)*Fsw, (Qg_Q1+Qg_Q2+Qg_Q3+Qg_Q4)*Fsw/2)*IF(Vout&gt;8, Vout, H79)</f>
        <v>0.0792</v>
      </c>
      <c r="AZ79" s="488" t="n">
        <f aca="false">(Vin-Vdd)*Fsw*(Qg_Q1+Qg_Q2)+(RdsonDRT+RdsonDRT2)*Fsw*Qg_Q1*Vdd/(RdsonDRT+2*Rgate1+RdsonDRT2)+(RdsonDRB+RdsonDRB2)*Fsw*Qg_Q2*Vdd/(RdsonDRB+2*Rgate2+RdsonDRB2)</f>
        <v>0.0522</v>
      </c>
      <c r="BA79" s="488" t="n">
        <f aca="false">SUM(AX79:AY79)</f>
        <v>0.1152</v>
      </c>
      <c r="BB79" s="488" t="n">
        <f aca="false">SUM(T79,W79,Z79,AE79,AI79,AN79,AR79, AT79,AU79,BA79,AV79,AW79)</f>
        <v>1.86412782865756</v>
      </c>
      <c r="BC79" s="419" t="n">
        <f aca="false">Vout*K79</f>
        <v>72</v>
      </c>
      <c r="BD79" s="589" t="n">
        <f aca="false">BC79/(BC79+BB79)</f>
        <v>0.97476274500957</v>
      </c>
      <c r="BE79" s="590" t="n">
        <f aca="false">IF(H79&gt;Vout,ThetaJA_Q1*(AE79+AU79),ThetaJA_Q4*(AN79+AU79))</f>
        <v>33.0118841281325</v>
      </c>
      <c r="BF79" s="590" t="n">
        <f aca="false">IF(H79&gt;Vout, AI79*ThetaJA_Q2, ThetaJA_Q3*AR79)</f>
        <v>12.0376592606176</v>
      </c>
      <c r="BG79" s="536"/>
      <c r="BH79" s="385" t="n">
        <f aca="false">BD79*100</f>
        <v>97.476274500957</v>
      </c>
      <c r="BI79" s="488" t="n">
        <f aca="false">T79</f>
        <v>0.474330821666711</v>
      </c>
      <c r="BJ79" s="488" t="n">
        <f aca="false">AE79+AI79+AN79+AR79+AU79</f>
        <v>0.972617168215067</v>
      </c>
      <c r="BK79" s="488" t="n">
        <f aca="false">AI79+AU79*0.33</f>
        <v>0.374011679812353</v>
      </c>
      <c r="BL79" s="488" t="n">
        <f aca="false">AV79</f>
        <v>0.129555752158729</v>
      </c>
      <c r="BR79" s="591"/>
      <c r="BS79" s="592"/>
    </row>
    <row r="80" customFormat="false" ht="12.75" hidden="false" customHeight="false" outlineLevel="0" collapsed="false">
      <c r="A80" s="639" t="s">
        <v>887</v>
      </c>
      <c r="B80" s="643" t="e">
        <f aca="false">SUM(B77:B79)</f>
        <v>#NAME?</v>
      </c>
      <c r="C80" s="598" t="s">
        <v>16</v>
      </c>
      <c r="G80" s="0" t="n">
        <v>71</v>
      </c>
      <c r="H80" s="586" t="n">
        <f aca="false">VIN_min+(VIN_max-VIN_min)*(G80/200)</f>
        <v>21.62</v>
      </c>
      <c r="I80" s="385" t="str">
        <f aca="false">IF(H80&gt;VIN_BB_to_buck, "BUCK", IF(H80&lt;VIN_boost_to_BB,"BOOST","BUCK-BST"))</f>
        <v>BUCK</v>
      </c>
      <c r="J80" s="419" t="n">
        <f aca="false">IF(I80="BOOST",2, IF(I80="BUCK", 1,3))</f>
        <v>1</v>
      </c>
      <c r="K80" s="0" t="n">
        <f aca="false">Iout</f>
        <v>6</v>
      </c>
      <c r="L80" s="385" t="n">
        <f aca="false">Vout*K80/(H80*Efficiency)</f>
        <v>3.70027752081406</v>
      </c>
      <c r="M80" s="385" t="n">
        <f aca="false">Iout/(1-O80)</f>
        <v>6</v>
      </c>
      <c r="N80" s="488" t="n">
        <f aca="false">CHOOSE(J80,(Vout+(Rdson2+Rs+Rdcr)*K80)/(H80+(Rs+Rdson2-Rdson1)*K80),1,IF(H80&lt;Vout,D_max_buck_BB,Vout/H80*(1-D_min_boost_exitBB_to_buck)))</f>
        <v>0.558533321026399</v>
      </c>
      <c r="O80" s="488" t="n">
        <f aca="false">CHOOSE(J80,0,(Vout+(Rdson3+Rdcr)*L80-H80)/(Vout+(Rdson3-Rdson4-Rs)*L80),IF(H80&gt;Vout,D_min_boost_exitBB_to_buck, (Vout-H80*D_max_buck_BB)/Vout))</f>
        <v>0</v>
      </c>
      <c r="P80" s="385" t="n">
        <f aca="false">MAX(0, CHOOSE(J80, (H80-(Rdson1+Rdcr)*K80-Vout)*N80/(Fsw*Lf), (H80-(Rdson4+Rdcr+Rs)*L80)*O80/(Fsw*Lf), IF(H80&lt;Vout, (H80-(Rdson4+Rdcr+Rs)*L80)*O80/(0.5*Fsw*Lf),(H80-(Rdson1+Rdcr)*K80-Vout)*N80/(0.5*Fsw*Lf))))</f>
        <v>3.78919304180299</v>
      </c>
      <c r="Q80" s="488" t="n">
        <f aca="false">CHOOSE(J80, SQRT(K80^2+(P80^2)/12), SQRT(L80^2+(P80^2)/12), SQRT(M80^2+(P80^2)/12))</f>
        <v>6.09889323230076</v>
      </c>
      <c r="R80" s="488" t="n">
        <f aca="false">(Q80^2*Rdcr*(1+Ltc*Ta-Ltc*25))/(1-Q80^2*Rdcr*Ltc*ThetaCa)</f>
        <v>0.125862955726387</v>
      </c>
      <c r="S80" s="488" t="n">
        <f aca="false">7.759*10^-3*Fsw^0.9458*(0.00787*P80)^2.304</f>
        <v>0.359223290294622</v>
      </c>
      <c r="T80" s="488" t="n">
        <f aca="false">R80+S80</f>
        <v>0.485086246021009</v>
      </c>
      <c r="U80" s="385" t="n">
        <f aca="false">IF(H80&gt;Vout, P80/SQRT(12), SQRT(O80/(1-O80))*SQRT(K80^2+(P80^2)/12))</f>
        <v>1.09384581134821</v>
      </c>
      <c r="V80" s="488" t="n">
        <f aca="false">RCoutEsr*U80^2</f>
        <v>0.00598249329502009</v>
      </c>
      <c r="W80" s="488" t="n">
        <f aca="false">V80</f>
        <v>0.00598249329502009</v>
      </c>
      <c r="X80" s="488" t="n">
        <f aca="false">IF(H80&gt;Vout, SQRT(N80*(1-N80))*SQRT(K80^2+(P80^2)/12), P80/SQRT(12))</f>
        <v>3.02847880843357</v>
      </c>
      <c r="Y80" s="587" t="n">
        <f aca="false">RCinEsr*X80^2</f>
        <v>0.0183433677862624</v>
      </c>
      <c r="Z80" s="588" t="n">
        <f aca="false">Y80</f>
        <v>0.0183433677862624</v>
      </c>
      <c r="AA80" s="488" t="n">
        <f aca="false">CHOOSE(J80, SQRT(N80)*SQRT(K80^2+(P80^2)/12), SQRT(L80^2+(P80^2)/12), SQRT(N80)*SQRT(M80^2+(P80^2)/12))</f>
        <v>4.55801315559395</v>
      </c>
      <c r="AB80" s="488" t="n">
        <f aca="false">Rdson1*AA80^2</f>
        <v>0.118420258381435</v>
      </c>
      <c r="AC80" s="488" t="n">
        <f aca="false">CHOOSE(J80, (H80*K80/2)*(Fsw)*(Tr_buck+Tf_buck), 0, (H80*M80/2)*(Fsw/2)*(Tr_buck+Tf_buck))</f>
        <v>0.132102232424677</v>
      </c>
      <c r="AD80" s="0" t="n">
        <f aca="false">IF(H80&gt;Vout, IF(K80&gt;P80/2,0,ABS(K80-P80/2)*Vsd_Q1*Deadtime*Fsw),0)</f>
        <v>0</v>
      </c>
      <c r="AE80" s="488" t="n">
        <f aca="false">(AD80+AC80+AB80*(1+RdsonTopTc*Ta-RdsonTopTc*25))/(1-AB80*RdsonTopTc*ThetaJA_Q1)</f>
        <v>0.256599814062494</v>
      </c>
      <c r="AF80" s="488" t="n">
        <f aca="false">CHOOSE(J80, SQRT((1-N80))*SQRT(K80^2+(P80^2)/12), 0, SQRT((1-N80))*SQRT(M80^2+(P80^2)/12))</f>
        <v>4.05228512477053</v>
      </c>
      <c r="AG80" s="488" t="n">
        <f aca="false">Rdson2*AF80^2</f>
        <v>0.0935997839748882</v>
      </c>
      <c r="AH80" s="488" t="n">
        <f aca="false">CHOOSE(J80, IF(K80&lt;P80/2,Deadtime*Fsw*IF(VfdSky_Q2&gt;0,0,Vsd_Q2)*(K80+P80/2),2*Deadtime*Fsw*IF(VfdSky_Q2&gt;0,0,Vsd_Q2)*K80),0, IF(K80&lt;P80/2,Deadtime*Fsw/2*IF(VfdSky_Q2&gt;0,0,Vsd_Q2)*(K80+P80/2),2*Deadtime*Fsw/2*IF(VfdSky_Q2&gt;0,0,Vsd_Q2)*K80))</f>
        <v>0.144</v>
      </c>
      <c r="AI80" s="488" t="n">
        <f aca="false">(AH80+AG80*(1+RdsonBotTc*Ta-RdsonBotTc*25))/(1-AG80*RdsonBotTc*ThetaJA_Q2)</f>
        <v>0.242132493797436</v>
      </c>
      <c r="AJ80" s="488" t="n">
        <f aca="false">CHOOSE(J80, 0, SQRT(O80)*SQRT(L80^2+(P80^2)/12), SQRT(O80)*SQRT(M80^2+(P80^2)/12))</f>
        <v>0</v>
      </c>
      <c r="AK80" s="488" t="n">
        <f aca="false">Rdson4*AJ80^2</f>
        <v>0</v>
      </c>
      <c r="AL80" s="488" t="n">
        <f aca="false">CHOOSE(J80, 0, (Vout*L80/2)*(Fsw)*(Tr_boost+Tf_boost), (Vout*Iout/2)*(Fsw/2)*(Tr_boost+Tf_boost))</f>
        <v>0</v>
      </c>
      <c r="AM80" s="0" t="n">
        <f aca="false">IF(H80&gt;Vout, 0, IF(L80&gt;P80/2,0,ABS(L80-P80/2)*Vsd_Q4*Deadtime*Fsw))</f>
        <v>0</v>
      </c>
      <c r="AN80" s="488" t="n">
        <f aca="false">(AM80+AL80+AK80*(1+RdsonTopTc*Ta-RdsonTopTc*25))/(1-AK80*RdsonTopTc*ThetaJA_Q4)</f>
        <v>0</v>
      </c>
      <c r="AO80" s="488" t="n">
        <f aca="false">CHOOSE(J80, SQRT(Iout^2+(P80^2)/12), SQRT(1-O80)*SQRT(L80^2+(P80^2)/12), SQRT(1-O80)*SQRT(M80^2+(P80^2)/12))</f>
        <v>6.09889323230076</v>
      </c>
      <c r="AP80" s="488" t="n">
        <f aca="false">Rdson3*AO80^2</f>
        <v>0.0706733474521076</v>
      </c>
      <c r="AQ80" s="488" t="n">
        <f aca="false">CHOOSE(J80, 0, IF(L80&lt;P80/2,Deadtime*Fsw*IF(VfdSky_Q3&gt;0,0,Vsd_Q3)*(L80+P80/2), 2*Deadtime*Fsw*IF(VfdSky_Q3&gt;0,0,Vsd_Q3)*L80), IF(L80&lt;P80/2,Deadtime*Fsw/2*IF(VfdSky_Q3&gt;0,0,Vsd_Q3)*(L80+P80/2), 2*Deadtime*Fsw/2*IF(VfdSky_Q3&gt;0,0,Vsd_Q3)*L80))</f>
        <v>0</v>
      </c>
      <c r="AR80" s="488" t="n">
        <f aca="false">(AQ80+AP80*(1+RdsonBotTc*Ta-RdsonBotTc*25))/(1-AP80*RdsonBotTc*ThetaJA_Q3)</f>
        <v>0.0716866140485716</v>
      </c>
      <c r="AS80" s="488" t="n">
        <f aca="false">CHOOSE(J80, Rdson3*Q80^2, Rdson1*Q80^2, 0)</f>
        <v>0.0706733474521076</v>
      </c>
      <c r="AT80" s="488" t="n">
        <f aca="false">CHOOSE(J80, 2*Deadtime*Fsw*IF(VfdSky_Q2&gt;0,VfdSky_Q2,0)*K80, 2*Deadtime*Fsw*IF(VfdSky_Q3&gt;0,VfdSky_Q3,0)*L80, 2*Deadtime*Fsw/2*IF(VfdSky_Q2&gt;0,VfdSky_Q2,0)*K80+2*Deadtime*Fsw/2*IF(VfdSky_Q3&gt;0,VfdSky_Q3,0)*L80)</f>
        <v>0</v>
      </c>
      <c r="AU80" s="488" t="n">
        <f aca="false">CHOOSE(J80, IF(QrrSky_Q2&gt;0,QrrSky_Q2,Qrr_Q2)*Fsw*(H80-K80*Rdson1), IF(QrrSky_Q3&gt;0,QrrSky_Q3,Qrr_Q3)*Fsw*Vout,  IF(QrrSky_Q2&gt;0,QrrSky_Q2,Qrr_Q2)*Fsw/2*(H80-K80*Rdson1)+IF(QrrSky_Q3&gt;0,QrrSky_Q3,Qrr_Q3)*Fsw/2*Vout)</f>
        <v>0.40797162</v>
      </c>
      <c r="AV80" s="488" t="n">
        <f aca="false">CHOOSE(J80, Rs*AF80^2, Rs*AJ80^2, Rs*(AF80^2+AJ80^2))</f>
        <v>0.131368117859492</v>
      </c>
      <c r="AW80" s="488" t="n">
        <f aca="false">Rshunt_std/1000*Iout^2</f>
        <v>0.14832</v>
      </c>
      <c r="AX80" s="488" t="n">
        <f aca="false">IF(Vout&gt;8, Iq*Vout, Iq*H80)</f>
        <v>0.036</v>
      </c>
      <c r="AY80" s="488" t="n">
        <f aca="false">CHOOSE(J80, (Qg_Q1+Qg_Q2)*Fsw, (Qg_Q3+Qg_Q4)*Fsw, (Qg_Q1+Qg_Q2+Qg_Q3+Qg_Q4)*Fsw/2)*IF(Vout&gt;8, Vout, H80)</f>
        <v>0.0792</v>
      </c>
      <c r="AZ80" s="488" t="n">
        <f aca="false">(Vin-Vdd)*Fsw*(Qg_Q1+Qg_Q2)+(RdsonDRT+RdsonDRT2)*Fsw*Qg_Q1*Vdd/(RdsonDRT+2*Rgate1+RdsonDRT2)+(RdsonDRB+RdsonDRB2)*Fsw*Qg_Q2*Vdd/(RdsonDRB+2*Rgate2+RdsonDRB2)</f>
        <v>0.0522</v>
      </c>
      <c r="BA80" s="488" t="n">
        <f aca="false">SUM(AX80:AY80)</f>
        <v>0.1152</v>
      </c>
      <c r="BB80" s="488" t="n">
        <f aca="false">SUM(T80,W80,Z80,AE80,AI80,AN80,AR80, AT80,AU80,BA80,AV80,AW80)</f>
        <v>1.88269076687029</v>
      </c>
      <c r="BC80" s="419" t="n">
        <f aca="false">Vout*K80</f>
        <v>72</v>
      </c>
      <c r="BD80" s="589" t="n">
        <f aca="false">BC80/(BC80+BB80)</f>
        <v>0.974517837028825</v>
      </c>
      <c r="BE80" s="590" t="n">
        <f aca="false">IF(H80&gt;Vout,ThetaJA_Q1*(AE80+AU80),ThetaJA_Q4*(AN80+AU80))</f>
        <v>33.2285717031247</v>
      </c>
      <c r="BF80" s="590" t="n">
        <f aca="false">IF(H80&gt;Vout, AI80*ThetaJA_Q2, ThetaJA_Q3*AR80)</f>
        <v>12.1066246898718</v>
      </c>
      <c r="BG80" s="536"/>
      <c r="BH80" s="385" t="n">
        <f aca="false">BD80*100</f>
        <v>97.4517837028826</v>
      </c>
      <c r="BI80" s="488" t="n">
        <f aca="false">T80</f>
        <v>0.485086246021009</v>
      </c>
      <c r="BJ80" s="488" t="n">
        <f aca="false">AE80+AI80+AN80+AR80+AU80</f>
        <v>0.978390541908502</v>
      </c>
      <c r="BK80" s="488" t="n">
        <f aca="false">AI80+AU80*0.33</f>
        <v>0.376763128397436</v>
      </c>
      <c r="BL80" s="488" t="n">
        <f aca="false">AV80</f>
        <v>0.131368117859492</v>
      </c>
      <c r="BR80" s="591"/>
      <c r="BS80" s="592"/>
    </row>
    <row r="81" customFormat="false" ht="12.75" hidden="false" customHeight="false" outlineLevel="0" collapsed="false">
      <c r="A81" s="336"/>
      <c r="B81" s="517"/>
      <c r="C81" s="517"/>
      <c r="G81" s="0" t="n">
        <v>72</v>
      </c>
      <c r="H81" s="586" t="n">
        <f aca="false">VIN_min+(VIN_max-VIN_min)*(G81/200)</f>
        <v>21.84</v>
      </c>
      <c r="I81" s="385" t="str">
        <f aca="false">IF(H81&gt;VIN_BB_to_buck, "BUCK", IF(H81&lt;VIN_boost_to_BB,"BOOST","BUCK-BST"))</f>
        <v>BUCK</v>
      </c>
      <c r="J81" s="419" t="n">
        <f aca="false">IF(I81="BOOST",2, IF(I81="BUCK", 1,3))</f>
        <v>1</v>
      </c>
      <c r="K81" s="0" t="n">
        <f aca="false">Iout</f>
        <v>6</v>
      </c>
      <c r="L81" s="385" t="n">
        <f aca="false">Vout*K81/(H81*Efficiency)</f>
        <v>3.66300366300366</v>
      </c>
      <c r="M81" s="385" t="n">
        <f aca="false">Iout/(1-O81)</f>
        <v>6</v>
      </c>
      <c r="N81" s="488" t="n">
        <f aca="false">CHOOSE(J81,(Vout+(Rdson2+Rs+Rdcr)*K81)/(H81+(Rs+Rdson2-Rdson1)*K81),1,IF(H81&lt;Vout,D_max_buck_BB,Vout/H81*(1-D_min_boost_exitBB_to_buck)))</f>
        <v>0.552919407894737</v>
      </c>
      <c r="O81" s="488" t="n">
        <f aca="false">CHOOSE(J81,0,(Vout+(Rdson3+Rdcr)*L81-H81)/(Vout+(Rdson3-Rdson4-Rs)*L81),IF(H81&gt;Vout,D_min_boost_exitBB_to_buck, (Vout-H81*D_max_buck_BB)/Vout))</f>
        <v>0</v>
      </c>
      <c r="P81" s="385" t="n">
        <f aca="false">MAX(0, CHOOSE(J81, (H81-(Rdson1+Rdcr)*K81-Vout)*N81/(Fsw*Lf), (H81-(Rdson4+Rdcr+Rs)*L81)*O81/(Fsw*Lf), IF(H81&lt;Vout, (H81-(Rdson4+Rdcr+Rs)*L81)*O81/(0.5*Fsw*Lf),(H81-(Rdson1+Rdcr)*K81-Vout)*N81/(0.5*Fsw*Lf))))</f>
        <v>3.83737833321669</v>
      </c>
      <c r="Q81" s="488" t="n">
        <f aca="false">CHOOSE(J81, SQRT(K81^2+(P81^2)/12), SQRT(L81^2+(P81^2)/12), SQRT(M81^2+(P81^2)/12))</f>
        <v>6.10140333907045</v>
      </c>
      <c r="R81" s="488" t="n">
        <f aca="false">(Q81^2*Rdcr*(1+Ltc*Ta-Ltc*25))/(1-Q81^2*Rdcr*Ltc*ThetaCa)</f>
        <v>0.125967623528897</v>
      </c>
      <c r="S81" s="488" t="n">
        <f aca="false">7.759*10^-3*Fsw^0.9458*(0.00787*P81)^2.304</f>
        <v>0.369835486519603</v>
      </c>
      <c r="T81" s="488" t="n">
        <f aca="false">R81+S81</f>
        <v>0.4958031100485</v>
      </c>
      <c r="U81" s="385" t="n">
        <f aca="false">IF(H81&gt;Vout, P81/SQRT(12), SQRT(O81/(1-O81))*SQRT(K81^2+(P81^2)/12))</f>
        <v>1.10775570683255</v>
      </c>
      <c r="V81" s="488" t="n">
        <f aca="false">RCoutEsr*U81^2</f>
        <v>0.00613561353010036</v>
      </c>
      <c r="W81" s="488" t="n">
        <f aca="false">V81</f>
        <v>0.00613561353010036</v>
      </c>
      <c r="X81" s="488" t="n">
        <f aca="false">IF(H81&gt;Vout, SQRT(N81*(1-N81))*SQRT(K81^2+(P81^2)/12), P81/SQRT(12))</f>
        <v>3.03356679002173</v>
      </c>
      <c r="Y81" s="587" t="n">
        <f aca="false">RCinEsr*X81^2</f>
        <v>0.0184050549390454</v>
      </c>
      <c r="Z81" s="588" t="n">
        <f aca="false">Y81</f>
        <v>0.0184050549390454</v>
      </c>
      <c r="AA81" s="488" t="n">
        <f aca="false">CHOOSE(J81, SQRT(N81)*SQRT(K81^2+(P81^2)/12), SQRT(L81^2+(P81^2)/12), SQRT(N81)*SQRT(M81^2+(P81^2)/12))</f>
        <v>4.53691510216329</v>
      </c>
      <c r="AB81" s="488" t="n">
        <f aca="false">Rdson1*AA81^2</f>
        <v>0.117326512272153</v>
      </c>
      <c r="AC81" s="488" t="n">
        <f aca="false">CHOOSE(J81, (H81*K81/2)*(Fsw)*(Tr_buck+Tf_buck), 0, (H81*M81/2)*(Fsw/2)*(Tr_buck+Tf_buck))</f>
        <v>0.133446473457676</v>
      </c>
      <c r="AD81" s="0" t="n">
        <f aca="false">IF(H81&gt;Vout, IF(K81&gt;P81/2,0,ABS(K81-P81/2)*Vsd_Q1*Deadtime*Fsw),0)</f>
        <v>0</v>
      </c>
      <c r="AE81" s="488" t="n">
        <f aca="false">(AD81+AC81+AB81*(1+RdsonTopTc*Ta-RdsonTopTc*25))/(1-AB81*RdsonTopTc*ThetaJA_Q1)</f>
        <v>0.256798848376943</v>
      </c>
      <c r="AF81" s="488" t="n">
        <f aca="false">CHOOSE(J81, SQRT((1-N81))*SQRT(K81^2+(P81^2)/12), 0, SQRT((1-N81))*SQRT(M81^2+(P81^2)/12))</f>
        <v>4.07964754136711</v>
      </c>
      <c r="AG81" s="488" t="n">
        <f aca="false">Rdson2*AF81^2</f>
        <v>0.0948680871521616</v>
      </c>
      <c r="AH81" s="488" t="n">
        <f aca="false">CHOOSE(J81, IF(K81&lt;P81/2,Deadtime*Fsw*IF(VfdSky_Q2&gt;0,0,Vsd_Q2)*(K81+P81/2),2*Deadtime*Fsw*IF(VfdSky_Q2&gt;0,0,Vsd_Q2)*K81),0, IF(K81&lt;P81/2,Deadtime*Fsw/2*IF(VfdSky_Q2&gt;0,0,Vsd_Q2)*(K81+P81/2),2*Deadtime*Fsw/2*IF(VfdSky_Q2&gt;0,0,Vsd_Q2)*K81))</f>
        <v>0.144</v>
      </c>
      <c r="AI81" s="488" t="n">
        <f aca="false">(AH81+AG81*(1+RdsonBotTc*Ta-RdsonBotTc*25))/(1-AG81*RdsonBotTc*ThetaJA_Q2)</f>
        <v>0.24348793406198</v>
      </c>
      <c r="AJ81" s="488" t="n">
        <f aca="false">CHOOSE(J81, 0, SQRT(O81)*SQRT(L81^2+(P81^2)/12), SQRT(O81)*SQRT(M81^2+(P81^2)/12))</f>
        <v>0</v>
      </c>
      <c r="AK81" s="488" t="n">
        <f aca="false">Rdson4*AJ81^2</f>
        <v>0</v>
      </c>
      <c r="AL81" s="488" t="n">
        <f aca="false">CHOOSE(J81, 0, (Vout*L81/2)*(Fsw)*(Tr_boost+Tf_boost), (Vout*Iout/2)*(Fsw/2)*(Tr_boost+Tf_boost))</f>
        <v>0</v>
      </c>
      <c r="AM81" s="0" t="n">
        <f aca="false">IF(H81&gt;Vout, 0, IF(L81&gt;P81/2,0,ABS(L81-P81/2)*Vsd_Q4*Deadtime*Fsw))</f>
        <v>0</v>
      </c>
      <c r="AN81" s="488" t="n">
        <f aca="false">(AM81+AL81+AK81*(1+RdsonTopTc*Ta-RdsonTopTc*25))/(1-AK81*RdsonTopTc*ThetaJA_Q4)</f>
        <v>0</v>
      </c>
      <c r="AO81" s="488" t="n">
        <f aca="false">CHOOSE(J81, SQRT(Iout^2+(P81^2)/12), SQRT(1-O81)*SQRT(L81^2+(P81^2)/12), SQRT(1-O81)*SQRT(M81^2+(P81^2)/12))</f>
        <v>6.10140333907045</v>
      </c>
      <c r="AP81" s="488" t="n">
        <f aca="false">Rdson3*AO81^2</f>
        <v>0.0707315331414381</v>
      </c>
      <c r="AQ81" s="488" t="n">
        <f aca="false">CHOOSE(J81, 0, IF(L81&lt;P81/2,Deadtime*Fsw*IF(VfdSky_Q3&gt;0,0,Vsd_Q3)*(L81+P81/2), 2*Deadtime*Fsw*IF(VfdSky_Q3&gt;0,0,Vsd_Q3)*L81), IF(L81&lt;P81/2,Deadtime*Fsw/2*IF(VfdSky_Q3&gt;0,0,Vsd_Q3)*(L81+P81/2), 2*Deadtime*Fsw/2*IF(VfdSky_Q3&gt;0,0,Vsd_Q3)*L81))</f>
        <v>0</v>
      </c>
      <c r="AR81" s="488" t="n">
        <f aca="false">(AQ81+AP81*(1+RdsonBotTc*Ta-RdsonBotTc*25))/(1-AP81*RdsonBotTc*ThetaJA_Q3)</f>
        <v>0.0717464808591726</v>
      </c>
      <c r="AS81" s="488" t="n">
        <f aca="false">CHOOSE(J81, Rdson3*Q81^2, Rdson1*Q81^2, 0)</f>
        <v>0.0707315331414381</v>
      </c>
      <c r="AT81" s="488" t="n">
        <f aca="false">CHOOSE(J81, 2*Deadtime*Fsw*IF(VfdSky_Q2&gt;0,VfdSky_Q2,0)*K81, 2*Deadtime*Fsw*IF(VfdSky_Q3&gt;0,VfdSky_Q3,0)*L81, 2*Deadtime*Fsw/2*IF(VfdSky_Q2&gt;0,VfdSky_Q2,0)*K81+2*Deadtime*Fsw/2*IF(VfdSky_Q3&gt;0,VfdSky_Q3,0)*L81)</f>
        <v>0</v>
      </c>
      <c r="AU81" s="488" t="n">
        <f aca="false">CHOOSE(J81, IF(QrrSky_Q2&gt;0,QrrSky_Q2,Qrr_Q2)*Fsw*(H81-K81*Rdson1), IF(QrrSky_Q3&gt;0,QrrSky_Q3,Qrr_Q3)*Fsw*Vout,  IF(QrrSky_Q2&gt;0,QrrSky_Q2,Qrr_Q2)*Fsw/2*(H81-K81*Rdson1)+IF(QrrSky_Q3&gt;0,QrrSky_Q3,Qrr_Q3)*Fsw/2*Vout)</f>
        <v>0.41212962</v>
      </c>
      <c r="AV81" s="488" t="n">
        <f aca="false">CHOOSE(J81, Rs*AF81^2, Rs*AJ81^2, Rs*(AF81^2+AJ81^2))</f>
        <v>0.133148192494262</v>
      </c>
      <c r="AW81" s="488" t="n">
        <f aca="false">Rshunt_std/1000*Iout^2</f>
        <v>0.14832</v>
      </c>
      <c r="AX81" s="488" t="n">
        <f aca="false">IF(Vout&gt;8, Iq*Vout, Iq*H81)</f>
        <v>0.036</v>
      </c>
      <c r="AY81" s="488" t="n">
        <f aca="false">CHOOSE(J81, (Qg_Q1+Qg_Q2)*Fsw, (Qg_Q3+Qg_Q4)*Fsw, (Qg_Q1+Qg_Q2+Qg_Q3+Qg_Q4)*Fsw/2)*IF(Vout&gt;8, Vout, H81)</f>
        <v>0.0792</v>
      </c>
      <c r="AZ81" s="488" t="n">
        <f aca="false">(Vin-Vdd)*Fsw*(Qg_Q1+Qg_Q2)+(RdsonDRT+RdsonDRT2)*Fsw*Qg_Q1*Vdd/(RdsonDRT+2*Rgate1+RdsonDRT2)+(RdsonDRB+RdsonDRB2)*Fsw*Qg_Q2*Vdd/(RdsonDRB+2*Rgate2+RdsonDRB2)</f>
        <v>0.0522</v>
      </c>
      <c r="BA81" s="488" t="n">
        <f aca="false">SUM(AX81:AY81)</f>
        <v>0.1152</v>
      </c>
      <c r="BB81" s="488" t="n">
        <f aca="false">SUM(T81,W81,Z81,AE81,AI81,AN81,AR81, AT81,AU81,BA81,AV81,AW81)</f>
        <v>1.90117485431</v>
      </c>
      <c r="BC81" s="419" t="n">
        <f aca="false">Vout*K81</f>
        <v>72</v>
      </c>
      <c r="BD81" s="589" t="n">
        <f aca="false">BC81/(BC81+BB81)</f>
        <v>0.974274091608719</v>
      </c>
      <c r="BE81" s="590" t="n">
        <f aca="false">IF(H81&gt;Vout,ThetaJA_Q1*(AE81+AU81),ThetaJA_Q4*(AN81+AU81))</f>
        <v>33.4464234188472</v>
      </c>
      <c r="BF81" s="590" t="n">
        <f aca="false">IF(H81&gt;Vout, AI81*ThetaJA_Q2, ThetaJA_Q3*AR81)</f>
        <v>12.174396703099</v>
      </c>
      <c r="BG81" s="536"/>
      <c r="BH81" s="385" t="n">
        <f aca="false">BD81*100</f>
        <v>97.4274091608719</v>
      </c>
      <c r="BI81" s="488" t="n">
        <f aca="false">T81</f>
        <v>0.4958031100485</v>
      </c>
      <c r="BJ81" s="488" t="n">
        <f aca="false">AE81+AI81+AN81+AR81+AU81</f>
        <v>0.984162883298096</v>
      </c>
      <c r="BK81" s="488" t="n">
        <f aca="false">AI81+AU81*0.33</f>
        <v>0.37949070866198</v>
      </c>
      <c r="BL81" s="488" t="n">
        <f aca="false">AV81</f>
        <v>0.133148192494262</v>
      </c>
      <c r="BR81" s="591"/>
      <c r="BS81" s="592"/>
    </row>
    <row r="82" customFormat="false" ht="12.75" hidden="false" customHeight="false" outlineLevel="0" collapsed="false">
      <c r="A82" s="336"/>
      <c r="B82" s="517"/>
      <c r="C82" s="517"/>
      <c r="G82" s="0" t="n">
        <v>73</v>
      </c>
      <c r="H82" s="586" t="n">
        <f aca="false">VIN_min+(VIN_max-VIN_min)*(G82/200)</f>
        <v>22.06</v>
      </c>
      <c r="I82" s="385" t="str">
        <f aca="false">IF(H82&gt;VIN_BB_to_buck, "BUCK", IF(H82&lt;VIN_boost_to_BB,"BOOST","BUCK-BST"))</f>
        <v>BUCK</v>
      </c>
      <c r="J82" s="419" t="n">
        <f aca="false">IF(I82="BOOST",2, IF(I82="BUCK", 1,3))</f>
        <v>1</v>
      </c>
      <c r="K82" s="0" t="n">
        <f aca="false">Iout</f>
        <v>6</v>
      </c>
      <c r="L82" s="385" t="n">
        <f aca="false">Vout*K82/(H82*Efficiency)</f>
        <v>3.62647325475975</v>
      </c>
      <c r="M82" s="385" t="n">
        <f aca="false">Iout/(1-O82)</f>
        <v>6</v>
      </c>
      <c r="N82" s="488" t="n">
        <f aca="false">CHOOSE(J82,(Vout+(Rdson2+Rs+Rdcr)*K82)/(H82+(Rs+Rdson2-Rdson1)*K82),1,IF(H82&lt;Vout,D_max_buck_BB,Vout/H82*(1-D_min_boost_exitBB_to_buck)))</f>
        <v>0.547417224534105</v>
      </c>
      <c r="O82" s="488" t="n">
        <f aca="false">CHOOSE(J82,0,(Vout+(Rdson3+Rdcr)*L82-H82)/(Vout+(Rdson3-Rdson4-Rs)*L82),IF(H82&gt;Vout,D_min_boost_exitBB_to_buck, (Vout-H82*D_max_buck_BB)/Vout))</f>
        <v>0</v>
      </c>
      <c r="P82" s="385" t="n">
        <f aca="false">MAX(0, CHOOSE(J82, (H82-(Rdson1+Rdcr)*K82-Vout)*N82/(Fsw*Lf), (H82-(Rdson4+Rdcr+Rs)*L82)*O82/(Fsw*Lf), IF(H82&lt;Vout, (H82-(Rdson4+Rdcr+Rs)*L82)*O82/(0.5*Fsw*Lf),(H82-(Rdson1+Rdcr)*K82-Vout)*N82/(0.5*Fsw*Lf))))</f>
        <v>3.88460462661056</v>
      </c>
      <c r="Q82" s="488" t="n">
        <f aca="false">CHOOSE(J82, SQRT(K82^2+(P82^2)/12), SQRT(L82^2+(P82^2)/12), SQRT(M82^2+(P82^2)/12))</f>
        <v>6.10389324601578</v>
      </c>
      <c r="R82" s="488" t="n">
        <f aca="false">(Q82^2*Rdcr*(1+Ltc*Ta-Ltc*25))/(1-Q82^2*Rdcr*Ltc*ThetaCa)</f>
        <v>0.126071493294175</v>
      </c>
      <c r="S82" s="488" t="n">
        <f aca="false">7.759*10^-3*Fsw^0.9458*(0.00787*P82)^2.304</f>
        <v>0.380406473024179</v>
      </c>
      <c r="T82" s="488" t="n">
        <f aca="false">R82+S82</f>
        <v>0.506477966318354</v>
      </c>
      <c r="U82" s="385" t="n">
        <f aca="false">IF(H82&gt;Vout, P82/SQRT(12), SQRT(O82/(1-O82))*SQRT(K82^2+(P82^2)/12))</f>
        <v>1.12138876343444</v>
      </c>
      <c r="V82" s="488" t="n">
        <f aca="false">RCoutEsr*U82^2</f>
        <v>0.00628756379378509</v>
      </c>
      <c r="W82" s="488" t="n">
        <f aca="false">V82</f>
        <v>0.00628756379378509</v>
      </c>
      <c r="X82" s="488" t="n">
        <f aca="false">IF(H82&gt;Vout, SQRT(N82*(1-N82))*SQRT(K82^2+(P82^2)/12), P82/SQRT(12))</f>
        <v>3.03819167466519</v>
      </c>
      <c r="Y82" s="587" t="n">
        <f aca="false">RCinEsr*X82^2</f>
        <v>0.0184612173040098</v>
      </c>
      <c r="Z82" s="588" t="n">
        <f aca="false">Y82</f>
        <v>0.0184612173040098</v>
      </c>
      <c r="AA82" s="488" t="n">
        <f aca="false">CHOOSE(J82, SQRT(N82)*SQRT(K82^2+(P82^2)/12), SQRT(L82^2+(P82^2)/12), SQRT(N82)*SQRT(M82^2+(P82^2)/12))</f>
        <v>4.51612712702408</v>
      </c>
      <c r="AB82" s="488" t="n">
        <f aca="false">Rdson1*AA82^2</f>
        <v>0.116253804096424</v>
      </c>
      <c r="AC82" s="488" t="n">
        <f aca="false">CHOOSE(J82, (H82*K82/2)*(Fsw)*(Tr_buck+Tf_buck), 0, (H82*M82/2)*(Fsw/2)*(Tr_buck+Tf_buck))</f>
        <v>0.134790714490674</v>
      </c>
      <c r="AD82" s="0" t="n">
        <f aca="false">IF(H82&gt;Vout, IF(K82&gt;P82/2,0,ABS(K82-P82/2)*Vsd_Q1*Deadtime*Fsw),0)</f>
        <v>0</v>
      </c>
      <c r="AE82" s="488" t="n">
        <f aca="false">(AD82+AC82+AB82*(1+RdsonTopTc*Ta-RdsonTopTc*25))/(1-AB82*RdsonTopTc*ThetaJA_Q1)</f>
        <v>0.257020439348047</v>
      </c>
      <c r="AF82" s="488" t="n">
        <f aca="false">CHOOSE(J82, SQRT((1-N82))*SQRT(K82^2+(P82^2)/12), 0, SQRT((1-N82))*SQRT(M82^2+(P82^2)/12))</f>
        <v>4.10634978190049</v>
      </c>
      <c r="AG82" s="488" t="n">
        <f aca="false">Rdson2*AF82^2</f>
        <v>0.0961140186284911</v>
      </c>
      <c r="AH82" s="488" t="n">
        <f aca="false">CHOOSE(J82, IF(K82&lt;P82/2,Deadtime*Fsw*IF(VfdSky_Q2&gt;0,0,Vsd_Q2)*(K82+P82/2),2*Deadtime*Fsw*IF(VfdSky_Q2&gt;0,0,Vsd_Q2)*K82),0, IF(K82&lt;P82/2,Deadtime*Fsw/2*IF(VfdSky_Q2&gt;0,0,Vsd_Q2)*(K82+P82/2),2*Deadtime*Fsw/2*IF(VfdSky_Q2&gt;0,0,Vsd_Q2)*K82))</f>
        <v>0.144</v>
      </c>
      <c r="AI82" s="488" t="n">
        <f aca="false">(AH82+AG82*(1+RdsonBotTc*Ta-RdsonBotTc*25))/(1-AG82*RdsonBotTc*ThetaJA_Q2)</f>
        <v>0.244820148287111</v>
      </c>
      <c r="AJ82" s="488" t="n">
        <f aca="false">CHOOSE(J82, 0, SQRT(O82)*SQRT(L82^2+(P82^2)/12), SQRT(O82)*SQRT(M82^2+(P82^2)/12))</f>
        <v>0</v>
      </c>
      <c r="AK82" s="488" t="n">
        <f aca="false">Rdson4*AJ82^2</f>
        <v>0</v>
      </c>
      <c r="AL82" s="488" t="n">
        <f aca="false">CHOOSE(J82, 0, (Vout*L82/2)*(Fsw)*(Tr_boost+Tf_boost), (Vout*Iout/2)*(Fsw/2)*(Tr_boost+Tf_boost))</f>
        <v>0</v>
      </c>
      <c r="AM82" s="0" t="n">
        <f aca="false">IF(H82&gt;Vout, 0, IF(L82&gt;P82/2,0,ABS(L82-P82/2)*Vsd_Q4*Deadtime*Fsw))</f>
        <v>0</v>
      </c>
      <c r="AN82" s="488" t="n">
        <f aca="false">(AM82+AL82+AK82*(1+RdsonTopTc*Ta-RdsonTopTc*25))/(1-AK82*RdsonTopTc*ThetaJA_Q4)</f>
        <v>0</v>
      </c>
      <c r="AO82" s="488" t="n">
        <f aca="false">CHOOSE(J82, SQRT(Iout^2+(P82^2)/12), SQRT(1-O82)*SQRT(L82^2+(P82^2)/12), SQRT(1-O82)*SQRT(M82^2+(P82^2)/12))</f>
        <v>6.10389324601578</v>
      </c>
      <c r="AP82" s="488" t="n">
        <f aca="false">Rdson3*AO82^2</f>
        <v>0.0707892742416383</v>
      </c>
      <c r="AQ82" s="488" t="n">
        <f aca="false">CHOOSE(J82, 0, IF(L82&lt;P82/2,Deadtime*Fsw*IF(VfdSky_Q3&gt;0,0,Vsd_Q3)*(L82+P82/2), 2*Deadtime*Fsw*IF(VfdSky_Q3&gt;0,0,Vsd_Q3)*L82), IF(L82&lt;P82/2,Deadtime*Fsw/2*IF(VfdSky_Q3&gt;0,0,Vsd_Q3)*(L82+P82/2), 2*Deadtime*Fsw/2*IF(VfdSky_Q3&gt;0,0,Vsd_Q3)*L82))</f>
        <v>0</v>
      </c>
      <c r="AR82" s="488" t="n">
        <f aca="false">(AQ82+AP82*(1+RdsonBotTc*Ta-RdsonBotTc*25))/(1-AP82*RdsonBotTc*ThetaJA_Q3)</f>
        <v>0.0718058916326278</v>
      </c>
      <c r="AS82" s="488" t="n">
        <f aca="false">CHOOSE(J82, Rdson3*Q82^2, Rdson1*Q82^2, 0)</f>
        <v>0.0707892742416383</v>
      </c>
      <c r="AT82" s="488" t="n">
        <f aca="false">CHOOSE(J82, 2*Deadtime*Fsw*IF(VfdSky_Q2&gt;0,VfdSky_Q2,0)*K82, 2*Deadtime*Fsw*IF(VfdSky_Q3&gt;0,VfdSky_Q3,0)*L82, 2*Deadtime*Fsw/2*IF(VfdSky_Q2&gt;0,VfdSky_Q2,0)*K82+2*Deadtime*Fsw/2*IF(VfdSky_Q3&gt;0,VfdSky_Q3,0)*L82)</f>
        <v>0</v>
      </c>
      <c r="AU82" s="488" t="n">
        <f aca="false">CHOOSE(J82, IF(QrrSky_Q2&gt;0,QrrSky_Q2,Qrr_Q2)*Fsw*(H82-K82*Rdson1), IF(QrrSky_Q3&gt;0,QrrSky_Q3,Qrr_Q3)*Fsw*Vout,  IF(QrrSky_Q2&gt;0,QrrSky_Q2,Qrr_Q2)*Fsw/2*(H82-K82*Rdson1)+IF(QrrSky_Q3&gt;0,QrrSky_Q3,Qrr_Q3)*Fsw/2*Vout)</f>
        <v>0.41628762</v>
      </c>
      <c r="AV82" s="488" t="n">
        <f aca="false">CHOOSE(J82, Rs*AF82^2, Rs*AJ82^2, Rs*(AF82^2+AJ82^2))</f>
        <v>0.134896868250514</v>
      </c>
      <c r="AW82" s="488" t="n">
        <f aca="false">Rshunt_std/1000*Iout^2</f>
        <v>0.14832</v>
      </c>
      <c r="AX82" s="488" t="n">
        <f aca="false">IF(Vout&gt;8, Iq*Vout, Iq*H82)</f>
        <v>0.036</v>
      </c>
      <c r="AY82" s="488" t="n">
        <f aca="false">CHOOSE(J82, (Qg_Q1+Qg_Q2)*Fsw, (Qg_Q3+Qg_Q4)*Fsw, (Qg_Q1+Qg_Q2+Qg_Q3+Qg_Q4)*Fsw/2)*IF(Vout&gt;8, Vout, H82)</f>
        <v>0.0792</v>
      </c>
      <c r="AZ82" s="488" t="n">
        <f aca="false">(Vin-Vdd)*Fsw*(Qg_Q1+Qg_Q2)+(RdsonDRT+RdsonDRT2)*Fsw*Qg_Q1*Vdd/(RdsonDRT+2*Rgate1+RdsonDRT2)+(RdsonDRB+RdsonDRB2)*Fsw*Qg_Q2*Vdd/(RdsonDRB+2*Rgate2+RdsonDRB2)</f>
        <v>0.0522</v>
      </c>
      <c r="BA82" s="488" t="n">
        <f aca="false">SUM(AX82:AY82)</f>
        <v>0.1152</v>
      </c>
      <c r="BB82" s="488" t="n">
        <f aca="false">SUM(T82,W82,Z82,AE82,AI82,AN82,AR82, AT82,AU82,BA82,AV82,AW82)</f>
        <v>1.91957771493445</v>
      </c>
      <c r="BC82" s="419" t="n">
        <f aca="false">Vout*K82</f>
        <v>72</v>
      </c>
      <c r="BD82" s="589" t="n">
        <f aca="false">BC82/(BC82+BB82)</f>
        <v>0.974031538406007</v>
      </c>
      <c r="BE82" s="590" t="n">
        <f aca="false">IF(H82&gt;Vout,ThetaJA_Q1*(AE82+AU82),ThetaJA_Q4*(AN82+AU82))</f>
        <v>33.6654029674024</v>
      </c>
      <c r="BF82" s="590" t="n">
        <f aca="false">IF(H82&gt;Vout, AI82*ThetaJA_Q2, ThetaJA_Q3*AR82)</f>
        <v>12.2410074143555</v>
      </c>
      <c r="BG82" s="536"/>
      <c r="BH82" s="385" t="n">
        <f aca="false">BD82*100</f>
        <v>97.4031538406007</v>
      </c>
      <c r="BI82" s="488" t="n">
        <f aca="false">T82</f>
        <v>0.506477966318354</v>
      </c>
      <c r="BJ82" s="488" t="n">
        <f aca="false">AE82+AI82+AN82+AR82+AU82</f>
        <v>0.989934099267785</v>
      </c>
      <c r="BK82" s="488" t="n">
        <f aca="false">AI82+AU82*0.33</f>
        <v>0.382195062887111</v>
      </c>
      <c r="BL82" s="488" t="n">
        <f aca="false">AV82</f>
        <v>0.134896868250514</v>
      </c>
      <c r="BR82" s="591"/>
      <c r="BS82" s="592"/>
    </row>
    <row r="83" customFormat="false" ht="12.75" hidden="false" customHeight="false" outlineLevel="0" collapsed="false">
      <c r="A83" s="336"/>
      <c r="B83" s="517"/>
      <c r="C83" s="517"/>
      <c r="G83" s="0" t="n">
        <v>74</v>
      </c>
      <c r="H83" s="586" t="n">
        <f aca="false">VIN_min+(VIN_max-VIN_min)*(G83/200)</f>
        <v>22.28</v>
      </c>
      <c r="I83" s="385" t="str">
        <f aca="false">IF(H83&gt;VIN_BB_to_buck, "BUCK", IF(H83&lt;VIN_boost_to_BB,"BOOST","BUCK-BST"))</f>
        <v>BUCK</v>
      </c>
      <c r="J83" s="419" t="n">
        <f aca="false">IF(I83="BOOST",2, IF(I83="BUCK", 1,3))</f>
        <v>1</v>
      </c>
      <c r="K83" s="0" t="n">
        <f aca="false">Iout</f>
        <v>6</v>
      </c>
      <c r="L83" s="385" t="n">
        <f aca="false">Vout*K83/(H83*Efficiency)</f>
        <v>3.59066427289048</v>
      </c>
      <c r="M83" s="385" t="n">
        <f aca="false">Iout/(1-O83)</f>
        <v>6</v>
      </c>
      <c r="N83" s="488" t="n">
        <f aca="false">CHOOSE(J83,(Vout+(Rdson2+Rs+Rdcr)*K83)/(H83+(Rs+Rdson2-Rdson1)*K83),1,IF(H83&lt;Vout,D_max_buck_BB,Vout/H83*(1-D_min_boost_exitBB_to_buck)))</f>
        <v>0.542023468290935</v>
      </c>
      <c r="O83" s="488" t="n">
        <f aca="false">CHOOSE(J83,0,(Vout+(Rdson3+Rdcr)*L83-H83)/(Vout+(Rdson3-Rdson4-Rs)*L83),IF(H83&gt;Vout,D_min_boost_exitBB_to_buck, (Vout-H83*D_max_buck_BB)/Vout))</f>
        <v>0</v>
      </c>
      <c r="P83" s="385" t="n">
        <f aca="false">MAX(0, CHOOSE(J83, (H83-(Rdson1+Rdcr)*K83-Vout)*N83/(Fsw*Lf), (H83-(Rdson4+Rdcr+Rs)*L83)*O83/(Fsw*Lf), IF(H83&lt;Vout, (H83-(Rdson4+Rdcr+Rs)*L83)*O83/(0.5*Fsw*Lf),(H83-(Rdson1+Rdcr)*K83-Vout)*N83/(0.5*Fsw*Lf))))</f>
        <v>3.93090026929264</v>
      </c>
      <c r="Q83" s="488" t="n">
        <f aca="false">CHOOSE(J83, SQRT(K83^2+(P83^2)/12), SQRT(L83^2+(P83^2)/12), SQRT(M83^2+(P83^2)/12))</f>
        <v>6.10636264431839</v>
      </c>
      <c r="R83" s="488" t="n">
        <f aca="false">(Q83^2*Rdcr*(1+Ltc*Ta-Ltc*25))/(1-Q83^2*Rdcr*Ltc*ThetaCa)</f>
        <v>0.12617455106041</v>
      </c>
      <c r="S83" s="488" t="n">
        <f aca="false">7.759*10^-3*Fsw^0.9458*(0.00787*P83)^2.304</f>
        <v>0.390933101178172</v>
      </c>
      <c r="T83" s="488" t="n">
        <f aca="false">R83+S83</f>
        <v>0.517107652238582</v>
      </c>
      <c r="U83" s="385" t="n">
        <f aca="false">IF(H83&gt;Vout, P83/SQRT(12), SQRT(O83/(1-O83))*SQRT(K83^2+(P83^2)/12))</f>
        <v>1.13475316431684</v>
      </c>
      <c r="V83" s="488" t="n">
        <f aca="false">RCoutEsr*U83^2</f>
        <v>0.00643832371963538</v>
      </c>
      <c r="W83" s="488" t="n">
        <f aca="false">V83</f>
        <v>0.00643832371963538</v>
      </c>
      <c r="X83" s="488" t="n">
        <f aca="false">IF(H83&gt;Vout, SQRT(N83*(1-N83))*SQRT(K83^2+(P83^2)/12), P83/SQRT(12))</f>
        <v>3.04237854618795</v>
      </c>
      <c r="Y83" s="587" t="n">
        <f aca="false">RCinEsr*X83^2</f>
        <v>0.0185121344366094</v>
      </c>
      <c r="Z83" s="588" t="n">
        <f aca="false">Y83</f>
        <v>0.0185121344366094</v>
      </c>
      <c r="AA83" s="488" t="n">
        <f aca="false">CHOOSE(J83, SQRT(N83)*SQRT(K83^2+(P83^2)/12), SQRT(L83^2+(P83^2)/12), SQRT(N83)*SQRT(M83^2+(P83^2)/12))</f>
        <v>4.49564115215761</v>
      </c>
      <c r="AB83" s="488" t="n">
        <f aca="false">Rdson1*AA83^2</f>
        <v>0.115201499403146</v>
      </c>
      <c r="AC83" s="488" t="n">
        <f aca="false">CHOOSE(J83, (H83*K83/2)*(Fsw)*(Tr_buck+Tf_buck), 0, (H83*M83/2)*(Fsw/2)*(Tr_buck+Tf_buck))</f>
        <v>0.136134955523673</v>
      </c>
      <c r="AD83" s="0" t="n">
        <f aca="false">IF(H83&gt;Vout, IF(K83&gt;P83/2,0,ABS(K83-P83/2)*Vsd_Q1*Deadtime*Fsw),0)</f>
        <v>0</v>
      </c>
      <c r="AE83" s="488" t="n">
        <f aca="false">(AD83+AC83+AB83*(1+RdsonTopTc*Ta-RdsonTopTc*25))/(1-AB83*RdsonTopTc*ThetaJA_Q1)</f>
        <v>0.257263892150422</v>
      </c>
      <c r="AF83" s="488" t="n">
        <f aca="false">CHOOSE(J83, SQRT((1-N83))*SQRT(K83^2+(P83^2)/12), 0, SQRT((1-N83))*SQRT(M83^2+(P83^2)/12))</f>
        <v>4.13241761865305</v>
      </c>
      <c r="AG83" s="488" t="n">
        <f aca="false">Rdson2*AF83^2</f>
        <v>0.0973381896372384</v>
      </c>
      <c r="AH83" s="488" t="n">
        <f aca="false">CHOOSE(J83, IF(K83&lt;P83/2,Deadtime*Fsw*IF(VfdSky_Q2&gt;0,0,Vsd_Q2)*(K83+P83/2),2*Deadtime*Fsw*IF(VfdSky_Q2&gt;0,0,Vsd_Q2)*K83),0, IF(K83&lt;P83/2,Deadtime*Fsw/2*IF(VfdSky_Q2&gt;0,0,Vsd_Q2)*(K83+P83/2),2*Deadtime*Fsw/2*IF(VfdSky_Q2&gt;0,0,Vsd_Q2)*K83))</f>
        <v>0.144</v>
      </c>
      <c r="AI83" s="488" t="n">
        <f aca="false">(AH83+AG83*(1+RdsonBotTc*Ta-RdsonBotTc*25))/(1-AG83*RdsonBotTc*ThetaJA_Q2)</f>
        <v>0.246129754582624</v>
      </c>
      <c r="AJ83" s="488" t="n">
        <f aca="false">CHOOSE(J83, 0, SQRT(O83)*SQRT(L83^2+(P83^2)/12), SQRT(O83)*SQRT(M83^2+(P83^2)/12))</f>
        <v>0</v>
      </c>
      <c r="AK83" s="488" t="n">
        <f aca="false">Rdson4*AJ83^2</f>
        <v>0</v>
      </c>
      <c r="AL83" s="488" t="n">
        <f aca="false">CHOOSE(J83, 0, (Vout*L83/2)*(Fsw)*(Tr_boost+Tf_boost), (Vout*Iout/2)*(Fsw/2)*(Tr_boost+Tf_boost))</f>
        <v>0</v>
      </c>
      <c r="AM83" s="0" t="n">
        <f aca="false">IF(H83&gt;Vout, 0, IF(L83&gt;P83/2,0,ABS(L83-P83/2)*Vsd_Q4*Deadtime*Fsw))</f>
        <v>0</v>
      </c>
      <c r="AN83" s="488" t="n">
        <f aca="false">(AM83+AL83+AK83*(1+RdsonTopTc*Ta-RdsonTopTc*25))/(1-AK83*RdsonTopTc*ThetaJA_Q4)</f>
        <v>0</v>
      </c>
      <c r="AO83" s="488" t="n">
        <f aca="false">CHOOSE(J83, SQRT(Iout^2+(P83^2)/12), SQRT(1-O83)*SQRT(L83^2+(P83^2)/12), SQRT(1-O83)*SQRT(M83^2+(P83^2)/12))</f>
        <v>6.10636264431839</v>
      </c>
      <c r="AP83" s="488" t="n">
        <f aca="false">Rdson3*AO83^2</f>
        <v>0.0708465630134614</v>
      </c>
      <c r="AQ83" s="488" t="n">
        <f aca="false">CHOOSE(J83, 0, IF(L83&lt;P83/2,Deadtime*Fsw*IF(VfdSky_Q3&gt;0,0,Vsd_Q3)*(L83+P83/2), 2*Deadtime*Fsw*IF(VfdSky_Q3&gt;0,0,Vsd_Q3)*L83), IF(L83&lt;P83/2,Deadtime*Fsw/2*IF(VfdSky_Q3&gt;0,0,Vsd_Q3)*(L83+P83/2), 2*Deadtime*Fsw/2*IF(VfdSky_Q3&gt;0,0,Vsd_Q3)*L83))</f>
        <v>0</v>
      </c>
      <c r="AR83" s="488" t="n">
        <f aca="false">(AQ83+AP83*(1+RdsonBotTc*Ta-RdsonBotTc*25))/(1-AP83*RdsonBotTc*ThetaJA_Q3)</f>
        <v>0.0718648383735178</v>
      </c>
      <c r="AS83" s="488" t="n">
        <f aca="false">CHOOSE(J83, Rdson3*Q83^2, Rdson1*Q83^2, 0)</f>
        <v>0.0708465630134614</v>
      </c>
      <c r="AT83" s="488" t="n">
        <f aca="false">CHOOSE(J83, 2*Deadtime*Fsw*IF(VfdSky_Q2&gt;0,VfdSky_Q2,0)*K83, 2*Deadtime*Fsw*IF(VfdSky_Q3&gt;0,VfdSky_Q3,0)*L83, 2*Deadtime*Fsw/2*IF(VfdSky_Q2&gt;0,VfdSky_Q2,0)*K83+2*Deadtime*Fsw/2*IF(VfdSky_Q3&gt;0,VfdSky_Q3,0)*L83)</f>
        <v>0</v>
      </c>
      <c r="AU83" s="488" t="n">
        <f aca="false">CHOOSE(J83, IF(QrrSky_Q2&gt;0,QrrSky_Q2,Qrr_Q2)*Fsw*(H83-K83*Rdson1), IF(QrrSky_Q3&gt;0,QrrSky_Q3,Qrr_Q3)*Fsw*Vout,  IF(QrrSky_Q2&gt;0,QrrSky_Q2,Qrr_Q2)*Fsw/2*(H83-K83*Rdson1)+IF(QrrSky_Q3&gt;0,QrrSky_Q3,Qrr_Q3)*Fsw/2*Vout)</f>
        <v>0.42044562</v>
      </c>
      <c r="AV83" s="488" t="n">
        <f aca="false">CHOOSE(J83, Rs*AF83^2, Rs*AJ83^2, Rs*(AF83^2+AJ83^2))</f>
        <v>0.136615002999633</v>
      </c>
      <c r="AW83" s="488" t="n">
        <f aca="false">Rshunt_std/1000*Iout^2</f>
        <v>0.14832</v>
      </c>
      <c r="AX83" s="488" t="n">
        <f aca="false">IF(Vout&gt;8, Iq*Vout, Iq*H83)</f>
        <v>0.036</v>
      </c>
      <c r="AY83" s="488" t="n">
        <f aca="false">CHOOSE(J83, (Qg_Q1+Qg_Q2)*Fsw, (Qg_Q3+Qg_Q4)*Fsw, (Qg_Q1+Qg_Q2+Qg_Q3+Qg_Q4)*Fsw/2)*IF(Vout&gt;8, Vout, H83)</f>
        <v>0.0792</v>
      </c>
      <c r="AZ83" s="488" t="n">
        <f aca="false">(Vin-Vdd)*Fsw*(Qg_Q1+Qg_Q2)+(RdsonDRT+RdsonDRT2)*Fsw*Qg_Q1*Vdd/(RdsonDRT+2*Rgate1+RdsonDRT2)+(RdsonDRB+RdsonDRB2)*Fsw*Qg_Q2*Vdd/(RdsonDRB+2*Rgate2+RdsonDRB2)</f>
        <v>0.0522</v>
      </c>
      <c r="BA83" s="488" t="n">
        <f aca="false">SUM(AX83:AY83)</f>
        <v>0.1152</v>
      </c>
      <c r="BB83" s="488" t="n">
        <f aca="false">SUM(T83,W83,Z83,AE83,AI83,AN83,AR83, AT83,AU83,BA83,AV83,AW83)</f>
        <v>1.93789721850102</v>
      </c>
      <c r="BC83" s="419" t="n">
        <f aca="false">Vout*K83</f>
        <v>72</v>
      </c>
      <c r="BD83" s="589" t="n">
        <f aca="false">BC83/(BC83+BB83)</f>
        <v>0.973790203787184</v>
      </c>
      <c r="BE83" s="590" t="n">
        <f aca="false">IF(H83&gt;Vout,ThetaJA_Q1*(AE83+AU83),ThetaJA_Q4*(AN83+AU83))</f>
        <v>33.8854756075211</v>
      </c>
      <c r="BF83" s="590" t="n">
        <f aca="false">IF(H83&gt;Vout, AI83*ThetaJA_Q2, ThetaJA_Q3*AR83)</f>
        <v>12.3064877291312</v>
      </c>
      <c r="BG83" s="536"/>
      <c r="BH83" s="385" t="n">
        <f aca="false">BD83*100</f>
        <v>97.3790203787184</v>
      </c>
      <c r="BI83" s="488" t="n">
        <f aca="false">T83</f>
        <v>0.517107652238582</v>
      </c>
      <c r="BJ83" s="488" t="n">
        <f aca="false">AE83+AI83+AN83+AR83+AU83</f>
        <v>0.995704105106565</v>
      </c>
      <c r="BK83" s="488" t="n">
        <f aca="false">AI83+AU83*0.33</f>
        <v>0.384876809182624</v>
      </c>
      <c r="BL83" s="488" t="n">
        <f aca="false">AV83</f>
        <v>0.136615002999633</v>
      </c>
      <c r="BR83" s="591"/>
      <c r="BS83" s="592"/>
    </row>
    <row r="84" customFormat="false" ht="12.75" hidden="false" customHeight="false" outlineLevel="0" collapsed="false">
      <c r="G84" s="0" t="n">
        <v>75</v>
      </c>
      <c r="H84" s="586" t="n">
        <f aca="false">VIN_min+(VIN_max-VIN_min)*(G84/200)</f>
        <v>22.5</v>
      </c>
      <c r="I84" s="385" t="str">
        <f aca="false">IF(H84&gt;VIN_BB_to_buck, "BUCK", IF(H84&lt;VIN_boost_to_BB,"BOOST","BUCK-BST"))</f>
        <v>BUCK</v>
      </c>
      <c r="J84" s="419" t="n">
        <f aca="false">IF(I84="BOOST",2, IF(I84="BUCK", 1,3))</f>
        <v>1</v>
      </c>
      <c r="K84" s="0" t="n">
        <f aca="false">Iout</f>
        <v>6</v>
      </c>
      <c r="L84" s="385" t="n">
        <f aca="false">Vout*K84/(H84*Efficiency)</f>
        <v>3.55555555555556</v>
      </c>
      <c r="M84" s="385" t="n">
        <f aca="false">Iout/(1-O84)</f>
        <v>6</v>
      </c>
      <c r="N84" s="488" t="n">
        <f aca="false">CHOOSE(J84,(Vout+(Rdson2+Rs+Rdcr)*K84)/(H84+(Rs+Rdson2-Rdson1)*K84),1,IF(H84&lt;Vout,D_max_buck_BB,Vout/H84*(1-D_min_boost_exitBB_to_buck)))</f>
        <v>0.536734965407132</v>
      </c>
      <c r="O84" s="488" t="n">
        <f aca="false">CHOOSE(J84,0,(Vout+(Rdson3+Rdcr)*L84-H84)/(Vout+(Rdson3-Rdson4-Rs)*L84),IF(H84&gt;Vout,D_min_boost_exitBB_to_buck, (Vout-H84*D_max_buck_BB)/Vout))</f>
        <v>0</v>
      </c>
      <c r="P84" s="385" t="n">
        <f aca="false">MAX(0, CHOOSE(J84, (H84-(Rdson1+Rdcr)*K84-Vout)*N84/(Fsw*Lf), (H84-(Rdson4+Rdcr+Rs)*L84)*O84/(Fsw*Lf), IF(H84&lt;Vout, (H84-(Rdson4+Rdcr+Rs)*L84)*O84/(0.5*Fsw*Lf),(H84-(Rdson1+Rdcr)*K84-Vout)*N84/(0.5*Fsw*Lf))))</f>
        <v>3.97629250223636</v>
      </c>
      <c r="Q84" s="488" t="n">
        <f aca="false">CHOOSE(J84, SQRT(K84^2+(P84^2)/12), SQRT(L84^2+(P84^2)/12), SQRT(M84^2+(P84^2)/12))</f>
        <v>6.10881127323026</v>
      </c>
      <c r="R84" s="488" t="n">
        <f aca="false">(Q84^2*Rdcr*(1+Ltc*Ta-Ltc*25))/(1-Q84^2*Rdcr*Ltc*ThetaCa)</f>
        <v>0.126276784860297</v>
      </c>
      <c r="S84" s="488" t="n">
        <f aca="false">7.759*10^-3*Fsw^0.9458*(0.00787*P84)^2.304</f>
        <v>0.401412485913196</v>
      </c>
      <c r="T84" s="488" t="n">
        <f aca="false">R84+S84</f>
        <v>0.527689270773493</v>
      </c>
      <c r="U84" s="385" t="n">
        <f aca="false">IF(H84&gt;Vout, P84/SQRT(12), SQRT(O84/(1-O84))*SQRT(K84^2+(P84^2)/12))</f>
        <v>1.14785677327143</v>
      </c>
      <c r="V84" s="488" t="n">
        <f aca="false">RCoutEsr*U84^2</f>
        <v>0.00658787585972547</v>
      </c>
      <c r="W84" s="488" t="n">
        <f aca="false">V84</f>
        <v>0.00658787585972547</v>
      </c>
      <c r="X84" s="488" t="n">
        <f aca="false">IF(H84&gt;Vout, SQRT(N84*(1-N84))*SQRT(K84^2+(P84^2)/12), P84/SQRT(12))</f>
        <v>3.04615089981476</v>
      </c>
      <c r="Y84" s="587" t="n">
        <f aca="false">RCinEsr*X84^2</f>
        <v>0.0185580706088846</v>
      </c>
      <c r="Z84" s="588" t="n">
        <f aca="false">Y84</f>
        <v>0.0185580706088846</v>
      </c>
      <c r="AA84" s="488" t="n">
        <f aca="false">CHOOSE(J84, SQRT(N84)*SQRT(K84^2+(P84^2)/12), SQRT(L84^2+(P84^2)/12), SQRT(N84)*SQRT(M84^2+(P84^2)/12))</f>
        <v>4.47544940972323</v>
      </c>
      <c r="AB84" s="488" t="n">
        <f aca="false">Rdson1*AA84^2</f>
        <v>0.114168990288254</v>
      </c>
      <c r="AC84" s="488" t="n">
        <f aca="false">CHOOSE(J84, (H84*K84/2)*(Fsw)*(Tr_buck+Tf_buck), 0, (H84*M84/2)*(Fsw/2)*(Tr_buck+Tf_buck))</f>
        <v>0.137479196556671</v>
      </c>
      <c r="AD84" s="0" t="n">
        <f aca="false">IF(H84&gt;Vout, IF(K84&gt;P84/2,0,ABS(K84-P84/2)*Vsd_Q1*Deadtime*Fsw),0)</f>
        <v>0</v>
      </c>
      <c r="AE84" s="488" t="n">
        <f aca="false">(AD84+AC84+AB84*(1+RdsonTopTc*Ta-RdsonTopTc*25))/(1-AB84*RdsonTopTc*ThetaJA_Q1)</f>
        <v>0.257528541556918</v>
      </c>
      <c r="AF84" s="488" t="n">
        <f aca="false">CHOOSE(J84, SQRT((1-N84))*SQRT(K84^2+(P84^2)/12), 0, SQRT((1-N84))*SQRT(M84^2+(P84^2)/12))</f>
        <v>4.15787538930078</v>
      </c>
      <c r="AG84" s="488" t="n">
        <f aca="false">Rdson2*AF84^2</f>
        <v>0.0985411881918328</v>
      </c>
      <c r="AH84" s="488" t="n">
        <f aca="false">CHOOSE(J84, IF(K84&lt;P84/2,Deadtime*Fsw*IF(VfdSky_Q2&gt;0,0,Vsd_Q2)*(K84+P84/2),2*Deadtime*Fsw*IF(VfdSky_Q2&gt;0,0,Vsd_Q2)*K84),0, IF(K84&lt;P84/2,Deadtime*Fsw/2*IF(VfdSky_Q2&gt;0,0,Vsd_Q2)*(K84+P84/2),2*Deadtime*Fsw/2*IF(VfdSky_Q2&gt;0,0,Vsd_Q2)*K84))</f>
        <v>0.144</v>
      </c>
      <c r="AI84" s="488" t="n">
        <f aca="false">(AH84+AG84*(1+RdsonBotTc*Ta-RdsonBotTc*25))/(1-AG84*RdsonBotTc*ThetaJA_Q2)</f>
        <v>0.247417348083721</v>
      </c>
      <c r="AJ84" s="488" t="n">
        <f aca="false">CHOOSE(J84, 0, SQRT(O84)*SQRT(L84^2+(P84^2)/12), SQRT(O84)*SQRT(M84^2+(P84^2)/12))</f>
        <v>0</v>
      </c>
      <c r="AK84" s="488" t="n">
        <f aca="false">Rdson4*AJ84^2</f>
        <v>0</v>
      </c>
      <c r="AL84" s="488" t="n">
        <f aca="false">CHOOSE(J84, 0, (Vout*L84/2)*(Fsw)*(Tr_boost+Tf_boost), (Vout*Iout/2)*(Fsw/2)*(Tr_boost+Tf_boost))</f>
        <v>0</v>
      </c>
      <c r="AM84" s="0" t="n">
        <f aca="false">IF(H84&gt;Vout, 0, IF(L84&gt;P84/2,0,ABS(L84-P84/2)*Vsd_Q4*Deadtime*Fsw))</f>
        <v>0</v>
      </c>
      <c r="AN84" s="488" t="n">
        <f aca="false">(AM84+AL84+AK84*(1+RdsonTopTc*Ta-RdsonTopTc*25))/(1-AK84*RdsonTopTc*ThetaJA_Q4)</f>
        <v>0</v>
      </c>
      <c r="AO84" s="488" t="n">
        <f aca="false">CHOOSE(J84, SQRT(Iout^2+(P84^2)/12), SQRT(1-O84)*SQRT(L84^2+(P84^2)/12), SQRT(1-O84)*SQRT(M84^2+(P84^2)/12))</f>
        <v>6.10881127323026</v>
      </c>
      <c r="AP84" s="488" t="n">
        <f aca="false">Rdson3*AO84^2</f>
        <v>0.0709033928266957</v>
      </c>
      <c r="AQ84" s="488" t="n">
        <f aca="false">CHOOSE(J84, 0, IF(L84&lt;P84/2,Deadtime*Fsw*IF(VfdSky_Q3&gt;0,0,Vsd_Q3)*(L84+P84/2), 2*Deadtime*Fsw*IF(VfdSky_Q3&gt;0,0,Vsd_Q3)*L84), IF(L84&lt;P84/2,Deadtime*Fsw/2*IF(VfdSky_Q3&gt;0,0,Vsd_Q3)*(L84+P84/2), 2*Deadtime*Fsw/2*IF(VfdSky_Q3&gt;0,0,Vsd_Q3)*L84))</f>
        <v>0</v>
      </c>
      <c r="AR84" s="488" t="n">
        <f aca="false">(AQ84+AP84*(1+RdsonBotTc*Ta-RdsonBotTc*25))/(1-AP84*RdsonBotTc*ThetaJA_Q3)</f>
        <v>0.0719233142271041</v>
      </c>
      <c r="AS84" s="488" t="n">
        <f aca="false">CHOOSE(J84, Rdson3*Q84^2, Rdson1*Q84^2, 0)</f>
        <v>0.0709033928266957</v>
      </c>
      <c r="AT84" s="488" t="n">
        <f aca="false">CHOOSE(J84, 2*Deadtime*Fsw*IF(VfdSky_Q2&gt;0,VfdSky_Q2,0)*K84, 2*Deadtime*Fsw*IF(VfdSky_Q3&gt;0,VfdSky_Q3,0)*L84, 2*Deadtime*Fsw/2*IF(VfdSky_Q2&gt;0,VfdSky_Q2,0)*K84+2*Deadtime*Fsw/2*IF(VfdSky_Q3&gt;0,VfdSky_Q3,0)*L84)</f>
        <v>0</v>
      </c>
      <c r="AU84" s="488" t="n">
        <f aca="false">CHOOSE(J84, IF(QrrSky_Q2&gt;0,QrrSky_Q2,Qrr_Q2)*Fsw*(H84-K84*Rdson1), IF(QrrSky_Q3&gt;0,QrrSky_Q3,Qrr_Q3)*Fsw*Vout,  IF(QrrSky_Q2&gt;0,QrrSky_Q2,Qrr_Q2)*Fsw/2*(H84-K84*Rdson1)+IF(QrrSky_Q3&gt;0,QrrSky_Q3,Qrr_Q3)*Fsw/2*Vout)</f>
        <v>0.42460362</v>
      </c>
      <c r="AV84" s="488" t="n">
        <f aca="false">CHOOSE(J84, Rs*AF84^2, Rs*AJ84^2, Rs*(AF84^2+AJ84^2))</f>
        <v>0.138303422023625</v>
      </c>
      <c r="AW84" s="488" t="n">
        <f aca="false">Rshunt_std/1000*Iout^2</f>
        <v>0.14832</v>
      </c>
      <c r="AX84" s="488" t="n">
        <f aca="false">IF(Vout&gt;8, Iq*Vout, Iq*H84)</f>
        <v>0.036</v>
      </c>
      <c r="AY84" s="488" t="n">
        <f aca="false">CHOOSE(J84, (Qg_Q1+Qg_Q2)*Fsw, (Qg_Q3+Qg_Q4)*Fsw, (Qg_Q1+Qg_Q2+Qg_Q3+Qg_Q4)*Fsw/2)*IF(Vout&gt;8, Vout, H84)</f>
        <v>0.0792</v>
      </c>
      <c r="AZ84" s="488" t="n">
        <f aca="false">(Vin-Vdd)*Fsw*(Qg_Q1+Qg_Q2)+(RdsonDRT+RdsonDRT2)*Fsw*Qg_Q1*Vdd/(RdsonDRT+2*Rgate1+RdsonDRT2)+(RdsonDRB+RdsonDRB2)*Fsw*Qg_Q2*Vdd/(RdsonDRB+2*Rgate2+RdsonDRB2)</f>
        <v>0.0522</v>
      </c>
      <c r="BA84" s="488" t="n">
        <f aca="false">SUM(AX84:AY84)</f>
        <v>0.1152</v>
      </c>
      <c r="BB84" s="488" t="n">
        <f aca="false">SUM(T84,W84,Z84,AE84,AI84,AN84,AR84, AT84,AU84,BA84,AV84,AW84)</f>
        <v>1.95613146313347</v>
      </c>
      <c r="BC84" s="419" t="n">
        <f aca="false">Vout*K84</f>
        <v>72</v>
      </c>
      <c r="BD84" s="589" t="n">
        <f aca="false">BC84/(BC84+BB84)</f>
        <v>0.97355011106674</v>
      </c>
      <c r="BE84" s="590" t="n">
        <f aca="false">IF(H84&gt;Vout,ThetaJA_Q1*(AE84+AU84),ThetaJA_Q4*(AN84+AU84))</f>
        <v>34.1066080778459</v>
      </c>
      <c r="BF84" s="590" t="n">
        <f aca="false">IF(H84&gt;Vout, AI84*ThetaJA_Q2, ThetaJA_Q3*AR84)</f>
        <v>12.3708674041861</v>
      </c>
      <c r="BG84" s="536"/>
      <c r="BH84" s="385" t="n">
        <f aca="false">BD84*100</f>
        <v>97.355011106674</v>
      </c>
      <c r="BI84" s="488" t="n">
        <f aca="false">T84</f>
        <v>0.527689270773493</v>
      </c>
      <c r="BJ84" s="488" t="n">
        <f aca="false">AE84+AI84+AN84+AR84+AU84</f>
        <v>1.00147282386774</v>
      </c>
      <c r="BK84" s="488" t="n">
        <f aca="false">AI84+AU84*0.33</f>
        <v>0.387536542683721</v>
      </c>
      <c r="BL84" s="488" t="n">
        <f aca="false">AV84</f>
        <v>0.138303422023625</v>
      </c>
      <c r="BR84" s="591"/>
      <c r="BS84" s="592"/>
    </row>
    <row r="85" customFormat="false" ht="12.75" hidden="false" customHeight="false" outlineLevel="0" collapsed="false">
      <c r="G85" s="0" t="n">
        <v>76</v>
      </c>
      <c r="H85" s="586" t="n">
        <f aca="false">VIN_min+(VIN_max-VIN_min)*(G85/200)</f>
        <v>22.72</v>
      </c>
      <c r="I85" s="385" t="str">
        <f aca="false">IF(H85&gt;VIN_BB_to_buck, "BUCK", IF(H85&lt;VIN_boost_to_BB,"BOOST","BUCK-BST"))</f>
        <v>BUCK</v>
      </c>
      <c r="J85" s="419" t="n">
        <f aca="false">IF(I85="BOOST",2, IF(I85="BUCK", 1,3))</f>
        <v>1</v>
      </c>
      <c r="K85" s="0" t="n">
        <f aca="false">Iout</f>
        <v>6</v>
      </c>
      <c r="L85" s="385" t="n">
        <f aca="false">Vout*K85/(H85*Efficiency)</f>
        <v>3.52112676056338</v>
      </c>
      <c r="M85" s="385" t="n">
        <f aca="false">Iout/(1-O85)</f>
        <v>6</v>
      </c>
      <c r="N85" s="488" t="n">
        <f aca="false">CHOOSE(J85,(Vout+(Rdson2+Rs+Rdcr)*K85)/(H85+(Rs+Rdson2-Rdson1)*K85),1,IF(H85&lt;Vout,D_max_buck_BB,Vout/H85*(1-D_min_boost_exitBB_to_buck)))</f>
        <v>0.531548664792692</v>
      </c>
      <c r="O85" s="488" t="n">
        <f aca="false">CHOOSE(J85,0,(Vout+(Rdson3+Rdcr)*L85-H85)/(Vout+(Rdson3-Rdson4-Rs)*L85),IF(H85&gt;Vout,D_min_boost_exitBB_to_buck, (Vout-H85*D_max_buck_BB)/Vout))</f>
        <v>0</v>
      </c>
      <c r="P85" s="385" t="n">
        <f aca="false">MAX(0, CHOOSE(J85, (H85-(Rdson1+Rdcr)*K85-Vout)*N85/(Fsw*Lf), (H85-(Rdson4+Rdcr+Rs)*L85)*O85/(Fsw*Lf), IF(H85&lt;Vout, (H85-(Rdson4+Rdcr+Rs)*L85)*O85/(0.5*Fsw*Lf),(H85-(Rdson1+Rdcr)*K85-Vout)*N85/(0.5*Fsw*Lf))))</f>
        <v>4.0208075135315</v>
      </c>
      <c r="Q85" s="488" t="n">
        <f aca="false">CHOOSE(J85, SQRT(K85^2+(P85^2)/12), SQRT(L85^2+(P85^2)/12), SQRT(M85^2+(P85^2)/12))</f>
        <v>6.1112389159978</v>
      </c>
      <c r="R85" s="488" t="n">
        <f aca="false">(Q85^2*Rdcr*(1+Ltc*Ta-Ltc*25))/(1-Q85^2*Rdcr*Ltc*ThetaCa)</f>
        <v>0.12637818455537</v>
      </c>
      <c r="S85" s="488" t="n">
        <f aca="false">7.759*10^-3*Fsw^0.9458*(0.00787*P85)^2.304</f>
        <v>0.411841987901809</v>
      </c>
      <c r="T85" s="488" t="n">
        <f aca="false">R85+S85</f>
        <v>0.538220172457179</v>
      </c>
      <c r="U85" s="385" t="n">
        <f aca="false">IF(H85&gt;Vout, P85/SQRT(12), SQRT(O85/(1-O85))*SQRT(K85^2+(P85^2)/12))</f>
        <v>1.16070715014854</v>
      </c>
      <c r="V85" s="488" t="n">
        <f aca="false">RCoutEsr*U85^2</f>
        <v>0.00673620544202972</v>
      </c>
      <c r="W85" s="488" t="n">
        <f aca="false">V85</f>
        <v>0.00673620544202972</v>
      </c>
      <c r="X85" s="488" t="n">
        <f aca="false">IF(H85&gt;Vout, SQRT(N85*(1-N85))*SQRT(K85^2+(P85^2)/12), P85/SQRT(12))</f>
        <v>3.0495307641425</v>
      </c>
      <c r="Y85" s="587" t="n">
        <f aca="false">RCinEsr*X85^2</f>
        <v>0.018599275762903</v>
      </c>
      <c r="Z85" s="588" t="n">
        <f aca="false">Y85</f>
        <v>0.018599275762903</v>
      </c>
      <c r="AA85" s="488" t="n">
        <f aca="false">CHOOSE(J85, SQRT(N85)*SQRT(K85^2+(P85^2)/12), SQRT(L85^2+(P85^2)/12), SQRT(N85)*SQRT(M85^2+(P85^2)/12))</f>
        <v>4.45554442624388</v>
      </c>
      <c r="AB85" s="488" t="n">
        <f aca="false">Rdson1*AA85^2</f>
        <v>0.113155693965128</v>
      </c>
      <c r="AC85" s="488" t="n">
        <f aca="false">CHOOSE(J85, (H85*K85/2)*(Fsw)*(Tr_buck+Tf_buck), 0, (H85*M85/2)*(Fsw/2)*(Tr_buck+Tf_buck))</f>
        <v>0.13882343758967</v>
      </c>
      <c r="AD85" s="0" t="n">
        <f aca="false">IF(H85&gt;Vout, IF(K85&gt;P85/2,0,ABS(K85-P85/2)*Vsd_Q1*Deadtime*Fsw),0)</f>
        <v>0</v>
      </c>
      <c r="AE85" s="488" t="n">
        <f aca="false">(AD85+AC85+AB85*(1+RdsonTopTc*Ta-RdsonTopTc*25))/(1-AB85*RdsonTopTc*ThetaJA_Q1)</f>
        <v>0.257813750321064</v>
      </c>
      <c r="AF85" s="488" t="n">
        <f aca="false">CHOOSE(J85, SQRT((1-N85))*SQRT(K85^2+(P85^2)/12), 0, SQRT((1-N85))*SQRT(M85^2+(P85^2)/12))</f>
        <v>4.18274610204504</v>
      </c>
      <c r="AG85" s="488" t="n">
        <f aca="false">Rdson2*AF85^2</f>
        <v>0.0997235802387862</v>
      </c>
      <c r="AH85" s="488" t="n">
        <f aca="false">CHOOSE(J85, IF(K85&lt;P85/2,Deadtime*Fsw*IF(VfdSky_Q2&gt;0,0,Vsd_Q2)*(K85+P85/2),2*Deadtime*Fsw*IF(VfdSky_Q2&gt;0,0,Vsd_Q2)*K85),0, IF(K85&lt;P85/2,Deadtime*Fsw/2*IF(VfdSky_Q2&gt;0,0,Vsd_Q2)*(K85+P85/2),2*Deadtime*Fsw/2*IF(VfdSky_Q2&gt;0,0,Vsd_Q2)*K85))</f>
        <v>0.144</v>
      </c>
      <c r="AI85" s="488" t="n">
        <f aca="false">(AH85+AG85*(1+RdsonBotTc*Ta-RdsonBotTc*25))/(1-AG85*RdsonBotTc*ThetaJA_Q2)</f>
        <v>0.248683502073402</v>
      </c>
      <c r="AJ85" s="488" t="n">
        <f aca="false">CHOOSE(J85, 0, SQRT(O85)*SQRT(L85^2+(P85^2)/12), SQRT(O85)*SQRT(M85^2+(P85^2)/12))</f>
        <v>0</v>
      </c>
      <c r="AK85" s="488" t="n">
        <f aca="false">Rdson4*AJ85^2</f>
        <v>0</v>
      </c>
      <c r="AL85" s="488" t="n">
        <f aca="false">CHOOSE(J85, 0, (Vout*L85/2)*(Fsw)*(Tr_boost+Tf_boost), (Vout*Iout/2)*(Fsw/2)*(Tr_boost+Tf_boost))</f>
        <v>0</v>
      </c>
      <c r="AM85" s="0" t="n">
        <f aca="false">IF(H85&gt;Vout, 0, IF(L85&gt;P85/2,0,ABS(L85-P85/2)*Vsd_Q4*Deadtime*Fsw))</f>
        <v>0</v>
      </c>
      <c r="AN85" s="488" t="n">
        <f aca="false">(AM85+AL85+AK85*(1+RdsonTopTc*Ta-RdsonTopTc*25))/(1-AK85*RdsonTopTc*ThetaJA_Q4)</f>
        <v>0</v>
      </c>
      <c r="AO85" s="488" t="n">
        <f aca="false">CHOOSE(J85, SQRT(Iout^2+(P85^2)/12), SQRT(1-O85)*SQRT(L85^2+(P85^2)/12), SQRT(1-O85)*SQRT(M85^2+(P85^2)/12))</f>
        <v>6.1112389159978</v>
      </c>
      <c r="AP85" s="488" t="n">
        <f aca="false">Rdson3*AO85^2</f>
        <v>0.0709597580679713</v>
      </c>
      <c r="AQ85" s="488" t="n">
        <f aca="false">CHOOSE(J85, 0, IF(L85&lt;P85/2,Deadtime*Fsw*IF(VfdSky_Q3&gt;0,0,Vsd_Q3)*(L85+P85/2), 2*Deadtime*Fsw*IF(VfdSky_Q3&gt;0,0,Vsd_Q3)*L85), IF(L85&lt;P85/2,Deadtime*Fsw/2*IF(VfdSky_Q3&gt;0,0,Vsd_Q3)*(L85+P85/2), 2*Deadtime*Fsw/2*IF(VfdSky_Q3&gt;0,0,Vsd_Q3)*L85))</f>
        <v>0</v>
      </c>
      <c r="AR85" s="488" t="n">
        <f aca="false">(AQ85+AP85*(1+RdsonBotTc*Ta-RdsonBotTc*25))/(1-AP85*RdsonBotTc*ThetaJA_Q3)</f>
        <v>0.0719813133846086</v>
      </c>
      <c r="AS85" s="488" t="n">
        <f aca="false">CHOOSE(J85, Rdson3*Q85^2, Rdson1*Q85^2, 0)</f>
        <v>0.0709597580679713</v>
      </c>
      <c r="AT85" s="488" t="n">
        <f aca="false">CHOOSE(J85, 2*Deadtime*Fsw*IF(VfdSky_Q2&gt;0,VfdSky_Q2,0)*K85, 2*Deadtime*Fsw*IF(VfdSky_Q3&gt;0,VfdSky_Q3,0)*L85, 2*Deadtime*Fsw/2*IF(VfdSky_Q2&gt;0,VfdSky_Q2,0)*K85+2*Deadtime*Fsw/2*IF(VfdSky_Q3&gt;0,VfdSky_Q3,0)*L85)</f>
        <v>0</v>
      </c>
      <c r="AU85" s="488" t="n">
        <f aca="false">CHOOSE(J85, IF(QrrSky_Q2&gt;0,QrrSky_Q2,Qrr_Q2)*Fsw*(H85-K85*Rdson1), IF(QrrSky_Q3&gt;0,QrrSky_Q3,Qrr_Q3)*Fsw*Vout,  IF(QrrSky_Q2&gt;0,QrrSky_Q2,Qrr_Q2)*Fsw/2*(H85-K85*Rdson1)+IF(QrrSky_Q3&gt;0,QrrSky_Q3,Qrr_Q3)*Fsw/2*Vout)</f>
        <v>0.42876162</v>
      </c>
      <c r="AV85" s="488" t="n">
        <f aca="false">CHOOSE(J85, Rs*AF85^2, Rs*AJ85^2, Rs*(AF85^2+AJ85^2))</f>
        <v>0.139962919633384</v>
      </c>
      <c r="AW85" s="488" t="n">
        <f aca="false">Rshunt_std/1000*Iout^2</f>
        <v>0.14832</v>
      </c>
      <c r="AX85" s="488" t="n">
        <f aca="false">IF(Vout&gt;8, Iq*Vout, Iq*H85)</f>
        <v>0.036</v>
      </c>
      <c r="AY85" s="488" t="n">
        <f aca="false">CHOOSE(J85, (Qg_Q1+Qg_Q2)*Fsw, (Qg_Q3+Qg_Q4)*Fsw, (Qg_Q1+Qg_Q2+Qg_Q3+Qg_Q4)*Fsw/2)*IF(Vout&gt;8, Vout, H85)</f>
        <v>0.0792</v>
      </c>
      <c r="AZ85" s="488" t="n">
        <f aca="false">(Vin-Vdd)*Fsw*(Qg_Q1+Qg_Q2)+(RdsonDRT+RdsonDRT2)*Fsw*Qg_Q1*Vdd/(RdsonDRT+2*Rgate1+RdsonDRT2)+(RdsonDRB+RdsonDRB2)*Fsw*Qg_Q2*Vdd/(RdsonDRB+2*Rgate2+RdsonDRB2)</f>
        <v>0.0522</v>
      </c>
      <c r="BA85" s="488" t="n">
        <f aca="false">SUM(AX85:AY85)</f>
        <v>0.1152</v>
      </c>
      <c r="BB85" s="488" t="n">
        <f aca="false">SUM(T85,W85,Z85,AE85,AI85,AN85,AR85, AT85,AU85,BA85,AV85,AW85)</f>
        <v>1.97427875907457</v>
      </c>
      <c r="BC85" s="419" t="n">
        <f aca="false">Vout*K85</f>
        <v>72</v>
      </c>
      <c r="BD85" s="589" t="n">
        <f aca="false">BC85/(BC85+BB85)</f>
        <v>0.973311280729015</v>
      </c>
      <c r="BE85" s="590" t="n">
        <f aca="false">IF(H85&gt;Vout,ThetaJA_Q1*(AE85+AU85),ThetaJA_Q4*(AN85+AU85))</f>
        <v>34.3287685160532</v>
      </c>
      <c r="BF85" s="590" t="n">
        <f aca="false">IF(H85&gt;Vout, AI85*ThetaJA_Q2, ThetaJA_Q3*AR85)</f>
        <v>12.4341751036701</v>
      </c>
      <c r="BG85" s="536"/>
      <c r="BH85" s="385" t="n">
        <f aca="false">BD85*100</f>
        <v>97.3311280729015</v>
      </c>
      <c r="BI85" s="488" t="n">
        <f aca="false">T85</f>
        <v>0.538220172457179</v>
      </c>
      <c r="BJ85" s="488" t="n">
        <f aca="false">AE85+AI85+AN85+AR85+AU85</f>
        <v>1.00724018577908</v>
      </c>
      <c r="BK85" s="488" t="n">
        <f aca="false">AI85+AU85*0.33</f>
        <v>0.390174836673402</v>
      </c>
      <c r="BL85" s="488" t="n">
        <f aca="false">AV85</f>
        <v>0.139962919633384</v>
      </c>
      <c r="BR85" s="591"/>
      <c r="BS85" s="592"/>
    </row>
    <row r="86" customFormat="false" ht="12.75" hidden="false" customHeight="false" outlineLevel="0" collapsed="false">
      <c r="G86" s="0" t="n">
        <v>77</v>
      </c>
      <c r="H86" s="586" t="n">
        <f aca="false">VIN_min+(VIN_max-VIN_min)*(G86/200)</f>
        <v>22.94</v>
      </c>
      <c r="I86" s="385" t="str">
        <f aca="false">IF(H86&gt;VIN_BB_to_buck, "BUCK", IF(H86&lt;VIN_boost_to_BB,"BOOST","BUCK-BST"))</f>
        <v>BUCK</v>
      </c>
      <c r="J86" s="419" t="n">
        <f aca="false">IF(I86="BOOST",2, IF(I86="BUCK", 1,3))</f>
        <v>1</v>
      </c>
      <c r="K86" s="0" t="n">
        <f aca="false">Iout</f>
        <v>6</v>
      </c>
      <c r="L86" s="385" t="n">
        <f aca="false">Vout*K86/(H86*Efficiency)</f>
        <v>3.487358326068</v>
      </c>
      <c r="M86" s="385" t="n">
        <f aca="false">Iout/(1-O86)</f>
        <v>6</v>
      </c>
      <c r="N86" s="488" t="n">
        <f aca="false">CHOOSE(J86,(Vout+(Rdson2+Rs+Rdcr)*K86)/(H86+(Rs+Rdson2-Rdson1)*K86),1,IF(H86&lt;Vout,D_max_buck_BB,Vout/H86*(1-D_min_boost_exitBB_to_buck)))</f>
        <v>0.526461632155908</v>
      </c>
      <c r="O86" s="488" t="n">
        <f aca="false">CHOOSE(J86,0,(Vout+(Rdson3+Rdcr)*L86-H86)/(Vout+(Rdson3-Rdson4-Rs)*L86),IF(H86&gt;Vout,D_min_boost_exitBB_to_buck, (Vout-H86*D_max_buck_BB)/Vout))</f>
        <v>0</v>
      </c>
      <c r="P86" s="385" t="n">
        <f aca="false">MAX(0, CHOOSE(J86, (H86-(Rdson1+Rdcr)*K86-Vout)*N86/(Fsw*Lf), (H86-(Rdson4+Rdcr+Rs)*L86)*O86/(Fsw*Lf), IF(H86&lt;Vout, (H86-(Rdson4+Rdcr+Rs)*L86)*O86/(0.5*Fsw*Lf),(H86-(Rdson1+Rdcr)*K86-Vout)*N86/(0.5*Fsw*Lf))))</f>
        <v>4.06447048876565</v>
      </c>
      <c r="Q86" s="488" t="n">
        <f aca="false">CHOOSE(J86, SQRT(K86^2+(P86^2)/12), SQRT(L86^2+(P86^2)/12), SQRT(M86^2+(P86^2)/12))</f>
        <v>6.11364539612038</v>
      </c>
      <c r="R86" s="488" t="n">
        <f aca="false">(Q86^2*Rdcr*(1+Ltc*Ta-Ltc*25))/(1-Q86^2*Rdcr*Ltc*ThetaCa)</f>
        <v>0.126478741683776</v>
      </c>
      <c r="S86" s="488" t="n">
        <f aca="false">7.759*10^-3*Fsw^0.9458*(0.00787*P86)^2.304</f>
        <v>0.422219196931895</v>
      </c>
      <c r="T86" s="488" t="n">
        <f aca="false">R86+S86</f>
        <v>0.548697938615671</v>
      </c>
      <c r="U86" s="385" t="n">
        <f aca="false">IF(H86&gt;Vout, P86/SQRT(12), SQRT(O86/(1-O86))*SQRT(K86^2+(P86^2)/12))</f>
        <v>1.17331156540107</v>
      </c>
      <c r="V86" s="488" t="n">
        <f aca="false">RCoutEsr*U86^2</f>
        <v>0.00688330014751952</v>
      </c>
      <c r="W86" s="488" t="n">
        <f aca="false">V86</f>
        <v>0.00688330014751952</v>
      </c>
      <c r="X86" s="488" t="n">
        <f aca="false">IF(H86&gt;Vout, SQRT(N86*(1-N86))*SQRT(K86^2+(P86^2)/12), P86/SQRT(12))</f>
        <v>3.05253881189531</v>
      </c>
      <c r="Y86" s="587" t="n">
        <f aca="false">RCinEsr*X86^2</f>
        <v>0.0186359863962545</v>
      </c>
      <c r="Z86" s="588" t="n">
        <f aca="false">Y86</f>
        <v>0.0186359863962545</v>
      </c>
      <c r="AA86" s="488" t="n">
        <f aca="false">CHOOSE(J86, SQRT(N86)*SQRT(K86^2+(P86^2)/12), SQRT(L86^2+(P86^2)/12), SQRT(N86)*SQRT(M86^2+(P86^2)/12))</f>
        <v>4.4359190077896</v>
      </c>
      <c r="AB86" s="488" t="n">
        <f aca="false">Rdson1*AA86^2</f>
        <v>0.112161051428914</v>
      </c>
      <c r="AC86" s="488" t="n">
        <f aca="false">CHOOSE(J86, (H86*K86/2)*(Fsw)*(Tr_buck+Tf_buck), 0, (H86*M86/2)*(Fsw/2)*(Tr_buck+Tf_buck))</f>
        <v>0.140167678622669</v>
      </c>
      <c r="AD86" s="0" t="n">
        <f aca="false">IF(H86&gt;Vout, IF(K86&gt;P86/2,0,ABS(K86-P86/2)*Vsd_Q1*Deadtime*Fsw),0)</f>
        <v>0</v>
      </c>
      <c r="AE86" s="488" t="n">
        <f aca="false">(AD86+AC86+AB86*(1+RdsonTopTc*Ta-RdsonTopTc*25))/(1-AB86*RdsonTopTc*ThetaJA_Q1)</f>
        <v>0.258118907667108</v>
      </c>
      <c r="AF86" s="488" t="n">
        <f aca="false">CHOOSE(J86, SQRT((1-N86))*SQRT(K86^2+(P86^2)/12), 0, SQRT((1-N86))*SQRT(M86^2+(P86^2)/12))</f>
        <v>4.2070515311599</v>
      </c>
      <c r="AG86" s="488" t="n">
        <f aca="false">Rdson2*AF86^2</f>
        <v>0.100885910739258</v>
      </c>
      <c r="AH86" s="488" t="n">
        <f aca="false">CHOOSE(J86, IF(K86&lt;P86/2,Deadtime*Fsw*IF(VfdSky_Q2&gt;0,0,Vsd_Q2)*(K86+P86/2),2*Deadtime*Fsw*IF(VfdSky_Q2&gt;0,0,Vsd_Q2)*K86),0, IF(K86&lt;P86/2,Deadtime*Fsw/2*IF(VfdSky_Q2&gt;0,0,Vsd_Q2)*(K86+P86/2),2*Deadtime*Fsw/2*IF(VfdSky_Q2&gt;0,0,Vsd_Q2)*K86))</f>
        <v>0.144</v>
      </c>
      <c r="AI86" s="488" t="n">
        <f aca="false">(AH86+AG86*(1+RdsonBotTc*Ta-RdsonBotTc*25))/(1-AG86*RdsonBotTc*ThetaJA_Q2)</f>
        <v>0.249928769036088</v>
      </c>
      <c r="AJ86" s="488" t="n">
        <f aca="false">CHOOSE(J86, 0, SQRT(O86)*SQRT(L86^2+(P86^2)/12), SQRT(O86)*SQRT(M86^2+(P86^2)/12))</f>
        <v>0</v>
      </c>
      <c r="AK86" s="488" t="n">
        <f aca="false">Rdson4*AJ86^2</f>
        <v>0</v>
      </c>
      <c r="AL86" s="488" t="n">
        <f aca="false">CHOOSE(J86, 0, (Vout*L86/2)*(Fsw)*(Tr_boost+Tf_boost), (Vout*Iout/2)*(Fsw/2)*(Tr_boost+Tf_boost))</f>
        <v>0</v>
      </c>
      <c r="AM86" s="0" t="n">
        <f aca="false">IF(H86&gt;Vout, 0, IF(L86&gt;P86/2,0,ABS(L86-P86/2)*Vsd_Q4*Deadtime*Fsw))</f>
        <v>0</v>
      </c>
      <c r="AN86" s="488" t="n">
        <f aca="false">(AM86+AL86+AK86*(1+RdsonTopTc*Ta-RdsonTopTc*25))/(1-AK86*RdsonTopTc*ThetaJA_Q4)</f>
        <v>0</v>
      </c>
      <c r="AO86" s="488" t="n">
        <f aca="false">CHOOSE(J86, SQRT(Iout^2+(P86^2)/12), SQRT(1-O86)*SQRT(L86^2+(P86^2)/12), SQRT(1-O86)*SQRT(M86^2+(P86^2)/12))</f>
        <v>6.11364539612038</v>
      </c>
      <c r="AP86" s="488" t="n">
        <f aca="false">Rdson3*AO86^2</f>
        <v>0.0710156540560574</v>
      </c>
      <c r="AQ86" s="488" t="n">
        <f aca="false">CHOOSE(J86, 0, IF(L86&lt;P86/2,Deadtime*Fsw*IF(VfdSky_Q3&gt;0,0,Vsd_Q3)*(L86+P86/2), 2*Deadtime*Fsw*IF(VfdSky_Q3&gt;0,0,Vsd_Q3)*L86), IF(L86&lt;P86/2,Deadtime*Fsw/2*IF(VfdSky_Q3&gt;0,0,Vsd_Q3)*(L86+P86/2), 2*Deadtime*Fsw/2*IF(VfdSky_Q3&gt;0,0,Vsd_Q3)*L86))</f>
        <v>0</v>
      </c>
      <c r="AR86" s="488" t="n">
        <f aca="false">(AQ86+AP86*(1+RdsonBotTc*Ta-RdsonBotTc*25))/(1-AP86*RdsonBotTc*ThetaJA_Q3)</f>
        <v>0.072038830996183</v>
      </c>
      <c r="AS86" s="488" t="n">
        <f aca="false">CHOOSE(J86, Rdson3*Q86^2, Rdson1*Q86^2, 0)</f>
        <v>0.0710156540560574</v>
      </c>
      <c r="AT86" s="488" t="n">
        <f aca="false">CHOOSE(J86, 2*Deadtime*Fsw*IF(VfdSky_Q2&gt;0,VfdSky_Q2,0)*K86, 2*Deadtime*Fsw*IF(VfdSky_Q3&gt;0,VfdSky_Q3,0)*L86, 2*Deadtime*Fsw/2*IF(VfdSky_Q2&gt;0,VfdSky_Q2,0)*K86+2*Deadtime*Fsw/2*IF(VfdSky_Q3&gt;0,VfdSky_Q3,0)*L86)</f>
        <v>0</v>
      </c>
      <c r="AU86" s="488" t="n">
        <f aca="false">CHOOSE(J86, IF(QrrSky_Q2&gt;0,QrrSky_Q2,Qrr_Q2)*Fsw*(H86-K86*Rdson1), IF(QrrSky_Q3&gt;0,QrrSky_Q3,Qrr_Q3)*Fsw*Vout,  IF(QrrSky_Q2&gt;0,QrrSky_Q2,Qrr_Q2)*Fsw/2*(H86-K86*Rdson1)+IF(QrrSky_Q3&gt;0,QrrSky_Q3,Qrr_Q3)*Fsw/2*Vout)</f>
        <v>0.43291962</v>
      </c>
      <c r="AV86" s="488" t="n">
        <f aca="false">CHOOSE(J86, Rs*AF86^2, Rs*AJ86^2, Rs*(AF86^2+AJ86^2))</f>
        <v>0.141594260686679</v>
      </c>
      <c r="AW86" s="488" t="n">
        <f aca="false">Rshunt_std/1000*Iout^2</f>
        <v>0.14832</v>
      </c>
      <c r="AX86" s="488" t="n">
        <f aca="false">IF(Vout&gt;8, Iq*Vout, Iq*H86)</f>
        <v>0.036</v>
      </c>
      <c r="AY86" s="488" t="n">
        <f aca="false">CHOOSE(J86, (Qg_Q1+Qg_Q2)*Fsw, (Qg_Q3+Qg_Q4)*Fsw, (Qg_Q1+Qg_Q2+Qg_Q3+Qg_Q4)*Fsw/2)*IF(Vout&gt;8, Vout, H86)</f>
        <v>0.0792</v>
      </c>
      <c r="AZ86" s="488" t="n">
        <f aca="false">(Vin-Vdd)*Fsw*(Qg_Q1+Qg_Q2)+(RdsonDRT+RdsonDRT2)*Fsw*Qg_Q1*Vdd/(RdsonDRT+2*Rgate1+RdsonDRT2)+(RdsonDRB+RdsonDRB2)*Fsw*Qg_Q2*Vdd/(RdsonDRB+2*Rgate2+RdsonDRB2)</f>
        <v>0.0522</v>
      </c>
      <c r="BA86" s="488" t="n">
        <f aca="false">SUM(AX86:AY86)</f>
        <v>0.1152</v>
      </c>
      <c r="BB86" s="488" t="n">
        <f aca="false">SUM(T86,W86,Z86,AE86,AI86,AN86,AR86, AT86,AU86,BA86,AV86,AW86)</f>
        <v>1.9923376135455</v>
      </c>
      <c r="BC86" s="419" t="n">
        <f aca="false">Vout*K86</f>
        <v>72</v>
      </c>
      <c r="BD86" s="589" t="n">
        <f aca="false">BC86/(BC86+BB86)</f>
        <v>0.973073730634768</v>
      </c>
      <c r="BE86" s="590" t="n">
        <f aca="false">IF(H86&gt;Vout,ThetaJA_Q1*(AE86+AU86),ThetaJA_Q4*(AN86+AU86))</f>
        <v>34.5519263833554</v>
      </c>
      <c r="BF86" s="590" t="n">
        <f aca="false">IF(H86&gt;Vout, AI86*ThetaJA_Q2, ThetaJA_Q3*AR86)</f>
        <v>12.4964384518044</v>
      </c>
      <c r="BG86" s="536"/>
      <c r="BH86" s="385" t="n">
        <f aca="false">BD86*100</f>
        <v>97.3073730634768</v>
      </c>
      <c r="BI86" s="488" t="n">
        <f aca="false">T86</f>
        <v>0.548697938615671</v>
      </c>
      <c r="BJ86" s="488" t="n">
        <f aca="false">AE86+AI86+AN86+AR86+AU86</f>
        <v>1.01300612769938</v>
      </c>
      <c r="BK86" s="488" t="n">
        <f aca="false">AI86+AU86*0.33</f>
        <v>0.392792243636088</v>
      </c>
      <c r="BL86" s="488" t="n">
        <f aca="false">AV86</f>
        <v>0.141594260686679</v>
      </c>
      <c r="BR86" s="591"/>
      <c r="BS86" s="592"/>
    </row>
    <row r="87" customFormat="false" ht="12.75" hidden="false" customHeight="false" outlineLevel="0" collapsed="false">
      <c r="G87" s="0" t="n">
        <v>78</v>
      </c>
      <c r="H87" s="586" t="n">
        <f aca="false">VIN_min+(VIN_max-VIN_min)*(G87/200)</f>
        <v>23.16</v>
      </c>
      <c r="I87" s="385" t="str">
        <f aca="false">IF(H87&gt;VIN_BB_to_buck, "BUCK", IF(H87&lt;VIN_boost_to_BB,"BOOST","BUCK-BST"))</f>
        <v>BUCK</v>
      </c>
      <c r="J87" s="419" t="n">
        <f aca="false">IF(I87="BOOST",2, IF(I87="BUCK", 1,3))</f>
        <v>1</v>
      </c>
      <c r="K87" s="0" t="n">
        <f aca="false">Iout</f>
        <v>6</v>
      </c>
      <c r="L87" s="385" t="n">
        <f aca="false">Vout*K87/(H87*Efficiency)</f>
        <v>3.45423143350605</v>
      </c>
      <c r="M87" s="385" t="n">
        <f aca="false">Iout/(1-O87)</f>
        <v>6</v>
      </c>
      <c r="N87" s="488" t="n">
        <f aca="false">CHOOSE(J87,(Vout+(Rdson2+Rs+Rdcr)*K87)/(H87+(Rs+Rdson2-Rdson1)*K87),1,IF(H87&lt;Vout,D_max_buck_BB,Vout/H87*(1-D_min_boost_exitBB_to_buck)))</f>
        <v>0.521471044467425</v>
      </c>
      <c r="O87" s="488" t="n">
        <f aca="false">CHOOSE(J87,0,(Vout+(Rdson3+Rdcr)*L87-H87)/(Vout+(Rdson3-Rdson4-Rs)*L87),IF(H87&gt;Vout,D_min_boost_exitBB_to_buck, (Vout-H87*D_max_buck_BB)/Vout))</f>
        <v>0</v>
      </c>
      <c r="P87" s="385" t="n">
        <f aca="false">MAX(0, CHOOSE(J87, (H87-(Rdson1+Rdcr)*K87-Vout)*N87/(Fsw*Lf), (H87-(Rdson4+Rdcr+Rs)*L87)*O87/(Fsw*Lf), IF(H87&lt;Vout, (H87-(Rdson4+Rdcr+Rs)*L87)*O87/(0.5*Fsw*Lf),(H87-(Rdson1+Rdcr)*K87-Vout)*N87/(0.5*Fsw*Lf))))</f>
        <v>4.10730565854034</v>
      </c>
      <c r="Q87" s="488" t="n">
        <f aca="false">CHOOSE(J87, SQRT(K87^2+(P87^2)/12), SQRT(L87^2+(P87^2)/12), SQRT(M87^2+(P87^2)/12))</f>
        <v>6.11603057391446</v>
      </c>
      <c r="R87" s="488" t="n">
        <f aca="false">(Q87^2*Rdcr*(1+Ltc*Ta-Ltc*25))/(1-Q87^2*Rdcr*Ltc*ThetaCa)</f>
        <v>0.126578449320357</v>
      </c>
      <c r="S87" s="488" t="n">
        <f aca="false">7.759*10^-3*Fsw^0.9458*(0.00787*P87)^2.304</f>
        <v>0.432541916395622</v>
      </c>
      <c r="T87" s="488" t="n">
        <f aca="false">R87+S87</f>
        <v>0.559120365715979</v>
      </c>
      <c r="U87" s="385" t="n">
        <f aca="false">IF(H87&gt;Vout, P87/SQRT(12), SQRT(O87/(1-O87))*SQRT(K87^2+(P87^2)/12))</f>
        <v>1.18567701380117</v>
      </c>
      <c r="V87" s="488" t="n">
        <f aca="false">RCoutEsr*U87^2</f>
        <v>0.0070291499052823</v>
      </c>
      <c r="W87" s="488" t="n">
        <f aca="false">V87</f>
        <v>0.0070291499052823</v>
      </c>
      <c r="X87" s="488" t="n">
        <f aca="false">IF(H87&gt;Vout, SQRT(N87*(1-N87))*SQRT(K87^2+(P87^2)/12), P87/SQRT(12))</f>
        <v>3.0551944606751</v>
      </c>
      <c r="Y87" s="587" t="n">
        <f aca="false">RCinEsr*X87^2</f>
        <v>0.0186684263850796</v>
      </c>
      <c r="Z87" s="588" t="n">
        <f aca="false">Y87</f>
        <v>0.0186684263850796</v>
      </c>
      <c r="AA87" s="488" t="n">
        <f aca="false">CHOOSE(J87, SQRT(N87)*SQRT(K87^2+(P87^2)/12), SQRT(L87^2+(P87^2)/12), SQRT(N87)*SQRT(M87^2+(P87^2)/12))</f>
        <v>4.41656622608474</v>
      </c>
      <c r="AB87" s="488" t="n">
        <f aca="false">Rdson1*AA87^2</f>
        <v>0.111184526207537</v>
      </c>
      <c r="AC87" s="488" t="n">
        <f aca="false">CHOOSE(J87, (H87*K87/2)*(Fsw)*(Tr_buck+Tf_buck), 0, (H87*M87/2)*(Fsw/2)*(Tr_buck+Tf_buck))</f>
        <v>0.141511919655667</v>
      </c>
      <c r="AD87" s="0" t="n">
        <f aca="false">IF(H87&gt;Vout, IF(K87&gt;P87/2,0,ABS(K87-P87/2)*Vsd_Q1*Deadtime*Fsw),0)</f>
        <v>0</v>
      </c>
      <c r="AE87" s="488" t="n">
        <f aca="false">(AD87+AC87+AB87*(1+RdsonTopTc*Ta-RdsonTopTc*25))/(1-AB87*RdsonTopTc*ThetaJA_Q1)</f>
        <v>0.258443427879245</v>
      </c>
      <c r="AF87" s="488" t="n">
        <f aca="false">CHOOSE(J87, SQRT((1-N87))*SQRT(K87^2+(P87^2)/12), 0, SQRT((1-N87))*SQRT(M87^2+(P87^2)/12))</f>
        <v>4.23081230399837</v>
      </c>
      <c r="AG87" s="488" t="n">
        <f aca="false">Rdson2*AF87^2</f>
        <v>0.102028704684485</v>
      </c>
      <c r="AH87" s="488" t="n">
        <f aca="false">CHOOSE(J87, IF(K87&lt;P87/2,Deadtime*Fsw*IF(VfdSky_Q2&gt;0,0,Vsd_Q2)*(K87+P87/2),2*Deadtime*Fsw*IF(VfdSky_Q2&gt;0,0,Vsd_Q2)*K87),0, IF(K87&lt;P87/2,Deadtime*Fsw/2*IF(VfdSky_Q2&gt;0,0,Vsd_Q2)*(K87+P87/2),2*Deadtime*Fsw/2*IF(VfdSky_Q2&gt;0,0,Vsd_Q2)*K87))</f>
        <v>0.144</v>
      </c>
      <c r="AI87" s="488" t="n">
        <f aca="false">(AH87+AG87*(1+RdsonBotTc*Ta-RdsonBotTc*25))/(1-AG87*RdsonBotTc*ThetaJA_Q2)</f>
        <v>0.251153681647532</v>
      </c>
      <c r="AJ87" s="488" t="n">
        <f aca="false">CHOOSE(J87, 0, SQRT(O87)*SQRT(L87^2+(P87^2)/12), SQRT(O87)*SQRT(M87^2+(P87^2)/12))</f>
        <v>0</v>
      </c>
      <c r="AK87" s="488" t="n">
        <f aca="false">Rdson4*AJ87^2</f>
        <v>0</v>
      </c>
      <c r="AL87" s="488" t="n">
        <f aca="false">CHOOSE(J87, 0, (Vout*L87/2)*(Fsw)*(Tr_boost+Tf_boost), (Vout*Iout/2)*(Fsw/2)*(Tr_boost+Tf_boost))</f>
        <v>0</v>
      </c>
      <c r="AM87" s="0" t="n">
        <f aca="false">IF(H87&gt;Vout, 0, IF(L87&gt;P87/2,0,ABS(L87-P87/2)*Vsd_Q4*Deadtime*Fsw))</f>
        <v>0</v>
      </c>
      <c r="AN87" s="488" t="n">
        <f aca="false">(AM87+AL87+AK87*(1+RdsonTopTc*Ta-RdsonTopTc*25))/(1-AK87*RdsonTopTc*ThetaJA_Q4)</f>
        <v>0</v>
      </c>
      <c r="AO87" s="488" t="n">
        <f aca="false">CHOOSE(J87, SQRT(Iout^2+(P87^2)/12), SQRT(1-O87)*SQRT(L87^2+(P87^2)/12), SQRT(1-O87)*SQRT(M87^2+(P87^2)/12))</f>
        <v>6.11603057391446</v>
      </c>
      <c r="AP87" s="488" t="n">
        <f aca="false">Rdson3*AO87^2</f>
        <v>0.0710710769640073</v>
      </c>
      <c r="AQ87" s="488" t="n">
        <f aca="false">CHOOSE(J87, 0, IF(L87&lt;P87/2,Deadtime*Fsw*IF(VfdSky_Q3&gt;0,0,Vsd_Q3)*(L87+P87/2), 2*Deadtime*Fsw*IF(VfdSky_Q3&gt;0,0,Vsd_Q3)*L87), IF(L87&lt;P87/2,Deadtime*Fsw/2*IF(VfdSky_Q3&gt;0,0,Vsd_Q3)*(L87+P87/2), 2*Deadtime*Fsw/2*IF(VfdSky_Q3&gt;0,0,Vsd_Q3)*L87))</f>
        <v>0</v>
      </c>
      <c r="AR87" s="488" t="n">
        <f aca="false">(AQ87+AP87*(1+RdsonBotTc*Ta-RdsonBotTc*25))/(1-AP87*RdsonBotTc*ThetaJA_Q3)</f>
        <v>0.0720958630909114</v>
      </c>
      <c r="AS87" s="488" t="n">
        <f aca="false">CHOOSE(J87, Rdson3*Q87^2, Rdson1*Q87^2, 0)</f>
        <v>0.0710710769640073</v>
      </c>
      <c r="AT87" s="488" t="n">
        <f aca="false">CHOOSE(J87, 2*Deadtime*Fsw*IF(VfdSky_Q2&gt;0,VfdSky_Q2,0)*K87, 2*Deadtime*Fsw*IF(VfdSky_Q3&gt;0,VfdSky_Q3,0)*L87, 2*Deadtime*Fsw/2*IF(VfdSky_Q2&gt;0,VfdSky_Q2,0)*K87+2*Deadtime*Fsw/2*IF(VfdSky_Q3&gt;0,VfdSky_Q3,0)*L87)</f>
        <v>0</v>
      </c>
      <c r="AU87" s="488" t="n">
        <f aca="false">CHOOSE(J87, IF(QrrSky_Q2&gt;0,QrrSky_Q2,Qrr_Q2)*Fsw*(H87-K87*Rdson1), IF(QrrSky_Q3&gt;0,QrrSky_Q3,Qrr_Q3)*Fsw*Vout,  IF(QrrSky_Q2&gt;0,QrrSky_Q2,Qrr_Q2)*Fsw/2*(H87-K87*Rdson1)+IF(QrrSky_Q3&gt;0,QrrSky_Q3,Qrr_Q3)*Fsw/2*Vout)</f>
        <v>0.43707762</v>
      </c>
      <c r="AV87" s="488" t="n">
        <f aca="false">CHOOSE(J87, Rs*AF87^2, Rs*AJ87^2, Rs*(AF87^2+AJ87^2))</f>
        <v>0.143198182013312</v>
      </c>
      <c r="AW87" s="488" t="n">
        <f aca="false">Rshunt_std/1000*Iout^2</f>
        <v>0.14832</v>
      </c>
      <c r="AX87" s="488" t="n">
        <f aca="false">IF(Vout&gt;8, Iq*Vout, Iq*H87)</f>
        <v>0.036</v>
      </c>
      <c r="AY87" s="488" t="n">
        <f aca="false">CHOOSE(J87, (Qg_Q1+Qg_Q2)*Fsw, (Qg_Q3+Qg_Q4)*Fsw, (Qg_Q1+Qg_Q2+Qg_Q3+Qg_Q4)*Fsw/2)*IF(Vout&gt;8, Vout, H87)</f>
        <v>0.0792</v>
      </c>
      <c r="AZ87" s="488" t="n">
        <f aca="false">(Vin-Vdd)*Fsw*(Qg_Q1+Qg_Q2)+(RdsonDRT+RdsonDRT2)*Fsw*Qg_Q1*Vdd/(RdsonDRT+2*Rgate1+RdsonDRT2)+(RdsonDRB+RdsonDRB2)*Fsw*Qg_Q2*Vdd/(RdsonDRB+2*Rgate2+RdsonDRB2)</f>
        <v>0.0522</v>
      </c>
      <c r="BA87" s="488" t="n">
        <f aca="false">SUM(AX87:AY87)</f>
        <v>0.1152</v>
      </c>
      <c r="BB87" s="488" t="n">
        <f aca="false">SUM(T87,W87,Z87,AE87,AI87,AN87,AR87, AT87,AU87,BA87,AV87,AW87)</f>
        <v>2.01030671663734</v>
      </c>
      <c r="BC87" s="419" t="n">
        <f aca="false">Vout*K87</f>
        <v>72</v>
      </c>
      <c r="BD87" s="589" t="n">
        <f aca="false">BC87/(BC87+BB87)</f>
        <v>0.972837476213493</v>
      </c>
      <c r="BE87" s="590" t="n">
        <f aca="false">IF(H87&gt;Vout,ThetaJA_Q1*(AE87+AU87),ThetaJA_Q4*(AN87+AU87))</f>
        <v>34.7760523939623</v>
      </c>
      <c r="BF87" s="590" t="n">
        <f aca="false">IF(H87&gt;Vout, AI87*ThetaJA_Q2, ThetaJA_Q3*AR87)</f>
        <v>12.5576840823766</v>
      </c>
      <c r="BG87" s="536"/>
      <c r="BH87" s="385" t="n">
        <f aca="false">BD87*100</f>
        <v>97.2837476213493</v>
      </c>
      <c r="BI87" s="488" t="n">
        <f aca="false">T87</f>
        <v>0.559120365715979</v>
      </c>
      <c r="BJ87" s="488" t="n">
        <f aca="false">AE87+AI87+AN87+AR87+AU87</f>
        <v>1.01877059261769</v>
      </c>
      <c r="BK87" s="488" t="n">
        <f aca="false">AI87+AU87*0.33</f>
        <v>0.395389296247532</v>
      </c>
      <c r="BL87" s="488" t="n">
        <f aca="false">AV87</f>
        <v>0.143198182013312</v>
      </c>
      <c r="BR87" s="591"/>
      <c r="BS87" s="592"/>
    </row>
    <row r="88" customFormat="false" ht="12.75" hidden="false" customHeight="false" outlineLevel="0" collapsed="false">
      <c r="G88" s="0" t="n">
        <v>79</v>
      </c>
      <c r="H88" s="586" t="n">
        <f aca="false">VIN_min+(VIN_max-VIN_min)*(G88/200)</f>
        <v>23.38</v>
      </c>
      <c r="I88" s="385" t="str">
        <f aca="false">IF(H88&gt;VIN_BB_to_buck, "BUCK", IF(H88&lt;VIN_boost_to_BB,"BOOST","BUCK-BST"))</f>
        <v>BUCK</v>
      </c>
      <c r="J88" s="419" t="n">
        <f aca="false">IF(I88="BOOST",2, IF(I88="BUCK", 1,3))</f>
        <v>1</v>
      </c>
      <c r="K88" s="0" t="n">
        <f aca="false">Iout</f>
        <v>6</v>
      </c>
      <c r="L88" s="385" t="n">
        <f aca="false">Vout*K88/(H88*Efficiency)</f>
        <v>3.42172797262618</v>
      </c>
      <c r="M88" s="385" t="n">
        <f aca="false">Iout/(1-O88)</f>
        <v>6</v>
      </c>
      <c r="N88" s="488" t="n">
        <f aca="false">CHOOSE(J88,(Vout+(Rdson2+Rs+Rdcr)*K88)/(H88+(Rs+Rdson2-Rdson1)*K88),1,IF(H88&lt;Vout,D_max_buck_BB,Vout/H88*(1-D_min_boost_exitBB_to_buck)))</f>
        <v>0.516574184736213</v>
      </c>
      <c r="O88" s="488" t="n">
        <f aca="false">CHOOSE(J88,0,(Vout+(Rdson3+Rdcr)*L88-H88)/(Vout+(Rdson3-Rdson4-Rs)*L88),IF(H88&gt;Vout,D_min_boost_exitBB_to_buck, (Vout-H88*D_max_buck_BB)/Vout))</f>
        <v>0</v>
      </c>
      <c r="P88" s="385" t="n">
        <f aca="false">MAX(0, CHOOSE(J88, (H88-(Rdson1+Rdcr)*K88-Vout)*N88/(Fsw*Lf), (H88-(Rdson4+Rdcr+Rs)*L88)*O88/(Fsw*Lf), IF(H88&lt;Vout, (H88-(Rdson4+Rdcr+Rs)*L88)*O88/(0.5*Fsw*Lf),(H88-(Rdson1+Rdcr)*K88-Vout)*N88/(0.5*Fsw*Lf))))</f>
        <v>4.14933634330988</v>
      </c>
      <c r="Q88" s="488" t="n">
        <f aca="false">CHOOSE(J88, SQRT(K88^2+(P88^2)/12), SQRT(L88^2+(P88^2)/12), SQRT(M88^2+(P88^2)/12))</f>
        <v>6.11839434335725</v>
      </c>
      <c r="R88" s="488" t="n">
        <f aca="false">(Q88^2*Rdcr*(1+Ltc*Ta-Ltc*25))/(1-Q88^2*Rdcr*Ltc*ThetaCa)</f>
        <v>0.126677301947987</v>
      </c>
      <c r="S88" s="488" t="n">
        <f aca="false">7.759*10^-3*Fsw^0.9458*(0.00787*P88)^2.304</f>
        <v>0.442808148817507</v>
      </c>
      <c r="T88" s="488" t="n">
        <f aca="false">R88+S88</f>
        <v>0.569485450765494</v>
      </c>
      <c r="U88" s="385" t="n">
        <f aca="false">IF(H88&gt;Vout, P88/SQRT(12), SQRT(O88/(1-O88))*SQRT(K88^2+(P88^2)/12))</f>
        <v>1.19781022738413</v>
      </c>
      <c r="V88" s="488" t="n">
        <f aca="false">RCoutEsr*U88^2</f>
        <v>0.00717374670413009</v>
      </c>
      <c r="W88" s="488" t="n">
        <f aca="false">V88</f>
        <v>0.00717374670413009</v>
      </c>
      <c r="X88" s="488" t="n">
        <f aca="false">IF(H88&gt;Vout, SQRT(N88*(1-N88))*SQRT(K88^2+(P88^2)/12), P88/SQRT(12))</f>
        <v>3.05751596476778</v>
      </c>
      <c r="Y88" s="587" t="n">
        <f aca="false">RCinEsr*X88^2</f>
        <v>0.0186968077496197</v>
      </c>
      <c r="Z88" s="588" t="n">
        <f aca="false">Y88</f>
        <v>0.0186968077496197</v>
      </c>
      <c r="AA88" s="488" t="n">
        <f aca="false">CHOOSE(J88, SQRT(N88)*SQRT(K88^2+(P88^2)/12), SQRT(L88^2+(P88^2)/12), SQRT(N88)*SQRT(M88^2+(P88^2)/12))</f>
        <v>4.39747940547101</v>
      </c>
      <c r="AB88" s="488" t="n">
        <f aca="false">Rdson1*AA88^2</f>
        <v>0.110225603192788</v>
      </c>
      <c r="AC88" s="488" t="n">
        <f aca="false">CHOOSE(J88, (H88*K88/2)*(Fsw)*(Tr_buck+Tf_buck), 0, (H88*M88/2)*(Fsw/2)*(Tr_buck+Tf_buck))</f>
        <v>0.142856160688666</v>
      </c>
      <c r="AD88" s="0" t="n">
        <f aca="false">IF(H88&gt;Vout, IF(K88&gt;P88/2,0,ABS(K88-P88/2)*Vsd_Q1*Deadtime*Fsw),0)</f>
        <v>0</v>
      </c>
      <c r="AE88" s="488" t="n">
        <f aca="false">(AD88+AC88+AB88*(1+RdsonTopTc*Ta-RdsonTopTc*25))/(1-AB88*RdsonTopTc*ThetaJA_Q1)</f>
        <v>0.258786748982431</v>
      </c>
      <c r="AF88" s="488" t="n">
        <f aca="false">CHOOSE(J88, SQRT((1-N88))*SQRT(K88^2+(P88^2)/12), 0, SQRT((1-N88))*SQRT(M88^2+(P88^2)/12))</f>
        <v>4.25404798036932</v>
      </c>
      <c r="AG88" s="488" t="n">
        <f aca="false">Rdson2*AF88^2</f>
        <v>0.103152468049921</v>
      </c>
      <c r="AH88" s="488" t="n">
        <f aca="false">CHOOSE(J88, IF(K88&lt;P88/2,Deadtime*Fsw*IF(VfdSky_Q2&gt;0,0,Vsd_Q2)*(K88+P88/2),2*Deadtime*Fsw*IF(VfdSky_Q2&gt;0,0,Vsd_Q2)*K88),0, IF(K88&lt;P88/2,Deadtime*Fsw/2*IF(VfdSky_Q2&gt;0,0,Vsd_Q2)*(K88+P88/2),2*Deadtime*Fsw/2*IF(VfdSky_Q2&gt;0,0,Vsd_Q2)*K88))</f>
        <v>0.144</v>
      </c>
      <c r="AI88" s="488" t="n">
        <f aca="false">(AH88+AG88*(1+RdsonBotTc*Ta-RdsonBotTc*25))/(1-AG88*RdsonBotTc*ThetaJA_Q2)</f>
        <v>0.252358753705669</v>
      </c>
      <c r="AJ88" s="488" t="n">
        <f aca="false">CHOOSE(J88, 0, SQRT(O88)*SQRT(L88^2+(P88^2)/12), SQRT(O88)*SQRT(M88^2+(P88^2)/12))</f>
        <v>0</v>
      </c>
      <c r="AK88" s="488" t="n">
        <f aca="false">Rdson4*AJ88^2</f>
        <v>0</v>
      </c>
      <c r="AL88" s="488" t="n">
        <f aca="false">CHOOSE(J88, 0, (Vout*L88/2)*(Fsw)*(Tr_boost+Tf_boost), (Vout*Iout/2)*(Fsw/2)*(Tr_boost+Tf_boost))</f>
        <v>0</v>
      </c>
      <c r="AM88" s="0" t="n">
        <f aca="false">IF(H88&gt;Vout, 0, IF(L88&gt;P88/2,0,ABS(L88-P88/2)*Vsd_Q4*Deadtime*Fsw))</f>
        <v>0</v>
      </c>
      <c r="AN88" s="488" t="n">
        <f aca="false">(AM88+AL88+AK88*(1+RdsonTopTc*Ta-RdsonTopTc*25))/(1-AK88*RdsonTopTc*ThetaJA_Q4)</f>
        <v>0</v>
      </c>
      <c r="AO88" s="488" t="n">
        <f aca="false">CHOOSE(J88, SQRT(Iout^2+(P88^2)/12), SQRT(1-O88)*SQRT(L88^2+(P88^2)/12), SQRT(1-O88)*SQRT(M88^2+(P88^2)/12))</f>
        <v>6.11839434335725</v>
      </c>
      <c r="AP88" s="488" t="n">
        <f aca="false">Rdson3*AO88^2</f>
        <v>0.0711260237475694</v>
      </c>
      <c r="AQ88" s="488" t="n">
        <f aca="false">CHOOSE(J88, 0, IF(L88&lt;P88/2,Deadtime*Fsw*IF(VfdSky_Q3&gt;0,0,Vsd_Q3)*(L88+P88/2), 2*Deadtime*Fsw*IF(VfdSky_Q3&gt;0,0,Vsd_Q3)*L88), IF(L88&lt;P88/2,Deadtime*Fsw/2*IF(VfdSky_Q3&gt;0,0,Vsd_Q3)*(L88+P88/2), 2*Deadtime*Fsw/2*IF(VfdSky_Q3&gt;0,0,Vsd_Q3)*L88))</f>
        <v>0</v>
      </c>
      <c r="AR88" s="488" t="n">
        <f aca="false">(AQ88+AP88*(1+RdsonBotTc*Ta-RdsonBotTc*25))/(1-AP88*RdsonBotTc*ThetaJA_Q3)</f>
        <v>0.0721524065032483</v>
      </c>
      <c r="AS88" s="488" t="n">
        <f aca="false">CHOOSE(J88, Rdson3*Q88^2, Rdson1*Q88^2, 0)</f>
        <v>0.0711260237475694</v>
      </c>
      <c r="AT88" s="488" t="n">
        <f aca="false">CHOOSE(J88, 2*Deadtime*Fsw*IF(VfdSky_Q2&gt;0,VfdSky_Q2,0)*K88, 2*Deadtime*Fsw*IF(VfdSky_Q3&gt;0,VfdSky_Q3,0)*L88, 2*Deadtime*Fsw/2*IF(VfdSky_Q2&gt;0,VfdSky_Q2,0)*K88+2*Deadtime*Fsw/2*IF(VfdSky_Q3&gt;0,VfdSky_Q3,0)*L88)</f>
        <v>0</v>
      </c>
      <c r="AU88" s="488" t="n">
        <f aca="false">CHOOSE(J88, IF(QrrSky_Q2&gt;0,QrrSky_Q2,Qrr_Q2)*Fsw*(H88-K88*Rdson1), IF(QrrSky_Q3&gt;0,QrrSky_Q3,Qrr_Q3)*Fsw*Vout,  IF(QrrSky_Q2&gt;0,QrrSky_Q2,Qrr_Q2)*Fsw/2*(H88-K88*Rdson1)+IF(QrrSky_Q3&gt;0,QrrSky_Q3,Qrr_Q3)*Fsw/2*Vout)</f>
        <v>0.44123562</v>
      </c>
      <c r="AV88" s="488" t="n">
        <f aca="false">CHOOSE(J88, Rs*AF88^2, Rs*AJ88^2, Rs*(AF88^2+AJ88^2))</f>
        <v>0.144775393754275</v>
      </c>
      <c r="AW88" s="488" t="n">
        <f aca="false">Rshunt_std/1000*Iout^2</f>
        <v>0.14832</v>
      </c>
      <c r="AX88" s="488" t="n">
        <f aca="false">IF(Vout&gt;8, Iq*Vout, Iq*H88)</f>
        <v>0.036</v>
      </c>
      <c r="AY88" s="488" t="n">
        <f aca="false">CHOOSE(J88, (Qg_Q1+Qg_Q2)*Fsw, (Qg_Q3+Qg_Q4)*Fsw, (Qg_Q1+Qg_Q2+Qg_Q3+Qg_Q4)*Fsw/2)*IF(Vout&gt;8, Vout, H88)</f>
        <v>0.0792</v>
      </c>
      <c r="AZ88" s="488" t="n">
        <f aca="false">(Vin-Vdd)*Fsw*(Qg_Q1+Qg_Q2)+(RdsonDRT+RdsonDRT2)*Fsw*Qg_Q1*Vdd/(RdsonDRT+2*Rgate1+RdsonDRT2)+(RdsonDRB+RdsonDRB2)*Fsw*Qg_Q2*Vdd/(RdsonDRB+2*Rgate2+RdsonDRB2)</f>
        <v>0.0522</v>
      </c>
      <c r="BA88" s="488" t="n">
        <f aca="false">SUM(AX88:AY88)</f>
        <v>0.1152</v>
      </c>
      <c r="BB88" s="488" t="n">
        <f aca="false">SUM(T88,W88,Z88,AE88,AI88,AN88,AR88, AT88,AU88,BA88,AV88,AW88)</f>
        <v>2.02818492816487</v>
      </c>
      <c r="BC88" s="419" t="n">
        <f aca="false">Vout*K88</f>
        <v>72</v>
      </c>
      <c r="BD88" s="589" t="n">
        <f aca="false">BC88/(BC88+BB88)</f>
        <v>0.972602530642444</v>
      </c>
      <c r="BE88" s="590" t="n">
        <f aca="false">IF(H88&gt;Vout,ThetaJA_Q1*(AE88+AU88),ThetaJA_Q4*(AN88+AU88))</f>
        <v>35.0011184491216</v>
      </c>
      <c r="BF88" s="590" t="n">
        <f aca="false">IF(H88&gt;Vout, AI88*ThetaJA_Q2, ThetaJA_Q3*AR88)</f>
        <v>12.6179376852835</v>
      </c>
      <c r="BG88" s="536"/>
      <c r="BH88" s="385" t="n">
        <f aca="false">BD88*100</f>
        <v>97.2602530642444</v>
      </c>
      <c r="BI88" s="488" t="n">
        <f aca="false">T88</f>
        <v>0.569485450765494</v>
      </c>
      <c r="BJ88" s="488" t="n">
        <f aca="false">AE88+AI88+AN88+AR88+AU88</f>
        <v>1.02453352919135</v>
      </c>
      <c r="BK88" s="488" t="n">
        <f aca="false">AI88+AU88*0.33</f>
        <v>0.397966508305669</v>
      </c>
      <c r="BL88" s="488" t="n">
        <f aca="false">AV88</f>
        <v>0.144775393754275</v>
      </c>
      <c r="BR88" s="591"/>
      <c r="BS88" s="592"/>
    </row>
    <row r="89" customFormat="false" ht="12.75" hidden="false" customHeight="false" outlineLevel="0" collapsed="false">
      <c r="G89" s="0" t="n">
        <v>80</v>
      </c>
      <c r="H89" s="586" t="n">
        <f aca="false">VIN_min+(VIN_max-VIN_min)*(G89/200)</f>
        <v>23.6</v>
      </c>
      <c r="I89" s="385" t="str">
        <f aca="false">IF(H89&gt;VIN_BB_to_buck, "BUCK", IF(H89&lt;VIN_boost_to_BB,"BOOST","BUCK-BST"))</f>
        <v>BUCK</v>
      </c>
      <c r="J89" s="419" t="n">
        <f aca="false">IF(I89="BOOST",2, IF(I89="BUCK", 1,3))</f>
        <v>1</v>
      </c>
      <c r="K89" s="0" t="n">
        <f aca="false">Iout</f>
        <v>6</v>
      </c>
      <c r="L89" s="385" t="n">
        <f aca="false">Vout*K89/(H89*Efficiency)</f>
        <v>3.38983050847458</v>
      </c>
      <c r="M89" s="385" t="n">
        <f aca="false">Iout/(1-O89)</f>
        <v>6</v>
      </c>
      <c r="N89" s="488" t="n">
        <f aca="false">CHOOSE(J89,(Vout+(Rdson2+Rs+Rdcr)*K89)/(H89+(Rs+Rdson2-Rdson1)*K89),1,IF(H89&lt;Vout,D_max_buck_BB,Vout/H89*(1-D_min_boost_exitBB_to_buck)))</f>
        <v>0.511768437077131</v>
      </c>
      <c r="O89" s="488" t="n">
        <f aca="false">CHOOSE(J89,0,(Vout+(Rdson3+Rdcr)*L89-H89)/(Vout+(Rdson3-Rdson4-Rs)*L89),IF(H89&gt;Vout,D_min_boost_exitBB_to_buck, (Vout-H89*D_max_buck_BB)/Vout))</f>
        <v>0</v>
      </c>
      <c r="P89" s="385" t="n">
        <f aca="false">MAX(0, CHOOSE(J89, (H89-(Rdson1+Rdcr)*K89-Vout)*N89/(Fsw*Lf), (H89-(Rdson4+Rdcr+Rs)*L89)*O89/(Fsw*Lf), IF(H89&lt;Vout, (H89-(Rdson4+Rdcr+Rs)*L89)*O89/(0.5*Fsw*Lf),(H89-(Rdson1+Rdcr)*K89-Vout)*N89/(0.5*Fsw*Lf))))</f>
        <v>4.19058499571733</v>
      </c>
      <c r="Q89" s="488" t="n">
        <f aca="false">CHOOSE(J89, SQRT(K89^2+(P89^2)/12), SQRT(L89^2+(P89^2)/12), SQRT(M89^2+(P89^2)/12))</f>
        <v>6.12073662918614</v>
      </c>
      <c r="R89" s="488" t="n">
        <f aca="false">(Q89^2*Rdcr*(1+Ltc*Ta-Ltc*25))/(1-Q89^2*Rdcr*Ltc*ThetaCa)</f>
        <v>0.126775295339219</v>
      </c>
      <c r="S89" s="488" t="n">
        <f aca="false">7.759*10^-3*Fsw^0.9458*(0.00787*P89)^2.304</f>
        <v>0.453016082351018</v>
      </c>
      <c r="T89" s="488" t="n">
        <f aca="false">R89+S89</f>
        <v>0.579791377690236</v>
      </c>
      <c r="U89" s="385" t="n">
        <f aca="false">IF(H89&gt;Vout, P89/SQRT(12), SQRT(O89/(1-O89))*SQRT(K89^2+(P89^2)/12))</f>
        <v>1.2097176876697</v>
      </c>
      <c r="V89" s="488" t="n">
        <f aca="false">RCoutEsr*U89^2</f>
        <v>0.00731708441930467</v>
      </c>
      <c r="W89" s="488" t="n">
        <f aca="false">V89</f>
        <v>0.00731708441930467</v>
      </c>
      <c r="X89" s="488" t="n">
        <f aca="false">IF(H89&gt;Vout, SQRT(N89*(1-N89))*SQRT(K89^2+(P89^2)/12), P89/SQRT(12))</f>
        <v>3.05952049893658</v>
      </c>
      <c r="Y89" s="587" t="n">
        <f aca="false">RCinEsr*X89^2</f>
        <v>0.0187213313668262</v>
      </c>
      <c r="Z89" s="588" t="n">
        <f aca="false">Y89</f>
        <v>0.0187213313668262</v>
      </c>
      <c r="AA89" s="488" t="n">
        <f aca="false">CHOOSE(J89, SQRT(N89)*SQRT(K89^2+(P89^2)/12), SQRT(L89^2+(P89^2)/12), SQRT(N89)*SQRT(M89^2+(P89^2)/12))</f>
        <v>4.37865211066403</v>
      </c>
      <c r="AB89" s="488" t="n">
        <f aca="false">Rdson1*AA89^2</f>
        <v>0.109283787545468</v>
      </c>
      <c r="AC89" s="488" t="n">
        <f aca="false">CHOOSE(J89, (H89*K89/2)*(Fsw)*(Tr_buck+Tf_buck), 0, (H89*M89/2)*(Fsw/2)*(Tr_buck+Tf_buck))</f>
        <v>0.144200401721664</v>
      </c>
      <c r="AD89" s="0" t="n">
        <f aca="false">IF(H89&gt;Vout, IF(K89&gt;P89/2,0,ABS(K89-P89/2)*Vsd_Q1*Deadtime*Fsw),0)</f>
        <v>0</v>
      </c>
      <c r="AE89" s="488" t="n">
        <f aca="false">(AD89+AC89+AB89*(1+RdsonTopTc*Ta-RdsonTopTc*25))/(1-AB89*RdsonTopTc*ThetaJA_Q1)</f>
        <v>0.259148331507785</v>
      </c>
      <c r="AF89" s="488" t="n">
        <f aca="false">CHOOSE(J89, SQRT((1-N89))*SQRT(K89^2+(P89^2)/12), 0, SQRT((1-N89))*SQRT(M89^2+(P89^2)/12))</f>
        <v>4.27677712508361</v>
      </c>
      <c r="AG89" s="488" t="n">
        <f aca="false">Rdson2*AF89^2</f>
        <v>0.104257688692539</v>
      </c>
      <c r="AH89" s="488" t="n">
        <f aca="false">CHOOSE(J89, IF(K89&lt;P89/2,Deadtime*Fsw*IF(VfdSky_Q2&gt;0,0,Vsd_Q2)*(K89+P89/2),2*Deadtime*Fsw*IF(VfdSky_Q2&gt;0,0,Vsd_Q2)*K89),0, IF(K89&lt;P89/2,Deadtime*Fsw/2*IF(VfdSky_Q2&gt;0,0,Vsd_Q2)*(K89+P89/2),2*Deadtime*Fsw/2*IF(VfdSky_Q2&gt;0,0,Vsd_Q2)*K89))</f>
        <v>0.144</v>
      </c>
      <c r="AI89" s="488" t="n">
        <f aca="false">(AH89+AG89*(1+RdsonBotTc*Ta-RdsonBotTc*25))/(1-AG89*RdsonBotTc*ThetaJA_Q2)</f>
        <v>0.253544481006639</v>
      </c>
      <c r="AJ89" s="488" t="n">
        <f aca="false">CHOOSE(J89, 0, SQRT(O89)*SQRT(L89^2+(P89^2)/12), SQRT(O89)*SQRT(M89^2+(P89^2)/12))</f>
        <v>0</v>
      </c>
      <c r="AK89" s="488" t="n">
        <f aca="false">Rdson4*AJ89^2</f>
        <v>0</v>
      </c>
      <c r="AL89" s="488" t="n">
        <f aca="false">CHOOSE(J89, 0, (Vout*L89/2)*(Fsw)*(Tr_boost+Tf_boost), (Vout*Iout/2)*(Fsw/2)*(Tr_boost+Tf_boost))</f>
        <v>0</v>
      </c>
      <c r="AM89" s="0" t="n">
        <f aca="false">IF(H89&gt;Vout, 0, IF(L89&gt;P89/2,0,ABS(L89-P89/2)*Vsd_Q4*Deadtime*Fsw))</f>
        <v>0</v>
      </c>
      <c r="AN89" s="488" t="n">
        <f aca="false">(AM89+AL89+AK89*(1+RdsonTopTc*Ta-RdsonTopTc*25))/(1-AK89*RdsonTopTc*ThetaJA_Q4)</f>
        <v>0</v>
      </c>
      <c r="AO89" s="488" t="n">
        <f aca="false">CHOOSE(J89, SQRT(Iout^2+(P89^2)/12), SQRT(1-O89)*SQRT(L89^2+(P89^2)/12), SQRT(1-O89)*SQRT(M89^2+(P89^2)/12))</f>
        <v>6.12073662918614</v>
      </c>
      <c r="AP89" s="488" t="n">
        <f aca="false">Rdson3*AO89^2</f>
        <v>0.0711804920793358</v>
      </c>
      <c r="AQ89" s="488" t="n">
        <f aca="false">CHOOSE(J89, 0, IF(L89&lt;P89/2,Deadtime*Fsw*IF(VfdSky_Q3&gt;0,0,Vsd_Q3)*(L89+P89/2), 2*Deadtime*Fsw*IF(VfdSky_Q3&gt;0,0,Vsd_Q3)*L89), IF(L89&lt;P89/2,Deadtime*Fsw/2*IF(VfdSky_Q3&gt;0,0,Vsd_Q3)*(L89+P89/2), 2*Deadtime*Fsw/2*IF(VfdSky_Q3&gt;0,0,Vsd_Q3)*L89))</f>
        <v>0</v>
      </c>
      <c r="AR89" s="488" t="n">
        <f aca="false">(AQ89+AP89*(1+RdsonBotTc*Ta-RdsonBotTc*25))/(1-AP89*RdsonBotTc*ThetaJA_Q3)</f>
        <v>0.0722084588053468</v>
      </c>
      <c r="AS89" s="488" t="n">
        <f aca="false">CHOOSE(J89, Rdson3*Q89^2, Rdson1*Q89^2, 0)</f>
        <v>0.0711804920793358</v>
      </c>
      <c r="AT89" s="488" t="n">
        <f aca="false">CHOOSE(J89, 2*Deadtime*Fsw*IF(VfdSky_Q2&gt;0,VfdSky_Q2,0)*K89, 2*Deadtime*Fsw*IF(VfdSky_Q3&gt;0,VfdSky_Q3,0)*L89, 2*Deadtime*Fsw/2*IF(VfdSky_Q2&gt;0,VfdSky_Q2,0)*K89+2*Deadtime*Fsw/2*IF(VfdSky_Q3&gt;0,VfdSky_Q3,0)*L89)</f>
        <v>0</v>
      </c>
      <c r="AU89" s="488" t="n">
        <f aca="false">CHOOSE(J89, IF(QrrSky_Q2&gt;0,QrrSky_Q2,Qrr_Q2)*Fsw*(H89-K89*Rdson1), IF(QrrSky_Q3&gt;0,QrrSky_Q3,Qrr_Q3)*Fsw*Vout,  IF(QrrSky_Q2&gt;0,QrrSky_Q2,Qrr_Q2)*Fsw/2*(H89-K89*Rdson1)+IF(QrrSky_Q3&gt;0,QrrSky_Q3,Qrr_Q3)*Fsw/2*Vout)</f>
        <v>0.44539362</v>
      </c>
      <c r="AV89" s="488" t="n">
        <f aca="false">CHOOSE(J89, Rs*AF89^2, Rs*AJ89^2, Rs*(AF89^2+AJ89^2))</f>
        <v>0.146326580621107</v>
      </c>
      <c r="AW89" s="488" t="n">
        <f aca="false">Rshunt_std/1000*Iout^2</f>
        <v>0.14832</v>
      </c>
      <c r="AX89" s="488" t="n">
        <f aca="false">IF(Vout&gt;8, Iq*Vout, Iq*H89)</f>
        <v>0.036</v>
      </c>
      <c r="AY89" s="488" t="n">
        <f aca="false">CHOOSE(J89, (Qg_Q1+Qg_Q2)*Fsw, (Qg_Q3+Qg_Q4)*Fsw, (Qg_Q1+Qg_Q2+Qg_Q3+Qg_Q4)*Fsw/2)*IF(Vout&gt;8, Vout, H89)</f>
        <v>0.0792</v>
      </c>
      <c r="AZ89" s="488" t="n">
        <f aca="false">(Vin-Vdd)*Fsw*(Qg_Q1+Qg_Q2)+(RdsonDRT+RdsonDRT2)*Fsw*Qg_Q1*Vdd/(RdsonDRT+2*Rgate1+RdsonDRT2)+(RdsonDRB+RdsonDRB2)*Fsw*Qg_Q2*Vdd/(RdsonDRB+2*Rgate2+RdsonDRB2)</f>
        <v>0.0522</v>
      </c>
      <c r="BA89" s="488" t="n">
        <f aca="false">SUM(AX89:AY89)</f>
        <v>0.1152</v>
      </c>
      <c r="BB89" s="488" t="n">
        <f aca="false">SUM(T89,W89,Z89,AE89,AI89,AN89,AR89, AT89,AU89,BA89,AV89,AW89)</f>
        <v>2.04597126541725</v>
      </c>
      <c r="BC89" s="419" t="n">
        <f aca="false">Vout*K89</f>
        <v>72</v>
      </c>
      <c r="BD89" s="589" t="n">
        <f aca="false">BC89/(BC89+BB89)</f>
        <v>0.972368905013299</v>
      </c>
      <c r="BE89" s="590" t="n">
        <f aca="false">IF(H89&gt;Vout,ThetaJA_Q1*(AE89+AU89),ThetaJA_Q4*(AN89+AU89))</f>
        <v>35.2270975753892</v>
      </c>
      <c r="BF89" s="590" t="n">
        <f aca="false">IF(H89&gt;Vout, AI89*ThetaJA_Q2, ThetaJA_Q3*AR89)</f>
        <v>12.677224050332</v>
      </c>
      <c r="BG89" s="536"/>
      <c r="BH89" s="385" t="n">
        <f aca="false">BD89*100</f>
        <v>97.2368905013299</v>
      </c>
      <c r="BI89" s="488" t="n">
        <f aca="false">T89</f>
        <v>0.579791377690236</v>
      </c>
      <c r="BJ89" s="488" t="n">
        <f aca="false">AE89+AI89+AN89+AR89+AU89</f>
        <v>1.03029489131977</v>
      </c>
      <c r="BK89" s="488" t="n">
        <f aca="false">AI89+AU89*0.33</f>
        <v>0.400524375606639</v>
      </c>
      <c r="BL89" s="488" t="n">
        <f aca="false">AV89</f>
        <v>0.146326580621107</v>
      </c>
      <c r="BR89" s="591"/>
      <c r="BS89" s="592"/>
    </row>
    <row r="90" customFormat="false" ht="12.75" hidden="false" customHeight="false" outlineLevel="0" collapsed="false">
      <c r="G90" s="0" t="n">
        <v>81</v>
      </c>
      <c r="H90" s="586" t="n">
        <f aca="false">VIN_min+(VIN_max-VIN_min)*(G90/200)</f>
        <v>23.82</v>
      </c>
      <c r="I90" s="385" t="str">
        <f aca="false">IF(H90&gt;VIN_BB_to_buck, "BUCK", IF(H90&lt;VIN_boost_to_BB,"BOOST","BUCK-BST"))</f>
        <v>BUCK</v>
      </c>
      <c r="J90" s="419" t="n">
        <f aca="false">IF(I90="BOOST",2, IF(I90="BUCK", 1,3))</f>
        <v>1</v>
      </c>
      <c r="K90" s="0" t="n">
        <f aca="false">Iout</f>
        <v>6</v>
      </c>
      <c r="L90" s="385" t="n">
        <f aca="false">Vout*K90/(H90*Efficiency)</f>
        <v>3.35852225020991</v>
      </c>
      <c r="M90" s="385" t="n">
        <f aca="false">Iout/(1-O90)</f>
        <v>6</v>
      </c>
      <c r="N90" s="488" t="n">
        <f aca="false">CHOOSE(J90,(Vout+(Rdson2+Rs+Rdcr)*K90)/(H90+(Rs+Rdson2-Rdson1)*K90),1,IF(H90&lt;Vout,D_max_buck_BB,Vout/H90*(1-D_min_boost_exitBB_to_buck)))</f>
        <v>0.507051282051282</v>
      </c>
      <c r="O90" s="488" t="n">
        <f aca="false">CHOOSE(J90,0,(Vout+(Rdson3+Rdcr)*L90-H90)/(Vout+(Rdson3-Rdson4-Rs)*L90),IF(H90&gt;Vout,D_min_boost_exitBB_to_buck, (Vout-H90*D_max_buck_BB)/Vout))</f>
        <v>0</v>
      </c>
      <c r="P90" s="385" t="n">
        <f aca="false">MAX(0, CHOOSE(J90, (H90-(Rdson1+Rdcr)*K90-Vout)*N90/(Fsw*Lf), (H90-(Rdson4+Rdcr+Rs)*L90)*O90/(Fsw*Lf), IF(H90&lt;Vout, (H90-(Rdson4+Rdcr+Rs)*L90)*O90/(0.5*Fsw*Lf),(H90-(Rdson1+Rdcr)*K90-Vout)*N90/(0.5*Fsw*Lf))))</f>
        <v>4.2310732405892</v>
      </c>
      <c r="Q90" s="488" t="n">
        <f aca="false">CHOOSE(J90, SQRT(K90^2+(P90^2)/12), SQRT(L90^2+(P90^2)/12), SQRT(M90^2+(P90^2)/12))</f>
        <v>6.12305738423237</v>
      </c>
      <c r="R90" s="488" t="n">
        <f aca="false">(Q90^2*Rdcr*(1+Ltc*Ta-Ltc*25))/(1-Q90^2*Rdcr*Ltc*ThetaCa)</f>
        <v>0.126872426447368</v>
      </c>
      <c r="S90" s="488" t="n">
        <f aca="false">7.759*10^-3*Fsw^0.9458*(0.00787*P90)^2.304</f>
        <v>0.463164078177855</v>
      </c>
      <c r="T90" s="488" t="n">
        <f aca="false">R90+S90</f>
        <v>0.590036504625223</v>
      </c>
      <c r="U90" s="385" t="n">
        <f aca="false">IF(H90&gt;Vout, P90/SQRT(12), SQRT(O90/(1-O90))*SQRT(K90^2+(P90^2)/12))</f>
        <v>1.2214056372076</v>
      </c>
      <c r="V90" s="488" t="n">
        <f aca="false">RCoutEsr*U90^2</f>
        <v>0.00745915865301249</v>
      </c>
      <c r="W90" s="488" t="n">
        <f aca="false">V90</f>
        <v>0.00745915865301249</v>
      </c>
      <c r="X90" s="488" t="n">
        <f aca="false">IF(H90&gt;Vout, SQRT(N90*(1-N90))*SQRT(K90^2+(P90^2)/12), P90/SQRT(12))</f>
        <v>3.06122423502191</v>
      </c>
      <c r="Y90" s="587" t="n">
        <f aca="false">RCinEsr*X90^2</f>
        <v>0.0187421876341709</v>
      </c>
      <c r="Z90" s="588" t="n">
        <f aca="false">Y90</f>
        <v>0.0187421876341709</v>
      </c>
      <c r="AA90" s="488" t="n">
        <f aca="false">CHOOSE(J90, SQRT(N90)*SQRT(K90^2+(P90^2)/12), SQRT(L90^2+(P90^2)/12), SQRT(N90)*SQRT(M90^2+(P90^2)/12))</f>
        <v>4.36007813524631</v>
      </c>
      <c r="AB90" s="488" t="n">
        <f aca="false">Rdson1*AA90^2</f>
        <v>0.108358603669082</v>
      </c>
      <c r="AC90" s="488" t="n">
        <f aca="false">CHOOSE(J90, (H90*K90/2)*(Fsw)*(Tr_buck+Tf_buck), 0, (H90*M90/2)*(Fsw/2)*(Tr_buck+Tf_buck))</f>
        <v>0.145544642754663</v>
      </c>
      <c r="AD90" s="0" t="n">
        <f aca="false">IF(H90&gt;Vout, IF(K90&gt;P90/2,0,ABS(K90-P90/2)*Vsd_Q1*Deadtime*Fsw),0)</f>
        <v>0</v>
      </c>
      <c r="AE90" s="488" t="n">
        <f aca="false">(AD90+AC90+AB90*(1+RdsonTopTc*Ta-RdsonTopTc*25))/(1-AB90*RdsonTopTc*ThetaJA_Q1)</f>
        <v>0.259527657336237</v>
      </c>
      <c r="AF90" s="488" t="n">
        <f aca="false">CHOOSE(J90, SQRT((1-N90))*SQRT(K90^2+(P90^2)/12), 0, SQRT((1-N90))*SQRT(M90^2+(P90^2)/12))</f>
        <v>4.29901737437168</v>
      </c>
      <c r="AG90" s="488" t="n">
        <f aca="false">Rdson2*AF90^2</f>
        <v>0.105344837195353</v>
      </c>
      <c r="AH90" s="488" t="n">
        <f aca="false">CHOOSE(J90, IF(K90&lt;P90/2,Deadtime*Fsw*IF(VfdSky_Q2&gt;0,0,Vsd_Q2)*(K90+P90/2),2*Deadtime*Fsw*IF(VfdSky_Q2&gt;0,0,Vsd_Q2)*K90),0, IF(K90&lt;P90/2,Deadtime*Fsw/2*IF(VfdSky_Q2&gt;0,0,Vsd_Q2)*(K90+P90/2),2*Deadtime*Fsw/2*IF(VfdSky_Q2&gt;0,0,Vsd_Q2)*K90))</f>
        <v>0.144</v>
      </c>
      <c r="AI90" s="488" t="n">
        <f aca="false">(AH90+AG90*(1+RdsonBotTc*Ta-RdsonBotTc*25))/(1-AG90*RdsonBotTc*ThetaJA_Q2)</f>
        <v>0.254711342169892</v>
      </c>
      <c r="AJ90" s="488" t="n">
        <f aca="false">CHOOSE(J90, 0, SQRT(O90)*SQRT(L90^2+(P90^2)/12), SQRT(O90)*SQRT(M90^2+(P90^2)/12))</f>
        <v>0</v>
      </c>
      <c r="AK90" s="488" t="n">
        <f aca="false">Rdson4*AJ90^2</f>
        <v>0</v>
      </c>
      <c r="AL90" s="488" t="n">
        <f aca="false">CHOOSE(J90, 0, (Vout*L90/2)*(Fsw)*(Tr_boost+Tf_boost), (Vout*Iout/2)*(Fsw/2)*(Tr_boost+Tf_boost))</f>
        <v>0</v>
      </c>
      <c r="AM90" s="0" t="n">
        <f aca="false">IF(H90&gt;Vout, 0, IF(L90&gt;P90/2,0,ABS(L90-P90/2)*Vsd_Q4*Deadtime*Fsw))</f>
        <v>0</v>
      </c>
      <c r="AN90" s="488" t="n">
        <f aca="false">(AM90+AL90+AK90*(1+RdsonTopTc*Ta-RdsonTopTc*25))/(1-AK90*RdsonTopTc*ThetaJA_Q4)</f>
        <v>0</v>
      </c>
      <c r="AO90" s="488" t="n">
        <f aca="false">CHOOSE(J90, SQRT(Iout^2+(P90^2)/12), SQRT(1-O90)*SQRT(L90^2+(P90^2)/12), SQRT(1-O90)*SQRT(M90^2+(P90^2)/12))</f>
        <v>6.12305738423237</v>
      </c>
      <c r="AP90" s="488" t="n">
        <f aca="false">Rdson3*AO90^2</f>
        <v>0.0712344802881447</v>
      </c>
      <c r="AQ90" s="488" t="n">
        <f aca="false">CHOOSE(J90, 0, IF(L90&lt;P90/2,Deadtime*Fsw*IF(VfdSky_Q3&gt;0,0,Vsd_Q3)*(L90+P90/2), 2*Deadtime*Fsw*IF(VfdSky_Q3&gt;0,0,Vsd_Q3)*L90), IF(L90&lt;P90/2,Deadtime*Fsw/2*IF(VfdSky_Q3&gt;0,0,Vsd_Q3)*(L90+P90/2), 2*Deadtime*Fsw/2*IF(VfdSky_Q3&gt;0,0,Vsd_Q3)*L90))</f>
        <v>0</v>
      </c>
      <c r="AR90" s="488" t="n">
        <f aca="false">(AQ90+AP90*(1+RdsonBotTc*Ta-RdsonBotTc*25))/(1-AP90*RdsonBotTc*ThetaJA_Q3)</f>
        <v>0.0722640182447848</v>
      </c>
      <c r="AS90" s="488" t="n">
        <f aca="false">CHOOSE(J90, Rdson3*Q90^2, Rdson1*Q90^2, 0)</f>
        <v>0.0712344802881447</v>
      </c>
      <c r="AT90" s="488" t="n">
        <f aca="false">CHOOSE(J90, 2*Deadtime*Fsw*IF(VfdSky_Q2&gt;0,VfdSky_Q2,0)*K90, 2*Deadtime*Fsw*IF(VfdSky_Q3&gt;0,VfdSky_Q3,0)*L90, 2*Deadtime*Fsw/2*IF(VfdSky_Q2&gt;0,VfdSky_Q2,0)*K90+2*Deadtime*Fsw/2*IF(VfdSky_Q3&gt;0,VfdSky_Q3,0)*L90)</f>
        <v>0</v>
      </c>
      <c r="AU90" s="488" t="n">
        <f aca="false">CHOOSE(J90, IF(QrrSky_Q2&gt;0,QrrSky_Q2,Qrr_Q2)*Fsw*(H90-K90*Rdson1), IF(QrrSky_Q3&gt;0,QrrSky_Q3,Qrr_Q3)*Fsw*Vout,  IF(QrrSky_Q2&gt;0,QrrSky_Q2,Qrr_Q2)*Fsw/2*(H90-K90*Rdson1)+IF(QrrSky_Q3&gt;0,QrrSky_Q3,Qrr_Q3)*Fsw/2*Vout)</f>
        <v>0.44955162</v>
      </c>
      <c r="AV90" s="488" t="n">
        <f aca="false">CHOOSE(J90, Rs*AF90^2, Rs*AJ90^2, Rs*(AF90^2+AJ90^2))</f>
        <v>0.147852403081197</v>
      </c>
      <c r="AW90" s="488" t="n">
        <f aca="false">Rshunt_std/1000*Iout^2</f>
        <v>0.14832</v>
      </c>
      <c r="AX90" s="488" t="n">
        <f aca="false">IF(Vout&gt;8, Iq*Vout, Iq*H90)</f>
        <v>0.036</v>
      </c>
      <c r="AY90" s="488" t="n">
        <f aca="false">CHOOSE(J90, (Qg_Q1+Qg_Q2)*Fsw, (Qg_Q3+Qg_Q4)*Fsw, (Qg_Q1+Qg_Q2+Qg_Q3+Qg_Q4)*Fsw/2)*IF(Vout&gt;8, Vout, H90)</f>
        <v>0.0792</v>
      </c>
      <c r="AZ90" s="488" t="n">
        <f aca="false">(Vin-Vdd)*Fsw*(Qg_Q1+Qg_Q2)+(RdsonDRT+RdsonDRT2)*Fsw*Qg_Q1*Vdd/(RdsonDRT+2*Rgate1+RdsonDRT2)+(RdsonDRB+RdsonDRB2)*Fsw*Qg_Q2*Vdd/(RdsonDRB+2*Rgate2+RdsonDRB2)</f>
        <v>0.0522</v>
      </c>
      <c r="BA90" s="488" t="n">
        <f aca="false">SUM(AX90:AY90)</f>
        <v>0.1152</v>
      </c>
      <c r="BB90" s="488" t="n">
        <f aca="false">SUM(T90,W90,Z90,AE90,AI90,AN90,AR90, AT90,AU90,BA90,AV90,AW90)</f>
        <v>2.06366489174452</v>
      </c>
      <c r="BC90" s="419" t="n">
        <f aca="false">Vout*K90</f>
        <v>72</v>
      </c>
      <c r="BD90" s="589" t="n">
        <f aca="false">BC90/(BC90+BB90)</f>
        <v>0.972136608487294</v>
      </c>
      <c r="BE90" s="590" t="n">
        <f aca="false">IF(H90&gt;Vout,ThetaJA_Q1*(AE90+AU90),ThetaJA_Q4*(AN90+AU90))</f>
        <v>35.4539638668119</v>
      </c>
      <c r="BF90" s="590" t="n">
        <f aca="false">IF(H90&gt;Vout, AI90*ThetaJA_Q2, ThetaJA_Q3*AR90)</f>
        <v>12.7355671084946</v>
      </c>
      <c r="BG90" s="536"/>
      <c r="BH90" s="385" t="n">
        <f aca="false">BD90*100</f>
        <v>97.2136608487294</v>
      </c>
      <c r="BI90" s="488" t="n">
        <f aca="false">T90</f>
        <v>0.590036504625223</v>
      </c>
      <c r="BJ90" s="488" t="n">
        <f aca="false">AE90+AI90+AN90+AR90+AU90</f>
        <v>1.03605463775091</v>
      </c>
      <c r="BK90" s="488" t="n">
        <f aca="false">AI90+AU90*0.33</f>
        <v>0.403063376769892</v>
      </c>
      <c r="BL90" s="488" t="n">
        <f aca="false">AV90</f>
        <v>0.147852403081197</v>
      </c>
      <c r="BR90" s="591"/>
      <c r="BS90" s="592"/>
    </row>
    <row r="91" customFormat="false" ht="12.75" hidden="false" customHeight="false" outlineLevel="0" collapsed="false">
      <c r="G91" s="0" t="n">
        <v>82</v>
      </c>
      <c r="H91" s="586" t="n">
        <f aca="false">VIN_min+(VIN_max-VIN_min)*(G91/200)</f>
        <v>24.04</v>
      </c>
      <c r="I91" s="385" t="str">
        <f aca="false">IF(H91&gt;VIN_BB_to_buck, "BUCK", IF(H91&lt;VIN_boost_to_BB,"BOOST","BUCK-BST"))</f>
        <v>BUCK</v>
      </c>
      <c r="J91" s="419" t="n">
        <f aca="false">IF(I91="BOOST",2, IF(I91="BUCK", 1,3))</f>
        <v>1</v>
      </c>
      <c r="K91" s="0" t="n">
        <f aca="false">Iout</f>
        <v>6</v>
      </c>
      <c r="L91" s="385" t="n">
        <f aca="false">Vout*K91/(H91*Efficiency)</f>
        <v>3.32778702163062</v>
      </c>
      <c r="M91" s="385" t="n">
        <f aca="false">Iout/(1-O91)</f>
        <v>6</v>
      </c>
      <c r="N91" s="488" t="n">
        <f aca="false">CHOOSE(J91,(Vout+(Rdson2+Rs+Rdcr)*K91)/(H91+(Rs+Rdson2-Rdson1)*K91),1,IF(H91&lt;Vout,D_max_buck_BB,Vout/H91*(1-D_min_boost_exitBB_to_buck)))</f>
        <v>0.502420292261707</v>
      </c>
      <c r="O91" s="488" t="n">
        <f aca="false">CHOOSE(J91,0,(Vout+(Rdson3+Rdcr)*L91-H91)/(Vout+(Rdson3-Rdson4-Rs)*L91),IF(H91&gt;Vout,D_min_boost_exitBB_to_buck, (Vout-H91*D_max_buck_BB)/Vout))</f>
        <v>0</v>
      </c>
      <c r="P91" s="385" t="n">
        <f aca="false">MAX(0, CHOOSE(J91, (H91-(Rdson1+Rdcr)*K91-Vout)*N91/(Fsw*Lf), (H91-(Rdson4+Rdcr+Rs)*L91)*O91/(Fsw*Lf), IF(H91&lt;Vout, (H91-(Rdson4+Rdcr+Rs)*L91)*O91/(0.5*Fsw*Lf),(H91-(Rdson1+Rdcr)*K91-Vout)*N91/(0.5*Fsw*Lf))))</f>
        <v>4.2708219127384</v>
      </c>
      <c r="Q91" s="488" t="n">
        <f aca="false">CHOOSE(J91, SQRT(K91^2+(P91^2)/12), SQRT(L91^2+(P91^2)/12), SQRT(M91^2+(P91^2)/12))</f>
        <v>6.12535658696922</v>
      </c>
      <c r="R91" s="488" t="n">
        <f aca="false">(Q91^2*Rdcr*(1+Ltc*Ta-Ltc*25))/(1-Q91^2*Rdcr*Ltc*ThetaCa)</f>
        <v>0.126968693306252</v>
      </c>
      <c r="S91" s="488" t="n">
        <f aca="false">7.759*10^-3*Fsw^0.9458*(0.00787*P91)^2.304</f>
        <v>0.473250658748427</v>
      </c>
      <c r="T91" s="488" t="n">
        <f aca="false">R91+S91</f>
        <v>0.600219352054679</v>
      </c>
      <c r="U91" s="385" t="n">
        <f aca="false">IF(H91&gt;Vout, P91/SQRT(12), SQRT(O91/(1-O91))*SQRT(K91^2+(P91^2)/12))</f>
        <v>1.23288009049023</v>
      </c>
      <c r="V91" s="488" t="n">
        <f aca="false">RCoutEsr*U91^2</f>
        <v>0.00759996658763604</v>
      </c>
      <c r="W91" s="488" t="n">
        <f aca="false">V91</f>
        <v>0.00759996658763604</v>
      </c>
      <c r="X91" s="488" t="n">
        <f aca="false">IF(H91&gt;Vout, SQRT(N91*(1-N91))*SQRT(K91^2+(P91^2)/12), P91/SQRT(12))</f>
        <v>3.06264241207098</v>
      </c>
      <c r="Y91" s="587" t="n">
        <f aca="false">RCinEsr*X91^2</f>
        <v>0.0187595570884319</v>
      </c>
      <c r="Z91" s="588" t="n">
        <f aca="false">Y91</f>
        <v>0.0187595570884319</v>
      </c>
      <c r="AA91" s="488" t="n">
        <f aca="false">CHOOSE(J91, SQRT(N91)*SQRT(K91^2+(P91^2)/12), SQRT(L91^2+(P91^2)/12), SQRT(N91)*SQRT(M91^2+(P91^2)/12))</f>
        <v>4.34175149084437</v>
      </c>
      <c r="AB91" s="488" t="n">
        <f aca="false">Rdson1*AA91^2</f>
        <v>0.107449594247021</v>
      </c>
      <c r="AC91" s="488" t="n">
        <f aca="false">CHOOSE(J91, (H91*K91/2)*(Fsw)*(Tr_buck+Tf_buck), 0, (H91*M91/2)*(Fsw/2)*(Tr_buck+Tf_buck))</f>
        <v>0.146888883787661</v>
      </c>
      <c r="AD91" s="0" t="n">
        <f aca="false">IF(H91&gt;Vout, IF(K91&gt;P91/2,0,ABS(K91-P91/2)*Vsd_Q1*Deadtime*Fsw),0)</f>
        <v>0</v>
      </c>
      <c r="AE91" s="488" t="n">
        <f aca="false">(AD91+AC91+AB91*(1+RdsonTopTc*Ta-RdsonTopTc*25))/(1-AB91*RdsonTopTc*ThetaJA_Q1)</f>
        <v>0.259924228614604</v>
      </c>
      <c r="AF91" s="488" t="n">
        <f aca="false">CHOOSE(J91, SQRT((1-N91))*SQRT(K91^2+(P91^2)/12), 0, SQRT((1-N91))*SQRT(M91^2+(P91^2)/12))</f>
        <v>4.32078549679082</v>
      </c>
      <c r="AG91" s="488" t="n">
        <f aca="false">Rdson2*AF91^2</f>
        <v>0.106414367662884</v>
      </c>
      <c r="AH91" s="488" t="n">
        <f aca="false">CHOOSE(J91, IF(K91&lt;P91/2,Deadtime*Fsw*IF(VfdSky_Q2&gt;0,0,Vsd_Q2)*(K91+P91/2),2*Deadtime*Fsw*IF(VfdSky_Q2&gt;0,0,Vsd_Q2)*K91),0, IF(K91&lt;P91/2,Deadtime*Fsw/2*IF(VfdSky_Q2&gt;0,0,Vsd_Q2)*(K91+P91/2),2*Deadtime*Fsw/2*IF(VfdSky_Q2&gt;0,0,Vsd_Q2)*K91))</f>
        <v>0.144</v>
      </c>
      <c r="AI91" s="488" t="n">
        <f aca="false">(AH91+AG91*(1+RdsonBotTc*Ta-RdsonBotTc*25))/(1-AG91*RdsonBotTc*ThetaJA_Q2)</f>
        <v>0.255859799415924</v>
      </c>
      <c r="AJ91" s="488" t="n">
        <f aca="false">CHOOSE(J91, 0, SQRT(O91)*SQRT(L91^2+(P91^2)/12), SQRT(O91)*SQRT(M91^2+(P91^2)/12))</f>
        <v>0</v>
      </c>
      <c r="AK91" s="488" t="n">
        <f aca="false">Rdson4*AJ91^2</f>
        <v>0</v>
      </c>
      <c r="AL91" s="488" t="n">
        <f aca="false">CHOOSE(J91, 0, (Vout*L91/2)*(Fsw)*(Tr_boost+Tf_boost), (Vout*Iout/2)*(Fsw/2)*(Tr_boost+Tf_boost))</f>
        <v>0</v>
      </c>
      <c r="AM91" s="0" t="n">
        <f aca="false">IF(H91&gt;Vout, 0, IF(L91&gt;P91/2,0,ABS(L91-P91/2)*Vsd_Q4*Deadtime*Fsw))</f>
        <v>0</v>
      </c>
      <c r="AN91" s="488" t="n">
        <f aca="false">(AM91+AL91+AK91*(1+RdsonTopTc*Ta-RdsonTopTc*25))/(1-AK91*RdsonTopTc*ThetaJA_Q4)</f>
        <v>0</v>
      </c>
      <c r="AO91" s="488" t="n">
        <f aca="false">CHOOSE(J91, SQRT(Iout^2+(P91^2)/12), SQRT(1-O91)*SQRT(L91^2+(P91^2)/12), SQRT(1-O91)*SQRT(M91^2+(P91^2)/12))</f>
        <v>6.12535658696922</v>
      </c>
      <c r="AP91" s="488" t="n">
        <f aca="false">Rdson3*AO91^2</f>
        <v>0.0712879873033017</v>
      </c>
      <c r="AQ91" s="488" t="n">
        <f aca="false">CHOOSE(J91, 0, IF(L91&lt;P91/2,Deadtime*Fsw*IF(VfdSky_Q3&gt;0,0,Vsd_Q3)*(L91+P91/2), 2*Deadtime*Fsw*IF(VfdSky_Q3&gt;0,0,Vsd_Q3)*L91), IF(L91&lt;P91/2,Deadtime*Fsw/2*IF(VfdSky_Q3&gt;0,0,Vsd_Q3)*(L91+P91/2), 2*Deadtime*Fsw/2*IF(VfdSky_Q3&gt;0,0,Vsd_Q3)*L91))</f>
        <v>0</v>
      </c>
      <c r="AR91" s="488" t="n">
        <f aca="false">(AQ91+AP91*(1+RdsonBotTc*Ta-RdsonBotTc*25))/(1-AP91*RdsonBotTc*ThetaJA_Q3)</f>
        <v>0.0723190836872382</v>
      </c>
      <c r="AS91" s="488" t="n">
        <f aca="false">CHOOSE(J91, Rdson3*Q91^2, Rdson1*Q91^2, 0)</f>
        <v>0.0712879873033017</v>
      </c>
      <c r="AT91" s="488" t="n">
        <f aca="false">CHOOSE(J91, 2*Deadtime*Fsw*IF(VfdSky_Q2&gt;0,VfdSky_Q2,0)*K91, 2*Deadtime*Fsw*IF(VfdSky_Q3&gt;0,VfdSky_Q3,0)*L91, 2*Deadtime*Fsw/2*IF(VfdSky_Q2&gt;0,VfdSky_Q2,0)*K91+2*Deadtime*Fsw/2*IF(VfdSky_Q3&gt;0,VfdSky_Q3,0)*L91)</f>
        <v>0</v>
      </c>
      <c r="AU91" s="488" t="n">
        <f aca="false">CHOOSE(J91, IF(QrrSky_Q2&gt;0,QrrSky_Q2,Qrr_Q2)*Fsw*(H91-K91*Rdson1), IF(QrrSky_Q3&gt;0,QrrSky_Q3,Qrr_Q3)*Fsw*Vout,  IF(QrrSky_Q2&gt;0,QrrSky_Q2,Qrr_Q2)*Fsw/2*(H91-K91*Rdson1)+IF(QrrSky_Q3&gt;0,QrrSky_Q3,Qrr_Q3)*Fsw/2*Vout)</f>
        <v>0.45370962</v>
      </c>
      <c r="AV91" s="488" t="n">
        <f aca="false">CHOOSE(J91, Rs*AF91^2, Rs*AJ91^2, Rs*(AF91^2+AJ91^2))</f>
        <v>0.149353498474223</v>
      </c>
      <c r="AW91" s="488" t="n">
        <f aca="false">Rshunt_std/1000*Iout^2</f>
        <v>0.14832</v>
      </c>
      <c r="AX91" s="488" t="n">
        <f aca="false">IF(Vout&gt;8, Iq*Vout, Iq*H91)</f>
        <v>0.036</v>
      </c>
      <c r="AY91" s="488" t="n">
        <f aca="false">CHOOSE(J91, (Qg_Q1+Qg_Q2)*Fsw, (Qg_Q3+Qg_Q4)*Fsw, (Qg_Q1+Qg_Q2+Qg_Q3+Qg_Q4)*Fsw/2)*IF(Vout&gt;8, Vout, H91)</f>
        <v>0.0792</v>
      </c>
      <c r="AZ91" s="488" t="n">
        <f aca="false">(Vin-Vdd)*Fsw*(Qg_Q1+Qg_Q2)+(RdsonDRT+RdsonDRT2)*Fsw*Qg_Q1*Vdd/(RdsonDRT+2*Rgate1+RdsonDRT2)+(RdsonDRB+RdsonDRB2)*Fsw*Qg_Q2*Vdd/(RdsonDRB+2*Rgate2+RdsonDRB2)</f>
        <v>0.0522</v>
      </c>
      <c r="BA91" s="488" t="n">
        <f aca="false">SUM(AX91:AY91)</f>
        <v>0.1152</v>
      </c>
      <c r="BB91" s="488" t="n">
        <f aca="false">SUM(T91,W91,Z91,AE91,AI91,AN91,AR91, AT91,AU91,BA91,AV91,AW91)</f>
        <v>2.08126510592274</v>
      </c>
      <c r="BC91" s="419" t="n">
        <f aca="false">Vout*K91</f>
        <v>72</v>
      </c>
      <c r="BD91" s="589" t="n">
        <f aca="false">BC91/(BC91+BB91)</f>
        <v>0.97190564843963</v>
      </c>
      <c r="BE91" s="590" t="n">
        <f aca="false">IF(H91&gt;Vout,ThetaJA_Q1*(AE91+AU91),ThetaJA_Q4*(AN91+AU91))</f>
        <v>35.6816924307302</v>
      </c>
      <c r="BF91" s="590" t="n">
        <f aca="false">IF(H91&gt;Vout, AI91*ThetaJA_Q2, ThetaJA_Q3*AR91)</f>
        <v>12.7929899707962</v>
      </c>
      <c r="BG91" s="536"/>
      <c r="BH91" s="385" t="n">
        <f aca="false">BD91*100</f>
        <v>97.190564843963</v>
      </c>
      <c r="BI91" s="488" t="n">
        <f aca="false">T91</f>
        <v>0.600219352054679</v>
      </c>
      <c r="BJ91" s="488" t="n">
        <f aca="false">AE91+AI91+AN91+AR91+AU91</f>
        <v>1.04181273171777</v>
      </c>
      <c r="BK91" s="488" t="n">
        <f aca="false">AI91+AU91*0.33</f>
        <v>0.405583974015924</v>
      </c>
      <c r="BL91" s="488" t="n">
        <f aca="false">AV91</f>
        <v>0.149353498474223</v>
      </c>
      <c r="BR91" s="591"/>
      <c r="BS91" s="592"/>
    </row>
    <row r="92" customFormat="false" ht="12.75" hidden="false" customHeight="false" outlineLevel="0" collapsed="false">
      <c r="G92" s="0" t="n">
        <v>83</v>
      </c>
      <c r="H92" s="586" t="n">
        <f aca="false">VIN_min+(VIN_max-VIN_min)*(G92/200)</f>
        <v>24.26</v>
      </c>
      <c r="I92" s="385" t="str">
        <f aca="false">IF(H92&gt;VIN_BB_to_buck, "BUCK", IF(H92&lt;VIN_boost_to_BB,"BOOST","BUCK-BST"))</f>
        <v>BUCK</v>
      </c>
      <c r="J92" s="419" t="n">
        <f aca="false">IF(I92="BOOST",2, IF(I92="BUCK", 1,3))</f>
        <v>1</v>
      </c>
      <c r="K92" s="0" t="n">
        <f aca="false">Iout</f>
        <v>6</v>
      </c>
      <c r="L92" s="385" t="n">
        <f aca="false">Vout*K92/(H92*Efficiency)</f>
        <v>3.29760923330585</v>
      </c>
      <c r="M92" s="385" t="n">
        <f aca="false">Iout/(1-O92)</f>
        <v>6</v>
      </c>
      <c r="N92" s="488" t="n">
        <f aca="false">CHOOSE(J92,(Vout+(Rdson2+Rs+Rdcr)*K92)/(H92+(Rs+Rdson2-Rdson1)*K92),1,IF(H92&lt;Vout,D_max_buck_BB,Vout/H92*(1-D_min_boost_exitBB_to_buck)))</f>
        <v>0.497873128188251</v>
      </c>
      <c r="O92" s="488" t="n">
        <f aca="false">CHOOSE(J92,0,(Vout+(Rdson3+Rdcr)*L92-H92)/(Vout+(Rdson3-Rdson4-Rs)*L92),IF(H92&gt;Vout,D_min_boost_exitBB_to_buck, (Vout-H92*D_max_buck_BB)/Vout))</f>
        <v>0</v>
      </c>
      <c r="P92" s="385" t="n">
        <f aca="false">MAX(0, CHOOSE(J92, (H92-(Rdson1+Rdcr)*K92-Vout)*N92/(Fsw*Lf), (H92-(Rdson4+Rdcr+Rs)*L92)*O92/(Fsw*Lf), IF(H92&lt;Vout, (H92-(Rdson4+Rdcr+Rs)*L92)*O92/(0.5*Fsw*Lf),(H92-(Rdson1+Rdcr)*K92-Vout)*N92/(0.5*Fsw*Lf))))</f>
        <v>4.30985109271442</v>
      </c>
      <c r="Q92" s="488" t="n">
        <f aca="false">CHOOSE(J92, SQRT(K92^2+(P92^2)/12), SQRT(L92^2+(P92^2)/12), SQRT(M92^2+(P92^2)/12))</f>
        <v>6.12763423925697</v>
      </c>
      <c r="R92" s="488" t="n">
        <f aca="false">(Q92^2*Rdcr*(1+Ltc*Ta-Ltc*25))/(1-Q92^2*Rdcr*Ltc*ThetaCa)</f>
        <v>0.127064094937865</v>
      </c>
      <c r="S92" s="488" t="n">
        <f aca="false">7.759*10^-3*Fsw^0.9458*(0.00787*P92)^2.304</f>
        <v>0.483274496806202</v>
      </c>
      <c r="T92" s="488" t="n">
        <f aca="false">R92+S92</f>
        <v>0.610338591744067</v>
      </c>
      <c r="U92" s="385" t="n">
        <f aca="false">IF(H92&gt;Vout, P92/SQRT(12), SQRT(O92/(1-O92))*SQRT(K92^2+(P92^2)/12))</f>
        <v>1.24414684427294</v>
      </c>
      <c r="V92" s="488" t="n">
        <f aca="false">RCoutEsr*U92^2</f>
        <v>0.00773950685057153</v>
      </c>
      <c r="W92" s="488" t="n">
        <f aca="false">V92</f>
        <v>0.00773950685057153</v>
      </c>
      <c r="X92" s="488" t="n">
        <f aca="false">IF(H92&gt;Vout, SQRT(N92*(1-N92))*SQRT(K92^2+(P92^2)/12), P92/SQRT(12))</f>
        <v>3.06378940063671</v>
      </c>
      <c r="Y92" s="587" t="n">
        <f aca="false">RCinEsr*X92^2</f>
        <v>0.0187736109829077</v>
      </c>
      <c r="Z92" s="588" t="n">
        <f aca="false">Y92</f>
        <v>0.0187736109829077</v>
      </c>
      <c r="AA92" s="488" t="n">
        <f aca="false">CHOOSE(J92, SQRT(N92)*SQRT(K92^2+(P92^2)/12), SQRT(L92^2+(P92^2)/12), SQRT(N92)*SQRT(M92^2+(P92^2)/12))</f>
        <v>4.32366639694169</v>
      </c>
      <c r="AB92" s="488" t="n">
        <f aca="false">Rdson1*AA92^2</f>
        <v>0.106556319338643</v>
      </c>
      <c r="AC92" s="488" t="n">
        <f aca="false">CHOOSE(J92, (H92*K92/2)*(Fsw)*(Tr_buck+Tf_buck), 0, (H92*M92/2)*(Fsw/2)*(Tr_buck+Tf_buck))</f>
        <v>0.14823312482066</v>
      </c>
      <c r="AD92" s="0" t="n">
        <f aca="false">IF(H92&gt;Vout, IF(K92&gt;P92/2,0,ABS(K92-P92/2)*Vsd_Q1*Deadtime*Fsw),0)</f>
        <v>0</v>
      </c>
      <c r="AE92" s="488" t="n">
        <f aca="false">(AD92+AC92+AB92*(1+RdsonTopTc*Ta-RdsonTopTc*25))/(1-AB92*RdsonTopTc*ThetaJA_Q1)</f>
        <v>0.260337566738756</v>
      </c>
      <c r="AF92" s="488" t="n">
        <f aca="false">CHOOSE(J92, SQRT((1-N92))*SQRT(K92^2+(P92^2)/12), 0, SQRT((1-N92))*SQRT(M92^2+(P92^2)/12))</f>
        <v>4.34209744916804</v>
      </c>
      <c r="AG92" s="488" t="n">
        <f aca="false">Rdson2*AF92^2</f>
        <v>0.107466718471008</v>
      </c>
      <c r="AH92" s="488" t="n">
        <f aca="false">CHOOSE(J92, IF(K92&lt;P92/2,Deadtime*Fsw*IF(VfdSky_Q2&gt;0,0,Vsd_Q2)*(K92+P92/2),2*Deadtime*Fsw*IF(VfdSky_Q2&gt;0,0,Vsd_Q2)*K92),0, IF(K92&lt;P92/2,Deadtime*Fsw/2*IF(VfdSky_Q2&gt;0,0,Vsd_Q2)*(K92+P92/2),2*Deadtime*Fsw/2*IF(VfdSky_Q2&gt;0,0,Vsd_Q2)*K92))</f>
        <v>0.144</v>
      </c>
      <c r="AI92" s="488" t="n">
        <f aca="false">(AH92+AG92*(1+RdsonBotTc*Ta-RdsonBotTc*25))/(1-AG92*RdsonBotTc*ThetaJA_Q2)</f>
        <v>0.256990299299937</v>
      </c>
      <c r="AJ92" s="488" t="n">
        <f aca="false">CHOOSE(J92, 0, SQRT(O92)*SQRT(L92^2+(P92^2)/12), SQRT(O92)*SQRT(M92^2+(P92^2)/12))</f>
        <v>0</v>
      </c>
      <c r="AK92" s="488" t="n">
        <f aca="false">Rdson4*AJ92^2</f>
        <v>0</v>
      </c>
      <c r="AL92" s="488" t="n">
        <f aca="false">CHOOSE(J92, 0, (Vout*L92/2)*(Fsw)*(Tr_boost+Tf_boost), (Vout*Iout/2)*(Fsw/2)*(Tr_boost+Tf_boost))</f>
        <v>0</v>
      </c>
      <c r="AM92" s="0" t="n">
        <f aca="false">IF(H92&gt;Vout, 0, IF(L92&gt;P92/2,0,ABS(L92-P92/2)*Vsd_Q4*Deadtime*Fsw))</f>
        <v>0</v>
      </c>
      <c r="AN92" s="488" t="n">
        <f aca="false">(AM92+AL92+AK92*(1+RdsonTopTc*Ta-RdsonTopTc*25))/(1-AK92*RdsonTopTc*ThetaJA_Q4)</f>
        <v>0</v>
      </c>
      <c r="AO92" s="488" t="n">
        <f aca="false">CHOOSE(J92, SQRT(Iout^2+(P92^2)/12), SQRT(1-O92)*SQRT(L92^2+(P92^2)/12), SQRT(1-O92)*SQRT(M92^2+(P92^2)/12))</f>
        <v>6.12763423925697</v>
      </c>
      <c r="AP92" s="488" t="n">
        <f aca="false">Rdson3*AO92^2</f>
        <v>0.0713410126032172</v>
      </c>
      <c r="AQ92" s="488" t="n">
        <f aca="false">CHOOSE(J92, 0, IF(L92&lt;P92/2,Deadtime*Fsw*IF(VfdSky_Q3&gt;0,0,Vsd_Q3)*(L92+P92/2), 2*Deadtime*Fsw*IF(VfdSky_Q3&gt;0,0,Vsd_Q3)*L92), IF(L92&lt;P92/2,Deadtime*Fsw/2*IF(VfdSky_Q3&gt;0,0,Vsd_Q3)*(L92+P92/2), 2*Deadtime*Fsw/2*IF(VfdSky_Q3&gt;0,0,Vsd_Q3)*L92))</f>
        <v>0</v>
      </c>
      <c r="AR92" s="488" t="n">
        <f aca="false">(AQ92+AP92*(1+RdsonBotTc*Ta-RdsonBotTc*25))/(1-AP92*RdsonBotTc*ThetaJA_Q3)</f>
        <v>0.072373654563691</v>
      </c>
      <c r="AS92" s="488" t="n">
        <f aca="false">CHOOSE(J92, Rdson3*Q92^2, Rdson1*Q92^2, 0)</f>
        <v>0.0713410126032172</v>
      </c>
      <c r="AT92" s="488" t="n">
        <f aca="false">CHOOSE(J92, 2*Deadtime*Fsw*IF(VfdSky_Q2&gt;0,VfdSky_Q2,0)*K92, 2*Deadtime*Fsw*IF(VfdSky_Q3&gt;0,VfdSky_Q3,0)*L92, 2*Deadtime*Fsw/2*IF(VfdSky_Q2&gt;0,VfdSky_Q2,0)*K92+2*Deadtime*Fsw/2*IF(VfdSky_Q3&gt;0,VfdSky_Q3,0)*L92)</f>
        <v>0</v>
      </c>
      <c r="AU92" s="488" t="n">
        <f aca="false">CHOOSE(J92, IF(QrrSky_Q2&gt;0,QrrSky_Q2,Qrr_Q2)*Fsw*(H92-K92*Rdson1), IF(QrrSky_Q3&gt;0,QrrSky_Q3,Qrr_Q3)*Fsw*Vout,  IF(QrrSky_Q2&gt;0,QrrSky_Q2,Qrr_Q2)*Fsw/2*(H92-K92*Rdson1)+IF(QrrSky_Q3&gt;0,QrrSky_Q3,Qrr_Q3)*Fsw/2*Vout)</f>
        <v>0.45786762</v>
      </c>
      <c r="AV92" s="488" t="n">
        <f aca="false">CHOOSE(J92, Rs*AF92^2, Rs*AJ92^2, Rs*(AF92^2+AJ92^2))</f>
        <v>0.150830482064573</v>
      </c>
      <c r="AW92" s="488" t="n">
        <f aca="false">Rshunt_std/1000*Iout^2</f>
        <v>0.14832</v>
      </c>
      <c r="AX92" s="488" t="n">
        <f aca="false">IF(Vout&gt;8, Iq*Vout, Iq*H92)</f>
        <v>0.036</v>
      </c>
      <c r="AY92" s="488" t="n">
        <f aca="false">CHOOSE(J92, (Qg_Q1+Qg_Q2)*Fsw, (Qg_Q3+Qg_Q4)*Fsw, (Qg_Q1+Qg_Q2+Qg_Q3+Qg_Q4)*Fsw/2)*IF(Vout&gt;8, Vout, H92)</f>
        <v>0.0792</v>
      </c>
      <c r="AZ92" s="488" t="n">
        <f aca="false">(Vin-Vdd)*Fsw*(Qg_Q1+Qg_Q2)+(RdsonDRT+RdsonDRT2)*Fsw*Qg_Q1*Vdd/(RdsonDRT+2*Rgate1+RdsonDRT2)+(RdsonDRB+RdsonDRB2)*Fsw*Qg_Q2*Vdd/(RdsonDRB+2*Rgate2+RdsonDRB2)</f>
        <v>0.0522</v>
      </c>
      <c r="BA92" s="488" t="n">
        <f aca="false">SUM(AX92:AY92)</f>
        <v>0.1152</v>
      </c>
      <c r="BB92" s="488" t="n">
        <f aca="false">SUM(T92,W92,Z92,AE92,AI92,AN92,AR92, AT92,AU92,BA92,AV92,AW92)</f>
        <v>2.0987713322445</v>
      </c>
      <c r="BC92" s="419" t="n">
        <f aca="false">Vout*K92</f>
        <v>72</v>
      </c>
      <c r="BD92" s="589" t="n">
        <f aca="false">BC92/(BC92+BB92)</f>
        <v>0.971676030593895</v>
      </c>
      <c r="BE92" s="590" t="n">
        <f aca="false">IF(H92&gt;Vout,ThetaJA_Q1*(AE92+AU92),ThetaJA_Q4*(AN92+AU92))</f>
        <v>35.9102593369378</v>
      </c>
      <c r="BF92" s="590" t="n">
        <f aca="false">IF(H92&gt;Vout, AI92*ThetaJA_Q2, ThetaJA_Q3*AR92)</f>
        <v>12.8495149649969</v>
      </c>
      <c r="BG92" s="536"/>
      <c r="BH92" s="385" t="n">
        <f aca="false">BD92*100</f>
        <v>97.1676030593895</v>
      </c>
      <c r="BI92" s="488" t="n">
        <f aca="false">T92</f>
        <v>0.610338591744067</v>
      </c>
      <c r="BJ92" s="488" t="n">
        <f aca="false">AE92+AI92+AN92+AR92+AU92</f>
        <v>1.04756914060238</v>
      </c>
      <c r="BK92" s="488" t="n">
        <f aca="false">AI92+AU92*0.33</f>
        <v>0.408086613899937</v>
      </c>
      <c r="BL92" s="488" t="n">
        <f aca="false">AV92</f>
        <v>0.150830482064573</v>
      </c>
      <c r="BR92" s="591"/>
      <c r="BS92" s="592"/>
    </row>
    <row r="93" customFormat="false" ht="12.75" hidden="false" customHeight="false" outlineLevel="0" collapsed="false">
      <c r="G93" s="0" t="n">
        <v>84</v>
      </c>
      <c r="H93" s="586" t="n">
        <f aca="false">VIN_min+(VIN_max-VIN_min)*(G93/200)</f>
        <v>24.48</v>
      </c>
      <c r="I93" s="385" t="str">
        <f aca="false">IF(H93&gt;VIN_BB_to_buck, "BUCK", IF(H93&lt;VIN_boost_to_BB,"BOOST","BUCK-BST"))</f>
        <v>BUCK</v>
      </c>
      <c r="J93" s="419" t="n">
        <f aca="false">IF(I93="BOOST",2, IF(I93="BUCK", 1,3))</f>
        <v>1</v>
      </c>
      <c r="K93" s="0" t="n">
        <f aca="false">Iout</f>
        <v>6</v>
      </c>
      <c r="L93" s="385" t="n">
        <f aca="false">Vout*K93/(H93*Efficiency)</f>
        <v>3.26797385620915</v>
      </c>
      <c r="M93" s="385" t="n">
        <f aca="false">Iout/(1-O93)</f>
        <v>6</v>
      </c>
      <c r="N93" s="488" t="n">
        <f aca="false">CHOOSE(J93,(Vout+(Rdson2+Rs+Rdcr)*K93)/(H93+(Rs+Rdson2-Rdson1)*K93),1,IF(H93&lt;Vout,D_max_buck_BB,Vout/H93*(1-D_min_boost_exitBB_to_buck)))</f>
        <v>0.493407534246575</v>
      </c>
      <c r="O93" s="488" t="n">
        <f aca="false">CHOOSE(J93,0,(Vout+(Rdson3+Rdcr)*L93-H93)/(Vout+(Rdson3-Rdson4-Rs)*L93),IF(H93&gt;Vout,D_min_boost_exitBB_to_buck, (Vout-H93*D_max_buck_BB)/Vout))</f>
        <v>0</v>
      </c>
      <c r="P93" s="385" t="n">
        <f aca="false">MAX(0, CHOOSE(J93, (H93-(Rdson1+Rdcr)*K93-Vout)*N93/(Fsw*Lf), (H93-(Rdson4+Rdcr+Rs)*L93)*O93/(Fsw*Lf), IF(H93&lt;Vout, (H93-(Rdson4+Rdcr+Rs)*L93)*O93/(0.5*Fsw*Lf),(H93-(Rdson1+Rdcr)*K93-Vout)*N93/(0.5*Fsw*Lf))))</f>
        <v>4.34818014062955</v>
      </c>
      <c r="Q93" s="488" t="n">
        <f aca="false">CHOOSE(J93, SQRT(K93^2+(P93^2)/12), SQRT(L93^2+(P93^2)/12), SQRT(M93^2+(P93^2)/12))</f>
        <v>6.12989036426812</v>
      </c>
      <c r="R93" s="488" t="n">
        <f aca="false">(Q93^2*Rdcr*(1+Ltc*Ta-Ltc*25))/(1-Q93^2*Rdcr*Ltc*ThetaCa)</f>
        <v>0.127158631267342</v>
      </c>
      <c r="S93" s="488" t="n">
        <f aca="false">7.759*10^-3*Fsw^0.9458*(0.00787*P93)^2.304</f>
        <v>0.493234405142527</v>
      </c>
      <c r="T93" s="488" t="n">
        <f aca="false">R93+S93</f>
        <v>0.620393036409869</v>
      </c>
      <c r="U93" s="385" t="n">
        <f aca="false">IF(H93&gt;Vout, P93/SQRT(12), SQRT(O93/(1-O93))*SQRT(K93^2+(P93^2)/12))</f>
        <v>1.25521148733873</v>
      </c>
      <c r="V93" s="488" t="n">
        <f aca="false">RCoutEsr*U93^2</f>
        <v>0.00787777938973552</v>
      </c>
      <c r="W93" s="488" t="n">
        <f aca="false">V93</f>
        <v>0.00787777938973552</v>
      </c>
      <c r="X93" s="488" t="n">
        <f aca="false">IF(H93&gt;Vout, SQRT(N93*(1-N93))*SQRT(K93^2+(P93^2)/12), P93/SQRT(12))</f>
        <v>3.06467876181273</v>
      </c>
      <c r="Y93" s="587" t="n">
        <f aca="false">RCinEsr*X93^2</f>
        <v>0.018784511826212</v>
      </c>
      <c r="Z93" s="588" t="n">
        <f aca="false">Y93</f>
        <v>0.018784511826212</v>
      </c>
      <c r="AA93" s="488" t="n">
        <f aca="false">CHOOSE(J93, SQRT(N93)*SQRT(K93^2+(P93^2)/12), SQRT(L93^2+(P93^2)/12), SQRT(N93)*SQRT(M93^2+(P93^2)/12))</f>
        <v>4.30581727128338</v>
      </c>
      <c r="AB93" s="488" t="n">
        <f aca="false">Rdson1*AA93^2</f>
        <v>0.105678355529989</v>
      </c>
      <c r="AC93" s="488" t="n">
        <f aca="false">CHOOSE(J93, (H93*K93/2)*(Fsw)*(Tr_buck+Tf_buck), 0, (H93*M93/2)*(Fsw/2)*(Tr_buck+Tf_buck))</f>
        <v>0.149577365853659</v>
      </c>
      <c r="AD93" s="0" t="n">
        <f aca="false">IF(H93&gt;Vout, IF(K93&gt;P93/2,0,ABS(K93-P93/2)*Vsd_Q1*Deadtime*Fsw),0)</f>
        <v>0</v>
      </c>
      <c r="AE93" s="488" t="n">
        <f aca="false">(AD93+AC93+AB93*(1+RdsonTopTc*Ta-RdsonTopTc*25))/(1-AB93*RdsonTopTc*ThetaJA_Q1)</f>
        <v>0.260767211399005</v>
      </c>
      <c r="AF93" s="488" t="n">
        <f aca="false">CHOOSE(J93, SQRT((1-N93))*SQRT(K93^2+(P93^2)/12), 0, SQRT((1-N93))*SQRT(M93^2+(P93^2)/12))</f>
        <v>4.36296842806189</v>
      </c>
      <c r="AG93" s="488" t="n">
        <f aca="false">Rdson2*AF93^2</f>
        <v>0.108502312974309</v>
      </c>
      <c r="AH93" s="488" t="n">
        <f aca="false">CHOOSE(J93, IF(K93&lt;P93/2,Deadtime*Fsw*IF(VfdSky_Q2&gt;0,0,Vsd_Q2)*(K93+P93/2),2*Deadtime*Fsw*IF(VfdSky_Q2&gt;0,0,Vsd_Q2)*K93),0, IF(K93&lt;P93/2,Deadtime*Fsw/2*IF(VfdSky_Q2&gt;0,0,Vsd_Q2)*(K93+P93/2),2*Deadtime*Fsw/2*IF(VfdSky_Q2&gt;0,0,Vsd_Q2)*K93))</f>
        <v>0.144</v>
      </c>
      <c r="AI93" s="488" t="n">
        <f aca="false">(AH93+AG93*(1+RdsonBotTc*Ta-RdsonBotTc*25))/(1-AG93*RdsonBotTc*ThetaJA_Q2)</f>
        <v>0.258103273404434</v>
      </c>
      <c r="AJ93" s="488" t="n">
        <f aca="false">CHOOSE(J93, 0, SQRT(O93)*SQRT(L93^2+(P93^2)/12), SQRT(O93)*SQRT(M93^2+(P93^2)/12))</f>
        <v>0</v>
      </c>
      <c r="AK93" s="488" t="n">
        <f aca="false">Rdson4*AJ93^2</f>
        <v>0</v>
      </c>
      <c r="AL93" s="488" t="n">
        <f aca="false">CHOOSE(J93, 0, (Vout*L93/2)*(Fsw)*(Tr_boost+Tf_boost), (Vout*Iout/2)*(Fsw/2)*(Tr_boost+Tf_boost))</f>
        <v>0</v>
      </c>
      <c r="AM93" s="0" t="n">
        <f aca="false">IF(H93&gt;Vout, 0, IF(L93&gt;P93/2,0,ABS(L93-P93/2)*Vsd_Q4*Deadtime*Fsw))</f>
        <v>0</v>
      </c>
      <c r="AN93" s="488" t="n">
        <f aca="false">(AM93+AL93+AK93*(1+RdsonTopTc*Ta-RdsonTopTc*25))/(1-AK93*RdsonTopTc*ThetaJA_Q4)</f>
        <v>0</v>
      </c>
      <c r="AO93" s="488" t="n">
        <f aca="false">CHOOSE(J93, SQRT(Iout^2+(P93^2)/12), SQRT(1-O93)*SQRT(L93^2+(P93^2)/12), SQRT(1-O93)*SQRT(M93^2+(P93^2)/12))</f>
        <v>6.12989036426812</v>
      </c>
      <c r="AP93" s="488" t="n">
        <f aca="false">Rdson3*AO93^2</f>
        <v>0.0713935561680995</v>
      </c>
      <c r="AQ93" s="488" t="n">
        <f aca="false">CHOOSE(J93, 0, IF(L93&lt;P93/2,Deadtime*Fsw*IF(VfdSky_Q3&gt;0,0,Vsd_Q3)*(L93+P93/2), 2*Deadtime*Fsw*IF(VfdSky_Q3&gt;0,0,Vsd_Q3)*L93), IF(L93&lt;P93/2,Deadtime*Fsw/2*IF(VfdSky_Q3&gt;0,0,Vsd_Q3)*(L93+P93/2), 2*Deadtime*Fsw/2*IF(VfdSky_Q3&gt;0,0,Vsd_Q3)*L93))</f>
        <v>0</v>
      </c>
      <c r="AR93" s="488" t="n">
        <f aca="false">(AQ93+AP93*(1+RdsonBotTc*Ta-RdsonBotTc*25))/(1-AP93*RdsonBotTc*ThetaJA_Q3)</f>
        <v>0.0724277308218105</v>
      </c>
      <c r="AS93" s="488" t="n">
        <f aca="false">CHOOSE(J93, Rdson3*Q93^2, Rdson1*Q93^2, 0)</f>
        <v>0.0713935561680995</v>
      </c>
      <c r="AT93" s="488" t="n">
        <f aca="false">CHOOSE(J93, 2*Deadtime*Fsw*IF(VfdSky_Q2&gt;0,VfdSky_Q2,0)*K93, 2*Deadtime*Fsw*IF(VfdSky_Q3&gt;0,VfdSky_Q3,0)*L93, 2*Deadtime*Fsw/2*IF(VfdSky_Q2&gt;0,VfdSky_Q2,0)*K93+2*Deadtime*Fsw/2*IF(VfdSky_Q3&gt;0,VfdSky_Q3,0)*L93)</f>
        <v>0</v>
      </c>
      <c r="AU93" s="488" t="n">
        <f aca="false">CHOOSE(J93, IF(QrrSky_Q2&gt;0,QrrSky_Q2,Qrr_Q2)*Fsw*(H93-K93*Rdson1), IF(QrrSky_Q3&gt;0,QrrSky_Q3,Qrr_Q3)*Fsw*Vout,  IF(QrrSky_Q2&gt;0,QrrSky_Q2,Qrr_Q2)*Fsw/2*(H93-K93*Rdson1)+IF(QrrSky_Q3&gt;0,QrrSky_Q3,Qrr_Q3)*Fsw/2*Vout)</f>
        <v>0.46202562</v>
      </c>
      <c r="AV93" s="488" t="n">
        <f aca="false">CHOOSE(J93, Rs*AF93^2, Rs*AJ93^2, Rs*(AF93^2+AJ93^2))</f>
        <v>0.152283948034119</v>
      </c>
      <c r="AW93" s="488" t="n">
        <f aca="false">Rshunt_std/1000*Iout^2</f>
        <v>0.14832</v>
      </c>
      <c r="AX93" s="488" t="n">
        <f aca="false">IF(Vout&gt;8, Iq*Vout, Iq*H93)</f>
        <v>0.036</v>
      </c>
      <c r="AY93" s="488" t="n">
        <f aca="false">CHOOSE(J93, (Qg_Q1+Qg_Q2)*Fsw, (Qg_Q3+Qg_Q4)*Fsw, (Qg_Q1+Qg_Q2+Qg_Q3+Qg_Q4)*Fsw/2)*IF(Vout&gt;8, Vout, H93)</f>
        <v>0.0792</v>
      </c>
      <c r="AZ93" s="488" t="n">
        <f aca="false">(Vin-Vdd)*Fsw*(Qg_Q1+Qg_Q2)+(RdsonDRT+RdsonDRT2)*Fsw*Qg_Q1*Vdd/(RdsonDRT+2*Rgate1+RdsonDRT2)+(RdsonDRB+RdsonDRB2)*Fsw*Qg_Q2*Vdd/(RdsonDRB+2*Rgate2+RdsonDRB2)</f>
        <v>0.0522</v>
      </c>
      <c r="BA93" s="488" t="n">
        <f aca="false">SUM(AX93:AY93)</f>
        <v>0.1152</v>
      </c>
      <c r="BB93" s="488" t="n">
        <f aca="false">SUM(T93,W93,Z93,AE93,AI93,AN93,AR93, AT93,AU93,BA93,AV93,AW93)</f>
        <v>2.11618311128519</v>
      </c>
      <c r="BC93" s="419" t="n">
        <f aca="false">Vout*K93</f>
        <v>72</v>
      </c>
      <c r="BD93" s="589" t="n">
        <f aca="false">BC93/(BC93+BB93)</f>
        <v>0.971447759147179</v>
      </c>
      <c r="BE93" s="590" t="n">
        <f aca="false">IF(H93&gt;Vout,ThetaJA_Q1*(AE93+AU93),ThetaJA_Q4*(AN93+AU93))</f>
        <v>36.1396415699503</v>
      </c>
      <c r="BF93" s="590" t="n">
        <f aca="false">IF(H93&gt;Vout, AI93*ThetaJA_Q2, ThetaJA_Q3*AR93)</f>
        <v>12.9051636702217</v>
      </c>
      <c r="BG93" s="536"/>
      <c r="BH93" s="385" t="n">
        <f aca="false">BD93*100</f>
        <v>97.1447759147179</v>
      </c>
      <c r="BI93" s="488" t="n">
        <f aca="false">T93</f>
        <v>0.620393036409869</v>
      </c>
      <c r="BJ93" s="488" t="n">
        <f aca="false">AE93+AI93+AN93+AR93+AU93</f>
        <v>1.05332383562525</v>
      </c>
      <c r="BK93" s="488" t="n">
        <f aca="false">AI93+AU93*0.33</f>
        <v>0.410571728004434</v>
      </c>
      <c r="BL93" s="488" t="n">
        <f aca="false">AV93</f>
        <v>0.152283948034119</v>
      </c>
      <c r="BR93" s="591"/>
      <c r="BS93" s="592"/>
    </row>
    <row r="94" customFormat="false" ht="12.75" hidden="false" customHeight="false" outlineLevel="0" collapsed="false">
      <c r="G94" s="0" t="n">
        <v>85</v>
      </c>
      <c r="H94" s="586" t="n">
        <f aca="false">VIN_min+(VIN_max-VIN_min)*(G94/200)</f>
        <v>24.7</v>
      </c>
      <c r="I94" s="385" t="str">
        <f aca="false">IF(H94&gt;VIN_BB_to_buck, "BUCK", IF(H94&lt;VIN_boost_to_BB,"BOOST","BUCK-BST"))</f>
        <v>BUCK</v>
      </c>
      <c r="J94" s="419" t="n">
        <f aca="false">IF(I94="BOOST",2, IF(I94="BUCK", 1,3))</f>
        <v>1</v>
      </c>
      <c r="K94" s="0" t="n">
        <f aca="false">Iout</f>
        <v>6</v>
      </c>
      <c r="L94" s="385" t="n">
        <f aca="false">Vout*K94/(H94*Efficiency)</f>
        <v>3.23886639676113</v>
      </c>
      <c r="M94" s="385" t="n">
        <f aca="false">Iout/(1-O94)</f>
        <v>6</v>
      </c>
      <c r="N94" s="488" t="n">
        <f aca="false">CHOOSE(J94,(Vout+(Rdson2+Rs+Rdcr)*K94)/(H94+(Rs+Rdson2-Rdson1)*K94),1,IF(H94&lt;Vout,D_max_buck_BB,Vout/H94*(1-D_min_boost_exitBB_to_buck)))</f>
        <v>0.489021335057378</v>
      </c>
      <c r="O94" s="488" t="n">
        <f aca="false">CHOOSE(J94,0,(Vout+(Rdson3+Rdcr)*L94-H94)/(Vout+(Rdson3-Rdson4-Rs)*L94),IF(H94&gt;Vout,D_min_boost_exitBB_to_buck, (Vout-H94*D_max_buck_BB)/Vout))</f>
        <v>0</v>
      </c>
      <c r="P94" s="385" t="n">
        <f aca="false">MAX(0, CHOOSE(J94, (H94-(Rdson1+Rdcr)*K94-Vout)*N94/(Fsw*Lf), (H94-(Rdson4+Rdcr+Rs)*L94)*O94/(Fsw*Lf), IF(H94&lt;Vout, (H94-(Rdson4+Rdcr+Rs)*L94)*O94/(0.5*Fsw*Lf),(H94-(Rdson1+Rdcr)*K94-Vout)*N94/(0.5*Fsw*Lf))))</f>
        <v>4.38582772818092</v>
      </c>
      <c r="Q94" s="488" t="n">
        <f aca="false">CHOOSE(J94, SQRT(K94^2+(P94^2)/12), SQRT(L94^2+(P94^2)/12), SQRT(M94^2+(P94^2)/12))</f>
        <v>6.13212500457822</v>
      </c>
      <c r="R94" s="488" t="n">
        <f aca="false">(Q94^2*Rdcr*(1+Ltc*Ta-Ltc*25))/(1-Q94^2*Rdcr*Ltc*ThetaCa)</f>
        <v>0.127252303044605</v>
      </c>
      <c r="S94" s="488" t="n">
        <f aca="false">7.759*10^-3*Fsw^0.9458*(0.00787*P94)^2.304</f>
        <v>0.503129327032148</v>
      </c>
      <c r="T94" s="488" t="n">
        <f aca="false">R94+S94</f>
        <v>0.630381630076753</v>
      </c>
      <c r="U94" s="385" t="n">
        <f aca="false">IF(H94&gt;Vout, P94/SQRT(12), SQRT(O94/(1-O94))*SQRT(K94^2+(P94^2)/12))</f>
        <v>1.26607940974229</v>
      </c>
      <c r="V94" s="488" t="n">
        <f aca="false">RCoutEsr*U94^2</f>
        <v>0.0080147853588669</v>
      </c>
      <c r="W94" s="488" t="n">
        <f aca="false">V94</f>
        <v>0.0080147853588669</v>
      </c>
      <c r="X94" s="488" t="n">
        <f aca="false">IF(H94&gt;Vout, SQRT(N94*(1-N94))*SQRT(K94^2+(P94^2)/12), P94/SQRT(12))</f>
        <v>3.06532330150815</v>
      </c>
      <c r="Y94" s="587" t="n">
        <f aca="false">RCinEsr*X94^2</f>
        <v>0.0187924138855376</v>
      </c>
      <c r="Z94" s="588" t="n">
        <f aca="false">Y94</f>
        <v>0.0187924138855376</v>
      </c>
      <c r="AA94" s="488" t="n">
        <f aca="false">CHOOSE(J94, SQRT(N94)*SQRT(K94^2+(P94^2)/12), SQRT(L94^2+(P94^2)/12), SQRT(N94)*SQRT(M94^2+(P94^2)/12))</f>
        <v>4.28819872083185</v>
      </c>
      <c r="AB94" s="488" t="n">
        <f aca="false">Rdson1*AA94^2</f>
        <v>0.10481529513526</v>
      </c>
      <c r="AC94" s="488" t="n">
        <f aca="false">CHOOSE(J94, (H94*K94/2)*(Fsw)*(Tr_buck+Tf_buck), 0, (H94*M94/2)*(Fsw/2)*(Tr_buck+Tf_buck))</f>
        <v>0.150921606886657</v>
      </c>
      <c r="AD94" s="0" t="n">
        <f aca="false">IF(H94&gt;Vout, IF(K94&gt;P94/2,0,ABS(K94-P94/2)*Vsd_Q1*Deadtime*Fsw),0)</f>
        <v>0</v>
      </c>
      <c r="AE94" s="488" t="n">
        <f aca="false">(AD94+AC94+AB94*(1+RdsonTopTc*Ta-RdsonTopTc*25))/(1-AB94*RdsonTopTc*ThetaJA_Q1)</f>
        <v>0.261212719683254</v>
      </c>
      <c r="AF94" s="488" t="n">
        <f aca="false">CHOOSE(J94, SQRT((1-N94))*SQRT(K94^2+(P94^2)/12), 0, SQRT((1-N94))*SQRT(M94^2+(P94^2)/12))</f>
        <v>4.3834129171719</v>
      </c>
      <c r="AG94" s="488" t="n">
        <f aca="false">Rdson2*AF94^2</f>
        <v>0.109521560173848</v>
      </c>
      <c r="AH94" s="488" t="n">
        <f aca="false">CHOOSE(J94, IF(K94&lt;P94/2,Deadtime*Fsw*IF(VfdSky_Q2&gt;0,0,Vsd_Q2)*(K94+P94/2),2*Deadtime*Fsw*IF(VfdSky_Q2&gt;0,0,Vsd_Q2)*K94),0, IF(K94&lt;P94/2,Deadtime*Fsw/2*IF(VfdSky_Q2&gt;0,0,Vsd_Q2)*(K94+P94/2),2*Deadtime*Fsw/2*IF(VfdSky_Q2&gt;0,0,Vsd_Q2)*K94))</f>
        <v>0.144</v>
      </c>
      <c r="AI94" s="488" t="n">
        <f aca="false">(AH94+AG94*(1+RdsonBotTc*Ta-RdsonBotTc*25))/(1-AG94*RdsonBotTc*ThetaJA_Q2)</f>
        <v>0.259199138993505</v>
      </c>
      <c r="AJ94" s="488" t="n">
        <f aca="false">CHOOSE(J94, 0, SQRT(O94)*SQRT(L94^2+(P94^2)/12), SQRT(O94)*SQRT(M94^2+(P94^2)/12))</f>
        <v>0</v>
      </c>
      <c r="AK94" s="488" t="n">
        <f aca="false">Rdson4*AJ94^2</f>
        <v>0</v>
      </c>
      <c r="AL94" s="488" t="n">
        <f aca="false">CHOOSE(J94, 0, (Vout*L94/2)*(Fsw)*(Tr_boost+Tf_boost), (Vout*Iout/2)*(Fsw/2)*(Tr_boost+Tf_boost))</f>
        <v>0</v>
      </c>
      <c r="AM94" s="0" t="n">
        <f aca="false">IF(H94&gt;Vout, 0, IF(L94&gt;P94/2,0,ABS(L94-P94/2)*Vsd_Q4*Deadtime*Fsw))</f>
        <v>0</v>
      </c>
      <c r="AN94" s="488" t="n">
        <f aca="false">(AM94+AL94+AK94*(1+RdsonTopTc*Ta-RdsonTopTc*25))/(1-AK94*RdsonTopTc*ThetaJA_Q4)</f>
        <v>0</v>
      </c>
      <c r="AO94" s="488" t="n">
        <f aca="false">CHOOSE(J94, SQRT(Iout^2+(P94^2)/12), SQRT(1-O94)*SQRT(L94^2+(P94^2)/12), SQRT(1-O94)*SQRT(M94^2+(P94^2)/12))</f>
        <v>6.13212500457822</v>
      </c>
      <c r="AP94" s="488" t="n">
        <f aca="false">Rdson3*AO94^2</f>
        <v>0.0714456184363694</v>
      </c>
      <c r="AQ94" s="488" t="n">
        <f aca="false">CHOOSE(J94, 0, IF(L94&lt;P94/2,Deadtime*Fsw*IF(VfdSky_Q3&gt;0,0,Vsd_Q3)*(L94+P94/2), 2*Deadtime*Fsw*IF(VfdSky_Q3&gt;0,0,Vsd_Q3)*L94), IF(L94&lt;P94/2,Deadtime*Fsw/2*IF(VfdSky_Q3&gt;0,0,Vsd_Q3)*(L94+P94/2), 2*Deadtime*Fsw/2*IF(VfdSky_Q3&gt;0,0,Vsd_Q3)*L94))</f>
        <v>0</v>
      </c>
      <c r="AR94" s="488" t="n">
        <f aca="false">(AQ94+AP94*(1+RdsonBotTc*Ta-RdsonBotTc*25))/(1-AP94*RdsonBotTc*ThetaJA_Q3)</f>
        <v>0.0724813128811441</v>
      </c>
      <c r="AS94" s="488" t="n">
        <f aca="false">CHOOSE(J94, Rdson3*Q94^2, Rdson1*Q94^2, 0)</f>
        <v>0.0714456184363694</v>
      </c>
      <c r="AT94" s="488" t="n">
        <f aca="false">CHOOSE(J94, 2*Deadtime*Fsw*IF(VfdSky_Q2&gt;0,VfdSky_Q2,0)*K94, 2*Deadtime*Fsw*IF(VfdSky_Q3&gt;0,VfdSky_Q3,0)*L94, 2*Deadtime*Fsw/2*IF(VfdSky_Q2&gt;0,VfdSky_Q2,0)*K94+2*Deadtime*Fsw/2*IF(VfdSky_Q3&gt;0,VfdSky_Q3,0)*L94)</f>
        <v>0</v>
      </c>
      <c r="AU94" s="488" t="n">
        <f aca="false">CHOOSE(J94, IF(QrrSky_Q2&gt;0,QrrSky_Q2,Qrr_Q2)*Fsw*(H94-K94*Rdson1), IF(QrrSky_Q3&gt;0,QrrSky_Q3,Qrr_Q3)*Fsw*Vout,  IF(QrrSky_Q2&gt;0,QrrSky_Q2,Qrr_Q2)*Fsw/2*(H94-K94*Rdson1)+IF(QrrSky_Q3&gt;0,QrrSky_Q3,Qrr_Q3)*Fsw/2*Vout)</f>
        <v>0.46618362</v>
      </c>
      <c r="AV94" s="488" t="n">
        <f aca="false">CHOOSE(J94, Rs*AF94^2, Rs*AJ94^2, Rs*(AF94^2+AJ94^2))</f>
        <v>0.153714470419436</v>
      </c>
      <c r="AW94" s="488" t="n">
        <f aca="false">Rshunt_std/1000*Iout^2</f>
        <v>0.14832</v>
      </c>
      <c r="AX94" s="488" t="n">
        <f aca="false">IF(Vout&gt;8, Iq*Vout, Iq*H94)</f>
        <v>0.036</v>
      </c>
      <c r="AY94" s="488" t="n">
        <f aca="false">CHOOSE(J94, (Qg_Q1+Qg_Q2)*Fsw, (Qg_Q3+Qg_Q4)*Fsw, (Qg_Q1+Qg_Q2+Qg_Q3+Qg_Q4)*Fsw/2)*IF(Vout&gt;8, Vout, H94)</f>
        <v>0.0792</v>
      </c>
      <c r="AZ94" s="488" t="n">
        <f aca="false">(Vin-Vdd)*Fsw*(Qg_Q1+Qg_Q2)+(RdsonDRT+RdsonDRT2)*Fsw*Qg_Q1*Vdd/(RdsonDRT+2*Rgate1+RdsonDRT2)+(RdsonDRB+RdsonDRB2)*Fsw*Qg_Q2*Vdd/(RdsonDRB+2*Rgate2+RdsonDRB2)</f>
        <v>0.0522</v>
      </c>
      <c r="BA94" s="488" t="n">
        <f aca="false">SUM(AX94:AY94)</f>
        <v>0.1152</v>
      </c>
      <c r="BB94" s="488" t="n">
        <f aca="false">SUM(T94,W94,Z94,AE94,AI94,AN94,AR94, AT94,AU94,BA94,AV94,AW94)</f>
        <v>2.1335000912985</v>
      </c>
      <c r="BC94" s="419" t="n">
        <f aca="false">Vout*K94</f>
        <v>72</v>
      </c>
      <c r="BD94" s="589" t="n">
        <f aca="false">BC94/(BC94+BB94)</f>
        <v>0.971220836886549</v>
      </c>
      <c r="BE94" s="590" t="n">
        <f aca="false">IF(H94&gt;Vout,ThetaJA_Q1*(AE94+AU94),ThetaJA_Q4*(AN94+AU94))</f>
        <v>36.3698169841627</v>
      </c>
      <c r="BF94" s="590" t="n">
        <f aca="false">IF(H94&gt;Vout, AI94*ThetaJA_Q2, ThetaJA_Q3*AR94)</f>
        <v>12.9599569496753</v>
      </c>
      <c r="BG94" s="536"/>
      <c r="BH94" s="385" t="n">
        <f aca="false">BD94*100</f>
        <v>97.1220836886549</v>
      </c>
      <c r="BI94" s="488" t="n">
        <f aca="false">T94</f>
        <v>0.630381630076753</v>
      </c>
      <c r="BJ94" s="488" t="n">
        <f aca="false">AE94+AI94+AN94+AR94+AU94</f>
        <v>1.0590767915579</v>
      </c>
      <c r="BK94" s="488" t="n">
        <f aca="false">AI94+AU94*0.33</f>
        <v>0.413039733593505</v>
      </c>
      <c r="BL94" s="488" t="n">
        <f aca="false">AV94</f>
        <v>0.153714470419436</v>
      </c>
      <c r="BR94" s="591"/>
      <c r="BS94" s="592"/>
    </row>
    <row r="95" customFormat="false" ht="12.75" hidden="false" customHeight="false" outlineLevel="0" collapsed="false">
      <c r="G95" s="0" t="n">
        <v>86</v>
      </c>
      <c r="H95" s="586" t="n">
        <f aca="false">VIN_min+(VIN_max-VIN_min)*(G95/200)</f>
        <v>24.92</v>
      </c>
      <c r="I95" s="385" t="str">
        <f aca="false">IF(H95&gt;VIN_BB_to_buck, "BUCK", IF(H95&lt;VIN_boost_to_BB,"BOOST","BUCK-BST"))</f>
        <v>BUCK</v>
      </c>
      <c r="J95" s="419" t="n">
        <f aca="false">IF(I95="BOOST",2, IF(I95="BUCK", 1,3))</f>
        <v>1</v>
      </c>
      <c r="K95" s="0" t="n">
        <f aca="false">Iout</f>
        <v>6</v>
      </c>
      <c r="L95" s="385" t="n">
        <f aca="false">Vout*K95/(H95*Efficiency)</f>
        <v>3.21027287319422</v>
      </c>
      <c r="M95" s="385" t="n">
        <f aca="false">Iout/(1-O95)</f>
        <v>6</v>
      </c>
      <c r="N95" s="488" t="n">
        <f aca="false">CHOOSE(J95,(Vout+(Rdson2+Rs+Rdcr)*K95)/(H95+(Rs+Rdson2-Rdson1)*K95),1,IF(H95&lt;Vout,D_max_buck_BB,Vout/H95*(1-D_min_boost_exitBB_to_buck)))</f>
        <v>0.484712431912849</v>
      </c>
      <c r="O95" s="488" t="n">
        <f aca="false">CHOOSE(J95,0,(Vout+(Rdson3+Rdcr)*L95-H95)/(Vout+(Rdson3-Rdson4-Rs)*L95),IF(H95&gt;Vout,D_min_boost_exitBB_to_buck, (Vout-H95*D_max_buck_BB)/Vout))</f>
        <v>0</v>
      </c>
      <c r="P95" s="385" t="n">
        <f aca="false">MAX(0, CHOOSE(J95, (H95-(Rdson1+Rdcr)*K95-Vout)*N95/(Fsw*Lf), (H95-(Rdson4+Rdcr+Rs)*L95)*O95/(Fsw*Lf), IF(H95&lt;Vout, (H95-(Rdson4+Rdcr+Rs)*L95)*O95/(0.5*Fsw*Lf),(H95-(Rdson1+Rdcr)*K95-Vout)*N95/(0.5*Fsw*Lf))))</f>
        <v>4.42281186897953</v>
      </c>
      <c r="Q95" s="488" t="n">
        <f aca="false">CHOOSE(J95, SQRT(K95^2+(P95^2)/12), SQRT(L95^2+(P95^2)/12), SQRT(M95^2+(P95^2)/12))</f>
        <v>6.13433822040858</v>
      </c>
      <c r="R95" s="488" t="n">
        <f aca="false">(Q95^2*Rdcr*(1+Ltc*Ta-Ltc*25))/(1-Q95^2*Rdcr*Ltc*ThetaCa)</f>
        <v>0.127345111772152</v>
      </c>
      <c r="S95" s="488" t="n">
        <f aca="false">7.759*10^-3*Fsw^0.9458*(0.00787*P95)^2.304</f>
        <v>0.51295832730311</v>
      </c>
      <c r="T95" s="488" t="n">
        <f aca="false">R95+S95</f>
        <v>0.640303439075262</v>
      </c>
      <c r="U95" s="385" t="n">
        <f aca="false">IF(H95&gt;Vout, P95/SQRT(12), SQRT(O95/(1-O95))*SQRT(K95^2+(P95^2)/12))</f>
        <v>1.2767558115652</v>
      </c>
      <c r="V95" s="488" t="n">
        <f aca="false">RCoutEsr*U95^2</f>
        <v>0.00815052701182758</v>
      </c>
      <c r="W95" s="488" t="n">
        <f aca="false">V95</f>
        <v>0.00815052701182758</v>
      </c>
      <c r="X95" s="488" t="n">
        <f aca="false">IF(H95&gt;Vout, SQRT(N95*(1-N95))*SQRT(K95^2+(P95^2)/12), P95/SQRT(12))</f>
        <v>3.06573512041014</v>
      </c>
      <c r="Y95" s="587" t="n">
        <f aca="false">RCinEsr*X95^2</f>
        <v>0.0187974636570323</v>
      </c>
      <c r="Z95" s="588" t="n">
        <f aca="false">Y95</f>
        <v>0.0187974636570323</v>
      </c>
      <c r="AA95" s="488" t="n">
        <f aca="false">CHOOSE(J95, SQRT(N95)*SQRT(K95^2+(P95^2)/12), SQRT(L95^2+(P95^2)/12), SQRT(N95)*SQRT(M95^2+(P95^2)/12))</f>
        <v>4.27080553323579</v>
      </c>
      <c r="AB95" s="488" t="n">
        <f aca="false">Rdson1*AA95^2</f>
        <v>0.103966745445489</v>
      </c>
      <c r="AC95" s="488" t="n">
        <f aca="false">CHOOSE(J95, (H95*K95/2)*(Fsw)*(Tr_buck+Tf_buck), 0, (H95*M95/2)*(Fsw/2)*(Tr_buck+Tf_buck))</f>
        <v>0.152265847919656</v>
      </c>
      <c r="AD95" s="0" t="n">
        <f aca="false">IF(H95&gt;Vout, IF(K95&gt;P95/2,0,ABS(K95-P95/2)*Vsd_Q1*Deadtime*Fsw),0)</f>
        <v>0</v>
      </c>
      <c r="AE95" s="488" t="n">
        <f aca="false">(AD95+AC95+AB95*(1+RdsonTopTc*Ta-RdsonTopTc*25))/(1-AB95*RdsonTopTc*ThetaJA_Q1)</f>
        <v>0.261673665233774</v>
      </c>
      <c r="AF95" s="488" t="n">
        <f aca="false">CHOOSE(J95, SQRT((1-N95))*SQRT(K95^2+(P95^2)/12), 0, SQRT((1-N95))*SQRT(M95^2+(P95^2)/12))</f>
        <v>4.40344473107681</v>
      </c>
      <c r="AG95" s="488" t="n">
        <f aca="false">Rdson2*AF95^2</f>
        <v>0.110524855347994</v>
      </c>
      <c r="AH95" s="488" t="n">
        <f aca="false">CHOOSE(J95, IF(K95&lt;P95/2,Deadtime*Fsw*IF(VfdSky_Q2&gt;0,0,Vsd_Q2)*(K95+P95/2),2*Deadtime*Fsw*IF(VfdSky_Q2&gt;0,0,Vsd_Q2)*K95),0, IF(K95&lt;P95/2,Deadtime*Fsw/2*IF(VfdSky_Q2&gt;0,0,Vsd_Q2)*(K95+P95/2),2*Deadtime*Fsw/2*IF(VfdSky_Q2&gt;0,0,Vsd_Q2)*K95))</f>
        <v>0.144</v>
      </c>
      <c r="AI95" s="488" t="n">
        <f aca="false">(AH95+AG95*(1+RdsonBotTc*Ta-RdsonBotTc*25))/(1-AG95*RdsonBotTc*ThetaJA_Q2)</f>
        <v>0.26027829963139</v>
      </c>
      <c r="AJ95" s="488" t="n">
        <f aca="false">CHOOSE(J95, 0, SQRT(O95)*SQRT(L95^2+(P95^2)/12), SQRT(O95)*SQRT(M95^2+(P95^2)/12))</f>
        <v>0</v>
      </c>
      <c r="AK95" s="488" t="n">
        <f aca="false">Rdson4*AJ95^2</f>
        <v>0</v>
      </c>
      <c r="AL95" s="488" t="n">
        <f aca="false">CHOOSE(J95, 0, (Vout*L95/2)*(Fsw)*(Tr_boost+Tf_boost), (Vout*Iout/2)*(Fsw/2)*(Tr_boost+Tf_boost))</f>
        <v>0</v>
      </c>
      <c r="AM95" s="0" t="n">
        <f aca="false">IF(H95&gt;Vout, 0, IF(L95&gt;P95/2,0,ABS(L95-P95/2)*Vsd_Q4*Deadtime*Fsw))</f>
        <v>0</v>
      </c>
      <c r="AN95" s="488" t="n">
        <f aca="false">(AM95+AL95+AK95*(1+RdsonTopTc*Ta-RdsonTopTc*25))/(1-AK95*RdsonTopTc*ThetaJA_Q4)</f>
        <v>0</v>
      </c>
      <c r="AO95" s="488" t="n">
        <f aca="false">CHOOSE(J95, SQRT(Iout^2+(P95^2)/12), SQRT(1-O95)*SQRT(L95^2+(P95^2)/12), SQRT(1-O95)*SQRT(M95^2+(P95^2)/12))</f>
        <v>6.13433822040858</v>
      </c>
      <c r="AP95" s="488" t="n">
        <f aca="false">Rdson3*AO95^2</f>
        <v>0.0714972002644945</v>
      </c>
      <c r="AQ95" s="488" t="n">
        <f aca="false">CHOOSE(J95, 0, IF(L95&lt;P95/2,Deadtime*Fsw*IF(VfdSky_Q3&gt;0,0,Vsd_Q3)*(L95+P95/2), 2*Deadtime*Fsw*IF(VfdSky_Q3&gt;0,0,Vsd_Q3)*L95), IF(L95&lt;P95/2,Deadtime*Fsw/2*IF(VfdSky_Q3&gt;0,0,Vsd_Q3)*(L95+P95/2), 2*Deadtime*Fsw/2*IF(VfdSky_Q3&gt;0,0,Vsd_Q3)*L95))</f>
        <v>0</v>
      </c>
      <c r="AR95" s="488" t="n">
        <f aca="false">(AQ95+AP95*(1+RdsonBotTc*Ta-RdsonBotTc*25))/(1-AP95*RdsonBotTc*ThetaJA_Q3)</f>
        <v>0.0725344015918297</v>
      </c>
      <c r="AS95" s="488" t="n">
        <f aca="false">CHOOSE(J95, Rdson3*Q95^2, Rdson1*Q95^2, 0)</f>
        <v>0.0714972002644945</v>
      </c>
      <c r="AT95" s="488" t="n">
        <f aca="false">CHOOSE(J95, 2*Deadtime*Fsw*IF(VfdSky_Q2&gt;0,VfdSky_Q2,0)*K95, 2*Deadtime*Fsw*IF(VfdSky_Q3&gt;0,VfdSky_Q3,0)*L95, 2*Deadtime*Fsw/2*IF(VfdSky_Q2&gt;0,VfdSky_Q2,0)*K95+2*Deadtime*Fsw/2*IF(VfdSky_Q3&gt;0,VfdSky_Q3,0)*L95)</f>
        <v>0</v>
      </c>
      <c r="AU95" s="488" t="n">
        <f aca="false">CHOOSE(J95, IF(QrrSky_Q2&gt;0,QrrSky_Q2,Qrr_Q2)*Fsw*(H95-K95*Rdson1), IF(QrrSky_Q3&gt;0,QrrSky_Q3,Qrr_Q3)*Fsw*Vout,  IF(QrrSky_Q2&gt;0,QrrSky_Q2,Qrr_Q2)*Fsw/2*(H95-K95*Rdson1)+IF(QrrSky_Q3&gt;0,QrrSky_Q3,Qrr_Q3)*Fsw/2*Vout)</f>
        <v>0.47034162</v>
      </c>
      <c r="AV95" s="488" t="n">
        <f aca="false">CHOOSE(J95, Rs*AF95^2, Rs*AJ95^2, Rs*(AF95^2+AJ95^2))</f>
        <v>0.155122603997185</v>
      </c>
      <c r="AW95" s="488" t="n">
        <f aca="false">Rshunt_std/1000*Iout^2</f>
        <v>0.14832</v>
      </c>
      <c r="AX95" s="488" t="n">
        <f aca="false">IF(Vout&gt;8, Iq*Vout, Iq*H95)</f>
        <v>0.036</v>
      </c>
      <c r="AY95" s="488" t="n">
        <f aca="false">CHOOSE(J95, (Qg_Q1+Qg_Q2)*Fsw, (Qg_Q3+Qg_Q4)*Fsw, (Qg_Q1+Qg_Q2+Qg_Q3+Qg_Q4)*Fsw/2)*IF(Vout&gt;8, Vout, H95)</f>
        <v>0.0792</v>
      </c>
      <c r="AZ95" s="488" t="n">
        <f aca="false">(Vin-Vdd)*Fsw*(Qg_Q1+Qg_Q2)+(RdsonDRT+RdsonDRT2)*Fsw*Qg_Q1*Vdd/(RdsonDRT+2*Rgate1+RdsonDRT2)+(RdsonDRB+RdsonDRB2)*Fsw*Qg_Q2*Vdd/(RdsonDRB+2*Rgate2+RdsonDRB2)</f>
        <v>0.0522</v>
      </c>
      <c r="BA95" s="488" t="n">
        <f aca="false">SUM(AX95:AY95)</f>
        <v>0.1152</v>
      </c>
      <c r="BB95" s="488" t="n">
        <f aca="false">SUM(T95,W95,Z95,AE95,AI95,AN95,AR95, AT95,AU95,BA95,AV95,AW95)</f>
        <v>2.1507220201983</v>
      </c>
      <c r="BC95" s="419" t="n">
        <f aca="false">Vout*K95</f>
        <v>72</v>
      </c>
      <c r="BD95" s="589" t="n">
        <f aca="false">BC95/(BC95+BB95)</f>
        <v>0.970995265297451</v>
      </c>
      <c r="BE95" s="590" t="n">
        <f aca="false">IF(H95&gt;Vout,ThetaJA_Q1*(AE95+AU95),ThetaJA_Q4*(AN95+AU95))</f>
        <v>36.6007642616887</v>
      </c>
      <c r="BF95" s="590" t="n">
        <f aca="false">IF(H95&gt;Vout, AI95*ThetaJA_Q2, ThetaJA_Q3*AR95)</f>
        <v>13.0139149815695</v>
      </c>
      <c r="BG95" s="536"/>
      <c r="BH95" s="385" t="n">
        <f aca="false">BD95*100</f>
        <v>97.0995265297451</v>
      </c>
      <c r="BI95" s="488" t="n">
        <f aca="false">T95</f>
        <v>0.640303439075262</v>
      </c>
      <c r="BJ95" s="488" t="n">
        <f aca="false">AE95+AI95+AN95+AR95+AU95</f>
        <v>1.06482798645699</v>
      </c>
      <c r="BK95" s="488" t="n">
        <f aca="false">AI95+AU95*0.33</f>
        <v>0.41549103423139</v>
      </c>
      <c r="BL95" s="488" t="n">
        <f aca="false">AV95</f>
        <v>0.155122603997185</v>
      </c>
      <c r="BR95" s="591"/>
      <c r="BS95" s="592"/>
    </row>
    <row r="96" customFormat="false" ht="12.75" hidden="false" customHeight="false" outlineLevel="0" collapsed="false">
      <c r="G96" s="0" t="n">
        <v>87</v>
      </c>
      <c r="H96" s="586" t="n">
        <f aca="false">VIN_min+(VIN_max-VIN_min)*(G96/200)</f>
        <v>25.14</v>
      </c>
      <c r="I96" s="385" t="str">
        <f aca="false">IF(H96&gt;VIN_BB_to_buck, "BUCK", IF(H96&lt;VIN_boost_to_BB,"BOOST","BUCK-BST"))</f>
        <v>BUCK</v>
      </c>
      <c r="J96" s="419" t="n">
        <f aca="false">IF(I96="BOOST",2, IF(I96="BUCK", 1,3))</f>
        <v>1</v>
      </c>
      <c r="K96" s="0" t="n">
        <f aca="false">Iout</f>
        <v>6</v>
      </c>
      <c r="L96" s="385" t="n">
        <f aca="false">Vout*K96/(H96*Efficiency)</f>
        <v>3.18217979315831</v>
      </c>
      <c r="M96" s="385" t="n">
        <f aca="false">Iout/(1-O96)</f>
        <v>6</v>
      </c>
      <c r="N96" s="488" t="n">
        <f aca="false">CHOOSE(J96,(Vout+(Rdson2+Rs+Rdcr)*K96)/(H96+(Rs+Rdson2-Rdson1)*K96),1,IF(H96&lt;Vout,D_max_buck_BB,Vout/H96*(1-D_min_boost_exitBB_to_buck)))</f>
        <v>0.480478799428299</v>
      </c>
      <c r="O96" s="488" t="n">
        <f aca="false">CHOOSE(J96,0,(Vout+(Rdson3+Rdcr)*L96-H96)/(Vout+(Rdson3-Rdson4-Rs)*L96),IF(H96&gt;Vout,D_min_boost_exitBB_to_buck, (Vout-H96*D_max_buck_BB)/Vout))</f>
        <v>0</v>
      </c>
      <c r="P96" s="385" t="n">
        <f aca="false">MAX(0, CHOOSE(J96, (H96-(Rdson1+Rdcr)*K96-Vout)*N96/(Fsw*Lf), (H96-(Rdson4+Rdcr+Rs)*L96)*O96/(Fsw*Lf), IF(H96&lt;Vout, (H96-(Rdson4+Rdcr+Rs)*L96)*O96/(0.5*Fsw*Lf),(H96-(Rdson1+Rdcr)*K96-Vout)*N96/(0.5*Fsw*Lf))))</f>
        <v>4.45914994729</v>
      </c>
      <c r="Q96" s="488" t="n">
        <f aca="false">CHOOSE(J96, SQRT(K96^2+(P96^2)/12), SQRT(L96^2+(P96^2)/12), SQRT(M96^2+(P96^2)/12))</f>
        <v>6.13653008800859</v>
      </c>
      <c r="R96" s="488" t="n">
        <f aca="false">(Q96^2*Rdcr*(1+Ltc*Ta-Ltc*25))/(1-Q96^2*Rdcr*Ltc*ThetaCa)</f>
        <v>0.127437059638503</v>
      </c>
      <c r="S96" s="488" t="n">
        <f aca="false">7.759*10^-3*Fsw^0.9458*(0.00787*P96)^2.304</f>
        <v>0.522720583997891</v>
      </c>
      <c r="T96" s="488" t="n">
        <f aca="false">R96+S96</f>
        <v>0.650157643636394</v>
      </c>
      <c r="U96" s="385" t="n">
        <f aca="false">IF(H96&gt;Vout, P96/SQRT(12), SQRT(O96/(1-O96))*SQRT(K96^2+(P96^2)/12))</f>
        <v>1.28724571121239</v>
      </c>
      <c r="V96" s="488" t="n">
        <f aca="false">RCoutEsr*U96^2</f>
        <v>0.00828500760517349</v>
      </c>
      <c r="W96" s="488" t="n">
        <f aca="false">V96</f>
        <v>0.00828500760517349</v>
      </c>
      <c r="X96" s="488" t="n">
        <f aca="false">IF(H96&gt;Vout, SQRT(N96*(1-N96))*SQRT(K96^2+(P96^2)/12), P96/SQRT(12))</f>
        <v>3.06592566003423</v>
      </c>
      <c r="Y96" s="587" t="n">
        <f aca="false">RCinEsr*X96^2</f>
        <v>0.0187998003057127</v>
      </c>
      <c r="Z96" s="588" t="n">
        <f aca="false">Y96</f>
        <v>0.0187998003057127</v>
      </c>
      <c r="AA96" s="488" t="n">
        <f aca="false">CHOOSE(J96, SQRT(N96)*SQRT(K96^2+(P96^2)/12), SQRT(L96^2+(P96^2)/12), SQRT(N96)*SQRT(M96^2+(P96^2)/12))</f>
        <v>4.25363266877811</v>
      </c>
      <c r="AB96" s="488" t="n">
        <f aca="false">Rdson1*AA96^2</f>
        <v>0.103132328021109</v>
      </c>
      <c r="AC96" s="488" t="n">
        <f aca="false">CHOOSE(J96, (H96*K96/2)*(Fsw)*(Tr_buck+Tf_buck), 0, (H96*M96/2)*(Fsw/2)*(Tr_buck+Tf_buck))</f>
        <v>0.153610088952654</v>
      </c>
      <c r="AD96" s="0" t="n">
        <f aca="false">IF(H96&gt;Vout, IF(K96&gt;P96/2,0,ABS(K96-P96/2)*Vsd_Q1*Deadtime*Fsw),0)</f>
        <v>0</v>
      </c>
      <c r="AE96" s="488" t="n">
        <f aca="false">(AD96+AC96+AB96*(1+RdsonTopTc*Ta-RdsonTopTc*25))/(1-AB96*RdsonTopTc*ThetaJA_Q1)</f>
        <v>0.262149637453865</v>
      </c>
      <c r="AF96" s="488" t="n">
        <f aca="false">CHOOSE(J96, SQRT((1-N96))*SQRT(K96^2+(P96^2)/12), 0, SQRT((1-N96))*SQRT(M96^2+(P96^2)/12))</f>
        <v>4.42307705564105</v>
      </c>
      <c r="AG96" s="488" t="n">
        <f aca="false">Rdson2*AF96^2</f>
        <v>0.111512580648788</v>
      </c>
      <c r="AH96" s="488" t="n">
        <f aca="false">CHOOSE(J96, IF(K96&lt;P96/2,Deadtime*Fsw*IF(VfdSky_Q2&gt;0,0,Vsd_Q2)*(K96+P96/2),2*Deadtime*Fsw*IF(VfdSky_Q2&gt;0,0,Vsd_Q2)*K96),0, IF(K96&lt;P96/2,Deadtime*Fsw/2*IF(VfdSky_Q2&gt;0,0,Vsd_Q2)*(K96+P96/2),2*Deadtime*Fsw/2*IF(VfdSky_Q2&gt;0,0,Vsd_Q2)*K96))</f>
        <v>0.144</v>
      </c>
      <c r="AI96" s="488" t="n">
        <f aca="false">(AH96+AG96*(1+RdsonBotTc*Ta-RdsonBotTc*25))/(1-AG96*RdsonBotTc*ThetaJA_Q2)</f>
        <v>0.261341145767641</v>
      </c>
      <c r="AJ96" s="488" t="n">
        <f aca="false">CHOOSE(J96, 0, SQRT(O96)*SQRT(L96^2+(P96^2)/12), SQRT(O96)*SQRT(M96^2+(P96^2)/12))</f>
        <v>0</v>
      </c>
      <c r="AK96" s="488" t="n">
        <f aca="false">Rdson4*AJ96^2</f>
        <v>0</v>
      </c>
      <c r="AL96" s="488" t="n">
        <f aca="false">CHOOSE(J96, 0, (Vout*L96/2)*(Fsw)*(Tr_boost+Tf_boost), (Vout*Iout/2)*(Fsw/2)*(Tr_boost+Tf_boost))</f>
        <v>0</v>
      </c>
      <c r="AM96" s="0" t="n">
        <f aca="false">IF(H96&gt;Vout, 0, IF(L96&gt;P96/2,0,ABS(L96-P96/2)*Vsd_Q4*Deadtime*Fsw))</f>
        <v>0</v>
      </c>
      <c r="AN96" s="488" t="n">
        <f aca="false">(AM96+AL96+AK96*(1+RdsonTopTc*Ta-RdsonTopTc*25))/(1-AK96*RdsonTopTc*ThetaJA_Q4)</f>
        <v>0</v>
      </c>
      <c r="AO96" s="488" t="n">
        <f aca="false">CHOOSE(J96, SQRT(Iout^2+(P96^2)/12), SQRT(1-O96)*SQRT(L96^2+(P96^2)/12), SQRT(1-O96)*SQRT(M96^2+(P96^2)/12))</f>
        <v>6.13653008800859</v>
      </c>
      <c r="AP96" s="488" t="n">
        <f aca="false">Rdson3*AO96^2</f>
        <v>0.0715483028899659</v>
      </c>
      <c r="AQ96" s="488" t="n">
        <f aca="false">CHOOSE(J96, 0, IF(L96&lt;P96/2,Deadtime*Fsw*IF(VfdSky_Q3&gt;0,0,Vsd_Q3)*(L96+P96/2), 2*Deadtime*Fsw*IF(VfdSky_Q3&gt;0,0,Vsd_Q3)*L96), IF(L96&lt;P96/2,Deadtime*Fsw/2*IF(VfdSky_Q3&gt;0,0,Vsd_Q3)*(L96+P96/2), 2*Deadtime*Fsw/2*IF(VfdSky_Q3&gt;0,0,Vsd_Q3)*L96))</f>
        <v>0</v>
      </c>
      <c r="AR96" s="488" t="n">
        <f aca="false">(AQ96+AP96*(1+RdsonBotTc*Ta-RdsonBotTc*25))/(1-AP96*RdsonBotTc*ThetaJA_Q3)</f>
        <v>0.0725869981965338</v>
      </c>
      <c r="AS96" s="488" t="n">
        <f aca="false">CHOOSE(J96, Rdson3*Q96^2, Rdson1*Q96^2, 0)</f>
        <v>0.0715483028899659</v>
      </c>
      <c r="AT96" s="488" t="n">
        <f aca="false">CHOOSE(J96, 2*Deadtime*Fsw*IF(VfdSky_Q2&gt;0,VfdSky_Q2,0)*K96, 2*Deadtime*Fsw*IF(VfdSky_Q3&gt;0,VfdSky_Q3,0)*L96, 2*Deadtime*Fsw/2*IF(VfdSky_Q2&gt;0,VfdSky_Q2,0)*K96+2*Deadtime*Fsw/2*IF(VfdSky_Q3&gt;0,VfdSky_Q3,0)*L96)</f>
        <v>0</v>
      </c>
      <c r="AU96" s="488" t="n">
        <f aca="false">CHOOSE(J96, IF(QrrSky_Q2&gt;0,QrrSky_Q2,Qrr_Q2)*Fsw*(H96-K96*Rdson1), IF(QrrSky_Q3&gt;0,QrrSky_Q3,Qrr_Q3)*Fsw*Vout,  IF(QrrSky_Q2&gt;0,QrrSky_Q2,Qrr_Q2)*Fsw/2*(H96-K96*Rdson1)+IF(QrrSky_Q3&gt;0,QrrSky_Q3,Qrr_Q3)*Fsw/2*Vout)</f>
        <v>0.47449962</v>
      </c>
      <c r="AV96" s="488" t="n">
        <f aca="false">CHOOSE(J96, Rs*AF96^2, Rs*AJ96^2, Rs*(AF96^2+AJ96^2))</f>
        <v>0.156508885121106</v>
      </c>
      <c r="AW96" s="488" t="n">
        <f aca="false">Rshunt_std/1000*Iout^2</f>
        <v>0.14832</v>
      </c>
      <c r="AX96" s="488" t="n">
        <f aca="false">IF(Vout&gt;8, Iq*Vout, Iq*H96)</f>
        <v>0.036</v>
      </c>
      <c r="AY96" s="488" t="n">
        <f aca="false">CHOOSE(J96, (Qg_Q1+Qg_Q2)*Fsw, (Qg_Q3+Qg_Q4)*Fsw, (Qg_Q1+Qg_Q2+Qg_Q3+Qg_Q4)*Fsw/2)*IF(Vout&gt;8, Vout, H96)</f>
        <v>0.0792</v>
      </c>
      <c r="AZ96" s="488" t="n">
        <f aca="false">(Vin-Vdd)*Fsw*(Qg_Q1+Qg_Q2)+(RdsonDRT+RdsonDRT2)*Fsw*Qg_Q1*Vdd/(RdsonDRT+2*Rgate1+RdsonDRT2)+(RdsonDRB+RdsonDRB2)*Fsw*Qg_Q2*Vdd/(RdsonDRB+2*Rgate2+RdsonDRB2)</f>
        <v>0.0522</v>
      </c>
      <c r="BA96" s="488" t="n">
        <f aca="false">SUM(AX96:AY96)</f>
        <v>0.1152</v>
      </c>
      <c r="BB96" s="488" t="n">
        <f aca="false">SUM(T96,W96,Z96,AE96,AI96,AN96,AR96, AT96,AU96,BA96,AV96,AW96)</f>
        <v>2.16784873808643</v>
      </c>
      <c r="BC96" s="419" t="n">
        <f aca="false">Vout*K96</f>
        <v>72</v>
      </c>
      <c r="BD96" s="589" t="n">
        <f aca="false">BC96/(BC96+BB96)</f>
        <v>0.970771044664624</v>
      </c>
      <c r="BE96" s="590" t="n">
        <f aca="false">IF(H96&gt;Vout,ThetaJA_Q1*(AE96+AU96),ThetaJA_Q4*(AN96+AU96))</f>
        <v>36.8324628726933</v>
      </c>
      <c r="BF96" s="590" t="n">
        <f aca="false">IF(H96&gt;Vout, AI96*ThetaJA_Q2, ThetaJA_Q3*AR96)</f>
        <v>13.067057288382</v>
      </c>
      <c r="BG96" s="536"/>
      <c r="BH96" s="385" t="n">
        <f aca="false">BD96*100</f>
        <v>97.0771044664624</v>
      </c>
      <c r="BI96" s="488" t="n">
        <f aca="false">T96</f>
        <v>0.650157643636394</v>
      </c>
      <c r="BJ96" s="488" t="n">
        <f aca="false">AE96+AI96+AN96+AR96+AU96</f>
        <v>1.07057740141804</v>
      </c>
      <c r="BK96" s="488" t="n">
        <f aca="false">AI96+AU96*0.33</f>
        <v>0.417926020367641</v>
      </c>
      <c r="BL96" s="488" t="n">
        <f aca="false">AV96</f>
        <v>0.156508885121106</v>
      </c>
      <c r="BR96" s="591"/>
      <c r="BS96" s="592"/>
    </row>
    <row r="97" customFormat="false" ht="12.75" hidden="false" customHeight="false" outlineLevel="0" collapsed="false">
      <c r="G97" s="0" t="n">
        <v>88</v>
      </c>
      <c r="H97" s="586" t="n">
        <f aca="false">VIN_min+(VIN_max-VIN_min)*(G97/200)</f>
        <v>25.36</v>
      </c>
      <c r="I97" s="385" t="str">
        <f aca="false">IF(H97&gt;VIN_BB_to_buck, "BUCK", IF(H97&lt;VIN_boost_to_BB,"BOOST","BUCK-BST"))</f>
        <v>BUCK</v>
      </c>
      <c r="J97" s="419" t="n">
        <f aca="false">IF(I97="BOOST",2, IF(I97="BUCK", 1,3))</f>
        <v>1</v>
      </c>
      <c r="K97" s="0" t="n">
        <f aca="false">Iout</f>
        <v>6</v>
      </c>
      <c r="L97" s="385" t="n">
        <f aca="false">Vout*K97/(H97*Efficiency)</f>
        <v>3.15457413249211</v>
      </c>
      <c r="M97" s="385" t="n">
        <f aca="false">Iout/(1-O97)</f>
        <v>6</v>
      </c>
      <c r="N97" s="488" t="n">
        <f aca="false">CHOOSE(J97,(Vout+(Rdson2+Rs+Rdcr)*K97)/(H97+(Rs+Rdson2-Rdson1)*K97),1,IF(H97&lt;Vout,D_max_buck_BB,Vout/H97*(1-D_min_boost_exitBB_to_buck)))</f>
        <v>0.476318482367758</v>
      </c>
      <c r="O97" s="488" t="n">
        <f aca="false">CHOOSE(J97,0,(Vout+(Rdson3+Rdcr)*L97-H97)/(Vout+(Rdson3-Rdson4-Rs)*L97),IF(H97&gt;Vout,D_min_boost_exitBB_to_buck, (Vout-H97*D_max_buck_BB)/Vout))</f>
        <v>0</v>
      </c>
      <c r="P97" s="385" t="n">
        <f aca="false">MAX(0, CHOOSE(J97, (H97-(Rdson1+Rdcr)*K97-Vout)*N97/(Fsw*Lf), (H97-(Rdson4+Rdcr+Rs)*L97)*O97/(Fsw*Lf), IF(H97&lt;Vout, (H97-(Rdson4+Rdcr+Rs)*L97)*O97/(0.5*Fsw*Lf),(H97-(Rdson1+Rdcr)*K97-Vout)*N97/(0.5*Fsw*Lf))))</f>
        <v>4.49485874527708</v>
      </c>
      <c r="Q97" s="488" t="n">
        <f aca="false">CHOOSE(J97, SQRT(K97^2+(P97^2)/12), SQRT(L97^2+(P97^2)/12), SQRT(M97^2+(P97^2)/12))</f>
        <v>6.1387006981662</v>
      </c>
      <c r="R97" s="488" t="n">
        <f aca="false">(Q97^2*Rdcr*(1+Ltc*Ta-Ltc*25))/(1-Q97^2*Rdcr*Ltc*ThetaCa)</f>
        <v>0.127528149456821</v>
      </c>
      <c r="S97" s="488" t="n">
        <f aca="false">7.759*10^-3*Fsw^0.9458*(0.00787*P97)^2.304</f>
        <v>0.53241538058564</v>
      </c>
      <c r="T97" s="488" t="n">
        <f aca="false">R97+S97</f>
        <v>0.659943530042461</v>
      </c>
      <c r="U97" s="385" t="n">
        <f aca="false">IF(H97&gt;Vout, P97/SQRT(12), SQRT(O97/(1-O97))*SQRT(K97^2+(P97^2)/12))</f>
        <v>1.29755395327753</v>
      </c>
      <c r="V97" s="488" t="n">
        <f aca="false">RCoutEsr*U97^2</f>
        <v>0.00841823130833076</v>
      </c>
      <c r="W97" s="488" t="n">
        <f aca="false">V97</f>
        <v>0.00841823130833076</v>
      </c>
      <c r="X97" s="488" t="n">
        <f aca="false">IF(H97&gt;Vout, SQRT(N97*(1-N97))*SQRT(K97^2+(P97^2)/12), P97/SQRT(12))</f>
        <v>3.06590574521947</v>
      </c>
      <c r="Y97" s="587" t="n">
        <f aca="false">RCinEsr*X97^2</f>
        <v>0.0187995560771396</v>
      </c>
      <c r="Z97" s="588" t="n">
        <f aca="false">Y97</f>
        <v>0.0187995560771396</v>
      </c>
      <c r="AA97" s="488" t="n">
        <f aca="false">CHOOSE(J97, SQRT(N97)*SQRT(K97^2+(P97^2)/12), SQRT(L97^2+(P97^2)/12), SQRT(N97)*SQRT(M97^2+(P97^2)/12))</f>
        <v>4.23667525277077</v>
      </c>
      <c r="AB97" s="488" t="n">
        <f aca="false">Rdson1*AA97^2</f>
        <v>0.10231167802541</v>
      </c>
      <c r="AC97" s="488" t="n">
        <f aca="false">CHOOSE(J97, (H97*K97/2)*(Fsw)*(Tr_buck+Tf_buck), 0, (H97*M97/2)*(Fsw/2)*(Tr_buck+Tf_buck))</f>
        <v>0.154954329985653</v>
      </c>
      <c r="AD97" s="0" t="n">
        <f aca="false">IF(H97&gt;Vout, IF(K97&gt;P97/2,0,ABS(K97-P97/2)*Vsd_Q1*Deadtime*Fsw),0)</f>
        <v>0</v>
      </c>
      <c r="AE97" s="488" t="n">
        <f aca="false">(AD97+AC97+AB97*(1+RdsonTopTc*Ta-RdsonTopTc*25))/(1-AB97*RdsonTopTc*ThetaJA_Q1)</f>
        <v>0.262640240760912</v>
      </c>
      <c r="AF97" s="488" t="n">
        <f aca="false">CHOOSE(J97, SQRT((1-N97))*SQRT(K97^2+(P97^2)/12), 0, SQRT((1-N97))*SQRT(M97^2+(P97^2)/12))</f>
        <v>4.44232248539274</v>
      </c>
      <c r="AG97" s="488" t="n">
        <f aca="false">Rdson2*AF97^2</f>
        <v>0.112485105666088</v>
      </c>
      <c r="AH97" s="488" t="n">
        <f aca="false">CHOOSE(J97, IF(K97&lt;P97/2,Deadtime*Fsw*IF(VfdSky_Q2&gt;0,0,Vsd_Q2)*(K97+P97/2),2*Deadtime*Fsw*IF(VfdSky_Q2&gt;0,0,Vsd_Q2)*K97),0, IF(K97&lt;P97/2,Deadtime*Fsw/2*IF(VfdSky_Q2&gt;0,0,Vsd_Q2)*(K97+P97/2),2*Deadtime*Fsw/2*IF(VfdSky_Q2&gt;0,0,Vsd_Q2)*K97))</f>
        <v>0.144</v>
      </c>
      <c r="AI97" s="488" t="n">
        <f aca="false">(AH97+AG97*(1+RdsonBotTc*Ta-RdsonBotTc*25))/(1-AG97*RdsonBotTc*ThetaJA_Q2)</f>
        <v>0.262388055291075</v>
      </c>
      <c r="AJ97" s="488" t="n">
        <f aca="false">CHOOSE(J97, 0, SQRT(O97)*SQRT(L97^2+(P97^2)/12), SQRT(O97)*SQRT(M97^2+(P97^2)/12))</f>
        <v>0</v>
      </c>
      <c r="AK97" s="488" t="n">
        <f aca="false">Rdson4*AJ97^2</f>
        <v>0</v>
      </c>
      <c r="AL97" s="488" t="n">
        <f aca="false">CHOOSE(J97, 0, (Vout*L97/2)*(Fsw)*(Tr_boost+Tf_boost), (Vout*Iout/2)*(Fsw/2)*(Tr_boost+Tf_boost))</f>
        <v>0</v>
      </c>
      <c r="AM97" s="0" t="n">
        <f aca="false">IF(H97&gt;Vout, 0, IF(L97&gt;P97/2,0,ABS(L97-P97/2)*Vsd_Q4*Deadtime*Fsw))</f>
        <v>0</v>
      </c>
      <c r="AN97" s="488" t="n">
        <f aca="false">(AM97+AL97+AK97*(1+RdsonTopTc*Ta-RdsonTopTc*25))/(1-AK97*RdsonTopTc*ThetaJA_Q4)</f>
        <v>0</v>
      </c>
      <c r="AO97" s="488" t="n">
        <f aca="false">CHOOSE(J97, SQRT(Iout^2+(P97^2)/12), SQRT(1-O97)*SQRT(L97^2+(P97^2)/12), SQRT(1-O97)*SQRT(M97^2+(P97^2)/12))</f>
        <v>6.1387006981662</v>
      </c>
      <c r="AP97" s="488" t="n">
        <f aca="false">Rdson3*AO97^2</f>
        <v>0.0715989278971657</v>
      </c>
      <c r="AQ97" s="488" t="n">
        <f aca="false">CHOOSE(J97, 0, IF(L97&lt;P97/2,Deadtime*Fsw*IF(VfdSky_Q3&gt;0,0,Vsd_Q3)*(L97+P97/2), 2*Deadtime*Fsw*IF(VfdSky_Q3&gt;0,0,Vsd_Q3)*L97), IF(L97&lt;P97/2,Deadtime*Fsw/2*IF(VfdSky_Q3&gt;0,0,Vsd_Q3)*(L97+P97/2), 2*Deadtime*Fsw/2*IF(VfdSky_Q3&gt;0,0,Vsd_Q3)*L97))</f>
        <v>0</v>
      </c>
      <c r="AR97" s="488" t="n">
        <f aca="false">(AQ97+AP97*(1+RdsonBotTc*Ta-RdsonBotTc*25))/(1-AP97*RdsonBotTc*ThetaJA_Q3)</f>
        <v>0.0726391042953573</v>
      </c>
      <c r="AS97" s="488" t="n">
        <f aca="false">CHOOSE(J97, Rdson3*Q97^2, Rdson1*Q97^2, 0)</f>
        <v>0.0715989278971657</v>
      </c>
      <c r="AT97" s="488" t="n">
        <f aca="false">CHOOSE(J97, 2*Deadtime*Fsw*IF(VfdSky_Q2&gt;0,VfdSky_Q2,0)*K97, 2*Deadtime*Fsw*IF(VfdSky_Q3&gt;0,VfdSky_Q3,0)*L97, 2*Deadtime*Fsw/2*IF(VfdSky_Q2&gt;0,VfdSky_Q2,0)*K97+2*Deadtime*Fsw/2*IF(VfdSky_Q3&gt;0,VfdSky_Q3,0)*L97)</f>
        <v>0</v>
      </c>
      <c r="AU97" s="488" t="n">
        <f aca="false">CHOOSE(J97, IF(QrrSky_Q2&gt;0,QrrSky_Q2,Qrr_Q2)*Fsw*(H97-K97*Rdson1), IF(QrrSky_Q3&gt;0,QrrSky_Q3,Qrr_Q3)*Fsw*Vout,  IF(QrrSky_Q2&gt;0,QrrSky_Q2,Qrr_Q2)*Fsw/2*(H97-K97*Rdson1)+IF(QrrSky_Q3&gt;0,QrrSky_Q3,Qrr_Q3)*Fsw/2*Vout)</f>
        <v>0.47865762</v>
      </c>
      <c r="AV97" s="488" t="n">
        <f aca="false">CHOOSE(J97, Rs*AF97^2, Rs*AJ97^2, Rs*(AF97^2+AJ97^2))</f>
        <v>0.157873832513807</v>
      </c>
      <c r="AW97" s="488" t="n">
        <f aca="false">Rshunt_std/1000*Iout^2</f>
        <v>0.14832</v>
      </c>
      <c r="AX97" s="488" t="n">
        <f aca="false">IF(Vout&gt;8, Iq*Vout, Iq*H97)</f>
        <v>0.036</v>
      </c>
      <c r="AY97" s="488" t="n">
        <f aca="false">CHOOSE(J97, (Qg_Q1+Qg_Q2)*Fsw, (Qg_Q3+Qg_Q4)*Fsw, (Qg_Q1+Qg_Q2+Qg_Q3+Qg_Q4)*Fsw/2)*IF(Vout&gt;8, Vout, H97)</f>
        <v>0.0792</v>
      </c>
      <c r="AZ97" s="488" t="n">
        <f aca="false">(Vin-Vdd)*Fsw*(Qg_Q1+Qg_Q2)+(RdsonDRT+RdsonDRT2)*Fsw*Qg_Q1*Vdd/(RdsonDRT+2*Rgate1+RdsonDRT2)+(RdsonDRB+RdsonDRB2)*Fsw*Qg_Q2*Vdd/(RdsonDRB+2*Rgate2+RdsonDRB2)</f>
        <v>0.0522</v>
      </c>
      <c r="BA97" s="488" t="n">
        <f aca="false">SUM(AX97:AY97)</f>
        <v>0.1152</v>
      </c>
      <c r="BB97" s="488" t="n">
        <f aca="false">SUM(T97,W97,Z97,AE97,AI97,AN97,AR97, AT97,AU97,BA97,AV97,AW97)</f>
        <v>2.18488017028908</v>
      </c>
      <c r="BC97" s="419" t="n">
        <f aca="false">Vout*K97</f>
        <v>72</v>
      </c>
      <c r="BD97" s="589" t="n">
        <f aca="false">BC97/(BC97+BB97)</f>
        <v>0.970548174166033</v>
      </c>
      <c r="BE97" s="590" t="n">
        <f aca="false">IF(H97&gt;Vout,ThetaJA_Q1*(AE97+AU97),ThetaJA_Q4*(AN97+AU97))</f>
        <v>37.0648930380456</v>
      </c>
      <c r="BF97" s="590" t="n">
        <f aca="false">IF(H97&gt;Vout, AI97*ThetaJA_Q2, ThetaJA_Q3*AR97)</f>
        <v>13.1194027645537</v>
      </c>
      <c r="BG97" s="536"/>
      <c r="BH97" s="385" t="n">
        <f aca="false">BD97*100</f>
        <v>97.0548174166033</v>
      </c>
      <c r="BI97" s="488" t="n">
        <f aca="false">T97</f>
        <v>0.659943530042461</v>
      </c>
      <c r="BJ97" s="488" t="n">
        <f aca="false">AE97+AI97+AN97+AR97+AU97</f>
        <v>1.07632502034734</v>
      </c>
      <c r="BK97" s="488" t="n">
        <f aca="false">AI97+AU97*0.33</f>
        <v>0.420345069891075</v>
      </c>
      <c r="BL97" s="488" t="n">
        <f aca="false">AV97</f>
        <v>0.157873832513807</v>
      </c>
      <c r="BR97" s="591"/>
      <c r="BS97" s="592"/>
    </row>
    <row r="98" customFormat="false" ht="12.75" hidden="false" customHeight="false" outlineLevel="0" collapsed="false">
      <c r="G98" s="0" t="n">
        <v>89</v>
      </c>
      <c r="H98" s="586" t="n">
        <f aca="false">VIN_min+(VIN_max-VIN_min)*(G98/200)</f>
        <v>25.58</v>
      </c>
      <c r="I98" s="385" t="str">
        <f aca="false">IF(H98&gt;VIN_BB_to_buck, "BUCK", IF(H98&lt;VIN_boost_to_BB,"BOOST","BUCK-BST"))</f>
        <v>BUCK</v>
      </c>
      <c r="J98" s="419" t="n">
        <f aca="false">IF(I98="BOOST",2, IF(I98="BUCK", 1,3))</f>
        <v>1</v>
      </c>
      <c r="K98" s="0" t="n">
        <f aca="false">Iout</f>
        <v>6</v>
      </c>
      <c r="L98" s="385" t="n">
        <f aca="false">Vout*K98/(H98*Efficiency)</f>
        <v>3.12744331508991</v>
      </c>
      <c r="M98" s="385" t="n">
        <f aca="false">Iout/(1-O98)</f>
        <v>6</v>
      </c>
      <c r="N98" s="488" t="n">
        <f aca="false">CHOOSE(J98,(Vout+(Rdson2+Rs+Rdcr)*K98)/(H98+(Rs+Rdson2-Rdson1)*K98),1,IF(H98&lt;Vout,D_max_buck_BB,Vout/H98*(1-D_min_boost_exitBB_to_buck)))</f>
        <v>0.472229592633058</v>
      </c>
      <c r="O98" s="488" t="n">
        <f aca="false">CHOOSE(J98,0,(Vout+(Rdson3+Rdcr)*L98-H98)/(Vout+(Rdson3-Rdson4-Rs)*L98),IF(H98&gt;Vout,D_min_boost_exitBB_to_buck, (Vout-H98*D_max_buck_BB)/Vout))</f>
        <v>0</v>
      </c>
      <c r="P98" s="385" t="n">
        <f aca="false">MAX(0, CHOOSE(J98, (H98-(Rdson1+Rdcr)*K98-Vout)*N98/(Fsw*Lf), (H98-(Rdson4+Rdcr+Rs)*L98)*O98/(Fsw*Lf), IF(H98&lt;Vout, (H98-(Rdson4+Rdcr+Rs)*L98)*O98/(0.5*Fsw*Lf),(H98-(Rdson1+Rdcr)*K98-Vout)*N98/(0.5*Fsw*Lf))))</f>
        <v>4.5299544688489</v>
      </c>
      <c r="Q98" s="488" t="n">
        <f aca="false">CHOOSE(J98, SQRT(K98^2+(P98^2)/12), SQRT(L98^2+(P98^2)/12), SQRT(M98^2+(P98^2)/12))</f>
        <v>6.14085015483636</v>
      </c>
      <c r="R98" s="488" t="n">
        <f aca="false">(Q98^2*Rdcr*(1+Ltc*Ta-Ltc*25))/(1-Q98^2*Rdcr*Ltc*ThetaCa)</f>
        <v>0.127618384608331</v>
      </c>
      <c r="S98" s="488" t="n">
        <f aca="false">7.759*10^-3*Fsw^0.9458*(0.00787*P98)^2.304</f>
        <v>0.542042098688143</v>
      </c>
      <c r="T98" s="488" t="n">
        <f aca="false">R98+S98</f>
        <v>0.669660483296474</v>
      </c>
      <c r="U98" s="385" t="n">
        <f aca="false">IF(H98&gt;Vout, P98/SQRT(12), SQRT(O98/(1-O98))*SQRT(K98^2+(P98^2)/12))</f>
        <v>1.30768521600333</v>
      </c>
      <c r="V98" s="488" t="n">
        <f aca="false">RCoutEsr*U98^2</f>
        <v>0.00855020312076838</v>
      </c>
      <c r="W98" s="488" t="n">
        <f aca="false">V98</f>
        <v>0.00855020312076838</v>
      </c>
      <c r="X98" s="488" t="n">
        <f aca="false">IF(H98&gt;Vout, SQRT(N98*(1-N98))*SQRT(K98^2+(P98^2)/12), P98/SQRT(12))</f>
        <v>3.06568562338822</v>
      </c>
      <c r="Y98" s="587" t="n">
        <f aca="false">RCinEsr*X98^2</f>
        <v>0.0187968566828984</v>
      </c>
      <c r="Z98" s="588" t="n">
        <f aca="false">Y98</f>
        <v>0.0187968566828984</v>
      </c>
      <c r="AA98" s="488" t="n">
        <f aca="false">CHOOSE(J98, SQRT(N98)*SQRT(K98^2+(P98^2)/12), SQRT(L98^2+(P98^2)/12), SQRT(N98)*SQRT(M98^2+(P98^2)/12))</f>
        <v>4.21992856836702</v>
      </c>
      <c r="AB98" s="488" t="n">
        <f aca="false">Rdson1*AA98^2</f>
        <v>0.101504443596085</v>
      </c>
      <c r="AC98" s="488" t="n">
        <f aca="false">CHOOSE(J98, (H98*K98/2)*(Fsw)*(Tr_buck+Tf_buck), 0, (H98*M98/2)*(Fsw/2)*(Tr_buck+Tf_buck))</f>
        <v>0.156298571018651</v>
      </c>
      <c r="AD98" s="0" t="n">
        <f aca="false">IF(H98&gt;Vout, IF(K98&gt;P98/2,0,ABS(K98-P98/2)*Vsd_Q1*Deadtime*Fsw),0)</f>
        <v>0</v>
      </c>
      <c r="AE98" s="488" t="n">
        <f aca="false">(AD98+AC98+AB98*(1+RdsonTopTc*Ta-RdsonTopTc*25))/(1-AB98*RdsonTopTc*ThetaJA_Q1)</f>
        <v>0.263145093882656</v>
      </c>
      <c r="AF98" s="488" t="n">
        <f aca="false">CHOOSE(J98, SQRT((1-N98))*SQRT(K98^2+(P98^2)/12), 0, SQRT((1-N98))*SQRT(M98^2+(P98^2)/12))</f>
        <v>4.46119305814415</v>
      </c>
      <c r="AG98" s="488" t="n">
        <f aca="false">Rdson2*AF98^2</f>
        <v>0.113442787961591</v>
      </c>
      <c r="AH98" s="488" t="n">
        <f aca="false">CHOOSE(J98, IF(K98&lt;P98/2,Deadtime*Fsw*IF(VfdSky_Q2&gt;0,0,Vsd_Q2)*(K98+P98/2),2*Deadtime*Fsw*IF(VfdSky_Q2&gt;0,0,Vsd_Q2)*K98),0, IF(K98&lt;P98/2,Deadtime*Fsw/2*IF(VfdSky_Q2&gt;0,0,Vsd_Q2)*(K98+P98/2),2*Deadtime*Fsw/2*IF(VfdSky_Q2&gt;0,0,Vsd_Q2)*K98))</f>
        <v>0.144</v>
      </c>
      <c r="AI98" s="488" t="n">
        <f aca="false">(AH98+AG98*(1+RdsonBotTc*Ta-RdsonBotTc*25))/(1-AG98*RdsonBotTc*ThetaJA_Q2)</f>
        <v>0.263419394054531</v>
      </c>
      <c r="AJ98" s="488" t="n">
        <f aca="false">CHOOSE(J98, 0, SQRT(O98)*SQRT(L98^2+(P98^2)/12), SQRT(O98)*SQRT(M98^2+(P98^2)/12))</f>
        <v>0</v>
      </c>
      <c r="AK98" s="488" t="n">
        <f aca="false">Rdson4*AJ98^2</f>
        <v>0</v>
      </c>
      <c r="AL98" s="488" t="n">
        <f aca="false">CHOOSE(J98, 0, (Vout*L98/2)*(Fsw)*(Tr_boost+Tf_boost), (Vout*Iout/2)*(Fsw/2)*(Tr_boost+Tf_boost))</f>
        <v>0</v>
      </c>
      <c r="AM98" s="0" t="n">
        <f aca="false">IF(H98&gt;Vout, 0, IF(L98&gt;P98/2,0,ABS(L98-P98/2)*Vsd_Q4*Deadtime*Fsw))</f>
        <v>0</v>
      </c>
      <c r="AN98" s="488" t="n">
        <f aca="false">(AM98+AL98+AK98*(1+RdsonTopTc*Ta-RdsonTopTc*25))/(1-AK98*RdsonTopTc*ThetaJA_Q4)</f>
        <v>0</v>
      </c>
      <c r="AO98" s="488" t="n">
        <f aca="false">CHOOSE(J98, SQRT(Iout^2+(P98^2)/12), SQRT(1-O98)*SQRT(L98^2+(P98^2)/12), SQRT(1-O98)*SQRT(M98^2+(P98^2)/12))</f>
        <v>6.14085015483636</v>
      </c>
      <c r="AP98" s="488" t="n">
        <f aca="false">Rdson3*AO98^2</f>
        <v>0.071649077185892</v>
      </c>
      <c r="AQ98" s="488" t="n">
        <f aca="false">CHOOSE(J98, 0, IF(L98&lt;P98/2,Deadtime*Fsw*IF(VfdSky_Q3&gt;0,0,Vsd_Q3)*(L98+P98/2), 2*Deadtime*Fsw*IF(VfdSky_Q3&gt;0,0,Vsd_Q3)*L98), IF(L98&lt;P98/2,Deadtime*Fsw/2*IF(VfdSky_Q3&gt;0,0,Vsd_Q3)*(L98+P98/2), 2*Deadtime*Fsw/2*IF(VfdSky_Q3&gt;0,0,Vsd_Q3)*L98))</f>
        <v>0</v>
      </c>
      <c r="AR98" s="488" t="n">
        <f aca="false">(AQ98+AP98*(1+RdsonBotTc*Ta-RdsonBotTc*25))/(1-AP98*RdsonBotTc*ThetaJA_Q3)</f>
        <v>0.0726907218134744</v>
      </c>
      <c r="AS98" s="488" t="n">
        <f aca="false">CHOOSE(J98, Rdson3*Q98^2, Rdson1*Q98^2, 0)</f>
        <v>0.071649077185892</v>
      </c>
      <c r="AT98" s="488" t="n">
        <f aca="false">CHOOSE(J98, 2*Deadtime*Fsw*IF(VfdSky_Q2&gt;0,VfdSky_Q2,0)*K98, 2*Deadtime*Fsw*IF(VfdSky_Q3&gt;0,VfdSky_Q3,0)*L98, 2*Deadtime*Fsw/2*IF(VfdSky_Q2&gt;0,VfdSky_Q2,0)*K98+2*Deadtime*Fsw/2*IF(VfdSky_Q3&gt;0,VfdSky_Q3,0)*L98)</f>
        <v>0</v>
      </c>
      <c r="AU98" s="488" t="n">
        <f aca="false">CHOOSE(J98, IF(QrrSky_Q2&gt;0,QrrSky_Q2,Qrr_Q2)*Fsw*(H98-K98*Rdson1), IF(QrrSky_Q3&gt;0,QrrSky_Q3,Qrr_Q3)*Fsw*Vout,  IF(QrrSky_Q2&gt;0,QrrSky_Q2,Qrr_Q2)*Fsw/2*(H98-K98*Rdson1)+IF(QrrSky_Q3&gt;0,QrrSky_Q3,Qrr_Q3)*Fsw/2*Vout)</f>
        <v>0.48281562</v>
      </c>
      <c r="AV98" s="488" t="n">
        <f aca="false">CHOOSE(J98, Rs*AF98^2, Rs*AJ98^2, Rs*(AF98^2+AJ98^2))</f>
        <v>0.159217948016268</v>
      </c>
      <c r="AW98" s="488" t="n">
        <f aca="false">Rshunt_std/1000*Iout^2</f>
        <v>0.14832</v>
      </c>
      <c r="AX98" s="488" t="n">
        <f aca="false">IF(Vout&gt;8, Iq*Vout, Iq*H98)</f>
        <v>0.036</v>
      </c>
      <c r="AY98" s="488" t="n">
        <f aca="false">CHOOSE(J98, (Qg_Q1+Qg_Q2)*Fsw, (Qg_Q3+Qg_Q4)*Fsw, (Qg_Q1+Qg_Q2+Qg_Q3+Qg_Q4)*Fsw/2)*IF(Vout&gt;8, Vout, H98)</f>
        <v>0.0792</v>
      </c>
      <c r="AZ98" s="488" t="n">
        <f aca="false">(Vin-Vdd)*Fsw*(Qg_Q1+Qg_Q2)+(RdsonDRT+RdsonDRT2)*Fsw*Qg_Q1*Vdd/(RdsonDRT+2*Rgate1+RdsonDRT2)+(RdsonDRB+RdsonDRB2)*Fsw*Qg_Q2*Vdd/(RdsonDRB+2*Rgate2+RdsonDRB2)</f>
        <v>0.0522</v>
      </c>
      <c r="BA98" s="488" t="n">
        <f aca="false">SUM(AX98:AY98)</f>
        <v>0.1152</v>
      </c>
      <c r="BB98" s="488" t="n">
        <f aca="false">SUM(T98,W98,Z98,AE98,AI98,AN98,AR98, AT98,AU98,BA98,AV98,AW98)</f>
        <v>2.20181632086707</v>
      </c>
      <c r="BC98" s="419" t="n">
        <f aca="false">Vout*K98</f>
        <v>72</v>
      </c>
      <c r="BD98" s="589" t="n">
        <f aca="false">BC98/(BC98+BB98)</f>
        <v>0.970326651960299</v>
      </c>
      <c r="BE98" s="590" t="n">
        <f aca="false">IF(H98&gt;Vout,ThetaJA_Q1*(AE98+AU98),ThetaJA_Q4*(AN98+AU98))</f>
        <v>37.2980356941328</v>
      </c>
      <c r="BF98" s="590" t="n">
        <f aca="false">IF(H98&gt;Vout, AI98*ThetaJA_Q2, ThetaJA_Q3*AR98)</f>
        <v>13.1709697027265</v>
      </c>
      <c r="BG98" s="536"/>
      <c r="BH98" s="385" t="n">
        <f aca="false">BD98*100</f>
        <v>97.0326651960299</v>
      </c>
      <c r="BI98" s="488" t="n">
        <f aca="false">T98</f>
        <v>0.669660483296474</v>
      </c>
      <c r="BJ98" s="488" t="n">
        <f aca="false">AE98+AI98+AN98+AR98+AU98</f>
        <v>1.08207082975066</v>
      </c>
      <c r="BK98" s="488" t="n">
        <f aca="false">AI98+AU98*0.33</f>
        <v>0.422748548654531</v>
      </c>
      <c r="BL98" s="488" t="n">
        <f aca="false">AV98</f>
        <v>0.159217948016268</v>
      </c>
      <c r="BR98" s="591"/>
      <c r="BS98" s="592"/>
    </row>
    <row r="99" customFormat="false" ht="12.75" hidden="false" customHeight="false" outlineLevel="0" collapsed="false">
      <c r="G99" s="0" t="n">
        <v>90</v>
      </c>
      <c r="H99" s="586" t="n">
        <f aca="false">VIN_min+(VIN_max-VIN_min)*(G99/200)</f>
        <v>25.8</v>
      </c>
      <c r="I99" s="385" t="str">
        <f aca="false">IF(H99&gt;VIN_BB_to_buck, "BUCK", IF(H99&lt;VIN_boost_to_BB,"BOOST","BUCK-BST"))</f>
        <v>BUCK</v>
      </c>
      <c r="J99" s="419" t="n">
        <f aca="false">IF(I99="BOOST",2, IF(I99="BUCK", 1,3))</f>
        <v>1</v>
      </c>
      <c r="K99" s="0" t="n">
        <f aca="false">Iout</f>
        <v>6</v>
      </c>
      <c r="L99" s="385" t="n">
        <f aca="false">Vout*K99/(H99*Efficiency)</f>
        <v>3.10077519379845</v>
      </c>
      <c r="M99" s="385" t="n">
        <f aca="false">Iout/(1-O99)</f>
        <v>6</v>
      </c>
      <c r="N99" s="488" t="n">
        <f aca="false">CHOOSE(J99,(Vout+(Rdson2+Rs+Rdcr)*K99)/(H99+(Rs+Rdson2-Rdson1)*K99),1,IF(H99&lt;Vout,D_max_buck_BB,Vout/H99*(1-D_min_boost_exitBB_to_buck)))</f>
        <v>0.468210306406685</v>
      </c>
      <c r="O99" s="488" t="n">
        <f aca="false">CHOOSE(J99,0,(Vout+(Rdson3+Rdcr)*L99-H99)/(Vout+(Rdson3-Rdson4-Rs)*L99),IF(H99&gt;Vout,D_min_boost_exitBB_to_buck, (Vout-H99*D_max_buck_BB)/Vout))</f>
        <v>0</v>
      </c>
      <c r="P99" s="385" t="n">
        <f aca="false">MAX(0, CHOOSE(J99, (H99-(Rdson1+Rdcr)*K99-Vout)*N99/(Fsw*Lf), (H99-(Rdson4+Rdcr+Rs)*L99)*O99/(Fsw*Lf), IF(H99&lt;Vout, (H99-(Rdson4+Rdcr+Rs)*L99)*O99/(0.5*Fsw*Lf),(H99-(Rdson1+Rdcr)*K99-Vout)*N99/(0.5*Fsw*Lf))))</f>
        <v>4.56445277218041</v>
      </c>
      <c r="Q99" s="488" t="n">
        <f aca="false">CHOOSE(J99, SQRT(K99^2+(P99^2)/12), SQRT(L99^2+(P99^2)/12), SQRT(M99^2+(P99^2)/12))</f>
        <v>6.14297857387783</v>
      </c>
      <c r="R99" s="488" t="n">
        <f aca="false">(Q99^2*Rdcr*(1+Ltc*Ta-Ltc*25))/(1-Q99^2*Rdcr*Ltc*ThetaCa)</f>
        <v>0.127707768990116</v>
      </c>
      <c r="S99" s="488" t="n">
        <f aca="false">7.759*10^-3*Fsw^0.9458*(0.00787*P99)^2.304</f>
        <v>0.551600211284777</v>
      </c>
      <c r="T99" s="488" t="n">
        <f aca="false">R99+S99</f>
        <v>0.679307980274893</v>
      </c>
      <c r="U99" s="385" t="n">
        <f aca="false">IF(H99&gt;Vout, P99/SQRT(12), SQRT(O99/(1-O99))*SQRT(K99^2+(P99^2)/12))</f>
        <v>1.31764401836085</v>
      </c>
      <c r="V99" s="488" t="n">
        <f aca="false">RCoutEsr*U99^2</f>
        <v>0.00868092879561058</v>
      </c>
      <c r="W99" s="488" t="n">
        <f aca="false">V99</f>
        <v>0.00868092879561058</v>
      </c>
      <c r="X99" s="488" t="n">
        <f aca="false">IF(H99&gt;Vout, SQRT(N99*(1-N99))*SQRT(K99^2+(P99^2)/12), P99/SQRT(12))</f>
        <v>3.06527500085748</v>
      </c>
      <c r="Y99" s="587" t="n">
        <f aca="false">RCinEsr*X99^2</f>
        <v>0.0187918216617636</v>
      </c>
      <c r="Z99" s="588" t="n">
        <f aca="false">Y99</f>
        <v>0.0187918216617636</v>
      </c>
      <c r="AA99" s="488" t="n">
        <f aca="false">CHOOSE(J99, SQRT(N99)*SQRT(K99^2+(P99^2)/12), SQRT(L99^2+(P99^2)/12), SQRT(N99)*SQRT(M99^2+(P99^2)/12))</f>
        <v>4.20338804976392</v>
      </c>
      <c r="AB99" s="488" t="n">
        <f aca="false">Rdson1*AA99^2</f>
        <v>0.10071028525232</v>
      </c>
      <c r="AC99" s="488" t="n">
        <f aca="false">CHOOSE(J99, (H99*K99/2)*(Fsw)*(Tr_buck+Tf_buck), 0, (H99*M99/2)*(Fsw/2)*(Tr_buck+Tf_buck))</f>
        <v>0.15764281205165</v>
      </c>
      <c r="AD99" s="0" t="n">
        <f aca="false">IF(H99&gt;Vout, IF(K99&gt;P99/2,0,ABS(K99-P99/2)*Vsd_Q1*Deadtime*Fsw),0)</f>
        <v>0</v>
      </c>
      <c r="AE99" s="488" t="n">
        <f aca="false">(AD99+AC99+AB99*(1+RdsonTopTc*Ta-RdsonTopTc*25))/(1-AB99*RdsonTopTc*ThetaJA_Q1)</f>
        <v>0.263663829193733</v>
      </c>
      <c r="AF99" s="488" t="n">
        <f aca="false">CHOOSE(J99, SQRT((1-N99))*SQRT(K99^2+(P99^2)/12), 0, SQRT((1-N99))*SQRT(M99^2+(P99^2)/12))</f>
        <v>4.47970028709778</v>
      </c>
      <c r="AG99" s="488" t="n">
        <f aca="false">Rdson2*AF99^2</f>
        <v>0.114385973574677</v>
      </c>
      <c r="AH99" s="488" t="n">
        <f aca="false">CHOOSE(J99, IF(K99&lt;P99/2,Deadtime*Fsw*IF(VfdSky_Q2&gt;0,0,Vsd_Q2)*(K99+P99/2),2*Deadtime*Fsw*IF(VfdSky_Q2&gt;0,0,Vsd_Q2)*K99),0, IF(K99&lt;P99/2,Deadtime*Fsw/2*IF(VfdSky_Q2&gt;0,0,Vsd_Q2)*(K99+P99/2),2*Deadtime*Fsw/2*IF(VfdSky_Q2&gt;0,0,Vsd_Q2)*K99))</f>
        <v>0.144</v>
      </c>
      <c r="AI99" s="488" t="n">
        <f aca="false">(AH99+AG99*(1+RdsonBotTc*Ta-RdsonBotTc*25))/(1-AG99*RdsonBotTc*ThetaJA_Q2)</f>
        <v>0.26443551637227</v>
      </c>
      <c r="AJ99" s="488" t="n">
        <f aca="false">CHOOSE(J99, 0, SQRT(O99)*SQRT(L99^2+(P99^2)/12), SQRT(O99)*SQRT(M99^2+(P99^2)/12))</f>
        <v>0</v>
      </c>
      <c r="AK99" s="488" t="n">
        <f aca="false">Rdson4*AJ99^2</f>
        <v>0</v>
      </c>
      <c r="AL99" s="488" t="n">
        <f aca="false">CHOOSE(J99, 0, (Vout*L99/2)*(Fsw)*(Tr_boost+Tf_boost), (Vout*Iout/2)*(Fsw/2)*(Tr_boost+Tf_boost))</f>
        <v>0</v>
      </c>
      <c r="AM99" s="0" t="n">
        <f aca="false">IF(H99&gt;Vout, 0, IF(L99&gt;P99/2,0,ABS(L99-P99/2)*Vsd_Q4*Deadtime*Fsw))</f>
        <v>0</v>
      </c>
      <c r="AN99" s="488" t="n">
        <f aca="false">(AM99+AL99+AK99*(1+RdsonTopTc*Ta-RdsonTopTc*25))/(1-AK99*RdsonTopTc*ThetaJA_Q4)</f>
        <v>0</v>
      </c>
      <c r="AO99" s="488" t="n">
        <f aca="false">CHOOSE(J99, SQRT(Iout^2+(P99^2)/12), SQRT(1-O99)*SQRT(L99^2+(P99^2)/12), SQRT(1-O99)*SQRT(M99^2+(P99^2)/12))</f>
        <v>6.14297857387783</v>
      </c>
      <c r="AP99" s="488" t="n">
        <f aca="false">Rdson3*AO99^2</f>
        <v>0.071698752942332</v>
      </c>
      <c r="AQ99" s="488" t="n">
        <f aca="false">CHOOSE(J99, 0, IF(L99&lt;P99/2,Deadtime*Fsw*IF(VfdSky_Q3&gt;0,0,Vsd_Q3)*(L99+P99/2), 2*Deadtime*Fsw*IF(VfdSky_Q3&gt;0,0,Vsd_Q3)*L99), IF(L99&lt;P99/2,Deadtime*Fsw/2*IF(VfdSky_Q3&gt;0,0,Vsd_Q3)*(L99+P99/2), 2*Deadtime*Fsw/2*IF(VfdSky_Q3&gt;0,0,Vsd_Q3)*L99))</f>
        <v>0</v>
      </c>
      <c r="AR99" s="488" t="n">
        <f aca="false">(AQ99+AP99*(1+RdsonBotTc*Ta-RdsonBotTc*25))/(1-AP99*RdsonBotTc*ThetaJA_Q3)</f>
        <v>0.0727418529712831</v>
      </c>
      <c r="AS99" s="488" t="n">
        <f aca="false">CHOOSE(J99, Rdson3*Q99^2, Rdson1*Q99^2, 0)</f>
        <v>0.071698752942332</v>
      </c>
      <c r="AT99" s="488" t="n">
        <f aca="false">CHOOSE(J99, 2*Deadtime*Fsw*IF(VfdSky_Q2&gt;0,VfdSky_Q2,0)*K99, 2*Deadtime*Fsw*IF(VfdSky_Q3&gt;0,VfdSky_Q3,0)*L99, 2*Deadtime*Fsw/2*IF(VfdSky_Q2&gt;0,VfdSky_Q2,0)*K99+2*Deadtime*Fsw/2*IF(VfdSky_Q3&gt;0,VfdSky_Q3,0)*L99)</f>
        <v>0</v>
      </c>
      <c r="AU99" s="488" t="n">
        <f aca="false">CHOOSE(J99, IF(QrrSky_Q2&gt;0,QrrSky_Q2,Qrr_Q2)*Fsw*(H99-K99*Rdson1), IF(QrrSky_Q3&gt;0,QrrSky_Q3,Qrr_Q3)*Fsw*Vout,  IF(QrrSky_Q2&gt;0,QrrSky_Q2,Qrr_Q2)*Fsw/2*(H99-K99*Rdson1)+IF(QrrSky_Q3&gt;0,QrrSky_Q3,Qrr_Q3)*Fsw/2*Vout)</f>
        <v>0.48697362</v>
      </c>
      <c r="AV99" s="488" t="n">
        <f aca="false">CHOOSE(J99, Rs*AF99^2, Rs*AJ99^2, Rs*(AF99^2+AJ99^2))</f>
        <v>0.160541717297792</v>
      </c>
      <c r="AW99" s="488" t="n">
        <f aca="false">Rshunt_std/1000*Iout^2</f>
        <v>0.14832</v>
      </c>
      <c r="AX99" s="488" t="n">
        <f aca="false">IF(Vout&gt;8, Iq*Vout, Iq*H99)</f>
        <v>0.036</v>
      </c>
      <c r="AY99" s="488" t="n">
        <f aca="false">CHOOSE(J99, (Qg_Q1+Qg_Q2)*Fsw, (Qg_Q3+Qg_Q4)*Fsw, (Qg_Q1+Qg_Q2+Qg_Q3+Qg_Q4)*Fsw/2)*IF(Vout&gt;8, Vout, H99)</f>
        <v>0.0792</v>
      </c>
      <c r="AZ99" s="488" t="n">
        <f aca="false">(Vin-Vdd)*Fsw*(Qg_Q1+Qg_Q2)+(RdsonDRT+RdsonDRT2)*Fsw*Qg_Q1*Vdd/(RdsonDRT+2*Rgate1+RdsonDRT2)+(RdsonDRB+RdsonDRB2)*Fsw*Qg_Q2*Vdd/(RdsonDRB+2*Rgate2+RdsonDRB2)</f>
        <v>0.0522</v>
      </c>
      <c r="BA99" s="488" t="n">
        <f aca="false">SUM(AX99:AY99)</f>
        <v>0.1152</v>
      </c>
      <c r="BB99" s="488" t="n">
        <f aca="false">SUM(T99,W99,Z99,AE99,AI99,AN99,AR99, AT99,AU99,BA99,AV99,AW99)</f>
        <v>2.21865726656735</v>
      </c>
      <c r="BC99" s="419" t="n">
        <f aca="false">Vout*K99</f>
        <v>72</v>
      </c>
      <c r="BD99" s="589" t="n">
        <f aca="false">BC99/(BC99+BB99)</f>
        <v>0.970106475268089</v>
      </c>
      <c r="BE99" s="590" t="n">
        <f aca="false">IF(H99&gt;Vout,ThetaJA_Q1*(AE99+AU99),ThetaJA_Q4*(AN99+AU99))</f>
        <v>37.5318724596867</v>
      </c>
      <c r="BF99" s="590" t="n">
        <f aca="false">IF(H99&gt;Vout, AI99*ThetaJA_Q2, ThetaJA_Q3*AR99)</f>
        <v>13.2217758186135</v>
      </c>
      <c r="BG99" s="536"/>
      <c r="BH99" s="385" t="n">
        <f aca="false">BD99*100</f>
        <v>97.0106475268089</v>
      </c>
      <c r="BI99" s="488" t="n">
        <f aca="false">T99</f>
        <v>0.679307980274893</v>
      </c>
      <c r="BJ99" s="488" t="n">
        <f aca="false">AE99+AI99+AN99+AR99+AU99</f>
        <v>1.08781481853729</v>
      </c>
      <c r="BK99" s="488" t="n">
        <f aca="false">AI99+AU99*0.33</f>
        <v>0.42513681097227</v>
      </c>
      <c r="BL99" s="488" t="n">
        <f aca="false">AV99</f>
        <v>0.160541717297792</v>
      </c>
      <c r="BR99" s="591"/>
      <c r="BS99" s="592"/>
    </row>
    <row r="100" customFormat="false" ht="12.75" hidden="false" customHeight="false" outlineLevel="0" collapsed="false">
      <c r="G100" s="0" t="n">
        <v>91</v>
      </c>
      <c r="H100" s="586" t="n">
        <f aca="false">VIN_min+(VIN_max-VIN_min)*(G100/200)</f>
        <v>26.02</v>
      </c>
      <c r="I100" s="385" t="str">
        <f aca="false">IF(H100&gt;VIN_BB_to_buck, "BUCK", IF(H100&lt;VIN_boost_to_BB,"BOOST","BUCK-BST"))</f>
        <v>BUCK</v>
      </c>
      <c r="J100" s="419" t="n">
        <f aca="false">IF(I100="BOOST",2, IF(I100="BUCK", 1,3))</f>
        <v>1</v>
      </c>
      <c r="K100" s="0" t="n">
        <f aca="false">Iout</f>
        <v>6</v>
      </c>
      <c r="L100" s="385" t="n">
        <f aca="false">Vout*K100/(H100*Efficiency)</f>
        <v>3.07455803228286</v>
      </c>
      <c r="M100" s="385" t="n">
        <f aca="false">Iout/(1-O100)</f>
        <v>6</v>
      </c>
      <c r="N100" s="488" t="n">
        <f aca="false">CHOOSE(J100,(Vout+(Rdson2+Rs+Rdcr)*K100)/(H100+(Rs+Rdson2-Rdson1)*K100),1,IF(H100&lt;Vout,D_max_buck_BB,Vout/H100*(1-D_min_boost_exitBB_to_buck)))</f>
        <v>0.464258861439313</v>
      </c>
      <c r="O100" s="488" t="n">
        <f aca="false">CHOOSE(J100,0,(Vout+(Rdson3+Rdcr)*L100-H100)/(Vout+(Rdson3-Rdson4-Rs)*L100),IF(H100&gt;Vout,D_min_boost_exitBB_to_buck, (Vout-H100*D_max_buck_BB)/Vout))</f>
        <v>0</v>
      </c>
      <c r="P100" s="385" t="n">
        <f aca="false">MAX(0, CHOOSE(J100, (H100-(Rdson1+Rdcr)*K100-Vout)*N100/(Fsw*Lf), (H100-(Rdson4+Rdcr+Rs)*L100)*O100/(Fsw*Lf), IF(H100&lt;Vout, (H100-(Rdson4+Rdcr+Rs)*L100)*O100/(0.5*Fsw*Lf),(H100-(Rdson1+Rdcr)*K100-Vout)*N100/(0.5*Fsw*Lf))))</f>
        <v>4.59836878099504</v>
      </c>
      <c r="Q100" s="488" t="n">
        <f aca="false">CHOOSE(J100, SQRT(K100^2+(P100^2)/12), SQRT(L100^2+(P100^2)/12), SQRT(M100^2+(P100^2)/12))</f>
        <v>6.14508608188981</v>
      </c>
      <c r="R100" s="488" t="n">
        <f aca="false">(Q100^2*Rdcr*(1+Ltc*Ta-Ltc*25))/(1-Q100^2*Rdcr*Ltc*ThetaCa)</f>
        <v>0.127796306966978</v>
      </c>
      <c r="S100" s="488" t="n">
        <f aca="false">7.759*10^-3*Fsw^0.9458*(0.00787*P100)^2.304</f>
        <v>0.561089276364084</v>
      </c>
      <c r="T100" s="488" t="n">
        <f aca="false">R100+S100</f>
        <v>0.688885583331062</v>
      </c>
      <c r="U100" s="385" t="n">
        <f aca="false">IF(H100&gt;Vout, P100/SQRT(12), SQRT(O100/(1-O100))*SQRT(K100^2+(P100^2)/12))</f>
        <v>1.32743472677033</v>
      </c>
      <c r="V100" s="488" t="n">
        <f aca="false">RCoutEsr*U100^2</f>
        <v>0.00881041476917909</v>
      </c>
      <c r="W100" s="488" t="n">
        <f aca="false">V100</f>
        <v>0.00881041476917909</v>
      </c>
      <c r="X100" s="488" t="n">
        <f aca="false">IF(H100&gt;Vout, SQRT(N100*(1-N100))*SQRT(K100^2+(P100^2)/12), P100/SQRT(12))</f>
        <v>3.06468307645938</v>
      </c>
      <c r="Y100" s="587" t="n">
        <f aca="false">RCinEsr*X100^2</f>
        <v>0.0187845647182731</v>
      </c>
      <c r="Z100" s="588" t="n">
        <f aca="false">Y100</f>
        <v>0.0187845647182731</v>
      </c>
      <c r="AA100" s="488" t="n">
        <f aca="false">CHOOSE(J100, SQRT(N100)*SQRT(K100^2+(P100^2)/12), SQRT(L100^2+(P100^2)/12), SQRT(N100)*SQRT(M100^2+(P100^2)/12))</f>
        <v>4.18704927576983</v>
      </c>
      <c r="AB100" s="488" t="n">
        <f aca="false">Rdson1*AA100^2</f>
        <v>0.0999288753350308</v>
      </c>
      <c r="AC100" s="488" t="n">
        <f aca="false">CHOOSE(J100, (H100*K100/2)*(Fsw)*(Tr_buck+Tf_buck), 0, (H100*M100/2)*(Fsw/2)*(Tr_buck+Tf_buck))</f>
        <v>0.158987053084648</v>
      </c>
      <c r="AD100" s="0" t="n">
        <f aca="false">IF(H100&gt;Vout, IF(K100&gt;P100/2,0,ABS(K100-P100/2)*Vsd_Q1*Deadtime*Fsw),0)</f>
        <v>0</v>
      </c>
      <c r="AE100" s="488" t="n">
        <f aca="false">(AD100+AC100+AB100*(1+RdsonTopTc*Ta-RdsonTopTc*25))/(1-AB100*RdsonTopTc*ThetaJA_Q1)</f>
        <v>0.264196092089767</v>
      </c>
      <c r="AF100" s="488" t="n">
        <f aca="false">CHOOSE(J100, SQRT((1-N100))*SQRT(K100^2+(P100^2)/12), 0, SQRT((1-N100))*SQRT(M100^2+(P100^2)/12))</f>
        <v>4.497855190656</v>
      </c>
      <c r="AG100" s="488" t="n">
        <f aca="false">Rdson2*AF100^2</f>
        <v>0.115314997501833</v>
      </c>
      <c r="AH100" s="488" t="n">
        <f aca="false">CHOOSE(J100, IF(K100&lt;P100/2,Deadtime*Fsw*IF(VfdSky_Q2&gt;0,0,Vsd_Q2)*(K100+P100/2),2*Deadtime*Fsw*IF(VfdSky_Q2&gt;0,0,Vsd_Q2)*K100),0, IF(K100&lt;P100/2,Deadtime*Fsw/2*IF(VfdSky_Q2&gt;0,0,Vsd_Q2)*(K100+P100/2),2*Deadtime*Fsw/2*IF(VfdSky_Q2&gt;0,0,Vsd_Q2)*K100))</f>
        <v>0.144</v>
      </c>
      <c r="AI100" s="488" t="n">
        <f aca="false">(AH100+AG100*(1+RdsonBotTc*Ta-RdsonBotTc*25))/(1-AG100*RdsonBotTc*ThetaJA_Q2)</f>
        <v>0.265436765491749</v>
      </c>
      <c r="AJ100" s="488" t="n">
        <f aca="false">CHOOSE(J100, 0, SQRT(O100)*SQRT(L100^2+(P100^2)/12), SQRT(O100)*SQRT(M100^2+(P100^2)/12))</f>
        <v>0</v>
      </c>
      <c r="AK100" s="488" t="n">
        <f aca="false">Rdson4*AJ100^2</f>
        <v>0</v>
      </c>
      <c r="AL100" s="488" t="n">
        <f aca="false">CHOOSE(J100, 0, (Vout*L100/2)*(Fsw)*(Tr_boost+Tf_boost), (Vout*Iout/2)*(Fsw/2)*(Tr_boost+Tf_boost))</f>
        <v>0</v>
      </c>
      <c r="AM100" s="0" t="n">
        <f aca="false">IF(H100&gt;Vout, 0, IF(L100&gt;P100/2,0,ABS(L100-P100/2)*Vsd_Q4*Deadtime*Fsw))</f>
        <v>0</v>
      </c>
      <c r="AN100" s="488" t="n">
        <f aca="false">(AM100+AL100+AK100*(1+RdsonTopTc*Ta-RdsonTopTc*25))/(1-AK100*RdsonTopTc*ThetaJA_Q4)</f>
        <v>0</v>
      </c>
      <c r="AO100" s="488" t="n">
        <f aca="false">CHOOSE(J100, SQRT(Iout^2+(P100^2)/12), SQRT(1-O100)*SQRT(L100^2+(P100^2)/12), SQRT(1-O100)*SQRT(M100^2+(P100^2)/12))</f>
        <v>6.14508608188981</v>
      </c>
      <c r="AP100" s="488" t="n">
        <f aca="false">Rdson3*AO100^2</f>
        <v>0.0717479576122881</v>
      </c>
      <c r="AQ100" s="488" t="n">
        <f aca="false">CHOOSE(J100, 0, IF(L100&lt;P100/2,Deadtime*Fsw*IF(VfdSky_Q3&gt;0,0,Vsd_Q3)*(L100+P100/2), 2*Deadtime*Fsw*IF(VfdSky_Q3&gt;0,0,Vsd_Q3)*L100), IF(L100&lt;P100/2,Deadtime*Fsw/2*IF(VfdSky_Q3&gt;0,0,Vsd_Q3)*(L100+P100/2), 2*Deadtime*Fsw/2*IF(VfdSky_Q3&gt;0,0,Vsd_Q3)*L100))</f>
        <v>0</v>
      </c>
      <c r="AR100" s="488" t="n">
        <f aca="false">(AQ100+AP100*(1+RdsonBotTc*Ta-RdsonBotTc*25))/(1-AP100*RdsonBotTc*ThetaJA_Q3)</f>
        <v>0.0727925002568726</v>
      </c>
      <c r="AS100" s="488" t="n">
        <f aca="false">CHOOSE(J100, Rdson3*Q100^2, Rdson1*Q100^2, 0)</f>
        <v>0.0717479576122881</v>
      </c>
      <c r="AT100" s="488" t="n">
        <f aca="false">CHOOSE(J100, 2*Deadtime*Fsw*IF(VfdSky_Q2&gt;0,VfdSky_Q2,0)*K100, 2*Deadtime*Fsw*IF(VfdSky_Q3&gt;0,VfdSky_Q3,0)*L100, 2*Deadtime*Fsw/2*IF(VfdSky_Q2&gt;0,VfdSky_Q2,0)*K100+2*Deadtime*Fsw/2*IF(VfdSky_Q3&gt;0,VfdSky_Q3,0)*L100)</f>
        <v>0</v>
      </c>
      <c r="AU100" s="488" t="n">
        <f aca="false">CHOOSE(J100, IF(QrrSky_Q2&gt;0,QrrSky_Q2,Qrr_Q2)*Fsw*(H100-K100*Rdson1), IF(QrrSky_Q3&gt;0,QrrSky_Q3,Qrr_Q3)*Fsw*Vout,  IF(QrrSky_Q2&gt;0,QrrSky_Q2,Qrr_Q2)*Fsw/2*(H100-K100*Rdson1)+IF(QrrSky_Q3&gt;0,QrrSky_Q3,Qrr_Q3)*Fsw/2*Vout)</f>
        <v>0.49113162</v>
      </c>
      <c r="AV100" s="488" t="n">
        <f aca="false">CHOOSE(J100, Rs*AF100^2, Rs*AJ100^2, Rs*(AF100^2+AJ100^2))</f>
        <v>0.161845610528889</v>
      </c>
      <c r="AW100" s="488" t="n">
        <f aca="false">Rshunt_std/1000*Iout^2</f>
        <v>0.14832</v>
      </c>
      <c r="AX100" s="488" t="n">
        <f aca="false">IF(Vout&gt;8, Iq*Vout, Iq*H100)</f>
        <v>0.036</v>
      </c>
      <c r="AY100" s="488" t="n">
        <f aca="false">CHOOSE(J100, (Qg_Q1+Qg_Q2)*Fsw, (Qg_Q3+Qg_Q4)*Fsw, (Qg_Q1+Qg_Q2+Qg_Q3+Qg_Q4)*Fsw/2)*IF(Vout&gt;8, Vout, H100)</f>
        <v>0.0792</v>
      </c>
      <c r="AZ100" s="488" t="n">
        <f aca="false">(Vin-Vdd)*Fsw*(Qg_Q1+Qg_Q2)+(RdsonDRT+RdsonDRT2)*Fsw*Qg_Q1*Vdd/(RdsonDRT+2*Rgate1+RdsonDRT2)+(RdsonDRB+RdsonDRB2)*Fsw*Qg_Q2*Vdd/(RdsonDRB+2*Rgate2+RdsonDRB2)</f>
        <v>0.0522</v>
      </c>
      <c r="BA100" s="488" t="n">
        <f aca="false">SUM(AX100:AY100)</f>
        <v>0.1152</v>
      </c>
      <c r="BB100" s="488" t="n">
        <f aca="false">SUM(T100,W100,Z100,AE100,AI100,AN100,AR100, AT100,AU100,BA100,AV100,AW100)</f>
        <v>2.23540315118579</v>
      </c>
      <c r="BC100" s="419" t="n">
        <f aca="false">Vout*K100</f>
        <v>72</v>
      </c>
      <c r="BD100" s="589" t="n">
        <f aca="false">BC100/(BC100+BB100)</f>
        <v>0.969887640447871</v>
      </c>
      <c r="BE100" s="590" t="n">
        <f aca="false">IF(H100&gt;Vout,ThetaJA_Q1*(AE100+AU100),ThetaJA_Q4*(AN100+AU100))</f>
        <v>37.7663856044884</v>
      </c>
      <c r="BF100" s="590" t="n">
        <f aca="false">IF(H100&gt;Vout, AI100*ThetaJA_Q2, ThetaJA_Q3*AR100)</f>
        <v>13.2718382745874</v>
      </c>
      <c r="BG100" s="536"/>
      <c r="BH100" s="385" t="n">
        <f aca="false">BD100*100</f>
        <v>96.9887640447871</v>
      </c>
      <c r="BI100" s="488" t="n">
        <f aca="false">T100</f>
        <v>0.688885583331062</v>
      </c>
      <c r="BJ100" s="488" t="n">
        <f aca="false">AE100+AI100+AN100+AR100+AU100</f>
        <v>1.09355697783839</v>
      </c>
      <c r="BK100" s="488" t="n">
        <f aca="false">AI100+AU100*0.33</f>
        <v>0.427510200091749</v>
      </c>
      <c r="BL100" s="488" t="n">
        <f aca="false">AV100</f>
        <v>0.161845610528889</v>
      </c>
      <c r="BR100" s="591"/>
      <c r="BS100" s="592"/>
    </row>
    <row r="101" customFormat="false" ht="12.75" hidden="false" customHeight="false" outlineLevel="0" collapsed="false">
      <c r="G101" s="0" t="n">
        <v>92</v>
      </c>
      <c r="H101" s="586" t="n">
        <f aca="false">VIN_min+(VIN_max-VIN_min)*(G101/200)</f>
        <v>26.24</v>
      </c>
      <c r="I101" s="385" t="str">
        <f aca="false">IF(H101&gt;VIN_BB_to_buck, "BUCK", IF(H101&lt;VIN_boost_to_BB,"BOOST","BUCK-BST"))</f>
        <v>BUCK</v>
      </c>
      <c r="J101" s="419" t="n">
        <f aca="false">IF(I101="BOOST",2, IF(I101="BUCK", 1,3))</f>
        <v>1</v>
      </c>
      <c r="K101" s="0" t="n">
        <f aca="false">Iout</f>
        <v>6</v>
      </c>
      <c r="L101" s="385" t="n">
        <f aca="false">Vout*K101/(H101*Efficiency)</f>
        <v>3.04878048780488</v>
      </c>
      <c r="M101" s="385" t="n">
        <f aca="false">Iout/(1-O101)</f>
        <v>6</v>
      </c>
      <c r="N101" s="488" t="n">
        <f aca="false">CHOOSE(J101,(Vout+(Rdson2+Rs+Rdcr)*K101)/(H101+(Rs+Rdson2-Rdson1)*K101),1,IF(H101&lt;Vout,D_max_buck_BB,Vout/H101*(1-D_min_boost_exitBB_to_buck)))</f>
        <v>0.460373554473524</v>
      </c>
      <c r="O101" s="488" t="n">
        <f aca="false">CHOOSE(J101,0,(Vout+(Rdson3+Rdcr)*L101-H101)/(Vout+(Rdson3-Rdson4-Rs)*L101),IF(H101&gt;Vout,D_min_boost_exitBB_to_buck, (Vout-H101*D_max_buck_BB)/Vout))</f>
        <v>0</v>
      </c>
      <c r="P101" s="385" t="n">
        <f aca="false">MAX(0, CHOOSE(J101, (H101-(Rdson1+Rdcr)*K101-Vout)*N101/(Fsw*Lf), (H101-(Rdson4+Rdcr+Rs)*L101)*O101/(Fsw*Lf), IF(H101&lt;Vout, (H101-(Rdson4+Rdcr+Rs)*L101)*O101/(0.5*Fsw*Lf),(H101-(Rdson1+Rdcr)*K101-Vout)*N101/(0.5*Fsw*Lf))))</f>
        <v>4.63171711467736</v>
      </c>
      <c r="Q101" s="488" t="n">
        <f aca="false">CHOOSE(J101, SQRT(K101^2+(P101^2)/12), SQRT(L101^2+(P101^2)/12), SQRT(M101^2+(P101^2)/12))</f>
        <v>6.14717281514027</v>
      </c>
      <c r="R101" s="488" t="n">
        <f aca="false">(Q101^2*Rdcr*(1+Ltc*Ta-Ltc*25))/(1-Q101^2*Rdcr*Ltc*ThetaCa)</f>
        <v>0.127884003327022</v>
      </c>
      <c r="S101" s="488" t="n">
        <f aca="false">7.759*10^-3*Fsw^0.9458*(0.00787*P101)^2.304</f>
        <v>0.570508930991886</v>
      </c>
      <c r="T101" s="488" t="n">
        <f aca="false">R101+S101</f>
        <v>0.698392934318908</v>
      </c>
      <c r="U101" s="385" t="n">
        <f aca="false">IF(H101&gt;Vout, P101/SQRT(12), SQRT(O101/(1-O101))*SQRT(K101^2+(P101^2)/12))</f>
        <v>1.33706156148458</v>
      </c>
      <c r="V101" s="488" t="n">
        <f aca="false">RCoutEsr*U101^2</f>
        <v>0.00893866809599797</v>
      </c>
      <c r="W101" s="488" t="n">
        <f aca="false">V101</f>
        <v>0.00893866809599797</v>
      </c>
      <c r="X101" s="488" t="n">
        <f aca="false">IF(H101&gt;Vout, SQRT(N101*(1-N101))*SQRT(K101^2+(P101^2)/12), P101/SQRT(12))</f>
        <v>3.0639185727027</v>
      </c>
      <c r="Y101" s="587" t="n">
        <f aca="false">RCinEsr*X101^2</f>
        <v>0.0187751940403052</v>
      </c>
      <c r="Z101" s="588" t="n">
        <f aca="false">Y101</f>
        <v>0.0187751940403052</v>
      </c>
      <c r="AA101" s="488" t="n">
        <f aca="false">CHOOSE(J101, SQRT(N101)*SQRT(K101^2+(P101^2)/12), SQRT(L101^2+(P101^2)/12), SQRT(N101)*SQRT(M101^2+(P101^2)/12))</f>
        <v>4.17090796371361</v>
      </c>
      <c r="AB101" s="488" t="n">
        <f aca="false">Rdson1*AA101^2</f>
        <v>0.0991598974780867</v>
      </c>
      <c r="AC101" s="488" t="n">
        <f aca="false">CHOOSE(J101, (H101*K101/2)*(Fsw)*(Tr_buck+Tf_buck), 0, (H101*M101/2)*(Fsw/2)*(Tr_buck+Tf_buck))</f>
        <v>0.160331294117647</v>
      </c>
      <c r="AD101" s="0" t="n">
        <f aca="false">IF(H101&gt;Vout, IF(K101&gt;P101/2,0,ABS(K101-P101/2)*Vsd_Q1*Deadtime*Fsw),0)</f>
        <v>0</v>
      </c>
      <c r="AE101" s="488" t="n">
        <f aca="false">(AD101+AC101+AB101*(1+RdsonTopTc*Ta-RdsonTopTc*25))/(1-AB101*RdsonTopTc*ThetaJA_Q1)</f>
        <v>0.264741540396516</v>
      </c>
      <c r="AF101" s="488" t="n">
        <f aca="false">CHOOSE(J101, SQRT((1-N101))*SQRT(K101^2+(P101^2)/12), 0, SQRT((1-N101))*SQRT(M101^2+(P101^2)/12))</f>
        <v>4.51566832013048</v>
      </c>
      <c r="AG101" s="488" t="n">
        <f aca="false">Rdson2*AF101^2</f>
        <v>0.116230184151351</v>
      </c>
      <c r="AH101" s="488" t="n">
        <f aca="false">CHOOSE(J101, IF(K101&lt;P101/2,Deadtime*Fsw*IF(VfdSky_Q2&gt;0,0,Vsd_Q2)*(K101+P101/2),2*Deadtime*Fsw*IF(VfdSky_Q2&gt;0,0,Vsd_Q2)*K101),0, IF(K101&lt;P101/2,Deadtime*Fsw/2*IF(VfdSky_Q2&gt;0,0,Vsd_Q2)*(K101+P101/2),2*Deadtime*Fsw/2*IF(VfdSky_Q2&gt;0,0,Vsd_Q2)*K101))</f>
        <v>0.144</v>
      </c>
      <c r="AI101" s="488" t="n">
        <f aca="false">(AH101+AG101*(1+RdsonBotTc*Ta-RdsonBotTc*25))/(1-AG101*RdsonBotTc*ThetaJA_Q2)</f>
        <v>0.266423474041365</v>
      </c>
      <c r="AJ101" s="488" t="n">
        <f aca="false">CHOOSE(J101, 0, SQRT(O101)*SQRT(L101^2+(P101^2)/12), SQRT(O101)*SQRT(M101^2+(P101^2)/12))</f>
        <v>0</v>
      </c>
      <c r="AK101" s="488" t="n">
        <f aca="false">Rdson4*AJ101^2</f>
        <v>0</v>
      </c>
      <c r="AL101" s="488" t="n">
        <f aca="false">CHOOSE(J101, 0, (Vout*L101/2)*(Fsw)*(Tr_boost+Tf_boost), (Vout*Iout/2)*(Fsw/2)*(Tr_boost+Tf_boost))</f>
        <v>0</v>
      </c>
      <c r="AM101" s="0" t="n">
        <f aca="false">IF(H101&gt;Vout, 0, IF(L101&gt;P101/2,0,ABS(L101-P101/2)*Vsd_Q4*Deadtime*Fsw))</f>
        <v>0</v>
      </c>
      <c r="AN101" s="488" t="n">
        <f aca="false">(AM101+AL101+AK101*(1+RdsonTopTc*Ta-RdsonTopTc*25))/(1-AK101*RdsonTopTc*ThetaJA_Q4)</f>
        <v>0</v>
      </c>
      <c r="AO101" s="488" t="n">
        <f aca="false">CHOOSE(J101, SQRT(Iout^2+(P101^2)/12), SQRT(1-O101)*SQRT(L101^2+(P101^2)/12), SQRT(1-O101)*SQRT(M101^2+(P101^2)/12))</f>
        <v>6.14717281514027</v>
      </c>
      <c r="AP101" s="488" t="n">
        <f aca="false">Rdson3*AO101^2</f>
        <v>0.0717966938764792</v>
      </c>
      <c r="AQ101" s="488" t="n">
        <f aca="false">CHOOSE(J101, 0, IF(L101&lt;P101/2,Deadtime*Fsw*IF(VfdSky_Q3&gt;0,0,Vsd_Q3)*(L101+P101/2), 2*Deadtime*Fsw*IF(VfdSky_Q3&gt;0,0,Vsd_Q3)*L101), IF(L101&lt;P101/2,Deadtime*Fsw/2*IF(VfdSky_Q3&gt;0,0,Vsd_Q3)*(L101+P101/2), 2*Deadtime*Fsw/2*IF(VfdSky_Q3&gt;0,0,Vsd_Q3)*L101))</f>
        <v>0</v>
      </c>
      <c r="AR101" s="488" t="n">
        <f aca="false">(AQ101+AP101*(1+RdsonBotTc*Ta-RdsonBotTc*25))/(1-AP101*RdsonBotTc*ThetaJA_Q3)</f>
        <v>0.0728426664006216</v>
      </c>
      <c r="AS101" s="488" t="n">
        <f aca="false">CHOOSE(J101, Rdson3*Q101^2, Rdson1*Q101^2, 0)</f>
        <v>0.0717966938764792</v>
      </c>
      <c r="AT101" s="488" t="n">
        <f aca="false">CHOOSE(J101, 2*Deadtime*Fsw*IF(VfdSky_Q2&gt;0,VfdSky_Q2,0)*K101, 2*Deadtime*Fsw*IF(VfdSky_Q3&gt;0,VfdSky_Q3,0)*L101, 2*Deadtime*Fsw/2*IF(VfdSky_Q2&gt;0,VfdSky_Q2,0)*K101+2*Deadtime*Fsw/2*IF(VfdSky_Q3&gt;0,VfdSky_Q3,0)*L101)</f>
        <v>0</v>
      </c>
      <c r="AU101" s="488" t="n">
        <f aca="false">CHOOSE(J101, IF(QrrSky_Q2&gt;0,QrrSky_Q2,Qrr_Q2)*Fsw*(H101-K101*Rdson1), IF(QrrSky_Q3&gt;0,QrrSky_Q3,Qrr_Q3)*Fsw*Vout,  IF(QrrSky_Q2&gt;0,QrrSky_Q2,Qrr_Q2)*Fsw/2*(H101-K101*Rdson1)+IF(QrrSky_Q3&gt;0,QrrSky_Q3,Qrr_Q3)*Fsw/2*Vout)</f>
        <v>0.49528962</v>
      </c>
      <c r="AV101" s="488" t="n">
        <f aca="false">CHOOSE(J101, Rs*AF101^2, Rs*AJ101^2, Rs*(AF101^2+AJ101^2))</f>
        <v>0.16313008301944</v>
      </c>
      <c r="AW101" s="488" t="n">
        <f aca="false">Rshunt_std/1000*Iout^2</f>
        <v>0.14832</v>
      </c>
      <c r="AX101" s="488" t="n">
        <f aca="false">IF(Vout&gt;8, Iq*Vout, Iq*H101)</f>
        <v>0.036</v>
      </c>
      <c r="AY101" s="488" t="n">
        <f aca="false">CHOOSE(J101, (Qg_Q1+Qg_Q2)*Fsw, (Qg_Q3+Qg_Q4)*Fsw, (Qg_Q1+Qg_Q2+Qg_Q3+Qg_Q4)*Fsw/2)*IF(Vout&gt;8, Vout, H101)</f>
        <v>0.0792</v>
      </c>
      <c r="AZ101" s="488" t="n">
        <f aca="false">(Vin-Vdd)*Fsw*(Qg_Q1+Qg_Q2)+(RdsonDRT+RdsonDRT2)*Fsw*Qg_Q1*Vdd/(RdsonDRT+2*Rgate1+RdsonDRT2)+(RdsonDRB+RdsonDRB2)*Fsw*Qg_Q2*Vdd/(RdsonDRB+2*Rgate2+RdsonDRB2)</f>
        <v>0.0522</v>
      </c>
      <c r="BA101" s="488" t="n">
        <f aca="false">SUM(AX101:AY101)</f>
        <v>0.1152</v>
      </c>
      <c r="BB101" s="488" t="n">
        <f aca="false">SUM(T101,W101,Z101,AE101,AI101,AN101,AR101, AT101,AU101,BA101,AV101,AW101)</f>
        <v>2.25205418031315</v>
      </c>
      <c r="BC101" s="419" t="n">
        <f aca="false">Vout*K101</f>
        <v>72</v>
      </c>
      <c r="BD101" s="589" t="n">
        <f aca="false">BC101/(BC101+BB101)</f>
        <v>0.969670143066422</v>
      </c>
      <c r="BE101" s="590" t="n">
        <f aca="false">IF(H101&gt;Vout,ThetaJA_Q1*(AE101+AU101),ThetaJA_Q4*(AN101+AU101))</f>
        <v>38.0015580198258</v>
      </c>
      <c r="BF101" s="590" t="n">
        <f aca="false">IF(H101&gt;Vout, AI101*ThetaJA_Q2, ThetaJA_Q3*AR101)</f>
        <v>13.3211737020683</v>
      </c>
      <c r="BG101" s="536"/>
      <c r="BH101" s="385" t="n">
        <f aca="false">BD101*100</f>
        <v>96.9670143066422</v>
      </c>
      <c r="BI101" s="488" t="n">
        <f aca="false">T101</f>
        <v>0.698392934318908</v>
      </c>
      <c r="BJ101" s="488" t="n">
        <f aca="false">AE101+AI101+AN101+AR101+AU101</f>
        <v>1.0992973008385</v>
      </c>
      <c r="BK101" s="488" t="n">
        <f aca="false">AI101+AU101*0.33</f>
        <v>0.429869048641365</v>
      </c>
      <c r="BL101" s="488" t="n">
        <f aca="false">AV101</f>
        <v>0.16313008301944</v>
      </c>
      <c r="BR101" s="591"/>
      <c r="BS101" s="592"/>
    </row>
    <row r="102" customFormat="false" ht="12.75" hidden="false" customHeight="false" outlineLevel="0" collapsed="false">
      <c r="G102" s="0" t="n">
        <v>93</v>
      </c>
      <c r="H102" s="586" t="n">
        <f aca="false">VIN_min+(VIN_max-VIN_min)*(G102/200)</f>
        <v>26.46</v>
      </c>
      <c r="I102" s="385" t="str">
        <f aca="false">IF(H102&gt;VIN_BB_to_buck, "BUCK", IF(H102&lt;VIN_boost_to_BB,"BOOST","BUCK-BST"))</f>
        <v>BUCK</v>
      </c>
      <c r="J102" s="419" t="n">
        <f aca="false">IF(I102="BOOST",2, IF(I102="BUCK", 1,3))</f>
        <v>1</v>
      </c>
      <c r="K102" s="0" t="n">
        <f aca="false">Iout</f>
        <v>6</v>
      </c>
      <c r="L102" s="385" t="n">
        <f aca="false">Vout*K102/(H102*Efficiency)</f>
        <v>3.02343159486017</v>
      </c>
      <c r="M102" s="385" t="n">
        <f aca="false">Iout/(1-O102)</f>
        <v>6</v>
      </c>
      <c r="N102" s="488" t="n">
        <f aca="false">CHOOSE(J102,(Vout+(Rdson2+Rs+Rdcr)*K102)/(H102+(Rs+Rdson2-Rdson1)*K102),1,IF(H102&lt;Vout,D_max_buck_BB,Vout/H102*(1-D_min_boost_exitBB_to_buck)))</f>
        <v>0.456552738795835</v>
      </c>
      <c r="O102" s="488" t="n">
        <f aca="false">CHOOSE(J102,0,(Vout+(Rdson3+Rdcr)*L102-H102)/(Vout+(Rdson3-Rdson4-Rs)*L102),IF(H102&gt;Vout,D_min_boost_exitBB_to_buck, (Vout-H102*D_max_buck_BB)/Vout))</f>
        <v>0</v>
      </c>
      <c r="P102" s="385" t="n">
        <f aca="false">MAX(0, CHOOSE(J102, (H102-(Rdson1+Rdcr)*K102-Vout)*N102/(Fsw*Lf), (H102-(Rdson4+Rdcr+Rs)*L102)*O102/(Fsw*Lf), IF(H102&lt;Vout, (H102-(Rdson4+Rdcr+Rs)*L102)*O102/(0.5*Fsw*Lf),(H102-(Rdson1+Rdcr)*K102-Vout)*N102/(0.5*Fsw*Lf))))</f>
        <v>4.66451190728451</v>
      </c>
      <c r="Q102" s="488" t="n">
        <f aca="false">CHOOSE(J102, SQRT(K102^2+(P102^2)/12), SQRT(L102^2+(P102^2)/12), SQRT(M102^2+(P102^2)/12))</f>
        <v>6.149238918579</v>
      </c>
      <c r="R102" s="488" t="n">
        <f aca="false">(Q102^2*Rdcr*(1+Ltc*Ta-Ltc*25))/(1-Q102^2*Rdcr*Ltc*ThetaCa)</f>
        <v>0.127970863240676</v>
      </c>
      <c r="S102" s="488" t="n">
        <f aca="false">7.759*10^-3*Fsw^0.9458*(0.00787*P102)^2.304</f>
        <v>0.579858885767936</v>
      </c>
      <c r="T102" s="488" t="n">
        <f aca="false">R102+S102</f>
        <v>0.707829749008612</v>
      </c>
      <c r="U102" s="385" t="n">
        <f aca="false">IF(H102&gt;Vout, P102/SQRT(12), SQRT(O102/(1-O102))*SQRT(K102^2+(P102^2)/12))</f>
        <v>1.34652860265446</v>
      </c>
      <c r="V102" s="488" t="n">
        <f aca="false">RCoutEsr*U102^2</f>
        <v>0.00906569638883292</v>
      </c>
      <c r="W102" s="488" t="n">
        <f aca="false">V102</f>
        <v>0.00906569638883292</v>
      </c>
      <c r="X102" s="488" t="n">
        <f aca="false">IF(H102&gt;Vout, SQRT(N102*(1-N102))*SQRT(K102^2+(P102^2)/12), P102/SQRT(12))</f>
        <v>3.06298976468436</v>
      </c>
      <c r="Y102" s="587" t="n">
        <f aca="false">RCinEsr*X102^2</f>
        <v>0.0187638125971223</v>
      </c>
      <c r="Z102" s="588" t="n">
        <f aca="false">Y102</f>
        <v>0.0187638125971223</v>
      </c>
      <c r="AA102" s="488" t="n">
        <f aca="false">CHOOSE(J102, SQRT(N102)*SQRT(K102^2+(P102^2)/12), SQRT(L102^2+(P102^2)/12), SQRT(N102)*SQRT(M102^2+(P102^2)/12))</f>
        <v>4.15495996367386</v>
      </c>
      <c r="AB102" s="488" t="n">
        <f aca="false">Rdson1*AA102^2</f>
        <v>0.0984030461084764</v>
      </c>
      <c r="AC102" s="488" t="n">
        <f aca="false">CHOOSE(J102, (H102*K102/2)*(Fsw)*(Tr_buck+Tf_buck), 0, (H102*M102/2)*(Fsw/2)*(Tr_buck+Tf_buck))</f>
        <v>0.161675535150646</v>
      </c>
      <c r="AD102" s="0" t="n">
        <f aca="false">IF(H102&gt;Vout, IF(K102&gt;P102/2,0,ABS(K102-P102/2)*Vsd_Q1*Deadtime*Fsw),0)</f>
        <v>0</v>
      </c>
      <c r="AE102" s="488" t="n">
        <f aca="false">(AD102+AC102+AB102*(1+RdsonTopTc*Ta-RdsonTopTc*25))/(1-AB102*RdsonTopTc*ThetaJA_Q1)</f>
        <v>0.265299843811758</v>
      </c>
      <c r="AF102" s="488" t="n">
        <f aca="false">CHOOSE(J102, SQRT((1-N102))*SQRT(K102^2+(P102^2)/12), 0, SQRT((1-N102))*SQRT(M102^2+(P102^2)/12))</f>
        <v>4.53314978552815</v>
      </c>
      <c r="AG102" s="488" t="n">
        <f aca="false">Rdson2*AF102^2</f>
        <v>0.117131847774793</v>
      </c>
      <c r="AH102" s="488" t="n">
        <f aca="false">CHOOSE(J102, IF(K102&lt;P102/2,Deadtime*Fsw*IF(VfdSky_Q2&gt;0,0,Vsd_Q2)*(K102+P102/2),2*Deadtime*Fsw*IF(VfdSky_Q2&gt;0,0,Vsd_Q2)*K102),0, IF(K102&lt;P102/2,Deadtime*Fsw/2*IF(VfdSky_Q2&gt;0,0,Vsd_Q2)*(K102+P102/2),2*Deadtime*Fsw/2*IF(VfdSky_Q2&gt;0,0,Vsd_Q2)*K102))</f>
        <v>0.144</v>
      </c>
      <c r="AI102" s="488" t="n">
        <f aca="false">(AH102+AG102*(1+RdsonBotTc*Ta-RdsonBotTc*25))/(1-AG102*RdsonBotTc*ThetaJA_Q2)</f>
        <v>0.267395964455635</v>
      </c>
      <c r="AJ102" s="488" t="n">
        <f aca="false">CHOOSE(J102, 0, SQRT(O102)*SQRT(L102^2+(P102^2)/12), SQRT(O102)*SQRT(M102^2+(P102^2)/12))</f>
        <v>0</v>
      </c>
      <c r="AK102" s="488" t="n">
        <f aca="false">Rdson4*AJ102^2</f>
        <v>0</v>
      </c>
      <c r="AL102" s="488" t="n">
        <f aca="false">CHOOSE(J102, 0, (Vout*L102/2)*(Fsw)*(Tr_boost+Tf_boost), (Vout*Iout/2)*(Fsw/2)*(Tr_boost+Tf_boost))</f>
        <v>0</v>
      </c>
      <c r="AM102" s="0" t="n">
        <f aca="false">IF(H102&gt;Vout, 0, IF(L102&gt;P102/2,0,ABS(L102-P102/2)*Vsd_Q4*Deadtime*Fsw))</f>
        <v>0</v>
      </c>
      <c r="AN102" s="488" t="n">
        <f aca="false">(AM102+AL102+AK102*(1+RdsonTopTc*Ta-RdsonTopTc*25))/(1-AK102*RdsonTopTc*ThetaJA_Q4)</f>
        <v>0</v>
      </c>
      <c r="AO102" s="488" t="n">
        <f aca="false">CHOOSE(J102, SQRT(Iout^2+(P102^2)/12), SQRT(1-O102)*SQRT(L102^2+(P102^2)/12), SQRT(1-O102)*SQRT(M102^2+(P102^2)/12))</f>
        <v>6.149238918579</v>
      </c>
      <c r="AP102" s="488" t="n">
        <f aca="false">Rdson3*AO102^2</f>
        <v>0.0718449646277565</v>
      </c>
      <c r="AQ102" s="488" t="n">
        <f aca="false">CHOOSE(J102, 0, IF(L102&lt;P102/2,Deadtime*Fsw*IF(VfdSky_Q3&gt;0,0,Vsd_Q3)*(L102+P102/2), 2*Deadtime*Fsw*IF(VfdSky_Q3&gt;0,0,Vsd_Q3)*L102), IF(L102&lt;P102/2,Deadtime*Fsw/2*IF(VfdSky_Q3&gt;0,0,Vsd_Q3)*(L102+P102/2), 2*Deadtime*Fsw/2*IF(VfdSky_Q3&gt;0,0,Vsd_Q3)*L102))</f>
        <v>0</v>
      </c>
      <c r="AR102" s="488" t="n">
        <f aca="false">(AQ102+AP102*(1+RdsonBotTc*Ta-RdsonBotTc*25))/(1-AP102*RdsonBotTc*ThetaJA_Q3)</f>
        <v>0.0728923543517638</v>
      </c>
      <c r="AS102" s="488" t="n">
        <f aca="false">CHOOSE(J102, Rdson3*Q102^2, Rdson1*Q102^2, 0)</f>
        <v>0.0718449646277565</v>
      </c>
      <c r="AT102" s="488" t="n">
        <f aca="false">CHOOSE(J102, 2*Deadtime*Fsw*IF(VfdSky_Q2&gt;0,VfdSky_Q2,0)*K102, 2*Deadtime*Fsw*IF(VfdSky_Q3&gt;0,VfdSky_Q3,0)*L102, 2*Deadtime*Fsw/2*IF(VfdSky_Q2&gt;0,VfdSky_Q2,0)*K102+2*Deadtime*Fsw/2*IF(VfdSky_Q3&gt;0,VfdSky_Q3,0)*L102)</f>
        <v>0</v>
      </c>
      <c r="AU102" s="488" t="n">
        <f aca="false">CHOOSE(J102, IF(QrrSky_Q2&gt;0,QrrSky_Q2,Qrr_Q2)*Fsw*(H102-K102*Rdson1), IF(QrrSky_Q3&gt;0,QrrSky_Q3,Qrr_Q3)*Fsw*Vout,  IF(QrrSky_Q2&gt;0,QrrSky_Q2,Qrr_Q2)*Fsw/2*(H102-K102*Rdson1)+IF(QrrSky_Q3&gt;0,QrrSky_Q3,Qrr_Q3)*Fsw/2*Vout)</f>
        <v>0.49944762</v>
      </c>
      <c r="AV102" s="488" t="n">
        <f aca="false">CHOOSE(J102, Rs*AF102^2, Rs*AJ102^2, Rs*(AF102^2+AJ102^2))</f>
        <v>0.164395575824271</v>
      </c>
      <c r="AW102" s="488" t="n">
        <f aca="false">Rshunt_std/1000*Iout^2</f>
        <v>0.14832</v>
      </c>
      <c r="AX102" s="488" t="n">
        <f aca="false">IF(Vout&gt;8, Iq*Vout, Iq*H102)</f>
        <v>0.036</v>
      </c>
      <c r="AY102" s="488" t="n">
        <f aca="false">CHOOSE(J102, (Qg_Q1+Qg_Q2)*Fsw, (Qg_Q3+Qg_Q4)*Fsw, (Qg_Q1+Qg_Q2+Qg_Q3+Qg_Q4)*Fsw/2)*IF(Vout&gt;8, Vout, H102)</f>
        <v>0.0792</v>
      </c>
      <c r="AZ102" s="488" t="n">
        <f aca="false">(Vin-Vdd)*Fsw*(Qg_Q1+Qg_Q2)+(RdsonDRT+RdsonDRT2)*Fsw*Qg_Q1*Vdd/(RdsonDRT+2*Rgate1+RdsonDRT2)+(RdsonDRB+RdsonDRB2)*Fsw*Qg_Q2*Vdd/(RdsonDRB+2*Rgate2+RdsonDRB2)</f>
        <v>0.0522</v>
      </c>
      <c r="BA102" s="488" t="n">
        <f aca="false">SUM(AX102:AY102)</f>
        <v>0.1152</v>
      </c>
      <c r="BB102" s="488" t="n">
        <f aca="false">SUM(T102,W102,Z102,AE102,AI102,AN102,AR102, AT102,AU102,BA102,AV102,AW102)</f>
        <v>2.268610616438</v>
      </c>
      <c r="BC102" s="419" t="n">
        <f aca="false">Vout*K102</f>
        <v>72</v>
      </c>
      <c r="BD102" s="589" t="n">
        <f aca="false">BC102/(BC102+BB102)</f>
        <v>0.969453977964469</v>
      </c>
      <c r="BE102" s="590" t="n">
        <f aca="false">IF(H102&gt;Vout,ThetaJA_Q1*(AE102+AU102),ThetaJA_Q4*(AN102+AU102))</f>
        <v>38.2373731905879</v>
      </c>
      <c r="BF102" s="590" t="n">
        <f aca="false">IF(H102&gt;Vout, AI102*ThetaJA_Q2, ThetaJA_Q3*AR102)</f>
        <v>13.3697982227818</v>
      </c>
      <c r="BG102" s="536"/>
      <c r="BH102" s="385" t="n">
        <f aca="false">BD102*100</f>
        <v>96.9453977964469</v>
      </c>
      <c r="BI102" s="488" t="n">
        <f aca="false">T102</f>
        <v>0.707829749008612</v>
      </c>
      <c r="BJ102" s="488" t="n">
        <f aca="false">AE102+AI102+AN102+AR102+AU102</f>
        <v>1.10503578261916</v>
      </c>
      <c r="BK102" s="488" t="n">
        <f aca="false">AI102+AU102*0.33</f>
        <v>0.432213679055635</v>
      </c>
      <c r="BL102" s="488" t="n">
        <f aca="false">AV102</f>
        <v>0.164395575824271</v>
      </c>
      <c r="BR102" s="591"/>
      <c r="BS102" s="592"/>
    </row>
    <row r="103" customFormat="false" ht="12.75" hidden="false" customHeight="false" outlineLevel="0" collapsed="false">
      <c r="G103" s="0" t="n">
        <v>94</v>
      </c>
      <c r="H103" s="586" t="n">
        <f aca="false">VIN_min+(VIN_max-VIN_min)*(G103/200)</f>
        <v>26.68</v>
      </c>
      <c r="I103" s="385" t="str">
        <f aca="false">IF(H103&gt;VIN_BB_to_buck, "BUCK", IF(H103&lt;VIN_boost_to_BB,"BOOST","BUCK-BST"))</f>
        <v>BUCK</v>
      </c>
      <c r="J103" s="419" t="n">
        <f aca="false">IF(I103="BOOST",2, IF(I103="BUCK", 1,3))</f>
        <v>1</v>
      </c>
      <c r="K103" s="0" t="n">
        <f aca="false">Iout</f>
        <v>6</v>
      </c>
      <c r="L103" s="385" t="n">
        <f aca="false">Vout*K103/(H103*Efficiency)</f>
        <v>2.99850074962519</v>
      </c>
      <c r="M103" s="385" t="n">
        <f aca="false">Iout/(1-O103)</f>
        <v>6</v>
      </c>
      <c r="N103" s="488" t="n">
        <f aca="false">CHOOSE(J103,(Vout+(Rdson2+Rs+Rdcr)*K103)/(H103+(Rs+Rdson2-Rdson1)*K103),1,IF(H103&lt;Vout,D_max_buck_BB,Vout/H103*(1-D_min_boost_exitBB_to_buck)))</f>
        <v>0.452794821909608</v>
      </c>
      <c r="O103" s="488" t="n">
        <f aca="false">CHOOSE(J103,0,(Vout+(Rdson3+Rdcr)*L103-H103)/(Vout+(Rdson3-Rdson4-Rs)*L103),IF(H103&gt;Vout,D_min_boost_exitBB_to_buck, (Vout-H103*D_max_buck_BB)/Vout))</f>
        <v>0</v>
      </c>
      <c r="P103" s="385" t="n">
        <f aca="false">MAX(0, CHOOSE(J103, (H103-(Rdson1+Rdcr)*K103-Vout)*N103/(Fsw*Lf), (H103-(Rdson4+Rdcr+Rs)*L103)*O103/(Fsw*Lf), IF(H103&lt;Vout, (H103-(Rdson4+Rdcr+Rs)*L103)*O103/(0.5*Fsw*Lf),(H103-(Rdson1+Rdcr)*K103-Vout)*N103/(0.5*Fsw*Lf))))</f>
        <v>4.69676682752011</v>
      </c>
      <c r="Q103" s="488" t="n">
        <f aca="false">CHOOSE(J103, SQRT(K103^2+(P103^2)/12), SQRT(L103^2+(P103^2)/12), SQRT(M103^2+(P103^2)/12))</f>
        <v>6.15128454492836</v>
      </c>
      <c r="R103" s="488" t="n">
        <f aca="false">(Q103^2*Rdcr*(1+Ltc*Ta-Ltc*25))/(1-Q103^2*Rdcr*Ltc*ThetaCa)</f>
        <v>0.128056892222885</v>
      </c>
      <c r="S103" s="488" t="n">
        <f aca="false">7.759*10^-3*Fsw^0.9458*(0.00787*P103)^2.304</f>
        <v>0.589138919645044</v>
      </c>
      <c r="T103" s="488" t="n">
        <f aca="false">R103+S103</f>
        <v>0.717195811867929</v>
      </c>
      <c r="U103" s="385" t="n">
        <f aca="false">IF(H103&gt;Vout, P103/SQRT(12), SQRT(O103/(1-O103))*SQRT(K103^2+(P103^2)/12))</f>
        <v>1.35583979609482</v>
      </c>
      <c r="V103" s="488" t="n">
        <f aca="false">RCoutEsr*U103^2</f>
        <v>0.00919150776337221</v>
      </c>
      <c r="W103" s="488" t="n">
        <f aca="false">V103</f>
        <v>0.00919150776337221</v>
      </c>
      <c r="X103" s="488" t="n">
        <f aca="false">IF(H103&gt;Vout, SQRT(N103*(1-N103))*SQRT(K103^2+(P103^2)/12), P103/SQRT(12))</f>
        <v>3.06190450693963</v>
      </c>
      <c r="Y103" s="587" t="n">
        <f aca="false">RCinEsr*X103^2</f>
        <v>0.0187505184192344</v>
      </c>
      <c r="Z103" s="588" t="n">
        <f aca="false">Y103</f>
        <v>0.0187505184192344</v>
      </c>
      <c r="AA103" s="488" t="n">
        <f aca="false">CHOOSE(J103, SQRT(N103)*SQRT(K103^2+(P103^2)/12), SQRT(L103^2+(P103^2)/12), SQRT(N103)*SQRT(M103^2+(P103^2)/12))</f>
        <v>4.13920125300827</v>
      </c>
      <c r="AB103" s="488" t="n">
        <f aca="false">Rdson1*AA103^2</f>
        <v>0.09765802597356</v>
      </c>
      <c r="AC103" s="488" t="n">
        <f aca="false">CHOOSE(J103, (H103*K103/2)*(Fsw)*(Tr_buck+Tf_buck), 0, (H103*M103/2)*(Fsw/2)*(Tr_buck+Tf_buck))</f>
        <v>0.163019776183644</v>
      </c>
      <c r="AD103" s="0" t="n">
        <f aca="false">IF(H103&gt;Vout, IF(K103&gt;P103/2,0,ABS(K103-P103/2)*Vsd_Q1*Deadtime*Fsw),0)</f>
        <v>0</v>
      </c>
      <c r="AE103" s="488" t="n">
        <f aca="false">(AD103+AC103+AB103*(1+RdsonTopTc*Ta-RdsonTopTc*25))/(1-AB103*RdsonTopTc*ThetaJA_Q1)</f>
        <v>0.265870683377787</v>
      </c>
      <c r="AF103" s="488" t="n">
        <f aca="false">CHOOSE(J103, SQRT((1-N103))*SQRT(K103^2+(P103^2)/12), 0, SQRT((1-N103))*SQRT(M103^2+(P103^2)/12))</f>
        <v>4.55030927957311</v>
      </c>
      <c r="AG103" s="488" t="n">
        <f aca="false">Rdson2*AF103^2</f>
        <v>0.118020292876684</v>
      </c>
      <c r="AH103" s="488" t="n">
        <f aca="false">CHOOSE(J103, IF(K103&lt;P103/2,Deadtime*Fsw*IF(VfdSky_Q2&gt;0,0,Vsd_Q2)*(K103+P103/2),2*Deadtime*Fsw*IF(VfdSky_Q2&gt;0,0,Vsd_Q2)*K103),0, IF(K103&lt;P103/2,Deadtime*Fsw/2*IF(VfdSky_Q2&gt;0,0,Vsd_Q2)*(K103+P103/2),2*Deadtime*Fsw/2*IF(VfdSky_Q2&gt;0,0,Vsd_Q2)*K103))</f>
        <v>0.144</v>
      </c>
      <c r="AI103" s="488" t="n">
        <f aca="false">(AH103+AG103*(1+RdsonBotTc*Ta-RdsonBotTc*25))/(1-AG103*RdsonBotTc*ThetaJA_Q2)</f>
        <v>0.268354549379189</v>
      </c>
      <c r="AJ103" s="488" t="n">
        <f aca="false">CHOOSE(J103, 0, SQRT(O103)*SQRT(L103^2+(P103^2)/12), SQRT(O103)*SQRT(M103^2+(P103^2)/12))</f>
        <v>0</v>
      </c>
      <c r="AK103" s="488" t="n">
        <f aca="false">Rdson4*AJ103^2</f>
        <v>0</v>
      </c>
      <c r="AL103" s="488" t="n">
        <f aca="false">CHOOSE(J103, 0, (Vout*L103/2)*(Fsw)*(Tr_boost+Tf_boost), (Vout*Iout/2)*(Fsw/2)*(Tr_boost+Tf_boost))</f>
        <v>0</v>
      </c>
      <c r="AM103" s="0" t="n">
        <f aca="false">IF(H103&gt;Vout, 0, IF(L103&gt;P103/2,0,ABS(L103-P103/2)*Vsd_Q4*Deadtime*Fsw))</f>
        <v>0</v>
      </c>
      <c r="AN103" s="488" t="n">
        <f aca="false">(AM103+AL103+AK103*(1+RdsonTopTc*Ta-RdsonTopTc*25))/(1-AK103*RdsonTopTc*ThetaJA_Q4)</f>
        <v>0</v>
      </c>
      <c r="AO103" s="488" t="n">
        <f aca="false">CHOOSE(J103, SQRT(Iout^2+(P103^2)/12), SQRT(1-O103)*SQRT(L103^2+(P103^2)/12), SQRT(1-O103)*SQRT(M103^2+(P103^2)/12))</f>
        <v>6.15128454492836</v>
      </c>
      <c r="AP103" s="488" t="n">
        <f aca="false">Rdson3*AO103^2</f>
        <v>0.0718927729500814</v>
      </c>
      <c r="AQ103" s="488" t="n">
        <f aca="false">CHOOSE(J103, 0, IF(L103&lt;P103/2,Deadtime*Fsw*IF(VfdSky_Q3&gt;0,0,Vsd_Q3)*(L103+P103/2), 2*Deadtime*Fsw*IF(VfdSky_Q3&gt;0,0,Vsd_Q3)*L103), IF(L103&lt;P103/2,Deadtime*Fsw/2*IF(VfdSky_Q3&gt;0,0,Vsd_Q3)*(L103+P103/2), 2*Deadtime*Fsw/2*IF(VfdSky_Q3&gt;0,0,Vsd_Q3)*L103))</f>
        <v>0</v>
      </c>
      <c r="AR103" s="488" t="n">
        <f aca="false">(AQ103+AP103*(1+RdsonBotTc*Ta-RdsonBotTc*25))/(1-AP103*RdsonBotTc*ThetaJA_Q3)</f>
        <v>0.0729415672567642</v>
      </c>
      <c r="AS103" s="488" t="n">
        <f aca="false">CHOOSE(J103, Rdson3*Q103^2, Rdson1*Q103^2, 0)</f>
        <v>0.0718927729500814</v>
      </c>
      <c r="AT103" s="488" t="n">
        <f aca="false">CHOOSE(J103, 2*Deadtime*Fsw*IF(VfdSky_Q2&gt;0,VfdSky_Q2,0)*K103, 2*Deadtime*Fsw*IF(VfdSky_Q3&gt;0,VfdSky_Q3,0)*L103, 2*Deadtime*Fsw/2*IF(VfdSky_Q2&gt;0,VfdSky_Q2,0)*K103+2*Deadtime*Fsw/2*IF(VfdSky_Q3&gt;0,VfdSky_Q3,0)*L103)</f>
        <v>0</v>
      </c>
      <c r="AU103" s="488" t="n">
        <f aca="false">CHOOSE(J103, IF(QrrSky_Q2&gt;0,QrrSky_Q2,Qrr_Q2)*Fsw*(H103-K103*Rdson1), IF(QrrSky_Q3&gt;0,QrrSky_Q3,Qrr_Q3)*Fsw*Vout,  IF(QrrSky_Q2&gt;0,QrrSky_Q2,Qrr_Q2)*Fsw/2*(H103-K103*Rdson1)+IF(QrrSky_Q3&gt;0,QrrSky_Q3,Qrr_Q3)*Fsw/2*Vout)</f>
        <v>0.50360562</v>
      </c>
      <c r="AV103" s="488" t="n">
        <f aca="false">CHOOSE(J103, Rs*AF103^2, Rs*AJ103^2, Rs*(AF103^2+AJ103^2))</f>
        <v>0.165642516318153</v>
      </c>
      <c r="AW103" s="488" t="n">
        <f aca="false">Rshunt_std/1000*Iout^2</f>
        <v>0.14832</v>
      </c>
      <c r="AX103" s="488" t="n">
        <f aca="false">IF(Vout&gt;8, Iq*Vout, Iq*H103)</f>
        <v>0.036</v>
      </c>
      <c r="AY103" s="488" t="n">
        <f aca="false">CHOOSE(J103, (Qg_Q1+Qg_Q2)*Fsw, (Qg_Q3+Qg_Q4)*Fsw, (Qg_Q1+Qg_Q2+Qg_Q3+Qg_Q4)*Fsw/2)*IF(Vout&gt;8, Vout, H103)</f>
        <v>0.0792</v>
      </c>
      <c r="AZ103" s="488" t="n">
        <f aca="false">(Vin-Vdd)*Fsw*(Qg_Q1+Qg_Q2)+(RdsonDRT+RdsonDRT2)*Fsw*Qg_Q1*Vdd/(RdsonDRT+2*Rgate1+RdsonDRT2)+(RdsonDRB+RdsonDRB2)*Fsw*Qg_Q2*Vdd/(RdsonDRB+2*Rgate2+RdsonDRB2)</f>
        <v>0.0522</v>
      </c>
      <c r="BA103" s="488" t="n">
        <f aca="false">SUM(AX103:AY103)</f>
        <v>0.1152</v>
      </c>
      <c r="BB103" s="488" t="n">
        <f aca="false">SUM(T103,W103,Z103,AE103,AI103,AN103,AR103, AT103,AU103,BA103,AV103,AW103)</f>
        <v>2.28507277438243</v>
      </c>
      <c r="BC103" s="419" t="n">
        <f aca="false">Vout*K103</f>
        <v>72</v>
      </c>
      <c r="BD103" s="589" t="n">
        <f aca="false">BC103/(BC103+BB103)</f>
        <v>0.969239139317766</v>
      </c>
      <c r="BE103" s="590" t="n">
        <f aca="false">IF(H103&gt;Vout,ThetaJA_Q1*(AE103+AU103),ThetaJA_Q4*(AN103+AU103))</f>
        <v>38.4738151688894</v>
      </c>
      <c r="BF103" s="590" t="n">
        <f aca="false">IF(H103&gt;Vout, AI103*ThetaJA_Q2, ThetaJA_Q3*AR103)</f>
        <v>13.4177274689594</v>
      </c>
      <c r="BG103" s="536"/>
      <c r="BH103" s="385" t="n">
        <f aca="false">BD103*100</f>
        <v>96.9239139317766</v>
      </c>
      <c r="BI103" s="488" t="n">
        <f aca="false">T103</f>
        <v>0.717195811867929</v>
      </c>
      <c r="BJ103" s="488" t="n">
        <f aca="false">AE103+AI103+AN103+AR103+AU103</f>
        <v>1.11077242001374</v>
      </c>
      <c r="BK103" s="488" t="n">
        <f aca="false">AI103+AU103*0.33</f>
        <v>0.434544403979189</v>
      </c>
      <c r="BL103" s="488" t="n">
        <f aca="false">AV103</f>
        <v>0.165642516318153</v>
      </c>
      <c r="BR103" s="591"/>
      <c r="BS103" s="592"/>
    </row>
    <row r="104" customFormat="false" ht="12.75" hidden="false" customHeight="false" outlineLevel="0" collapsed="false">
      <c r="G104" s="0" t="n">
        <v>95</v>
      </c>
      <c r="H104" s="586" t="n">
        <f aca="false">VIN_min+(VIN_max-VIN_min)*(G104/200)</f>
        <v>26.9</v>
      </c>
      <c r="I104" s="385" t="str">
        <f aca="false">IF(H104&gt;VIN_BB_to_buck, "BUCK", IF(H104&lt;VIN_boost_to_BB,"BOOST","BUCK-BST"))</f>
        <v>BUCK</v>
      </c>
      <c r="J104" s="419" t="n">
        <f aca="false">IF(I104="BOOST",2, IF(I104="BUCK", 1,3))</f>
        <v>1</v>
      </c>
      <c r="K104" s="0" t="n">
        <f aca="false">Iout</f>
        <v>6</v>
      </c>
      <c r="L104" s="385" t="n">
        <f aca="false">Vout*K104/(H104*Efficiency)</f>
        <v>2.97397769516729</v>
      </c>
      <c r="M104" s="385" t="n">
        <f aca="false">Iout/(1-O104)</f>
        <v>6</v>
      </c>
      <c r="N104" s="488" t="n">
        <f aca="false">CHOOSE(J104,(Vout+(Rdson2+Rs+Rdcr)*K104)/(H104+(Rs+Rdson2-Rdson1)*K104),1,IF(H104&lt;Vout,D_max_buck_BB,Vout/H104*(1-D_min_boost_exitBB_to_buck)))</f>
        <v>0.449098263321953</v>
      </c>
      <c r="O104" s="488" t="n">
        <f aca="false">CHOOSE(J104,0,(Vout+(Rdson3+Rdcr)*L104-H104)/(Vout+(Rdson3-Rdson4-Rs)*L104),IF(H104&gt;Vout,D_min_boost_exitBB_to_buck, (Vout-H104*D_max_buck_BB)/Vout))</f>
        <v>0</v>
      </c>
      <c r="P104" s="385" t="n">
        <f aca="false">MAX(0, CHOOSE(J104, (H104-(Rdson1+Rdcr)*K104-Vout)*N104/(Fsw*Lf), (H104-(Rdson4+Rdcr+Rs)*L104)*O104/(Fsw*Lf), IF(H104&lt;Vout, (H104-(Rdson4+Rdcr+Rs)*L104)*O104/(0.5*Fsw*Lf),(H104-(Rdson1+Rdcr)*K104-Vout)*N104/(0.5*Fsw*Lf))))</f>
        <v>4.72849509772959</v>
      </c>
      <c r="Q104" s="488" t="n">
        <f aca="false">CHOOSE(J104, SQRT(K104^2+(P104^2)/12), SQRT(L104^2+(P104^2)/12), SQRT(M104^2+(P104^2)/12))</f>
        <v>6.15330985384596</v>
      </c>
      <c r="R104" s="488" t="n">
        <f aca="false">(Q104^2*Rdcr*(1+Ltc*Ta-Ltc*25))/(1-Q104^2*Rdcr*Ltc*ThetaCa)</f>
        <v>0.128142096098229</v>
      </c>
      <c r="S104" s="488" t="n">
        <f aca="false">7.759*10^-3*Fsw^0.9458*(0.00787*P104)^2.304</f>
        <v>0.598348875086435</v>
      </c>
      <c r="T104" s="488" t="n">
        <f aca="false">R104+S104</f>
        <v>0.726490971184665</v>
      </c>
      <c r="U104" s="385" t="n">
        <f aca="false">IF(H104&gt;Vout, P104/SQRT(12), SQRT(O104/(1-O104))*SQRT(K104^2+(P104^2)/12))</f>
        <v>1.364998958768</v>
      </c>
      <c r="V104" s="488" t="n">
        <f aca="false">RCoutEsr*U104^2</f>
        <v>0.00931611078718866</v>
      </c>
      <c r="W104" s="488" t="n">
        <f aca="false">V104</f>
        <v>0.00931611078718866</v>
      </c>
      <c r="X104" s="488" t="n">
        <f aca="false">IF(H104&gt;Vout, SQRT(N104*(1-N104))*SQRT(K104^2+(P104^2)/12), P104/SQRT(12))</f>
        <v>3.06067025840152</v>
      </c>
      <c r="Y104" s="587" t="n">
        <f aca="false">RCinEsr*X104^2</f>
        <v>0.0187354048613273</v>
      </c>
      <c r="Z104" s="588" t="n">
        <f aca="false">Y104</f>
        <v>0.0187354048613273</v>
      </c>
      <c r="AA104" s="488" t="n">
        <f aca="false">CHOOSE(J104, SQRT(N104)*SQRT(K104^2+(P104^2)/12), SQRT(L104^2+(P104^2)/12), SQRT(N104)*SQRT(M104^2+(P104^2)/12))</f>
        <v>4.12362793116433</v>
      </c>
      <c r="AB104" s="488" t="n">
        <f aca="false">Rdson1*AA104^2</f>
        <v>0.096924551693668</v>
      </c>
      <c r="AC104" s="488" t="n">
        <f aca="false">CHOOSE(J104, (H104*K104/2)*(Fsw)*(Tr_buck+Tf_buck), 0, (H104*M104/2)*(Fsw/2)*(Tr_buck+Tf_buck))</f>
        <v>0.164364017216643</v>
      </c>
      <c r="AD104" s="0" t="n">
        <f aca="false">IF(H104&gt;Vout, IF(K104&gt;P104/2,0,ABS(K104-P104/2)*Vsd_Q1*Deadtime*Fsw),0)</f>
        <v>0</v>
      </c>
      <c r="AE104" s="488" t="n">
        <f aca="false">(AD104+AC104+AB104*(1+RdsonTopTc*Ta-RdsonTopTc*25))/(1-AB104*RdsonTopTc*ThetaJA_Q1)</f>
        <v>0.266453750982526</v>
      </c>
      <c r="AF104" s="488" t="n">
        <f aca="false">CHOOSE(J104, SQRT((1-N104))*SQRT(K104^2+(P104^2)/12), 0, SQRT((1-N104))*SQRT(M104^2+(P104^2)/12))</f>
        <v>4.56715610010859</v>
      </c>
      <c r="AG104" s="488" t="n">
        <f aca="false">Rdson2*AF104^2</f>
        <v>0.118895814603727</v>
      </c>
      <c r="AH104" s="488" t="n">
        <f aca="false">CHOOSE(J104, IF(K104&lt;P104/2,Deadtime*Fsw*IF(VfdSky_Q2&gt;0,0,Vsd_Q2)*(K104+P104/2),2*Deadtime*Fsw*IF(VfdSky_Q2&gt;0,0,Vsd_Q2)*K104),0, IF(K104&lt;P104/2,Deadtime*Fsw/2*IF(VfdSky_Q2&gt;0,0,Vsd_Q2)*(K104+P104/2),2*Deadtime*Fsw/2*IF(VfdSky_Q2&gt;0,0,Vsd_Q2)*K104))</f>
        <v>0.144</v>
      </c>
      <c r="AI104" s="488" t="n">
        <f aca="false">(AH104+AG104*(1+RdsonBotTc*Ta-RdsonBotTc*25))/(1-AG104*RdsonBotTc*ThetaJA_Q2)</f>
        <v>0.269299532050845</v>
      </c>
      <c r="AJ104" s="488" t="n">
        <f aca="false">CHOOSE(J104, 0, SQRT(O104)*SQRT(L104^2+(P104^2)/12), SQRT(O104)*SQRT(M104^2+(P104^2)/12))</f>
        <v>0</v>
      </c>
      <c r="AK104" s="488" t="n">
        <f aca="false">Rdson4*AJ104^2</f>
        <v>0</v>
      </c>
      <c r="AL104" s="488" t="n">
        <f aca="false">CHOOSE(J104, 0, (Vout*L104/2)*(Fsw)*(Tr_boost+Tf_boost), (Vout*Iout/2)*(Fsw/2)*(Tr_boost+Tf_boost))</f>
        <v>0</v>
      </c>
      <c r="AM104" s="0" t="n">
        <f aca="false">IF(H104&gt;Vout, 0, IF(L104&gt;P104/2,0,ABS(L104-P104/2)*Vsd_Q4*Deadtime*Fsw))</f>
        <v>0</v>
      </c>
      <c r="AN104" s="488" t="n">
        <f aca="false">(AM104+AL104+AK104*(1+RdsonTopTc*Ta-RdsonTopTc*25))/(1-AK104*RdsonTopTc*ThetaJA_Q4)</f>
        <v>0</v>
      </c>
      <c r="AO104" s="488" t="n">
        <f aca="false">CHOOSE(J104, SQRT(Iout^2+(P104^2)/12), SQRT(1-O104)*SQRT(L104^2+(P104^2)/12), SQRT(1-O104)*SQRT(M104^2+(P104^2)/12))</f>
        <v>6.15330985384596</v>
      </c>
      <c r="AP104" s="488" t="n">
        <f aca="false">Rdson3*AO104^2</f>
        <v>0.0719401220991317</v>
      </c>
      <c r="AQ104" s="488" t="n">
        <f aca="false">CHOOSE(J104, 0, IF(L104&lt;P104/2,Deadtime*Fsw*IF(VfdSky_Q3&gt;0,0,Vsd_Q3)*(L104+P104/2), 2*Deadtime*Fsw*IF(VfdSky_Q3&gt;0,0,Vsd_Q3)*L104), IF(L104&lt;P104/2,Deadtime*Fsw/2*IF(VfdSky_Q3&gt;0,0,Vsd_Q3)*(L104+P104/2), 2*Deadtime*Fsw/2*IF(VfdSky_Q3&gt;0,0,Vsd_Q3)*L104))</f>
        <v>0</v>
      </c>
      <c r="AR104" s="488" t="n">
        <f aca="false">(AQ104+AP104*(1+RdsonBotTc*Ta-RdsonBotTc*25))/(1-AP104*RdsonBotTc*ThetaJA_Q3)</f>
        <v>0.072990308439368</v>
      </c>
      <c r="AS104" s="488" t="n">
        <f aca="false">CHOOSE(J104, Rdson3*Q104^2, Rdson1*Q104^2, 0)</f>
        <v>0.0719401220991317</v>
      </c>
      <c r="AT104" s="488" t="n">
        <f aca="false">CHOOSE(J104, 2*Deadtime*Fsw*IF(VfdSky_Q2&gt;0,VfdSky_Q2,0)*K104, 2*Deadtime*Fsw*IF(VfdSky_Q3&gt;0,VfdSky_Q3,0)*L104, 2*Deadtime*Fsw/2*IF(VfdSky_Q2&gt;0,VfdSky_Q2,0)*K104+2*Deadtime*Fsw/2*IF(VfdSky_Q3&gt;0,VfdSky_Q3,0)*L104)</f>
        <v>0</v>
      </c>
      <c r="AU104" s="488" t="n">
        <f aca="false">CHOOSE(J104, IF(QrrSky_Q2&gt;0,QrrSky_Q2,Qrr_Q2)*Fsw*(H104-K104*Rdson1), IF(QrrSky_Q3&gt;0,QrrSky_Q3,Qrr_Q3)*Fsw*Vout,  IF(QrrSky_Q2&gt;0,QrrSky_Q2,Qrr_Q2)*Fsw/2*(H104-K104*Rdson1)+IF(QrrSky_Q3&gt;0,QrrSky_Q3,Qrr_Q3)*Fsw/2*Vout)</f>
        <v>0.50776362</v>
      </c>
      <c r="AV104" s="488" t="n">
        <f aca="false">CHOOSE(J104, Rs*AF104^2, Rs*AJ104^2, Rs*(AF104^2+AJ104^2))</f>
        <v>0.166871318742073</v>
      </c>
      <c r="AW104" s="488" t="n">
        <f aca="false">Rshunt_std/1000*Iout^2</f>
        <v>0.14832</v>
      </c>
      <c r="AX104" s="488" t="n">
        <f aca="false">IF(Vout&gt;8, Iq*Vout, Iq*H104)</f>
        <v>0.036</v>
      </c>
      <c r="AY104" s="488" t="n">
        <f aca="false">CHOOSE(J104, (Qg_Q1+Qg_Q2)*Fsw, (Qg_Q3+Qg_Q4)*Fsw, (Qg_Q1+Qg_Q2+Qg_Q3+Qg_Q4)*Fsw/2)*IF(Vout&gt;8, Vout, H104)</f>
        <v>0.0792</v>
      </c>
      <c r="AZ104" s="488" t="n">
        <f aca="false">(Vin-Vdd)*Fsw*(Qg_Q1+Qg_Q2)+(RdsonDRT+RdsonDRT2)*Fsw*Qg_Q1*Vdd/(RdsonDRT+2*Rgate1+RdsonDRT2)+(RdsonDRB+RdsonDRB2)*Fsw*Qg_Q2*Vdd/(RdsonDRB+2*Rgate2+RdsonDRB2)</f>
        <v>0.0522</v>
      </c>
      <c r="BA104" s="488" t="n">
        <f aca="false">SUM(AX104:AY104)</f>
        <v>0.1152</v>
      </c>
      <c r="BB104" s="488" t="n">
        <f aca="false">SUM(T104,W104,Z104,AE104,AI104,AN104,AR104, AT104,AU104,BA104,AV104,AW104)</f>
        <v>2.30144101704799</v>
      </c>
      <c r="BC104" s="419" t="n">
        <f aca="false">Vout*K104</f>
        <v>72</v>
      </c>
      <c r="BD104" s="589" t="n">
        <f aca="false">BC104/(BC104+BB104)</f>
        <v>0.969025620693952</v>
      </c>
      <c r="BE104" s="590" t="n">
        <f aca="false">IF(H104&gt;Vout,ThetaJA_Q1*(AE104+AU104),ThetaJA_Q4*(AN104+AU104))</f>
        <v>38.7108685491263</v>
      </c>
      <c r="BF104" s="590" t="n">
        <f aca="false">IF(H104&gt;Vout, AI104*ThetaJA_Q2, ThetaJA_Q3*AR104)</f>
        <v>13.4649766025422</v>
      </c>
      <c r="BG104" s="536"/>
      <c r="BH104" s="385" t="n">
        <f aca="false">BD104*100</f>
        <v>96.9025620693952</v>
      </c>
      <c r="BI104" s="488" t="n">
        <f aca="false">T104</f>
        <v>0.726490971184665</v>
      </c>
      <c r="BJ104" s="488" t="n">
        <f aca="false">AE104+AI104+AN104+AR104+AU104</f>
        <v>1.11650721147274</v>
      </c>
      <c r="BK104" s="488" t="n">
        <f aca="false">AI104+AU104*0.33</f>
        <v>0.436861526650845</v>
      </c>
      <c r="BL104" s="488" t="n">
        <f aca="false">AV104</f>
        <v>0.166871318742073</v>
      </c>
      <c r="BR104" s="591"/>
      <c r="BS104" s="592"/>
    </row>
    <row r="105" customFormat="false" ht="12.75" hidden="false" customHeight="false" outlineLevel="0" collapsed="false">
      <c r="G105" s="0" t="n">
        <v>96</v>
      </c>
      <c r="H105" s="586" t="n">
        <f aca="false">VIN_min+(VIN_max-VIN_min)*(G105/200)</f>
        <v>27.12</v>
      </c>
      <c r="I105" s="385" t="str">
        <f aca="false">IF(H105&gt;VIN_BB_to_buck, "BUCK", IF(H105&lt;VIN_boost_to_BB,"BOOST","BUCK-BST"))</f>
        <v>BUCK</v>
      </c>
      <c r="J105" s="419" t="n">
        <f aca="false">IF(I105="BOOST",2, IF(I105="BUCK", 1,3))</f>
        <v>1</v>
      </c>
      <c r="K105" s="0" t="n">
        <f aca="false">Iout</f>
        <v>6</v>
      </c>
      <c r="L105" s="385" t="n">
        <f aca="false">Vout*K105/(H105*Efficiency)</f>
        <v>2.94985250737463</v>
      </c>
      <c r="M105" s="385" t="n">
        <f aca="false">Iout/(1-O105)</f>
        <v>6</v>
      </c>
      <c r="N105" s="488" t="n">
        <f aca="false">CHOOSE(J105,(Vout+(Rdson2+Rs+Rdcr)*K105)/(H105+(Rs+Rdson2-Rdson1)*K105),1,IF(H105&lt;Vout,D_max_buck_BB,Vout/H105*(1-D_min_boost_exitBB_to_buck)))</f>
        <v>0.445461572438163</v>
      </c>
      <c r="O105" s="488" t="n">
        <f aca="false">CHOOSE(J105,0,(Vout+(Rdson3+Rdcr)*L105-H105)/(Vout+(Rdson3-Rdson4-Rs)*L105),IF(H105&gt;Vout,D_min_boost_exitBB_to_buck, (Vout-H105*D_max_buck_BB)/Vout))</f>
        <v>0</v>
      </c>
      <c r="P105" s="385" t="n">
        <f aca="false">MAX(0, CHOOSE(J105, (H105-(Rdson1+Rdcr)*K105-Vout)*N105/(Fsw*Lf), (H105-(Rdson4+Rdcr+Rs)*L105)*O105/(Fsw*Lf), IF(H105&lt;Vout, (H105-(Rdson4+Rdcr+Rs)*L105)*O105/(0.5*Fsw*Lf),(H105-(Rdson1+Rdcr)*K105-Vout)*N105/(0.5*Fsw*Lf))))</f>
        <v>4.75970951197278</v>
      </c>
      <c r="Q105" s="488" t="n">
        <f aca="false">CHOOSE(J105, SQRT(K105^2+(P105^2)/12), SQRT(L105^2+(P105^2)/12), SQRT(M105^2+(P105^2)/12))</f>
        <v>6.1553150111534</v>
      </c>
      <c r="R105" s="488" t="n">
        <f aca="false">(Q105^2*Rdcr*(1+Ltc*Ta-Ltc*25))/(1-Q105^2*Rdcr*Ltc*ThetaCa)</f>
        <v>0.128226480968735</v>
      </c>
      <c r="S105" s="488" t="n">
        <f aca="false">7.759*10^-3*Fsw^0.9458*(0.00787*P105)^2.304</f>
        <v>0.607488653538773</v>
      </c>
      <c r="T105" s="488" t="n">
        <f aca="false">R105+S105</f>
        <v>0.735715134507507</v>
      </c>
      <c r="U105" s="385" t="n">
        <f aca="false">IF(H105&gt;Vout, P105/SQRT(12), SQRT(O105/(1-O105))*SQRT(K105^2+(P105^2)/12))</f>
        <v>1.37400978400095</v>
      </c>
      <c r="V105" s="488" t="n">
        <f aca="false">RCoutEsr*U105^2</f>
        <v>0.00943951443265175</v>
      </c>
      <c r="W105" s="488" t="n">
        <f aca="false">V105</f>
        <v>0.00943951443265175</v>
      </c>
      <c r="X105" s="488" t="n">
        <f aca="false">IF(H105&gt;Vout, SQRT(N105*(1-N105))*SQRT(K105^2+(P105^2)/12), P105/SQRT(12))</f>
        <v>3.05929410562387</v>
      </c>
      <c r="Y105" s="587" t="n">
        <f aca="false">RCinEsr*X105^2</f>
        <v>0.0187185608494099</v>
      </c>
      <c r="Z105" s="588" t="n">
        <f aca="false">Y105</f>
        <v>0.0187185608494099</v>
      </c>
      <c r="AA105" s="488" t="n">
        <f aca="false">CHOOSE(J105, SQRT(N105)*SQRT(K105^2+(P105^2)/12), SQRT(L105^2+(P105^2)/12), SQRT(N105)*SQRT(M105^2+(P105^2)/12))</f>
        <v>4.10823621475424</v>
      </c>
      <c r="AB105" s="488" t="n">
        <f aca="false">Rdson1*AA105^2</f>
        <v>0.0962023473384438</v>
      </c>
      <c r="AC105" s="488" t="n">
        <f aca="false">CHOOSE(J105, (H105*K105/2)*(Fsw)*(Tr_buck+Tf_buck), 0, (H105*M105/2)*(Fsw/2)*(Tr_buck+Tf_buck))</f>
        <v>0.165708258249641</v>
      </c>
      <c r="AD105" s="0" t="n">
        <f aca="false">IF(H105&gt;Vout, IF(K105&gt;P105/2,0,ABS(K105-P105/2)*Vsd_Q1*Deadtime*Fsw),0)</f>
        <v>0</v>
      </c>
      <c r="AE105" s="488" t="n">
        <f aca="false">(AD105+AC105+AB105*(1+RdsonTopTc*Ta-RdsonTopTc*25))/(1-AB105*RdsonTopTc*ThetaJA_Q1)</f>
        <v>0.267048748887438</v>
      </c>
      <c r="AF105" s="488" t="n">
        <f aca="false">CHOOSE(J105, SQRT((1-N105))*SQRT(K105^2+(P105^2)/12), 0, SQRT((1-N105))*SQRT(M105^2+(P105^2)/12))</f>
        <v>4.58369917100939</v>
      </c>
      <c r="AG105" s="488" t="n">
        <f aca="false">Rdson2*AF105^2</f>
        <v>0.119758699114779</v>
      </c>
      <c r="AH105" s="488" t="n">
        <f aca="false">CHOOSE(J105, IF(K105&lt;P105/2,Deadtime*Fsw*IF(VfdSky_Q2&gt;0,0,Vsd_Q2)*(K105+P105/2),2*Deadtime*Fsw*IF(VfdSky_Q2&gt;0,0,Vsd_Q2)*K105),0, IF(K105&lt;P105/2,Deadtime*Fsw/2*IF(VfdSky_Q2&gt;0,0,Vsd_Q2)*(K105+P105/2),2*Deadtime*Fsw/2*IF(VfdSky_Q2&gt;0,0,Vsd_Q2)*K105))</f>
        <v>0.144</v>
      </c>
      <c r="AI105" s="488" t="n">
        <f aca="false">(AH105+AG105*(1+RdsonBotTc*Ta-RdsonBotTc*25))/(1-AG105*RdsonBotTc*ThetaJA_Q2)</f>
        <v>0.270231206668958</v>
      </c>
      <c r="AJ105" s="488" t="n">
        <f aca="false">CHOOSE(J105, 0, SQRT(O105)*SQRT(L105^2+(P105^2)/12), SQRT(O105)*SQRT(M105^2+(P105^2)/12))</f>
        <v>0</v>
      </c>
      <c r="AK105" s="488" t="n">
        <f aca="false">Rdson4*AJ105^2</f>
        <v>0</v>
      </c>
      <c r="AL105" s="488" t="n">
        <f aca="false">CHOOSE(J105, 0, (Vout*L105/2)*(Fsw)*(Tr_boost+Tf_boost), (Vout*Iout/2)*(Fsw/2)*(Tr_boost+Tf_boost))</f>
        <v>0</v>
      </c>
      <c r="AM105" s="0" t="n">
        <f aca="false">IF(H105&gt;Vout, 0, IF(L105&gt;P105/2,0,ABS(L105-P105/2)*Vsd_Q4*Deadtime*Fsw))</f>
        <v>0</v>
      </c>
      <c r="AN105" s="488" t="n">
        <f aca="false">(AM105+AL105+AK105*(1+RdsonTopTc*Ta-RdsonTopTc*25))/(1-AK105*RdsonTopTc*ThetaJA_Q4)</f>
        <v>0</v>
      </c>
      <c r="AO105" s="488" t="n">
        <f aca="false">CHOOSE(J105, SQRT(Iout^2+(P105^2)/12), SQRT(1-O105)*SQRT(L105^2+(P105^2)/12), SQRT(1-O105)*SQRT(M105^2+(P105^2)/12))</f>
        <v>6.1553150111534</v>
      </c>
      <c r="AP105" s="488" t="n">
        <f aca="false">Rdson3*AO105^2</f>
        <v>0.0719870154844077</v>
      </c>
      <c r="AQ105" s="488" t="n">
        <f aca="false">CHOOSE(J105, 0, IF(L105&lt;P105/2,Deadtime*Fsw*IF(VfdSky_Q3&gt;0,0,Vsd_Q3)*(L105+P105/2), 2*Deadtime*Fsw*IF(VfdSky_Q3&gt;0,0,Vsd_Q3)*L105), IF(L105&lt;P105/2,Deadtime*Fsw/2*IF(VfdSky_Q3&gt;0,0,Vsd_Q3)*(L105+P105/2), 2*Deadtime*Fsw/2*IF(VfdSky_Q3&gt;0,0,Vsd_Q3)*L105))</f>
        <v>0</v>
      </c>
      <c r="AR105" s="488" t="n">
        <f aca="false">(AQ105+AP105*(1+RdsonBotTc*Ta-RdsonBotTc*25))/(1-AP105*RdsonBotTc*ThetaJA_Q3)</f>
        <v>0.0730385813821915</v>
      </c>
      <c r="AS105" s="488" t="n">
        <f aca="false">CHOOSE(J105, Rdson3*Q105^2, Rdson1*Q105^2, 0)</f>
        <v>0.0719870154844077</v>
      </c>
      <c r="AT105" s="488" t="n">
        <f aca="false">CHOOSE(J105, 2*Deadtime*Fsw*IF(VfdSky_Q2&gt;0,VfdSky_Q2,0)*K105, 2*Deadtime*Fsw*IF(VfdSky_Q3&gt;0,VfdSky_Q3,0)*L105, 2*Deadtime*Fsw/2*IF(VfdSky_Q2&gt;0,VfdSky_Q2,0)*K105+2*Deadtime*Fsw/2*IF(VfdSky_Q3&gt;0,VfdSky_Q3,0)*L105)</f>
        <v>0</v>
      </c>
      <c r="AU105" s="488" t="n">
        <f aca="false">CHOOSE(J105, IF(QrrSky_Q2&gt;0,QrrSky_Q2,Qrr_Q2)*Fsw*(H105-K105*Rdson1), IF(QrrSky_Q3&gt;0,QrrSky_Q3,Qrr_Q3)*Fsw*Vout,  IF(QrrSky_Q2&gt;0,QrrSky_Q2,Qrr_Q2)*Fsw/2*(H105-K105*Rdson1)+IF(QrrSky_Q3&gt;0,QrrSky_Q3,Qrr_Q3)*Fsw/2*Vout)</f>
        <v>0.51192162</v>
      </c>
      <c r="AV105" s="488" t="n">
        <f aca="false">CHOOSE(J105, Rs*AF105^2, Rs*AJ105^2, Rs*(AF105^2+AJ105^2))</f>
        <v>0.168082384722497</v>
      </c>
      <c r="AW105" s="488" t="n">
        <f aca="false">Rshunt_std/1000*Iout^2</f>
        <v>0.14832</v>
      </c>
      <c r="AX105" s="488" t="n">
        <f aca="false">IF(Vout&gt;8, Iq*Vout, Iq*H105)</f>
        <v>0.036</v>
      </c>
      <c r="AY105" s="488" t="n">
        <f aca="false">CHOOSE(J105, (Qg_Q1+Qg_Q2)*Fsw, (Qg_Q3+Qg_Q4)*Fsw, (Qg_Q1+Qg_Q2+Qg_Q3+Qg_Q4)*Fsw/2)*IF(Vout&gt;8, Vout, H105)</f>
        <v>0.0792</v>
      </c>
      <c r="AZ105" s="488" t="n">
        <f aca="false">(Vin-Vdd)*Fsw*(Qg_Q1+Qg_Q2)+(RdsonDRT+RdsonDRT2)*Fsw*Qg_Q1*Vdd/(RdsonDRT+2*Rgate1+RdsonDRT2)+(RdsonDRB+RdsonDRB2)*Fsw*Qg_Q2*Vdd/(RdsonDRB+2*Rgate2+RdsonDRB2)</f>
        <v>0.0522</v>
      </c>
      <c r="BA105" s="488" t="n">
        <f aca="false">SUM(AX105:AY105)</f>
        <v>0.1152</v>
      </c>
      <c r="BB105" s="488" t="n">
        <f aca="false">SUM(T105,W105,Z105,AE105,AI105,AN105,AR105, AT105,AU105,BA105,AV105,AW105)</f>
        <v>2.31771575145065</v>
      </c>
      <c r="BC105" s="419" t="n">
        <f aca="false">Vout*K105</f>
        <v>72</v>
      </c>
      <c r="BD105" s="589" t="n">
        <f aca="false">BC105/(BC105+BB105)</f>
        <v>0.968813415105464</v>
      </c>
      <c r="BE105" s="590" t="n">
        <f aca="false">IF(H105&gt;Vout,ThetaJA_Q1*(AE105+AU105),ThetaJA_Q4*(AN105+AU105))</f>
        <v>38.9485184443719</v>
      </c>
      <c r="BF105" s="590" t="n">
        <f aca="false">IF(H105&gt;Vout, AI105*ThetaJA_Q2, ThetaJA_Q3*AR105)</f>
        <v>13.5115603334479</v>
      </c>
      <c r="BG105" s="536"/>
      <c r="BH105" s="385" t="n">
        <f aca="false">BD105*100</f>
        <v>96.8813415105464</v>
      </c>
      <c r="BI105" s="488" t="n">
        <f aca="false">T105</f>
        <v>0.735715134507507</v>
      </c>
      <c r="BJ105" s="488" t="n">
        <f aca="false">AE105+AI105+AN105+AR105+AU105</f>
        <v>1.12224015693859</v>
      </c>
      <c r="BK105" s="488" t="n">
        <f aca="false">AI105+AU105*0.33</f>
        <v>0.439165341268958</v>
      </c>
      <c r="BL105" s="488" t="n">
        <f aca="false">AV105</f>
        <v>0.168082384722497</v>
      </c>
      <c r="BR105" s="591"/>
      <c r="BS105" s="592"/>
    </row>
    <row r="106" customFormat="false" ht="12.75" hidden="false" customHeight="false" outlineLevel="0" collapsed="false">
      <c r="G106" s="0" t="n">
        <v>97</v>
      </c>
      <c r="H106" s="586" t="n">
        <f aca="false">VIN_min+(VIN_max-VIN_min)*(G106/200)</f>
        <v>27.34</v>
      </c>
      <c r="I106" s="385" t="str">
        <f aca="false">IF(H106&gt;VIN_BB_to_buck, "BUCK", IF(H106&lt;VIN_boost_to_BB,"BOOST","BUCK-BST"))</f>
        <v>BUCK</v>
      </c>
      <c r="J106" s="419" t="n">
        <f aca="false">IF(I106="BOOST",2, IF(I106="BUCK", 1,3))</f>
        <v>1</v>
      </c>
      <c r="K106" s="0" t="n">
        <f aca="false">Iout</f>
        <v>6</v>
      </c>
      <c r="L106" s="385" t="n">
        <f aca="false">Vout*K106/(H106*Efficiency)</f>
        <v>2.92611558156547</v>
      </c>
      <c r="M106" s="385" t="n">
        <f aca="false">Iout/(1-O106)</f>
        <v>6</v>
      </c>
      <c r="N106" s="488" t="n">
        <f aca="false">CHOOSE(J106,(Vout+(Rdson2+Rs+Rdcr)*K106)/(H106+(Rs+Rdson2-Rdson1)*K106),1,IF(H106&lt;Vout,D_max_buck_BB,Vout/H106*(1-D_min_boost_exitBB_to_buck)))</f>
        <v>0.441883306557617</v>
      </c>
      <c r="O106" s="488" t="n">
        <f aca="false">CHOOSE(J106,0,(Vout+(Rdson3+Rdcr)*L106-H106)/(Vout+(Rdson3-Rdson4-Rs)*L106),IF(H106&gt;Vout,D_min_boost_exitBB_to_buck, (Vout-H106*D_max_buck_BB)/Vout))</f>
        <v>0</v>
      </c>
      <c r="P106" s="385" t="n">
        <f aca="false">MAX(0, CHOOSE(J106, (H106-(Rdson1+Rdcr)*K106-Vout)*N106/(Fsw*Lf), (H106-(Rdson4+Rdcr+Rs)*L106)*O106/(Fsw*Lf), IF(H106&lt;Vout, (H106-(Rdson4+Rdcr+Rs)*L106)*O106/(0.5*Fsw*Lf),(H106-(Rdson1+Rdcr)*K106-Vout)*N106/(0.5*Fsw*Lf))))</f>
        <v>4.79042245322536</v>
      </c>
      <c r="Q106" s="488" t="n">
        <f aca="false">CHOOSE(J106, SQRT(K106^2+(P106^2)/12), SQRT(L106^2+(P106^2)/12), SQRT(M106^2+(P106^2)/12))</f>
        <v>6.15730018812605</v>
      </c>
      <c r="R106" s="488" t="n">
        <f aca="false">(Q106^2*Rdcr*(1+Ltc*Ta-Ltc*25))/(1-Q106^2*Rdcr*Ltc*ThetaCa)</f>
        <v>0.128310053184179</v>
      </c>
      <c r="S106" s="488" t="n">
        <f aca="false">7.759*10^-3*Fsw^0.9458*(0.00787*P106)^2.304</f>
        <v>0.616558211199838</v>
      </c>
      <c r="T106" s="488" t="n">
        <f aca="false">R106+S106</f>
        <v>0.744868264384017</v>
      </c>
      <c r="U106" s="385" t="n">
        <f aca="false">IF(H106&gt;Vout, P106/SQRT(12), SQRT(O106/(1-O106))*SQRT(K106^2+(P106^2)/12))</f>
        <v>1.38287584645084</v>
      </c>
      <c r="V106" s="488" t="n">
        <f aca="false">RCoutEsr*U106^2</f>
        <v>0.0095617280334857</v>
      </c>
      <c r="W106" s="488" t="n">
        <f aca="false">V106</f>
        <v>0.0095617280334857</v>
      </c>
      <c r="X106" s="488" t="n">
        <f aca="false">IF(H106&gt;Vout, SQRT(N106*(1-N106))*SQRT(K106^2+(P106^2)/12), P106/SQRT(12))</f>
        <v>3.05778278440796</v>
      </c>
      <c r="Y106" s="587" t="n">
        <f aca="false">RCinEsr*X106^2</f>
        <v>0.0187000711132433</v>
      </c>
      <c r="Z106" s="588" t="n">
        <f aca="false">Y106</f>
        <v>0.0187000711132433</v>
      </c>
      <c r="AA106" s="488" t="n">
        <f aca="false">CHOOSE(J106, SQRT(N106)*SQRT(K106^2+(P106^2)/12), SQRT(L106^2+(P106^2)/12), SQRT(N106)*SQRT(M106^2+(P106^2)/12))</f>
        <v>4.09302243287799</v>
      </c>
      <c r="AB106" s="488" t="n">
        <f aca="false">Rdson1*AA106^2</f>
        <v>0.095491146025442</v>
      </c>
      <c r="AC106" s="488" t="n">
        <f aca="false">CHOOSE(J106, (H106*K106/2)*(Fsw)*(Tr_buck+Tf_buck), 0, (H106*M106/2)*(Fsw/2)*(Tr_buck+Tf_buck))</f>
        <v>0.16705249928264</v>
      </c>
      <c r="AD106" s="0" t="n">
        <f aca="false">IF(H106&gt;Vout, IF(K106&gt;P106/2,0,ABS(K106-P106/2)*Vsd_Q1*Deadtime*Fsw),0)</f>
        <v>0</v>
      </c>
      <c r="AE106" s="488" t="n">
        <f aca="false">(AD106+AC106+AB106*(1+RdsonTopTc*Ta-RdsonTopTc*25))/(1-AB106*RdsonTopTc*ThetaJA_Q1)</f>
        <v>0.267655389280539</v>
      </c>
      <c r="AF106" s="488" t="n">
        <f aca="false">CHOOSE(J106, SQRT((1-N106))*SQRT(K106^2+(P106^2)/12), 0, SQRT((1-N106))*SQRT(M106^2+(P106^2)/12))</f>
        <v>4.59994706172307</v>
      </c>
      <c r="AG106" s="488" t="n">
        <f aca="false">Rdson2*AF106^2</f>
        <v>0.120609223932732</v>
      </c>
      <c r="AH106" s="488" t="n">
        <f aca="false">CHOOSE(J106, IF(K106&lt;P106/2,Deadtime*Fsw*IF(VfdSky_Q2&gt;0,0,Vsd_Q2)*(K106+P106/2),2*Deadtime*Fsw*IF(VfdSky_Q2&gt;0,0,Vsd_Q2)*K106),0, IF(K106&lt;P106/2,Deadtime*Fsw/2*IF(VfdSky_Q2&gt;0,0,Vsd_Q2)*(K106+P106/2),2*Deadtime*Fsw/2*IF(VfdSky_Q2&gt;0,0,Vsd_Q2)*K106))</f>
        <v>0.144</v>
      </c>
      <c r="AI106" s="488" t="n">
        <f aca="false">(AH106+AG106*(1+RdsonBotTc*Ta-RdsonBotTc*25))/(1-AG106*RdsonBotTc*ThetaJA_Q2)</f>
        <v>0.271149858739131</v>
      </c>
      <c r="AJ106" s="488" t="n">
        <f aca="false">CHOOSE(J106, 0, SQRT(O106)*SQRT(L106^2+(P106^2)/12), SQRT(O106)*SQRT(M106^2+(P106^2)/12))</f>
        <v>0</v>
      </c>
      <c r="AK106" s="488" t="n">
        <f aca="false">Rdson4*AJ106^2</f>
        <v>0</v>
      </c>
      <c r="AL106" s="488" t="n">
        <f aca="false">CHOOSE(J106, 0, (Vout*L106/2)*(Fsw)*(Tr_boost+Tf_boost), (Vout*Iout/2)*(Fsw/2)*(Tr_boost+Tf_boost))</f>
        <v>0</v>
      </c>
      <c r="AM106" s="0" t="n">
        <f aca="false">IF(H106&gt;Vout, 0, IF(L106&gt;P106/2,0,ABS(L106-P106/2)*Vsd_Q4*Deadtime*Fsw))</f>
        <v>0</v>
      </c>
      <c r="AN106" s="488" t="n">
        <f aca="false">(AM106+AL106+AK106*(1+RdsonTopTc*Ta-RdsonTopTc*25))/(1-AK106*RdsonTopTc*ThetaJA_Q4)</f>
        <v>0</v>
      </c>
      <c r="AO106" s="488" t="n">
        <f aca="false">CHOOSE(J106, SQRT(Iout^2+(P106^2)/12), SQRT(1-O106)*SQRT(L106^2+(P106^2)/12), SQRT(1-O106)*SQRT(M106^2+(P106^2)/12))</f>
        <v>6.15730018812605</v>
      </c>
      <c r="AP106" s="488" t="n">
        <f aca="false">Rdson3*AO106^2</f>
        <v>0.0720334566527246</v>
      </c>
      <c r="AQ106" s="488" t="n">
        <f aca="false">CHOOSE(J106, 0, IF(L106&lt;P106/2,Deadtime*Fsw*IF(VfdSky_Q3&gt;0,0,Vsd_Q3)*(L106+P106/2), 2*Deadtime*Fsw*IF(VfdSky_Q3&gt;0,0,Vsd_Q3)*L106), IF(L106&lt;P106/2,Deadtime*Fsw/2*IF(VfdSky_Q3&gt;0,0,Vsd_Q3)*(L106+P106/2), 2*Deadtime*Fsw/2*IF(VfdSky_Q3&gt;0,0,Vsd_Q3)*L106))</f>
        <v>0</v>
      </c>
      <c r="AR106" s="488" t="n">
        <f aca="false">(AQ106+AP106*(1+RdsonBotTc*Ta-RdsonBotTc*25))/(1-AP106*RdsonBotTc*ThetaJA_Q3)</f>
        <v>0.0730863897097367</v>
      </c>
      <c r="AS106" s="488" t="n">
        <f aca="false">CHOOSE(J106, Rdson3*Q106^2, Rdson1*Q106^2, 0)</f>
        <v>0.0720334566527246</v>
      </c>
      <c r="AT106" s="488" t="n">
        <f aca="false">CHOOSE(J106, 2*Deadtime*Fsw*IF(VfdSky_Q2&gt;0,VfdSky_Q2,0)*K106, 2*Deadtime*Fsw*IF(VfdSky_Q3&gt;0,VfdSky_Q3,0)*L106, 2*Deadtime*Fsw/2*IF(VfdSky_Q2&gt;0,VfdSky_Q2,0)*K106+2*Deadtime*Fsw/2*IF(VfdSky_Q3&gt;0,VfdSky_Q3,0)*L106)</f>
        <v>0</v>
      </c>
      <c r="AU106" s="488" t="n">
        <f aca="false">CHOOSE(J106, IF(QrrSky_Q2&gt;0,QrrSky_Q2,Qrr_Q2)*Fsw*(H106-K106*Rdson1), IF(QrrSky_Q3&gt;0,QrrSky_Q3,Qrr_Q3)*Fsw*Vout,  IF(QrrSky_Q2&gt;0,QrrSky_Q2,Qrr_Q2)*Fsw/2*(H106-K106*Rdson1)+IF(QrrSky_Q3&gt;0,QrrSky_Q3,Qrr_Q3)*Fsw/2*Vout)</f>
        <v>0.51607962</v>
      </c>
      <c r="AV106" s="488" t="n">
        <f aca="false">CHOOSE(J106, Rs*AF106^2, Rs*AJ106^2, Rs*(AF106^2+AJ106^2))</f>
        <v>0.169276103765238</v>
      </c>
      <c r="AW106" s="488" t="n">
        <f aca="false">Rshunt_std/1000*Iout^2</f>
        <v>0.14832</v>
      </c>
      <c r="AX106" s="488" t="n">
        <f aca="false">IF(Vout&gt;8, Iq*Vout, Iq*H106)</f>
        <v>0.036</v>
      </c>
      <c r="AY106" s="488" t="n">
        <f aca="false">CHOOSE(J106, (Qg_Q1+Qg_Q2)*Fsw, (Qg_Q3+Qg_Q4)*Fsw, (Qg_Q1+Qg_Q2+Qg_Q3+Qg_Q4)*Fsw/2)*IF(Vout&gt;8, Vout, H106)</f>
        <v>0.0792</v>
      </c>
      <c r="AZ106" s="488" t="n">
        <f aca="false">(Vin-Vdd)*Fsw*(Qg_Q1+Qg_Q2)+(RdsonDRT+RdsonDRT2)*Fsw*Qg_Q1*Vdd/(RdsonDRT+2*Rgate1+RdsonDRT2)+(RdsonDRB+RdsonDRB2)*Fsw*Qg_Q2*Vdd/(RdsonDRB+2*Rgate2+RdsonDRB2)</f>
        <v>0.0522</v>
      </c>
      <c r="BA106" s="488" t="n">
        <f aca="false">SUM(AX106:AY106)</f>
        <v>0.1152</v>
      </c>
      <c r="BB106" s="488" t="n">
        <f aca="false">SUM(T106,W106,Z106,AE106,AI106,AN106,AR106, AT106,AU106,BA106,AV106,AW106)</f>
        <v>2.33389742502539</v>
      </c>
      <c r="BC106" s="419" t="n">
        <f aca="false">Vout*K106</f>
        <v>72</v>
      </c>
      <c r="BD106" s="589" t="n">
        <f aca="false">BC106/(BC106+BB106)</f>
        <v>0.968602515058767</v>
      </c>
      <c r="BE106" s="590" t="n">
        <f aca="false">IF(H106&gt;Vout,ThetaJA_Q1*(AE106+AU106),ThetaJA_Q4*(AN106+AU106))</f>
        <v>39.1867504640269</v>
      </c>
      <c r="BF106" s="590" t="n">
        <f aca="false">IF(H106&gt;Vout, AI106*ThetaJA_Q2, ThetaJA_Q3*AR106)</f>
        <v>13.5574929369566</v>
      </c>
      <c r="BG106" s="536"/>
      <c r="BH106" s="385" t="n">
        <f aca="false">BD106*100</f>
        <v>96.8602515058767</v>
      </c>
      <c r="BI106" s="488" t="n">
        <f aca="false">T106</f>
        <v>0.744868264384017</v>
      </c>
      <c r="BJ106" s="488" t="n">
        <f aca="false">AE106+AI106+AN106+AR106+AU106</f>
        <v>1.12797125772941</v>
      </c>
      <c r="BK106" s="488" t="n">
        <f aca="false">AI106+AU106*0.33</f>
        <v>0.441456133339131</v>
      </c>
      <c r="BL106" s="488" t="n">
        <f aca="false">AV106</f>
        <v>0.169276103765238</v>
      </c>
      <c r="BR106" s="591"/>
      <c r="BS106" s="592"/>
    </row>
    <row r="107" customFormat="false" ht="12.75" hidden="false" customHeight="false" outlineLevel="0" collapsed="false">
      <c r="G107" s="0" t="n">
        <v>98</v>
      </c>
      <c r="H107" s="586" t="n">
        <f aca="false">VIN_min+(VIN_max-VIN_min)*(G107/200)</f>
        <v>27.56</v>
      </c>
      <c r="I107" s="385" t="str">
        <f aca="false">IF(H107&gt;VIN_BB_to_buck, "BUCK", IF(H107&lt;VIN_boost_to_BB,"BOOST","BUCK-BST"))</f>
        <v>BUCK</v>
      </c>
      <c r="J107" s="419" t="n">
        <f aca="false">IF(I107="BOOST",2, IF(I107="BUCK", 1,3))</f>
        <v>1</v>
      </c>
      <c r="K107" s="0" t="n">
        <f aca="false">Iout</f>
        <v>6</v>
      </c>
      <c r="L107" s="385" t="n">
        <f aca="false">Vout*K107/(H107*Efficiency)</f>
        <v>2.90275761973875</v>
      </c>
      <c r="M107" s="385" t="n">
        <f aca="false">Iout/(1-O107)</f>
        <v>6</v>
      </c>
      <c r="N107" s="488" t="n">
        <f aca="false">CHOOSE(J107,(Vout+(Rdson2+Rs+Rdcr)*K107)/(H107+(Rs+Rdson2-Rdson1)*K107),1,IF(H107&lt;Vout,D_max_buck_BB,Vout/H107*(1-D_min_boost_exitBB_to_buck)))</f>
        <v>0.438362068965517</v>
      </c>
      <c r="O107" s="488" t="n">
        <f aca="false">CHOOSE(J107,0,(Vout+(Rdson3+Rdcr)*L107-H107)/(Vout+(Rdson3-Rdson4-Rs)*L107),IF(H107&gt;Vout,D_min_boost_exitBB_to_buck, (Vout-H107*D_max_buck_BB)/Vout))</f>
        <v>0</v>
      </c>
      <c r="P107" s="385" t="n">
        <f aca="false">MAX(0, CHOOSE(J107, (H107-(Rdson1+Rdcr)*K107-Vout)*N107/(Fsw*Lf), (H107-(Rdson4+Rdcr+Rs)*L107)*O107/(Fsw*Lf), IF(H107&lt;Vout, (H107-(Rdson4+Rdcr+Rs)*L107)*O107/(0.5*Fsw*Lf),(H107-(Rdson1+Rdcr)*K107-Vout)*N107/(0.5*Fsw*Lf))))</f>
        <v>4.82064590975789</v>
      </c>
      <c r="Q107" s="488" t="n">
        <f aca="false">CHOOSE(J107, SQRT(K107^2+(P107^2)/12), SQRT(L107^2+(P107^2)/12), SQRT(M107^2+(P107^2)/12))</f>
        <v>6.15926556083912</v>
      </c>
      <c r="R107" s="488" t="n">
        <f aca="false">(Q107^2*Rdcr*(1+Ltc*Ta-Ltc*25))/(1-Q107^2*Rdcr*Ltc*ThetaCa)</f>
        <v>0.128392819314695</v>
      </c>
      <c r="S107" s="488" t="n">
        <f aca="false">7.759*10^-3*Fsw^0.9458*(0.00787*P107)^2.304</f>
        <v>0.625557555061317</v>
      </c>
      <c r="T107" s="488" t="n">
        <f aca="false">R107+S107</f>
        <v>0.753950374376012</v>
      </c>
      <c r="U107" s="385" t="n">
        <f aca="false">IF(H107&gt;Vout, P107/SQRT(12), SQRT(O107/(1-O107))*SQRT(K107^2+(P107^2)/12))</f>
        <v>1.39160060683329</v>
      </c>
      <c r="V107" s="488" t="n">
        <f aca="false">RCoutEsr*U107^2</f>
        <v>0.00968276124469394</v>
      </c>
      <c r="W107" s="488" t="n">
        <f aca="false">V107</f>
        <v>0.00968276124469394</v>
      </c>
      <c r="X107" s="488" t="n">
        <f aca="false">IF(H107&gt;Vout, SQRT(N107*(1-N107))*SQRT(K107^2+(P107^2)/12), P107/SQRT(12))</f>
        <v>3.05614269995989</v>
      </c>
      <c r="Y107" s="587" t="n">
        <f aca="false">RCinEsr*X107^2</f>
        <v>0.0186800164050362</v>
      </c>
      <c r="Z107" s="588" t="n">
        <f aca="false">Y107</f>
        <v>0.0186800164050362</v>
      </c>
      <c r="AA107" s="488" t="n">
        <f aca="false">CHOOSE(J107, SQRT(N107)*SQRT(K107^2+(P107^2)/12), SQRT(L107^2+(P107^2)/12), SQRT(N107)*SQRT(M107^2+(P107^2)/12))</f>
        <v>4.07798302267963</v>
      </c>
      <c r="AB107" s="488" t="n">
        <f aca="false">Rdson1*AA107^2</f>
        <v>0.0947906895396005</v>
      </c>
      <c r="AC107" s="488" t="n">
        <f aca="false">CHOOSE(J107, (H107*K107/2)*(Fsw)*(Tr_buck+Tf_buck), 0, (H107*M107/2)*(Fsw/2)*(Tr_buck+Tf_buck))</f>
        <v>0.168396740315638</v>
      </c>
      <c r="AD107" s="0" t="n">
        <f aca="false">IF(H107&gt;Vout, IF(K107&gt;P107/2,0,ABS(K107-P107/2)*Vsd_Q1*Deadtime*Fsw),0)</f>
        <v>0</v>
      </c>
      <c r="AE107" s="488" t="n">
        <f aca="false">(AD107+AC107+AB107*(1+RdsonTopTc*Ta-RdsonTopTc*25))/(1-AB107*RdsonTopTc*ThetaJA_Q1)</f>
        <v>0.268273393852929</v>
      </c>
      <c r="AF107" s="488" t="n">
        <f aca="false">CHOOSE(J107, SQRT((1-N107))*SQRT(K107^2+(P107^2)/12), 0, SQRT((1-N107))*SQRT(M107^2+(P107^2)/12))</f>
        <v>4.61590800554729</v>
      </c>
      <c r="AG107" s="488" t="n">
        <f aca="false">Rdson2*AF107^2</f>
        <v>0.121447658279351</v>
      </c>
      <c r="AH107" s="488" t="n">
        <f aca="false">CHOOSE(J107, IF(K107&lt;P107/2,Deadtime*Fsw*IF(VfdSky_Q2&gt;0,0,Vsd_Q2)*(K107+P107/2),2*Deadtime*Fsw*IF(VfdSky_Q2&gt;0,0,Vsd_Q2)*K107),0, IF(K107&lt;P107/2,Deadtime*Fsw/2*IF(VfdSky_Q2&gt;0,0,Vsd_Q2)*(K107+P107/2),2*Deadtime*Fsw/2*IF(VfdSky_Q2&gt;0,0,Vsd_Q2)*K107))</f>
        <v>0.144</v>
      </c>
      <c r="AI107" s="488" t="n">
        <f aca="false">(AH107+AG107*(1+RdsonBotTc*Ta-RdsonBotTc*25))/(1-AG107*RdsonBotTc*ThetaJA_Q2)</f>
        <v>0.272055765405325</v>
      </c>
      <c r="AJ107" s="488" t="n">
        <f aca="false">CHOOSE(J107, 0, SQRT(O107)*SQRT(L107^2+(P107^2)/12), SQRT(O107)*SQRT(M107^2+(P107^2)/12))</f>
        <v>0</v>
      </c>
      <c r="AK107" s="488" t="n">
        <f aca="false">Rdson4*AJ107^2</f>
        <v>0</v>
      </c>
      <c r="AL107" s="488" t="n">
        <f aca="false">CHOOSE(J107, 0, (Vout*L107/2)*(Fsw)*(Tr_boost+Tf_boost), (Vout*Iout/2)*(Fsw/2)*(Tr_boost+Tf_boost))</f>
        <v>0</v>
      </c>
      <c r="AM107" s="0" t="n">
        <f aca="false">IF(H107&gt;Vout, 0, IF(L107&gt;P107/2,0,ABS(L107-P107/2)*Vsd_Q4*Deadtime*Fsw))</f>
        <v>0</v>
      </c>
      <c r="AN107" s="488" t="n">
        <f aca="false">(AM107+AL107+AK107*(1+RdsonTopTc*Ta-RdsonTopTc*25))/(1-AK107*RdsonTopTc*ThetaJA_Q4)</f>
        <v>0</v>
      </c>
      <c r="AO107" s="488" t="n">
        <f aca="false">CHOOSE(J107, SQRT(Iout^2+(P107^2)/12), SQRT(1-O107)*SQRT(L107^2+(P107^2)/12), SQRT(1-O107)*SQRT(M107^2+(P107^2)/12))</f>
        <v>6.15926556083912</v>
      </c>
      <c r="AP107" s="488" t="n">
        <f aca="false">Rdson3*AO107^2</f>
        <v>0.0720794492729837</v>
      </c>
      <c r="AQ107" s="488" t="n">
        <f aca="false">CHOOSE(J107, 0, IF(L107&lt;P107/2,Deadtime*Fsw*IF(VfdSky_Q3&gt;0,0,Vsd_Q3)*(L107+P107/2), 2*Deadtime*Fsw*IF(VfdSky_Q3&gt;0,0,Vsd_Q3)*L107), IF(L107&lt;P107/2,Deadtime*Fsw/2*IF(VfdSky_Q3&gt;0,0,Vsd_Q3)*(L107+P107/2), 2*Deadtime*Fsw/2*IF(VfdSky_Q3&gt;0,0,Vsd_Q3)*L107))</f>
        <v>0</v>
      </c>
      <c r="AR107" s="488" t="n">
        <f aca="false">(AQ107+AP107*(1+RdsonBotTc*Ta-RdsonBotTc*25))/(1-AP107*RdsonBotTc*ThetaJA_Q3)</f>
        <v>0.0731337371727207</v>
      </c>
      <c r="AS107" s="488" t="n">
        <f aca="false">CHOOSE(J107, Rdson3*Q107^2, Rdson1*Q107^2, 0)</f>
        <v>0.0720794492729837</v>
      </c>
      <c r="AT107" s="488" t="n">
        <f aca="false">CHOOSE(J107, 2*Deadtime*Fsw*IF(VfdSky_Q2&gt;0,VfdSky_Q2,0)*K107, 2*Deadtime*Fsw*IF(VfdSky_Q3&gt;0,VfdSky_Q3,0)*L107, 2*Deadtime*Fsw/2*IF(VfdSky_Q2&gt;0,VfdSky_Q2,0)*K107+2*Deadtime*Fsw/2*IF(VfdSky_Q3&gt;0,VfdSky_Q3,0)*L107)</f>
        <v>0</v>
      </c>
      <c r="AU107" s="488" t="n">
        <f aca="false">CHOOSE(J107, IF(QrrSky_Q2&gt;0,QrrSky_Q2,Qrr_Q2)*Fsw*(H107-K107*Rdson1), IF(QrrSky_Q3&gt;0,QrrSky_Q3,Qrr_Q3)*Fsw*Vout,  IF(QrrSky_Q2&gt;0,QrrSky_Q2,Qrr_Q2)*Fsw/2*(H107-K107*Rdson1)+IF(QrrSky_Q3&gt;0,QrrSky_Q3,Qrr_Q3)*Fsw/2*Vout)</f>
        <v>0.52023762</v>
      </c>
      <c r="AV107" s="488" t="n">
        <f aca="false">CHOOSE(J107, Rs*AF107^2, Rs*AJ107^2, Rs*(AF107^2+AJ107^2))</f>
        <v>0.170452853725404</v>
      </c>
      <c r="AW107" s="488" t="n">
        <f aca="false">Rshunt_std/1000*Iout^2</f>
        <v>0.14832</v>
      </c>
      <c r="AX107" s="488" t="n">
        <f aca="false">IF(Vout&gt;8, Iq*Vout, Iq*H107)</f>
        <v>0.036</v>
      </c>
      <c r="AY107" s="488" t="n">
        <f aca="false">CHOOSE(J107, (Qg_Q1+Qg_Q2)*Fsw, (Qg_Q3+Qg_Q4)*Fsw, (Qg_Q1+Qg_Q2+Qg_Q3+Qg_Q4)*Fsw/2)*IF(Vout&gt;8, Vout, H107)</f>
        <v>0.0792</v>
      </c>
      <c r="AZ107" s="488" t="n">
        <f aca="false">(Vin-Vdd)*Fsw*(Qg_Q1+Qg_Q2)+(RdsonDRT+RdsonDRT2)*Fsw*Qg_Q1*Vdd/(RdsonDRT+2*Rgate1+RdsonDRT2)+(RdsonDRB+RdsonDRB2)*Fsw*Qg_Q2*Vdd/(RdsonDRB+2*Rgate2+RdsonDRB2)</f>
        <v>0.0522</v>
      </c>
      <c r="BA107" s="488" t="n">
        <f aca="false">SUM(AX107:AY107)</f>
        <v>0.1152</v>
      </c>
      <c r="BB107" s="488" t="n">
        <f aca="false">SUM(T107,W107,Z107,AE107,AI107,AN107,AR107, AT107,AU107,BA107,AV107,AW107)</f>
        <v>2.34998652218212</v>
      </c>
      <c r="BC107" s="419" t="n">
        <f aca="false">Vout*K107</f>
        <v>72</v>
      </c>
      <c r="BD107" s="589" t="n">
        <f aca="false">BC107/(BC107+BB107)</f>
        <v>0.968392912600179</v>
      </c>
      <c r="BE107" s="590" t="n">
        <f aca="false">IF(H107&gt;Vout,ThetaJA_Q1*(AE107+AU107),ThetaJA_Q4*(AN107+AU107))</f>
        <v>39.4255506926464</v>
      </c>
      <c r="BF107" s="590" t="n">
        <f aca="false">IF(H107&gt;Vout, AI107*ThetaJA_Q2, ThetaJA_Q3*AR107)</f>
        <v>13.6027882702663</v>
      </c>
      <c r="BG107" s="536"/>
      <c r="BH107" s="385" t="n">
        <f aca="false">BD107*100</f>
        <v>96.8392912600179</v>
      </c>
      <c r="BI107" s="488" t="n">
        <f aca="false">T107</f>
        <v>0.753950374376012</v>
      </c>
      <c r="BJ107" s="488" t="n">
        <f aca="false">AE107+AI107+AN107+AR107+AU107</f>
        <v>1.13370051643097</v>
      </c>
      <c r="BK107" s="488" t="n">
        <f aca="false">AI107+AU107*0.33</f>
        <v>0.443734180005325</v>
      </c>
      <c r="BL107" s="488" t="n">
        <f aca="false">AV107</f>
        <v>0.170452853725404</v>
      </c>
      <c r="BR107" s="591"/>
      <c r="BS107" s="592"/>
    </row>
    <row r="108" customFormat="false" ht="12.75" hidden="false" customHeight="false" outlineLevel="0" collapsed="false">
      <c r="G108" s="0" t="n">
        <v>99</v>
      </c>
      <c r="H108" s="586" t="n">
        <f aca="false">VIN_min+(VIN_max-VIN_min)*(G108/200)</f>
        <v>27.78</v>
      </c>
      <c r="I108" s="385" t="str">
        <f aca="false">IF(H108&gt;VIN_BB_to_buck, "BUCK", IF(H108&lt;VIN_boost_to_BB,"BOOST","BUCK-BST"))</f>
        <v>BUCK</v>
      </c>
      <c r="J108" s="419" t="n">
        <f aca="false">IF(I108="BOOST",2, IF(I108="BUCK", 1,3))</f>
        <v>1</v>
      </c>
      <c r="K108" s="0" t="n">
        <f aca="false">Iout</f>
        <v>6</v>
      </c>
      <c r="L108" s="385" t="n">
        <f aca="false">Vout*K108/(H108*Efficiency)</f>
        <v>2.87976961843053</v>
      </c>
      <c r="M108" s="385" t="n">
        <f aca="false">Iout/(1-O108)</f>
        <v>6</v>
      </c>
      <c r="N108" s="488" t="n">
        <f aca="false">CHOOSE(J108,(Vout+(Rdson2+Rs+Rdcr)*K108)/(H108+(Rs+Rdson2-Rdson1)*K108),1,IF(H108&lt;Vout,D_max_buck_BB,Vout/H108*(1-D_min_boost_exitBB_to_buck)))</f>
        <v>0.434896507115136</v>
      </c>
      <c r="O108" s="488" t="n">
        <f aca="false">CHOOSE(J108,0,(Vout+(Rdson3+Rdcr)*L108-H108)/(Vout+(Rdson3-Rdson4-Rs)*L108),IF(H108&gt;Vout,D_min_boost_exitBB_to_buck, (Vout-H108*D_max_buck_BB)/Vout))</f>
        <v>0</v>
      </c>
      <c r="P108" s="385" t="n">
        <f aca="false">MAX(0, CHOOSE(J108, (H108-(Rdson1+Rdcr)*K108-Vout)*N108/(Fsw*Lf), (H108-(Rdson4+Rdcr+Rs)*L108)*O108/(Fsw*Lf), IF(H108&lt;Vout, (H108-(Rdson4+Rdcr+Rs)*L108)*O108/(0.5*Fsw*Lf),(H108-(Rdson1+Rdcr)*K108-Vout)*N108/(0.5*Fsw*Lf))))</f>
        <v>4.85039149073794</v>
      </c>
      <c r="Q108" s="488" t="n">
        <f aca="false">CHOOSE(J108, SQRT(K108^2+(P108^2)/12), SQRT(L108^2+(P108^2)/12), SQRT(M108^2+(P108^2)/12))</f>
        <v>6.16121130956556</v>
      </c>
      <c r="R108" s="488" t="n">
        <f aca="false">(Q108^2*Rdcr*(1+Ltc*Ta-Ltc*25))/(1-Q108^2*Rdcr*Ltc*ThetaCa)</f>
        <v>0.128474786125497</v>
      </c>
      <c r="S108" s="488" t="n">
        <f aca="false">7.759*10^-3*Fsw^0.9458*(0.00787*P108)^2.304</f>
        <v>0.634486739208495</v>
      </c>
      <c r="T108" s="488" t="n">
        <f aca="false">R108+S108</f>
        <v>0.762961525333992</v>
      </c>
      <c r="U108" s="385" t="n">
        <f aca="false">IF(H108&gt;Vout, P108/SQRT(12), SQRT(O108/(1-O108))*SQRT(K108^2+(P108^2)/12))</f>
        <v>1.40018741642631</v>
      </c>
      <c r="V108" s="488" t="n">
        <f aca="false">RCoutEsr*U108^2</f>
        <v>0.00980262400559291</v>
      </c>
      <c r="W108" s="488" t="n">
        <f aca="false">V108</f>
        <v>0.00980262400559291</v>
      </c>
      <c r="X108" s="488" t="n">
        <f aca="false">IF(H108&gt;Vout, SQRT(N108*(1-N108))*SQRT(K108^2+(P108^2)/12), P108/SQRT(12))</f>
        <v>3.05437994569426</v>
      </c>
      <c r="Y108" s="587" t="n">
        <f aca="false">RCinEsr*X108^2</f>
        <v>0.0186584737053185</v>
      </c>
      <c r="Z108" s="588" t="n">
        <f aca="false">Y108</f>
        <v>0.0186584737053185</v>
      </c>
      <c r="AA108" s="488" t="n">
        <f aca="false">CHOOSE(J108, SQRT(N108)*SQRT(K108^2+(P108^2)/12), SQRT(L108^2+(P108^2)/12), SQRT(N108)*SQRT(M108^2+(P108^2)/12))</f>
        <v>4.06311452512281</v>
      </c>
      <c r="AB108" s="488" t="n">
        <f aca="false">Rdson1*AA108^2</f>
        <v>0.0941007279723046</v>
      </c>
      <c r="AC108" s="488" t="n">
        <f aca="false">CHOOSE(J108, (H108*K108/2)*(Fsw)*(Tr_buck+Tf_buck), 0, (H108*M108/2)*(Fsw/2)*(Tr_buck+Tf_buck))</f>
        <v>0.169740981348637</v>
      </c>
      <c r="AD108" s="0" t="n">
        <f aca="false">IF(H108&gt;Vout, IF(K108&gt;P108/2,0,ABS(K108-P108/2)*Vsd_Q1*Deadtime*Fsw),0)</f>
        <v>0</v>
      </c>
      <c r="AE108" s="488" t="n">
        <f aca="false">(AD108+AC108+AB108*(1+RdsonTopTc*Ta-RdsonTopTc*25))/(1-AB108*RdsonTopTc*ThetaJA_Q1)</f>
        <v>0.268902493397394</v>
      </c>
      <c r="AF108" s="488" t="n">
        <f aca="false">CHOOSE(J108, SQRT((1-N108))*SQRT(K108^2+(P108^2)/12), 0, SQRT((1-N108))*SQRT(M108^2+(P108^2)/12))</f>
        <v>4.63158991674075</v>
      </c>
      <c r="AG108" s="488" t="n">
        <f aca="false">Rdson2*AF108^2</f>
        <v>0.122274263394071</v>
      </c>
      <c r="AH108" s="488" t="n">
        <f aca="false">CHOOSE(J108, IF(K108&lt;P108/2,Deadtime*Fsw*IF(VfdSky_Q2&gt;0,0,Vsd_Q2)*(K108+P108/2),2*Deadtime*Fsw*IF(VfdSky_Q2&gt;0,0,Vsd_Q2)*K108),0, IF(K108&lt;P108/2,Deadtime*Fsw/2*IF(VfdSky_Q2&gt;0,0,Vsd_Q2)*(K108+P108/2),2*Deadtime*Fsw/2*IF(VfdSky_Q2&gt;0,0,Vsd_Q2)*K108))</f>
        <v>0.144</v>
      </c>
      <c r="AI108" s="488" t="n">
        <f aca="false">(AH108+AG108*(1+RdsonBotTc*Ta-RdsonBotTc*25))/(1-AG108*RdsonBotTc*ThetaJA_Q2)</f>
        <v>0.272949195765313</v>
      </c>
      <c r="AJ108" s="488" t="n">
        <f aca="false">CHOOSE(J108, 0, SQRT(O108)*SQRT(L108^2+(P108^2)/12), SQRT(O108)*SQRT(M108^2+(P108^2)/12))</f>
        <v>0</v>
      </c>
      <c r="AK108" s="488" t="n">
        <f aca="false">Rdson4*AJ108^2</f>
        <v>0</v>
      </c>
      <c r="AL108" s="488" t="n">
        <f aca="false">CHOOSE(J108, 0, (Vout*L108/2)*(Fsw)*(Tr_boost+Tf_boost), (Vout*Iout/2)*(Fsw/2)*(Tr_boost+Tf_boost))</f>
        <v>0</v>
      </c>
      <c r="AM108" s="0" t="n">
        <f aca="false">IF(H108&gt;Vout, 0, IF(L108&gt;P108/2,0,ABS(L108-P108/2)*Vsd_Q4*Deadtime*Fsw))</f>
        <v>0</v>
      </c>
      <c r="AN108" s="488" t="n">
        <f aca="false">(AM108+AL108+AK108*(1+RdsonTopTc*Ta-RdsonTopTc*25))/(1-AK108*RdsonTopTc*ThetaJA_Q4)</f>
        <v>0</v>
      </c>
      <c r="AO108" s="488" t="n">
        <f aca="false">CHOOSE(J108, SQRT(Iout^2+(P108^2)/12), SQRT(1-O108)*SQRT(L108^2+(P108^2)/12), SQRT(1-O108)*SQRT(M108^2+(P108^2)/12))</f>
        <v>6.16121130956556</v>
      </c>
      <c r="AP108" s="488" t="n">
        <f aca="false">Rdson3*AO108^2</f>
        <v>0.0721249971221253</v>
      </c>
      <c r="AQ108" s="488" t="n">
        <f aca="false">CHOOSE(J108, 0, IF(L108&lt;P108/2,Deadtime*Fsw*IF(VfdSky_Q3&gt;0,0,Vsd_Q3)*(L108+P108/2), 2*Deadtime*Fsw*IF(VfdSky_Q3&gt;0,0,Vsd_Q3)*L108), IF(L108&lt;P108/2,Deadtime*Fsw/2*IF(VfdSky_Q3&gt;0,0,Vsd_Q3)*(L108+P108/2), 2*Deadtime*Fsw/2*IF(VfdSky_Q3&gt;0,0,Vsd_Q3)*L108))</f>
        <v>0</v>
      </c>
      <c r="AR108" s="488" t="n">
        <f aca="false">(AQ108+AP108*(1+RdsonBotTc*Ta-RdsonBotTc*25))/(1-AP108*RdsonBotTc*ThetaJA_Q3)</f>
        <v>0.0731806276336193</v>
      </c>
      <c r="AS108" s="488" t="n">
        <f aca="false">CHOOSE(J108, Rdson3*Q108^2, Rdson1*Q108^2, 0)</f>
        <v>0.0721249971221253</v>
      </c>
      <c r="AT108" s="488" t="n">
        <f aca="false">CHOOSE(J108, 2*Deadtime*Fsw*IF(VfdSky_Q2&gt;0,VfdSky_Q2,0)*K108, 2*Deadtime*Fsw*IF(VfdSky_Q3&gt;0,VfdSky_Q3,0)*L108, 2*Deadtime*Fsw/2*IF(VfdSky_Q2&gt;0,VfdSky_Q2,0)*K108+2*Deadtime*Fsw/2*IF(VfdSky_Q3&gt;0,VfdSky_Q3,0)*L108)</f>
        <v>0</v>
      </c>
      <c r="AU108" s="488" t="n">
        <f aca="false">CHOOSE(J108, IF(QrrSky_Q2&gt;0,QrrSky_Q2,Qrr_Q2)*Fsw*(H108-K108*Rdson1), IF(QrrSky_Q3&gt;0,QrrSky_Q3,Qrr_Q3)*Fsw*Vout,  IF(QrrSky_Q2&gt;0,QrrSky_Q2,Qrr_Q2)*Fsw/2*(H108-K108*Rdson1)+IF(QrrSky_Q3&gt;0,QrrSky_Q3,Qrr_Q3)*Fsw/2*Vout)</f>
        <v>0.52439562</v>
      </c>
      <c r="AV108" s="488" t="n">
        <f aca="false">CHOOSE(J108, Rs*AF108^2, Rs*AJ108^2, Rs*(AF108^2+AJ108^2))</f>
        <v>0.171613001254837</v>
      </c>
      <c r="AW108" s="488" t="n">
        <f aca="false">Rshunt_std/1000*Iout^2</f>
        <v>0.14832</v>
      </c>
      <c r="AX108" s="488" t="n">
        <f aca="false">IF(Vout&gt;8, Iq*Vout, Iq*H108)</f>
        <v>0.036</v>
      </c>
      <c r="AY108" s="488" t="n">
        <f aca="false">CHOOSE(J108, (Qg_Q1+Qg_Q2)*Fsw, (Qg_Q3+Qg_Q4)*Fsw, (Qg_Q1+Qg_Q2+Qg_Q3+Qg_Q4)*Fsw/2)*IF(Vout&gt;8, Vout, H108)</f>
        <v>0.0792</v>
      </c>
      <c r="AZ108" s="488" t="n">
        <f aca="false">(Vin-Vdd)*Fsw*(Qg_Q1+Qg_Q2)+(RdsonDRT+RdsonDRT2)*Fsw*Qg_Q1*Vdd/(RdsonDRT+2*Rgate1+RdsonDRT2)+(RdsonDRB+RdsonDRB2)*Fsw*Qg_Q2*Vdd/(RdsonDRB+2*Rgate2+RdsonDRB2)</f>
        <v>0.0522</v>
      </c>
      <c r="BA108" s="488" t="n">
        <f aca="false">SUM(AX108:AY108)</f>
        <v>0.1152</v>
      </c>
      <c r="BB108" s="488" t="n">
        <f aca="false">SUM(T108,W108,Z108,AE108,AI108,AN108,AR108, AT108,AU108,BA108,AV108,AW108)</f>
        <v>2.36598356109607</v>
      </c>
      <c r="BC108" s="419" t="n">
        <f aca="false">Vout*K108</f>
        <v>72</v>
      </c>
      <c r="BD108" s="589" t="n">
        <f aca="false">BC108/(BC108+BB108)</f>
        <v>0.968184599358492</v>
      </c>
      <c r="BE108" s="590" t="n">
        <f aca="false">IF(H108&gt;Vout,ThetaJA_Q1*(AE108+AU108),ThetaJA_Q4*(AN108+AU108))</f>
        <v>39.6649056698697</v>
      </c>
      <c r="BF108" s="590" t="n">
        <f aca="false">IF(H108&gt;Vout, AI108*ThetaJA_Q2, ThetaJA_Q3*AR108)</f>
        <v>13.6474597882656</v>
      </c>
      <c r="BG108" s="536"/>
      <c r="BH108" s="385" t="n">
        <f aca="false">BD108*100</f>
        <v>96.8184599358492</v>
      </c>
      <c r="BI108" s="488" t="n">
        <f aca="false">T108</f>
        <v>0.762961525333992</v>
      </c>
      <c r="BJ108" s="488" t="n">
        <f aca="false">AE108+AI108+AN108+AR108+AU108</f>
        <v>1.13942793679633</v>
      </c>
      <c r="BK108" s="488" t="n">
        <f aca="false">AI108+AU108*0.33</f>
        <v>0.445999750365313</v>
      </c>
      <c r="BL108" s="488" t="n">
        <f aca="false">AV108</f>
        <v>0.171613001254837</v>
      </c>
      <c r="BR108" s="591"/>
      <c r="BS108" s="592"/>
    </row>
    <row r="109" customFormat="false" ht="12.75" hidden="false" customHeight="false" outlineLevel="0" collapsed="false">
      <c r="G109" s="0" t="n">
        <v>100</v>
      </c>
      <c r="H109" s="586" t="n">
        <f aca="false">VIN_min+(VIN_max-VIN_min)*(G109/200)</f>
        <v>28</v>
      </c>
      <c r="I109" s="385" t="str">
        <f aca="false">IF(H109&gt;VIN_BB_to_buck, "BUCK", IF(H109&lt;VIN_boost_to_BB,"BOOST","BUCK-BST"))</f>
        <v>BUCK</v>
      </c>
      <c r="J109" s="419" t="n">
        <f aca="false">IF(I109="BOOST",2, IF(I109="BUCK", 1,3))</f>
        <v>1</v>
      </c>
      <c r="K109" s="0" t="n">
        <f aca="false">Iout</f>
        <v>6</v>
      </c>
      <c r="L109" s="385" t="n">
        <f aca="false">Vout*K109/(H109*Efficiency)</f>
        <v>2.85714285714286</v>
      </c>
      <c r="M109" s="385" t="n">
        <f aca="false">Iout/(1-O109)</f>
        <v>6</v>
      </c>
      <c r="N109" s="488" t="n">
        <f aca="false">CHOOSE(J109,(Vout+(Rdson2+Rs+Rdcr)*K109)/(H109+(Rs+Rdson2-Rdson1)*K109),1,IF(H109&lt;Vout,D_max_buck_BB,Vout/H109*(1-D_min_boost_exitBB_to_buck)))</f>
        <v>0.431485310895608</v>
      </c>
      <c r="O109" s="488" t="n">
        <f aca="false">CHOOSE(J109,0,(Vout+(Rdson3+Rdcr)*L109-H109)/(Vout+(Rdson3-Rdson4-Rs)*L109),IF(H109&gt;Vout,D_min_boost_exitBB_to_buck, (Vout-H109*D_max_buck_BB)/Vout))</f>
        <v>0</v>
      </c>
      <c r="P109" s="385" t="n">
        <f aca="false">MAX(0, CHOOSE(J109, (H109-(Rdson1+Rdcr)*K109-Vout)*N109/(Fsw*Lf), (H109-(Rdson4+Rdcr+Rs)*L109)*O109/(Fsw*Lf), IF(H109&lt;Vout, (H109-(Rdson4+Rdcr+Rs)*L109)*O109/(0.5*Fsw*Lf),(H109-(Rdson1+Rdcr)*K109-Vout)*N109/(0.5*Fsw*Lf))))</f>
        <v>4.87967044109794</v>
      </c>
      <c r="Q109" s="488" t="n">
        <f aca="false">CHOOSE(J109, SQRT(K109^2+(P109^2)/12), SQRT(L109^2+(P109^2)/12), SQRT(M109^2+(P109^2)/12))</f>
        <v>6.16313761822205</v>
      </c>
      <c r="R109" s="488" t="n">
        <f aca="false">(Q109^2*Rdcr*(1+Ltc*Ta-Ltc*25))/(1-Q109^2*Rdcr*Ltc*ThetaCa)</f>
        <v>0.12855596055357</v>
      </c>
      <c r="S109" s="488" t="n">
        <f aca="false">7.759*10^-3*Fsw^0.9458*(0.00787*P109)^2.304</f>
        <v>0.643345861359886</v>
      </c>
      <c r="T109" s="488" t="n">
        <f aca="false">R109+S109</f>
        <v>0.771901821913456</v>
      </c>
      <c r="U109" s="385" t="n">
        <f aca="false">IF(H109&gt;Vout, P109/SQRT(12), SQRT(O109/(1-O109))*SQRT(K109^2+(P109^2)/12))</f>
        <v>1.40863952136228</v>
      </c>
      <c r="V109" s="488" t="n">
        <f aca="false">RCoutEsr*U109^2</f>
        <v>0.00992132650571872</v>
      </c>
      <c r="W109" s="488" t="n">
        <f aca="false">V109</f>
        <v>0.00992132650571872</v>
      </c>
      <c r="X109" s="488" t="n">
        <f aca="false">IF(H109&gt;Vout, SQRT(N109*(1-N109))*SQRT(K109^2+(P109^2)/12), P109/SQRT(12))</f>
        <v>3.05250032078916</v>
      </c>
      <c r="Y109" s="587" t="n">
        <f aca="false">RCinEsr*X109^2</f>
        <v>0.0186355164168359</v>
      </c>
      <c r="Z109" s="588" t="n">
        <f aca="false">Y109</f>
        <v>0.0186355164168359</v>
      </c>
      <c r="AA109" s="488" t="n">
        <f aca="false">CHOOSE(J109, SQRT(N109)*SQRT(K109^2+(P109^2)/12), SQRT(L109^2+(P109^2)/12), SQRT(N109)*SQRT(M109^2+(P109^2)/12))</f>
        <v>4.04841358097283</v>
      </c>
      <c r="AB109" s="488" t="n">
        <f aca="false">Rdson1*AA109^2</f>
        <v>0.0934210193788499</v>
      </c>
      <c r="AC109" s="488" t="n">
        <f aca="false">CHOOSE(J109, (H109*K109/2)*(Fsw)*(Tr_buck+Tf_buck), 0, (H109*M109/2)*(Fsw/2)*(Tr_buck+Tf_buck))</f>
        <v>0.171085222381636</v>
      </c>
      <c r="AD109" s="0" t="n">
        <f aca="false">IF(H109&gt;Vout, IF(K109&gt;P109/2,0,ABS(K109-P109/2)*Vsd_Q1*Deadtime*Fsw),0)</f>
        <v>0</v>
      </c>
      <c r="AE109" s="488" t="n">
        <f aca="false">(AD109+AC109+AB109*(1+RdsonTopTc*Ta-RdsonTopTc*25))/(1-AB109*RdsonTopTc*ThetaJA_Q1)</f>
        <v>0.269542427427715</v>
      </c>
      <c r="AF109" s="488" t="n">
        <f aca="false">CHOOSE(J109, SQRT((1-N109))*SQRT(K109^2+(P109^2)/12), 0, SQRT((1-N109))*SQRT(M109^2+(P109^2)/12))</f>
        <v>4.64700040655674</v>
      </c>
      <c r="AG109" s="488" t="n">
        <f aca="false">Rdson2*AF109^2</f>
        <v>0.123089292837669</v>
      </c>
      <c r="AH109" s="488" t="n">
        <f aca="false">CHOOSE(J109, IF(K109&lt;P109/2,Deadtime*Fsw*IF(VfdSky_Q2&gt;0,0,Vsd_Q2)*(K109+P109/2),2*Deadtime*Fsw*IF(VfdSky_Q2&gt;0,0,Vsd_Q2)*K109),0, IF(K109&lt;P109/2,Deadtime*Fsw/2*IF(VfdSky_Q2&gt;0,0,Vsd_Q2)*(K109+P109/2),2*Deadtime*Fsw/2*IF(VfdSky_Q2&gt;0,0,Vsd_Q2)*K109))</f>
        <v>0.144</v>
      </c>
      <c r="AI109" s="488" t="n">
        <f aca="false">(AH109+AG109*(1+RdsonBotTc*Ta-RdsonBotTc*25))/(1-AG109*RdsonBotTc*ThetaJA_Q2)</f>
        <v>0.273830411171376</v>
      </c>
      <c r="AJ109" s="488" t="n">
        <f aca="false">CHOOSE(J109, 0, SQRT(O109)*SQRT(L109^2+(P109^2)/12), SQRT(O109)*SQRT(M109^2+(P109^2)/12))</f>
        <v>0</v>
      </c>
      <c r="AK109" s="488" t="n">
        <f aca="false">Rdson4*AJ109^2</f>
        <v>0</v>
      </c>
      <c r="AL109" s="488" t="n">
        <f aca="false">CHOOSE(J109, 0, (Vout*L109/2)*(Fsw)*(Tr_boost+Tf_boost), (Vout*Iout/2)*(Fsw/2)*(Tr_boost+Tf_boost))</f>
        <v>0</v>
      </c>
      <c r="AM109" s="0" t="n">
        <f aca="false">IF(H109&gt;Vout, 0, IF(L109&gt;P109/2,0,ABS(L109-P109/2)*Vsd_Q4*Deadtime*Fsw))</f>
        <v>0</v>
      </c>
      <c r="AN109" s="488" t="n">
        <f aca="false">(AM109+AL109+AK109*(1+RdsonTopTc*Ta-RdsonTopTc*25))/(1-AK109*RdsonTopTc*ThetaJA_Q4)</f>
        <v>0</v>
      </c>
      <c r="AO109" s="488" t="n">
        <f aca="false">CHOOSE(J109, SQRT(Iout^2+(P109^2)/12), SQRT(1-O109)*SQRT(L109^2+(P109^2)/12), SQRT(1-O109)*SQRT(M109^2+(P109^2)/12))</f>
        <v>6.16313761822205</v>
      </c>
      <c r="AP109" s="488" t="n">
        <f aca="false">Rdson3*AO109^2</f>
        <v>0.0721701040721731</v>
      </c>
      <c r="AQ109" s="488" t="n">
        <f aca="false">CHOOSE(J109, 0, IF(L109&lt;P109/2,Deadtime*Fsw*IF(VfdSky_Q3&gt;0,0,Vsd_Q3)*(L109+P109/2), 2*Deadtime*Fsw*IF(VfdSky_Q3&gt;0,0,Vsd_Q3)*L109), IF(L109&lt;P109/2,Deadtime*Fsw/2*IF(VfdSky_Q3&gt;0,0,Vsd_Q3)*(L109+P109/2), 2*Deadtime*Fsw/2*IF(VfdSky_Q3&gt;0,0,Vsd_Q3)*L109))</f>
        <v>0</v>
      </c>
      <c r="AR109" s="488" t="n">
        <f aca="false">(AQ109+AP109*(1+RdsonBotTc*Ta-RdsonBotTc*25))/(1-AP109*RdsonBotTc*ThetaJA_Q3)</f>
        <v>0.0732270650533329</v>
      </c>
      <c r="AS109" s="488" t="n">
        <f aca="false">CHOOSE(J109, Rdson3*Q109^2, Rdson1*Q109^2, 0)</f>
        <v>0.0721701040721731</v>
      </c>
      <c r="AT109" s="488" t="n">
        <f aca="false">CHOOSE(J109, 2*Deadtime*Fsw*IF(VfdSky_Q2&gt;0,VfdSky_Q2,0)*K109, 2*Deadtime*Fsw*IF(VfdSky_Q3&gt;0,VfdSky_Q3,0)*L109, 2*Deadtime*Fsw/2*IF(VfdSky_Q2&gt;0,VfdSky_Q2,0)*K109+2*Deadtime*Fsw/2*IF(VfdSky_Q3&gt;0,VfdSky_Q3,0)*L109)</f>
        <v>0</v>
      </c>
      <c r="AU109" s="488" t="n">
        <f aca="false">CHOOSE(J109, IF(QrrSky_Q2&gt;0,QrrSky_Q2,Qrr_Q2)*Fsw*(H109-K109*Rdson1), IF(QrrSky_Q3&gt;0,QrrSky_Q3,Qrr_Q3)*Fsw*Vout,  IF(QrrSky_Q2&gt;0,QrrSky_Q2,Qrr_Q2)*Fsw/2*(H109-K109*Rdson1)+IF(QrrSky_Q3&gt;0,QrrSky_Q3,Qrr_Q3)*Fsw/2*Vout)</f>
        <v>0.52855362</v>
      </c>
      <c r="AV109" s="488" t="n">
        <f aca="false">CHOOSE(J109, Rs*AF109^2, Rs*AJ109^2, Rs*(AF109^2+AJ109^2))</f>
        <v>0.172756902228308</v>
      </c>
      <c r="AW109" s="488" t="n">
        <f aca="false">Rshunt_std/1000*Iout^2</f>
        <v>0.14832</v>
      </c>
      <c r="AX109" s="488" t="n">
        <f aca="false">IF(Vout&gt;8, Iq*Vout, Iq*H109)</f>
        <v>0.036</v>
      </c>
      <c r="AY109" s="488" t="n">
        <f aca="false">CHOOSE(J109, (Qg_Q1+Qg_Q2)*Fsw, (Qg_Q3+Qg_Q4)*Fsw, (Qg_Q1+Qg_Q2+Qg_Q3+Qg_Q4)*Fsw/2)*IF(Vout&gt;8, Vout, H109)</f>
        <v>0.0792</v>
      </c>
      <c r="AZ109" s="488" t="n">
        <f aca="false">(Vin-Vdd)*Fsw*(Qg_Q1+Qg_Q2)+(RdsonDRT+RdsonDRT2)*Fsw*Qg_Q1*Vdd/(RdsonDRT+2*Rgate1+RdsonDRT2)+(RdsonDRB+RdsonDRB2)*Fsw*Qg_Q2*Vdd/(RdsonDRB+2*Rgate2+RdsonDRB2)</f>
        <v>0.0522</v>
      </c>
      <c r="BA109" s="488" t="n">
        <f aca="false">SUM(AX109:AY109)</f>
        <v>0.1152</v>
      </c>
      <c r="BB109" s="488" t="n">
        <f aca="false">SUM(T109,W109,Z109,AE109,AI109,AN109,AR109, AT109,AU109,BA109,AV109,AW109)</f>
        <v>2.38188909071674</v>
      </c>
      <c r="BC109" s="419" t="n">
        <f aca="false">Vout*K109</f>
        <v>72</v>
      </c>
      <c r="BD109" s="589" t="n">
        <f aca="false">BC109/(BC109+BB109)</f>
        <v>0.967977566584632</v>
      </c>
      <c r="BE109" s="590" t="n">
        <f aca="false">IF(H109&gt;Vout,ThetaJA_Q1*(AE109+AU109),ThetaJA_Q4*(AN109+AU109))</f>
        <v>39.9048023713857</v>
      </c>
      <c r="BF109" s="590" t="n">
        <f aca="false">IF(H109&gt;Vout, AI109*ThetaJA_Q2, ThetaJA_Q3*AR109)</f>
        <v>13.6915205585688</v>
      </c>
      <c r="BG109" s="536"/>
      <c r="BH109" s="385" t="n">
        <f aca="false">BD109*100</f>
        <v>96.7977566584632</v>
      </c>
      <c r="BI109" s="488" t="n">
        <f aca="false">T109</f>
        <v>0.771901821913456</v>
      </c>
      <c r="BJ109" s="488" t="n">
        <f aca="false">AE109+AI109+AN109+AR109+AU109</f>
        <v>1.14515352365242</v>
      </c>
      <c r="BK109" s="488" t="n">
        <f aca="false">AI109+AU109*0.33</f>
        <v>0.448253105771376</v>
      </c>
      <c r="BL109" s="488" t="n">
        <f aca="false">AV109</f>
        <v>0.172756902228308</v>
      </c>
      <c r="BR109" s="591"/>
      <c r="BS109" s="592"/>
    </row>
    <row r="110" customFormat="false" ht="12.75" hidden="false" customHeight="false" outlineLevel="0" collapsed="false">
      <c r="G110" s="0" t="n">
        <v>101</v>
      </c>
      <c r="H110" s="586" t="n">
        <f aca="false">VIN_min+(VIN_max-VIN_min)*(G110/200)</f>
        <v>28.22</v>
      </c>
      <c r="I110" s="385" t="str">
        <f aca="false">IF(H110&gt;VIN_BB_to_buck, "BUCK", IF(H110&lt;VIN_boost_to_BB,"BOOST","BUCK-BST"))</f>
        <v>BUCK</v>
      </c>
      <c r="J110" s="419" t="n">
        <f aca="false">IF(I110="BOOST",2, IF(I110="BUCK", 1,3))</f>
        <v>1</v>
      </c>
      <c r="K110" s="0" t="n">
        <f aca="false">Iout</f>
        <v>6</v>
      </c>
      <c r="L110" s="385" t="n">
        <f aca="false">Vout*K110/(H110*Efficiency)</f>
        <v>2.83486888731396</v>
      </c>
      <c r="M110" s="385" t="n">
        <f aca="false">Iout/(1-O110)</f>
        <v>6</v>
      </c>
      <c r="N110" s="488" t="n">
        <f aca="false">CHOOSE(J110,(Vout+(Rdson2+Rs+Rdcr)*K110)/(H110+(Rs+Rdson2-Rdson1)*K110),1,IF(H110&lt;Vout,D_max_buck_BB,Vout/H110*(1-D_min_boost_exitBB_to_buck)))</f>
        <v>0.428127210980614</v>
      </c>
      <c r="O110" s="488" t="n">
        <f aca="false">CHOOSE(J110,0,(Vout+(Rdson3+Rdcr)*L110-H110)/(Vout+(Rdson3-Rdson4-Rs)*L110),IF(H110&gt;Vout,D_min_boost_exitBB_to_buck, (Vout-H110*D_max_buck_BB)/Vout))</f>
        <v>0</v>
      </c>
      <c r="P110" s="385" t="n">
        <f aca="false">MAX(0, CHOOSE(J110, (H110-(Rdson1+Rdcr)*K110-Vout)*N110/(Fsw*Lf), (H110-(Rdson4+Rdcr+Rs)*L110)*O110/(Fsw*Lf), IF(H110&lt;Vout, (H110-(Rdson4+Rdcr+Rs)*L110)*O110/(0.5*Fsw*Lf),(H110-(Rdson1+Rdcr)*K110-Vout)*N110/(0.5*Fsw*Lf))))</f>
        <v>4.90849365570873</v>
      </c>
      <c r="Q110" s="488" t="n">
        <f aca="false">CHOOSE(J110, SQRT(K110^2+(P110^2)/12), SQRT(L110^2+(P110^2)/12), SQRT(M110^2+(P110^2)/12))</f>
        <v>6.16504467385904</v>
      </c>
      <c r="R110" s="488" t="n">
        <f aca="false">(Q110^2*Rdcr*(1+Ltc*Ta-Ltc*25))/(1-Q110^2*Rdcr*Ltc*ThetaCa)</f>
        <v>0.128636349686174</v>
      </c>
      <c r="S110" s="488" t="n">
        <f aca="false">7.759*10^-3*Fsw^0.9458*(0.00787*P110)^2.304</f>
        <v>0.652135059631033</v>
      </c>
      <c r="T110" s="488" t="n">
        <f aca="false">R110+S110</f>
        <v>0.780771409317206</v>
      </c>
      <c r="U110" s="385" t="n">
        <f aca="false">IF(H110&gt;Vout, P110/SQRT(12), SQRT(O110/(1-O110))*SQRT(K110^2+(P110^2)/12))</f>
        <v>1.4169600667195</v>
      </c>
      <c r="V110" s="488" t="n">
        <f aca="false">RCoutEsr*U110^2</f>
        <v>0.0100388791533887</v>
      </c>
      <c r="W110" s="488" t="n">
        <f aca="false">V110</f>
        <v>0.0100388791533887</v>
      </c>
      <c r="X110" s="488" t="n">
        <f aca="false">IF(H110&gt;Vout, SQRT(N110*(1-N110))*SQRT(K110^2+(P110^2)/12), P110/SQRT(12))</f>
        <v>3.05050934658851</v>
      </c>
      <c r="Y110" s="587" t="n">
        <f aca="false">RCinEsr*X110^2</f>
        <v>0.0186112145472477</v>
      </c>
      <c r="Z110" s="588" t="n">
        <f aca="false">Y110</f>
        <v>0.0186112145472477</v>
      </c>
      <c r="AA110" s="488" t="n">
        <f aca="false">CHOOSE(J110, SQRT(N110)*SQRT(K110^2+(P110^2)/12), SQRT(L110^2+(P110^2)/12), SQRT(N110)*SQRT(M110^2+(P110^2)/12))</f>
        <v>4.03387692697292</v>
      </c>
      <c r="AB110" s="488" t="n">
        <f aca="false">Rdson1*AA110^2</f>
        <v>0.0927513294531974</v>
      </c>
      <c r="AC110" s="488" t="n">
        <f aca="false">CHOOSE(J110, (H110*K110/2)*(Fsw)*(Tr_buck+Tf_buck), 0, (H110*M110/2)*(Fsw/2)*(Tr_buck+Tf_buck))</f>
        <v>0.172429463414634</v>
      </c>
      <c r="AD110" s="0" t="n">
        <f aca="false">IF(H110&gt;Vout, IF(K110&gt;P110/2,0,ABS(K110-P110/2)*Vsd_Q1*Deadtime*Fsw),0)</f>
        <v>0</v>
      </c>
      <c r="AE110" s="488" t="n">
        <f aca="false">(AD110+AC110+AB110*(1+RdsonTopTc*Ta-RdsonTopTc*25))/(1-AB110*RdsonTopTc*ThetaJA_Q1)</f>
        <v>0.270192943817419</v>
      </c>
      <c r="AF110" s="488" t="n">
        <f aca="false">CHOOSE(J110, SQRT((1-N110))*SQRT(K110^2+(P110^2)/12), 0, SQRT((1-N110))*SQRT(M110^2+(P110^2)/12))</f>
        <v>4.66214679828009</v>
      </c>
      <c r="AG110" s="488" t="n">
        <f aca="false">Rdson2*AF110^2</f>
        <v>0.123892992781666</v>
      </c>
      <c r="AH110" s="488" t="n">
        <f aca="false">CHOOSE(J110, IF(K110&lt;P110/2,Deadtime*Fsw*IF(VfdSky_Q2&gt;0,0,Vsd_Q2)*(K110+P110/2),2*Deadtime*Fsw*IF(VfdSky_Q2&gt;0,0,Vsd_Q2)*K110),0, IF(K110&lt;P110/2,Deadtime*Fsw/2*IF(VfdSky_Q2&gt;0,0,Vsd_Q2)*(K110+P110/2),2*Deadtime*Fsw/2*IF(VfdSky_Q2&gt;0,0,Vsd_Q2)*K110))</f>
        <v>0.144</v>
      </c>
      <c r="AI110" s="488" t="n">
        <f aca="false">(AH110+AG110*(1+RdsonBotTc*Ta-RdsonBotTc*25))/(1-AG110*RdsonBotTc*ThetaJA_Q2)</f>
        <v>0.274699665517072</v>
      </c>
      <c r="AJ110" s="488" t="n">
        <f aca="false">CHOOSE(J110, 0, SQRT(O110)*SQRT(L110^2+(P110^2)/12), SQRT(O110)*SQRT(M110^2+(P110^2)/12))</f>
        <v>0</v>
      </c>
      <c r="AK110" s="488" t="n">
        <f aca="false">Rdson4*AJ110^2</f>
        <v>0</v>
      </c>
      <c r="AL110" s="488" t="n">
        <f aca="false">CHOOSE(J110, 0, (Vout*L110/2)*(Fsw)*(Tr_boost+Tf_boost), (Vout*Iout/2)*(Fsw/2)*(Tr_boost+Tf_boost))</f>
        <v>0</v>
      </c>
      <c r="AM110" s="0" t="n">
        <f aca="false">IF(H110&gt;Vout, 0, IF(L110&gt;P110/2,0,ABS(L110-P110/2)*Vsd_Q4*Deadtime*Fsw))</f>
        <v>0</v>
      </c>
      <c r="AN110" s="488" t="n">
        <f aca="false">(AM110+AL110+AK110*(1+RdsonTopTc*Ta-RdsonTopTc*25))/(1-AK110*RdsonTopTc*ThetaJA_Q4)</f>
        <v>0</v>
      </c>
      <c r="AO110" s="488" t="n">
        <f aca="false">CHOOSE(J110, SQRT(Iout^2+(P110^2)/12), SQRT(1-O110)*SQRT(L110^2+(P110^2)/12), SQRT(1-O110)*SQRT(M110^2+(P110^2)/12))</f>
        <v>6.16504467385904</v>
      </c>
      <c r="AP110" s="488" t="n">
        <f aca="false">Rdson3*AO110^2</f>
        <v>0.0722147740782877</v>
      </c>
      <c r="AQ110" s="488" t="n">
        <f aca="false">CHOOSE(J110, 0, IF(L110&lt;P110/2,Deadtime*Fsw*IF(VfdSky_Q3&gt;0,0,Vsd_Q3)*(L110+P110/2), 2*Deadtime*Fsw*IF(VfdSky_Q3&gt;0,0,Vsd_Q3)*L110), IF(L110&lt;P110/2,Deadtime*Fsw/2*IF(VfdSky_Q3&gt;0,0,Vsd_Q3)*(L110+P110/2), 2*Deadtime*Fsw/2*IF(VfdSky_Q3&gt;0,0,Vsd_Q3)*L110))</f>
        <v>0</v>
      </c>
      <c r="AR110" s="488" t="n">
        <f aca="false">(AQ110+AP110*(1+RdsonBotTc*Ta-RdsonBotTc*25))/(1-AP110*RdsonBotTc*ThetaJA_Q3)</f>
        <v>0.0732730534788885</v>
      </c>
      <c r="AS110" s="488" t="n">
        <f aca="false">CHOOSE(J110, Rdson3*Q110^2, Rdson1*Q110^2, 0)</f>
        <v>0.0722147740782877</v>
      </c>
      <c r="AT110" s="488" t="n">
        <f aca="false">CHOOSE(J110, 2*Deadtime*Fsw*IF(VfdSky_Q2&gt;0,VfdSky_Q2,0)*K110, 2*Deadtime*Fsw*IF(VfdSky_Q3&gt;0,VfdSky_Q3,0)*L110, 2*Deadtime*Fsw/2*IF(VfdSky_Q2&gt;0,VfdSky_Q2,0)*K110+2*Deadtime*Fsw/2*IF(VfdSky_Q3&gt;0,VfdSky_Q3,0)*L110)</f>
        <v>0</v>
      </c>
      <c r="AU110" s="488" t="n">
        <f aca="false">CHOOSE(J110, IF(QrrSky_Q2&gt;0,QrrSky_Q2,Qrr_Q2)*Fsw*(H110-K110*Rdson1), IF(QrrSky_Q3&gt;0,QrrSky_Q3,Qrr_Q3)*Fsw*Vout,  IF(QrrSky_Q2&gt;0,QrrSky_Q2,Qrr_Q2)*Fsw/2*(H110-K110*Rdson1)+IF(QrrSky_Q3&gt;0,QrrSky_Q3,Qrr_Q3)*Fsw/2*Vout)</f>
        <v>0.53271162</v>
      </c>
      <c r="AV110" s="488" t="n">
        <f aca="false">CHOOSE(J110, Rs*AF110^2, Rs*AJ110^2, Rs*(AF110^2+AJ110^2))</f>
        <v>0.173884902149706</v>
      </c>
      <c r="AW110" s="488" t="n">
        <f aca="false">Rshunt_std/1000*Iout^2</f>
        <v>0.14832</v>
      </c>
      <c r="AX110" s="488" t="n">
        <f aca="false">IF(Vout&gt;8, Iq*Vout, Iq*H110)</f>
        <v>0.036</v>
      </c>
      <c r="AY110" s="488" t="n">
        <f aca="false">CHOOSE(J110, (Qg_Q1+Qg_Q2)*Fsw, (Qg_Q3+Qg_Q4)*Fsw, (Qg_Q1+Qg_Q2+Qg_Q3+Qg_Q4)*Fsw/2)*IF(Vout&gt;8, Vout, H110)</f>
        <v>0.0792</v>
      </c>
      <c r="AZ110" s="488" t="n">
        <f aca="false">(Vin-Vdd)*Fsw*(Qg_Q1+Qg_Q2)+(RdsonDRT+RdsonDRT2)*Fsw*Qg_Q1*Vdd/(RdsonDRT+2*Rgate1+RdsonDRT2)+(RdsonDRB+RdsonDRB2)*Fsw*Qg_Q2*Vdd/(RdsonDRB+2*Rgate2+RdsonDRB2)</f>
        <v>0.0522</v>
      </c>
      <c r="BA110" s="488" t="n">
        <f aca="false">SUM(AX110:AY110)</f>
        <v>0.1152</v>
      </c>
      <c r="BB110" s="488" t="n">
        <f aca="false">SUM(T110,W110,Z110,AE110,AI110,AN110,AR110, AT110,AU110,BA110,AV110,AW110)</f>
        <v>2.39770368798093</v>
      </c>
      <c r="BC110" s="419" t="n">
        <f aca="false">Vout*K110</f>
        <v>72</v>
      </c>
      <c r="BD110" s="589" t="n">
        <f aca="false">BC110/(BC110+BB110)</f>
        <v>0.967771805188548</v>
      </c>
      <c r="BE110" s="590" t="n">
        <f aca="false">IF(H110&gt;Vout,ThetaJA_Q1*(AE110+AU110),ThetaJA_Q4*(AN110+AU110))</f>
        <v>40.145228190871</v>
      </c>
      <c r="BF110" s="590" t="n">
        <f aca="false">IF(H110&gt;Vout, AI110*ThetaJA_Q2, ThetaJA_Q3*AR110)</f>
        <v>13.7349832758536</v>
      </c>
      <c r="BG110" s="536"/>
      <c r="BH110" s="385" t="n">
        <f aca="false">BD110*100</f>
        <v>96.7771805188548</v>
      </c>
      <c r="BI110" s="488" t="n">
        <f aca="false">T110</f>
        <v>0.780771409317206</v>
      </c>
      <c r="BJ110" s="488" t="n">
        <f aca="false">AE110+AI110+AN110+AR110+AU110</f>
        <v>1.15087728281338</v>
      </c>
      <c r="BK110" s="488" t="n">
        <f aca="false">AI110+AU110*0.33</f>
        <v>0.450494500117072</v>
      </c>
      <c r="BL110" s="488" t="n">
        <f aca="false">AV110</f>
        <v>0.173884902149706</v>
      </c>
    </row>
    <row r="111" customFormat="false" ht="12.75" hidden="false" customHeight="false" outlineLevel="0" collapsed="false">
      <c r="G111" s="0" t="n">
        <v>102</v>
      </c>
      <c r="H111" s="586" t="n">
        <f aca="false">VIN_min+(VIN_max-VIN_min)*(G111/200)</f>
        <v>28.44</v>
      </c>
      <c r="I111" s="385" t="str">
        <f aca="false">IF(H111&gt;VIN_BB_to_buck, "BUCK", IF(H111&lt;VIN_boost_to_BB,"BOOST","BUCK-BST"))</f>
        <v>BUCK</v>
      </c>
      <c r="J111" s="419" t="n">
        <f aca="false">IF(I111="BOOST",2, IF(I111="BUCK", 1,3))</f>
        <v>1</v>
      </c>
      <c r="K111" s="0" t="n">
        <f aca="false">Iout</f>
        <v>6</v>
      </c>
      <c r="L111" s="385" t="n">
        <f aca="false">Vout*K111/(H111*Efficiency)</f>
        <v>2.81293952180028</v>
      </c>
      <c r="M111" s="385" t="n">
        <f aca="false">Iout/(1-O111)</f>
        <v>6</v>
      </c>
      <c r="N111" s="488" t="n">
        <f aca="false">CHOOSE(J111,(Vout+(Rdson2+Rs+Rdcr)*K111)/(H111+(Rs+Rdson2-Rdson1)*K111),1,IF(H111&lt;Vout,D_max_buck_BB,Vout/H111*(1-D_min_boost_exitBB_to_buck)))</f>
        <v>0.42482097725358</v>
      </c>
      <c r="O111" s="488" t="n">
        <f aca="false">CHOOSE(J111,0,(Vout+(Rdson3+Rdcr)*L111-H111)/(Vout+(Rdson3-Rdson4-Rs)*L111),IF(H111&gt;Vout,D_min_boost_exitBB_to_buck, (Vout-H111*D_max_buck_BB)/Vout))</f>
        <v>0</v>
      </c>
      <c r="P111" s="385" t="n">
        <f aca="false">MAX(0, CHOOSE(J111, (H111-(Rdson1+Rdcr)*K111-Vout)*N111/(Fsw*Lf), (H111-(Rdson4+Rdcr+Rs)*L111)*O111/(Fsw*Lf), IF(H111&lt;Vout, (H111-(Rdson4+Rdcr+Rs)*L111)*O111/(0.5*Fsw*Lf),(H111-(Rdson1+Rdcr)*K111-Vout)*N111/(0.5*Fsw*Lf))))</f>
        <v>4.93687169289645</v>
      </c>
      <c r="Q111" s="488" t="n">
        <f aca="false">CHOOSE(J111, SQRT(K111^2+(P111^2)/12), SQRT(L111^2+(P111^2)/12), SQRT(M111^2+(P111^2)/12))</f>
        <v>6.1669326661918</v>
      </c>
      <c r="R111" s="488" t="n">
        <f aca="false">(Q111^2*Rdcr*(1+Ltc*Ta-Ltc*25))/(1-Q111^2*Rdcr*Ltc*ThetaCa)</f>
        <v>0.12871596074102</v>
      </c>
      <c r="S111" s="488" t="n">
        <f aca="false">7.759*10^-3*Fsw^0.9458*(0.00787*P111)^2.304</f>
        <v>0.660854509507748</v>
      </c>
      <c r="T111" s="488" t="n">
        <f aca="false">R111+S111</f>
        <v>0.789570470248769</v>
      </c>
      <c r="U111" s="385" t="n">
        <f aca="false">IF(H111&gt;Vout, P111/SQRT(12), SQRT(O111/(1-O111))*SQRT(K111^2+(P111^2)/12))</f>
        <v>1.4251521004242</v>
      </c>
      <c r="V111" s="488" t="n">
        <f aca="false">RCoutEsr*U111^2</f>
        <v>0.0101552925467176</v>
      </c>
      <c r="W111" s="488" t="n">
        <f aca="false">V111</f>
        <v>0.0101552925467176</v>
      </c>
      <c r="X111" s="488" t="n">
        <f aca="false">IF(H111&gt;Vout, SQRT(N111*(1-N111))*SQRT(K111^2+(P111^2)/12), P111/SQRT(12))</f>
        <v>3.04841228193898</v>
      </c>
      <c r="Y111" s="587" t="n">
        <f aca="false">RCinEsr*X111^2</f>
        <v>0.0185856348813528</v>
      </c>
      <c r="Z111" s="588" t="n">
        <f aca="false">Y111</f>
        <v>0.0185856348813528</v>
      </c>
      <c r="AA111" s="488" t="n">
        <f aca="false">CHOOSE(J111, SQRT(N111)*SQRT(K111^2+(P111^2)/12), SQRT(L111^2+(P111^2)/12), SQRT(N111)*SQRT(M111^2+(P111^2)/12))</f>
        <v>4.01950139220369</v>
      </c>
      <c r="AB111" s="488" t="n">
        <f aca="false">Rdson1*AA111^2</f>
        <v>0.0920914312189862</v>
      </c>
      <c r="AC111" s="488" t="n">
        <f aca="false">CHOOSE(J111, (H111*K111/2)*(Fsw)*(Tr_buck+Tf_buck), 0, (H111*M111/2)*(Fsw/2)*(Tr_buck+Tf_buck))</f>
        <v>0.173773704447633</v>
      </c>
      <c r="AD111" s="0" t="n">
        <f aca="false">IF(H111&gt;Vout, IF(K111&gt;P111/2,0,ABS(K111-P111/2)*Vsd_Q1*Deadtime*Fsw),0)</f>
        <v>0</v>
      </c>
      <c r="AE111" s="488" t="n">
        <f aca="false">(AD111+AC111+AB111*(1+RdsonTopTc*Ta-RdsonTopTc*25))/(1-AB111*RdsonTopTc*ThetaJA_Q1)</f>
        <v>0.270853798456816</v>
      </c>
      <c r="AF111" s="488" t="n">
        <f aca="false">CHOOSE(J111, SQRT((1-N111))*SQRT(K111^2+(P111^2)/12), 0, SQRT((1-N111))*SQRT(M111^2+(P111^2)/12))</f>
        <v>4.67703614134166</v>
      </c>
      <c r="AG111" s="488" t="n">
        <f aca="false">Rdson2*AF111^2</f>
        <v>0.124685602284272</v>
      </c>
      <c r="AH111" s="488" t="n">
        <f aca="false">CHOOSE(J111, IF(K111&lt;P111/2,Deadtime*Fsw*IF(VfdSky_Q2&gt;0,0,Vsd_Q2)*(K111+P111/2),2*Deadtime*Fsw*IF(VfdSky_Q2&gt;0,0,Vsd_Q2)*K111),0, IF(K111&lt;P111/2,Deadtime*Fsw/2*IF(VfdSky_Q2&gt;0,0,Vsd_Q2)*(K111+P111/2),2*Deadtime*Fsw/2*IF(VfdSky_Q2&gt;0,0,Vsd_Q2)*K111))</f>
        <v>0.144</v>
      </c>
      <c r="AI111" s="488" t="n">
        <f aca="false">(AH111+AG111*(1+RdsonBotTc*Ta-RdsonBotTc*25))/(1-AG111*RdsonBotTc*ThetaJA_Q2)</f>
        <v>0.27555720551085</v>
      </c>
      <c r="AJ111" s="488" t="n">
        <f aca="false">CHOOSE(J111, 0, SQRT(O111)*SQRT(L111^2+(P111^2)/12), SQRT(O111)*SQRT(M111^2+(P111^2)/12))</f>
        <v>0</v>
      </c>
      <c r="AK111" s="488" t="n">
        <f aca="false">Rdson4*AJ111^2</f>
        <v>0</v>
      </c>
      <c r="AL111" s="488" t="n">
        <f aca="false">CHOOSE(J111, 0, (Vout*L111/2)*(Fsw)*(Tr_boost+Tf_boost), (Vout*Iout/2)*(Fsw/2)*(Tr_boost+Tf_boost))</f>
        <v>0</v>
      </c>
      <c r="AM111" s="0" t="n">
        <f aca="false">IF(H111&gt;Vout, 0, IF(L111&gt;P111/2,0,ABS(L111-P111/2)*Vsd_Q4*Deadtime*Fsw))</f>
        <v>0</v>
      </c>
      <c r="AN111" s="488" t="n">
        <f aca="false">(AM111+AL111+AK111*(1+RdsonTopTc*Ta-RdsonTopTc*25))/(1-AK111*RdsonTopTc*ThetaJA_Q4)</f>
        <v>0</v>
      </c>
      <c r="AO111" s="488" t="n">
        <f aca="false">CHOOSE(J111, SQRT(Iout^2+(P111^2)/12), SQRT(1-O111)*SQRT(L111^2+(P111^2)/12), SQRT(1-O111)*SQRT(M111^2+(P111^2)/12))</f>
        <v>6.1669326661918</v>
      </c>
      <c r="AP111" s="488" t="n">
        <f aca="false">Rdson3*AO111^2</f>
        <v>0.0722590111677527</v>
      </c>
      <c r="AQ111" s="488" t="n">
        <f aca="false">CHOOSE(J111, 0, IF(L111&lt;P111/2,Deadtime*Fsw*IF(VfdSky_Q3&gt;0,0,Vsd_Q3)*(L111+P111/2), 2*Deadtime*Fsw*IF(VfdSky_Q3&gt;0,0,Vsd_Q3)*L111), IF(L111&lt;P111/2,Deadtime*Fsw/2*IF(VfdSky_Q3&gt;0,0,Vsd_Q3)*(L111+P111/2), 2*Deadtime*Fsw/2*IF(VfdSky_Q3&gt;0,0,Vsd_Q3)*L111))</f>
        <v>0</v>
      </c>
      <c r="AR111" s="488" t="n">
        <f aca="false">(AQ111+AP111*(1+RdsonBotTc*Ta-RdsonBotTc*25))/(1-AP111*RdsonBotTc*ThetaJA_Q3)</f>
        <v>0.073318597032102</v>
      </c>
      <c r="AS111" s="488" t="n">
        <f aca="false">CHOOSE(J111, Rdson3*Q111^2, Rdson1*Q111^2, 0)</f>
        <v>0.0722590111677527</v>
      </c>
      <c r="AT111" s="488" t="n">
        <f aca="false">CHOOSE(J111, 2*Deadtime*Fsw*IF(VfdSky_Q2&gt;0,VfdSky_Q2,0)*K111, 2*Deadtime*Fsw*IF(VfdSky_Q3&gt;0,VfdSky_Q3,0)*L111, 2*Deadtime*Fsw/2*IF(VfdSky_Q2&gt;0,VfdSky_Q2,0)*K111+2*Deadtime*Fsw/2*IF(VfdSky_Q3&gt;0,VfdSky_Q3,0)*L111)</f>
        <v>0</v>
      </c>
      <c r="AU111" s="488" t="n">
        <f aca="false">CHOOSE(J111, IF(QrrSky_Q2&gt;0,QrrSky_Q2,Qrr_Q2)*Fsw*(H111-K111*Rdson1), IF(QrrSky_Q3&gt;0,QrrSky_Q3,Qrr_Q3)*Fsw*Vout,  IF(QrrSky_Q2&gt;0,QrrSky_Q2,Qrr_Q2)*Fsw/2*(H111-K111*Rdson1)+IF(QrrSky_Q3&gt;0,QrrSky_Q3,Qrr_Q3)*Fsw/2*Vout)</f>
        <v>0.53686962</v>
      </c>
      <c r="AV111" s="488" t="n">
        <f aca="false">CHOOSE(J111, Rs*AF111^2, Rs*AJ111^2, Rs*(AF111^2+AJ111^2))</f>
        <v>0.174997336539329</v>
      </c>
      <c r="AW111" s="488" t="n">
        <f aca="false">Rshunt_std/1000*Iout^2</f>
        <v>0.14832</v>
      </c>
      <c r="AX111" s="488" t="n">
        <f aca="false">IF(Vout&gt;8, Iq*Vout, Iq*H111)</f>
        <v>0.036</v>
      </c>
      <c r="AY111" s="488" t="n">
        <f aca="false">CHOOSE(J111, (Qg_Q1+Qg_Q2)*Fsw, (Qg_Q3+Qg_Q4)*Fsw, (Qg_Q1+Qg_Q2+Qg_Q3+Qg_Q4)*Fsw/2)*IF(Vout&gt;8, Vout, H111)</f>
        <v>0.0792</v>
      </c>
      <c r="AZ111" s="488" t="n">
        <f aca="false">(Vin-Vdd)*Fsw*(Qg_Q1+Qg_Q2)+(RdsonDRT+RdsonDRT2)*Fsw*Qg_Q1*Vdd/(RdsonDRT+2*Rgate1+RdsonDRT2)+(RdsonDRB+RdsonDRB2)*Fsw*Qg_Q2*Vdd/(RdsonDRB+2*Rgate2+RdsonDRB2)</f>
        <v>0.0522</v>
      </c>
      <c r="BA111" s="488" t="n">
        <f aca="false">SUM(AX111:AY111)</f>
        <v>0.1152</v>
      </c>
      <c r="BB111" s="488" t="n">
        <f aca="false">SUM(T111,W111,Z111,AE111,AI111,AN111,AR111, AT111,AU111,BA111,AV111,AW111)</f>
        <v>2.41342795521594</v>
      </c>
      <c r="BC111" s="419" t="n">
        <f aca="false">Vout*K111</f>
        <v>72</v>
      </c>
      <c r="BD111" s="589" t="n">
        <f aca="false">BC111/(BC111+BB111)</f>
        <v>0.967567305773517</v>
      </c>
      <c r="BE111" s="590" t="n">
        <f aca="false">IF(H111&gt;Vout,ThetaJA_Q1*(AE111+AU111),ThetaJA_Q4*(AN111+AU111))</f>
        <v>40.3861709228408</v>
      </c>
      <c r="BF111" s="590" t="n">
        <f aca="false">IF(H111&gt;Vout, AI111*ThetaJA_Q2, ThetaJA_Q3*AR111)</f>
        <v>13.7778602755425</v>
      </c>
      <c r="BG111" s="536"/>
      <c r="BH111" s="385" t="n">
        <f aca="false">BD111*100</f>
        <v>96.7567305773517</v>
      </c>
      <c r="BI111" s="488" t="n">
        <f aca="false">T111</f>
        <v>0.789570470248769</v>
      </c>
      <c r="BJ111" s="488" t="n">
        <f aca="false">AE111+AI111+AN111+AR111+AU111</f>
        <v>1.15659922099977</v>
      </c>
      <c r="BK111" s="488" t="n">
        <f aca="false">AI111+AU111*0.33</f>
        <v>0.45272418011085</v>
      </c>
      <c r="BL111" s="488" t="n">
        <f aca="false">AV111</f>
        <v>0.174997336539329</v>
      </c>
    </row>
    <row r="112" customFormat="false" ht="12.75" hidden="false" customHeight="false" outlineLevel="0" collapsed="false">
      <c r="G112" s="0" t="n">
        <v>103</v>
      </c>
      <c r="H112" s="586" t="n">
        <f aca="false">VIN_min+(VIN_max-VIN_min)*(G112/200)</f>
        <v>28.66</v>
      </c>
      <c r="I112" s="385" t="str">
        <f aca="false">IF(H112&gt;VIN_BB_to_buck, "BUCK", IF(H112&lt;VIN_boost_to_BB,"BOOST","BUCK-BST"))</f>
        <v>BUCK</v>
      </c>
      <c r="J112" s="419" t="n">
        <f aca="false">IF(I112="BOOST",2, IF(I112="BUCK", 1,3))</f>
        <v>1</v>
      </c>
      <c r="K112" s="0" t="n">
        <f aca="false">Iout</f>
        <v>6</v>
      </c>
      <c r="L112" s="385" t="n">
        <f aca="false">Vout*K112/(H112*Efficiency)</f>
        <v>2.79134682484299</v>
      </c>
      <c r="M112" s="385" t="n">
        <f aca="false">Iout/(1-O112)</f>
        <v>6</v>
      </c>
      <c r="N112" s="488" t="n">
        <f aca="false">CHOOSE(J112,(Vout+(Rdson2+Rs+Rdcr)*K112)/(H112+(Rs+Rdson2-Rdson1)*K112),1,IF(H112&lt;Vout,D_max_buck_BB,Vout/H112*(1-D_min_boost_exitBB_to_buck)))</f>
        <v>0.421565417305281</v>
      </c>
      <c r="O112" s="488" t="n">
        <f aca="false">CHOOSE(J112,0,(Vout+(Rdson3+Rdcr)*L112-H112)/(Vout+(Rdson3-Rdson4-Rs)*L112),IF(H112&gt;Vout,D_min_boost_exitBB_to_buck, (Vout-H112*D_max_buck_BB)/Vout))</f>
        <v>0</v>
      </c>
      <c r="P112" s="385" t="n">
        <f aca="false">MAX(0, CHOOSE(J112, (H112-(Rdson1+Rdcr)*K112-Vout)*N112/(Fsw*Lf), (H112-(Rdson4+Rdcr+Rs)*L112)*O112/(Fsw*Lf), IF(H112&lt;Vout, (H112-(Rdson4+Rdcr+Rs)*L112)*O112/(0.5*Fsw*Lf),(H112-(Rdson1+Rdcr)*K112-Vout)*N112/(0.5*Fsw*Lf))))</f>
        <v>4.9648147873378</v>
      </c>
      <c r="Q112" s="488" t="n">
        <f aca="false">CHOOSE(J112, SQRT(K112^2+(P112^2)/12), SQRT(L112^2+(P112^2)/12), SQRT(M112^2+(P112^2)/12))</f>
        <v>6.1688017871691</v>
      </c>
      <c r="R112" s="488" t="n">
        <f aca="false">(Q112^2*Rdcr*(1+Ltc*Ta-Ltc*25))/(1-Q112^2*Rdcr*Ltc*ThetaCa)</f>
        <v>0.128794801048007</v>
      </c>
      <c r="S112" s="488" t="n">
        <f aca="false">7.759*10^-3*Fsw^0.9458*(0.00787*P112)^2.304</f>
        <v>0.669504421015105</v>
      </c>
      <c r="T112" s="488" t="n">
        <f aca="false">R112+S112</f>
        <v>0.798299222063112</v>
      </c>
      <c r="U112" s="385" t="n">
        <f aca="false">IF(H112&gt;Vout, P112/SQRT(12), SQRT(O112/(1-O112))*SQRT(K112^2+(P112^2)/12))</f>
        <v>1.43321857697306</v>
      </c>
      <c r="V112" s="488" t="n">
        <f aca="false">RCoutEsr*U112^2</f>
        <v>0.0102705774469034</v>
      </c>
      <c r="W112" s="488" t="n">
        <f aca="false">V112</f>
        <v>0.0102705774469034</v>
      </c>
      <c r="X112" s="488" t="n">
        <f aca="false">IF(H112&gt;Vout, SQRT(N112*(1-N112))*SQRT(K112^2+(P112^2)/12), P112/SQRT(12))</f>
        <v>3.04621413754161</v>
      </c>
      <c r="Y112" s="587" t="n">
        <f aca="false">RCinEsr*X112^2</f>
        <v>0.0185588411435168</v>
      </c>
      <c r="Z112" s="588" t="n">
        <f aca="false">Y112</f>
        <v>0.0185588411435168</v>
      </c>
      <c r="AA112" s="488" t="n">
        <f aca="false">CHOOSE(J112, SQRT(N112)*SQRT(K112^2+(P112^2)/12), SQRT(L112^2+(P112^2)/12), SQRT(N112)*SQRT(M112^2+(P112^2)/12))</f>
        <v>4.00528389461523</v>
      </c>
      <c r="AB112" s="488" t="n">
        <f aca="false">Rdson1*AA112^2</f>
        <v>0.0914411047358454</v>
      </c>
      <c r="AC112" s="488" t="n">
        <f aca="false">CHOOSE(J112, (H112*K112/2)*(Fsw)*(Tr_buck+Tf_buck), 0, (H112*M112/2)*(Fsw/2)*(Tr_buck+Tf_buck))</f>
        <v>0.175117945480631</v>
      </c>
      <c r="AD112" s="0" t="n">
        <f aca="false">IF(H112&gt;Vout, IF(K112&gt;P112/2,0,ABS(K112-P112/2)*Vsd_Q1*Deadtime*Fsw),0)</f>
        <v>0</v>
      </c>
      <c r="AE112" s="488" t="n">
        <f aca="false">(AD112+AC112+AB112*(1+RdsonTopTc*Ta-RdsonTopTc*25))/(1-AB112*RdsonTopTc*ThetaJA_Q1)</f>
        <v>0.271524754927211</v>
      </c>
      <c r="AF112" s="488" t="n">
        <f aca="false">CHOOSE(J112, SQRT((1-N112))*SQRT(K112^2+(P112^2)/12), 0, SQRT((1-N112))*SQRT(M112^2+(P112^2)/12))</f>
        <v>4.69167522457774</v>
      </c>
      <c r="AG112" s="488" t="n">
        <f aca="false">Rdson2*AF112^2</f>
        <v>0.125467353553624</v>
      </c>
      <c r="AH112" s="488" t="n">
        <f aca="false">CHOOSE(J112, IF(K112&lt;P112/2,Deadtime*Fsw*IF(VfdSky_Q2&gt;0,0,Vsd_Q2)*(K112+P112/2),2*Deadtime*Fsw*IF(VfdSky_Q2&gt;0,0,Vsd_Q2)*K112),0, IF(K112&lt;P112/2,Deadtime*Fsw/2*IF(VfdSky_Q2&gt;0,0,Vsd_Q2)*(K112+P112/2),2*Deadtime*Fsw/2*IF(VfdSky_Q2&gt;0,0,Vsd_Q2)*K112))</f>
        <v>0.144</v>
      </c>
      <c r="AI112" s="488" t="n">
        <f aca="false">(AH112+AG112*(1+RdsonBotTc*Ta-RdsonBotTc*25))/(1-AG112*RdsonBotTc*ThetaJA_Q2)</f>
        <v>0.276403270937237</v>
      </c>
      <c r="AJ112" s="488" t="n">
        <f aca="false">CHOOSE(J112, 0, SQRT(O112)*SQRT(L112^2+(P112^2)/12), SQRT(O112)*SQRT(M112^2+(P112^2)/12))</f>
        <v>0</v>
      </c>
      <c r="AK112" s="488" t="n">
        <f aca="false">Rdson4*AJ112^2</f>
        <v>0</v>
      </c>
      <c r="AL112" s="488" t="n">
        <f aca="false">CHOOSE(J112, 0, (Vout*L112/2)*(Fsw)*(Tr_boost+Tf_boost), (Vout*Iout/2)*(Fsw/2)*(Tr_boost+Tf_boost))</f>
        <v>0</v>
      </c>
      <c r="AM112" s="0" t="n">
        <f aca="false">IF(H112&gt;Vout, 0, IF(L112&gt;P112/2,0,ABS(L112-P112/2)*Vsd_Q4*Deadtime*Fsw))</f>
        <v>0</v>
      </c>
      <c r="AN112" s="488" t="n">
        <f aca="false">(AM112+AL112+AK112*(1+RdsonTopTc*Ta-RdsonTopTc*25))/(1-AK112*RdsonTopTc*ThetaJA_Q4)</f>
        <v>0</v>
      </c>
      <c r="AO112" s="488" t="n">
        <f aca="false">CHOOSE(J112, SQRT(Iout^2+(P112^2)/12), SQRT(1-O112)*SQRT(L112^2+(P112^2)/12), SQRT(1-O112)*SQRT(M112^2+(P112^2)/12))</f>
        <v>6.1688017871691</v>
      </c>
      <c r="AP112" s="488" t="n">
        <f aca="false">Rdson3*AO112^2</f>
        <v>0.0723028194298233</v>
      </c>
      <c r="AQ112" s="488" t="n">
        <f aca="false">CHOOSE(J112, 0, IF(L112&lt;P112/2,Deadtime*Fsw*IF(VfdSky_Q3&gt;0,0,Vsd_Q3)*(L112+P112/2), 2*Deadtime*Fsw*IF(VfdSky_Q3&gt;0,0,Vsd_Q3)*L112), IF(L112&lt;P112/2,Deadtime*Fsw/2*IF(VfdSky_Q3&gt;0,0,Vsd_Q3)*(L112+P112/2), 2*Deadtime*Fsw/2*IF(VfdSky_Q3&gt;0,0,Vsd_Q3)*L112))</f>
        <v>0</v>
      </c>
      <c r="AR112" s="488" t="n">
        <f aca="false">(AQ112+AP112*(1+RdsonBotTc*Ta-RdsonBotTc*25))/(1-AP112*RdsonBotTc*ThetaJA_Q3)</f>
        <v>0.0733636998991253</v>
      </c>
      <c r="AS112" s="488" t="n">
        <f aca="false">CHOOSE(J112, Rdson3*Q112^2, Rdson1*Q112^2, 0)</f>
        <v>0.0723028194298233</v>
      </c>
      <c r="AT112" s="488" t="n">
        <f aca="false">CHOOSE(J112, 2*Deadtime*Fsw*IF(VfdSky_Q2&gt;0,VfdSky_Q2,0)*K112, 2*Deadtime*Fsw*IF(VfdSky_Q3&gt;0,VfdSky_Q3,0)*L112, 2*Deadtime*Fsw/2*IF(VfdSky_Q2&gt;0,VfdSky_Q2,0)*K112+2*Deadtime*Fsw/2*IF(VfdSky_Q3&gt;0,VfdSky_Q3,0)*L112)</f>
        <v>0</v>
      </c>
      <c r="AU112" s="488" t="n">
        <f aca="false">CHOOSE(J112, IF(QrrSky_Q2&gt;0,QrrSky_Q2,Qrr_Q2)*Fsw*(H112-K112*Rdson1), IF(QrrSky_Q3&gt;0,QrrSky_Q3,Qrr_Q3)*Fsw*Vout,  IF(QrrSky_Q2&gt;0,QrrSky_Q2,Qrr_Q2)*Fsw/2*(H112-K112*Rdson1)+IF(QrrSky_Q3&gt;0,QrrSky_Q3,Qrr_Q3)*Fsw/2*Vout)</f>
        <v>0.54102762</v>
      </c>
      <c r="AV112" s="488" t="n">
        <f aca="false">CHOOSE(J112, Rs*AF112^2, Rs*AJ112^2, Rs*(AF112^2+AJ112^2))</f>
        <v>0.176094531303333</v>
      </c>
      <c r="AW112" s="488" t="n">
        <f aca="false">Rshunt_std/1000*Iout^2</f>
        <v>0.14832</v>
      </c>
      <c r="AX112" s="488" t="n">
        <f aca="false">IF(Vout&gt;8, Iq*Vout, Iq*H112)</f>
        <v>0.036</v>
      </c>
      <c r="AY112" s="488" t="n">
        <f aca="false">CHOOSE(J112, (Qg_Q1+Qg_Q2)*Fsw, (Qg_Q3+Qg_Q4)*Fsw, (Qg_Q1+Qg_Q2+Qg_Q3+Qg_Q4)*Fsw/2)*IF(Vout&gt;8, Vout, H112)</f>
        <v>0.0792</v>
      </c>
      <c r="AZ112" s="488" t="n">
        <f aca="false">(Vin-Vdd)*Fsw*(Qg_Q1+Qg_Q2)+(RdsonDRT+RdsonDRT2)*Fsw*Qg_Q1*Vdd/(RdsonDRT+2*Rgate1+RdsonDRT2)+(RdsonDRB+RdsonDRB2)*Fsw*Qg_Q2*Vdd/(RdsonDRB+2*Rgate2+RdsonDRB2)</f>
        <v>0.0522</v>
      </c>
      <c r="BA112" s="488" t="n">
        <f aca="false">SUM(AX112:AY112)</f>
        <v>0.1152</v>
      </c>
      <c r="BB112" s="488" t="n">
        <f aca="false">SUM(T112,W112,Z112,AE112,AI112,AN112,AR112, AT112,AU112,BA112,AV112,AW112)</f>
        <v>2.42906251772044</v>
      </c>
      <c r="BC112" s="419" t="n">
        <f aca="false">Vout*K112</f>
        <v>72</v>
      </c>
      <c r="BD112" s="589" t="n">
        <f aca="false">BC112/(BC112+BB112)</f>
        <v>0.967364058668049</v>
      </c>
      <c r="BE112" s="590" t="n">
        <f aca="false">IF(H112&gt;Vout,ThetaJA_Q1*(AE112+AU112),ThetaJA_Q4*(AN112+AU112))</f>
        <v>40.6276187463606</v>
      </c>
      <c r="BF112" s="590" t="n">
        <f aca="false">IF(H112&gt;Vout, AI112*ThetaJA_Q2, ThetaJA_Q3*AR112)</f>
        <v>13.8201635468618</v>
      </c>
      <c r="BG112" s="536"/>
      <c r="BH112" s="385" t="n">
        <f aca="false">BD112*100</f>
        <v>96.7364058668049</v>
      </c>
      <c r="BI112" s="488" t="n">
        <f aca="false">T112</f>
        <v>0.798299222063112</v>
      </c>
      <c r="BJ112" s="488" t="n">
        <f aca="false">AE112+AI112+AN112+AR112+AU112</f>
        <v>1.16231934576357</v>
      </c>
      <c r="BK112" s="488" t="n">
        <f aca="false">AI112+AU112*0.33</f>
        <v>0.454942385537237</v>
      </c>
      <c r="BL112" s="488" t="n">
        <f aca="false">AV112</f>
        <v>0.176094531303333</v>
      </c>
    </row>
    <row r="113" customFormat="false" ht="12.75" hidden="false" customHeight="false" outlineLevel="0" collapsed="false">
      <c r="G113" s="0" t="n">
        <v>104</v>
      </c>
      <c r="H113" s="586" t="n">
        <f aca="false">VIN_min+(VIN_max-VIN_min)*(G113/200)</f>
        <v>28.88</v>
      </c>
      <c r="I113" s="385" t="str">
        <f aca="false">IF(H113&gt;VIN_BB_to_buck, "BUCK", IF(H113&lt;VIN_boost_to_BB,"BOOST","BUCK-BST"))</f>
        <v>BUCK</v>
      </c>
      <c r="J113" s="419" t="n">
        <f aca="false">IF(I113="BOOST",2, IF(I113="BUCK", 1,3))</f>
        <v>1</v>
      </c>
      <c r="K113" s="0" t="n">
        <f aca="false">Iout</f>
        <v>6</v>
      </c>
      <c r="L113" s="385" t="n">
        <f aca="false">Vout*K113/(H113*Efficiency)</f>
        <v>2.77008310249307</v>
      </c>
      <c r="M113" s="385" t="n">
        <f aca="false">Iout/(1-O113)</f>
        <v>6</v>
      </c>
      <c r="N113" s="488" t="n">
        <f aca="false">CHOOSE(J113,(Vout+(Rdson2+Rs+Rdcr)*K113)/(H113+(Rs+Rdson2-Rdson1)*K113),1,IF(H113&lt;Vout,D_max_buck_BB,Vout/H113*(1-D_min_boost_exitBB_to_buck)))</f>
        <v>0.418359375</v>
      </c>
      <c r="O113" s="488" t="n">
        <f aca="false">CHOOSE(J113,0,(Vout+(Rdson3+Rdcr)*L113-H113)/(Vout+(Rdson3-Rdson4-Rs)*L113),IF(H113&gt;Vout,D_min_boost_exitBB_to_buck, (Vout-H113*D_max_buck_BB)/Vout))</f>
        <v>0</v>
      </c>
      <c r="P113" s="385" t="n">
        <f aca="false">MAX(0, CHOOSE(J113, (H113-(Rdson1+Rdcr)*K113-Vout)*N113/(Fsw*Lf), (H113-(Rdson4+Rdcr+Rs)*L113)*O113/(Fsw*Lf), IF(H113&lt;Vout, (H113-(Rdson4+Rdcr+Rs)*L113)*O113/(0.5*Fsw*Lf),(H113-(Rdson1+Rdcr)*K113-Vout)*N113/(0.5*Fsw*Lf))))</f>
        <v>4.99233286236702</v>
      </c>
      <c r="Q113" s="488" t="n">
        <f aca="false">CHOOSE(J113, SQRT(K113^2+(P113^2)/12), SQRT(L113^2+(P113^2)/12), SQRT(M113^2+(P113^2)/12))</f>
        <v>6.1706522305768</v>
      </c>
      <c r="R113" s="488" t="n">
        <f aca="false">(Q113^2*Rdcr*(1+Ltc*Ta-Ltc*25))/(1-Q113^2*Rdcr*Ltc*ThetaCa)</f>
        <v>0.128872878032377</v>
      </c>
      <c r="S113" s="488" t="n">
        <f aca="false">7.759*10^-3*Fsw^0.9458*(0.00787*P113)^2.304</f>
        <v>0.6780850360694</v>
      </c>
      <c r="T113" s="488" t="n">
        <f aca="false">R113+S113</f>
        <v>0.806957914101776</v>
      </c>
      <c r="U113" s="385" t="n">
        <f aca="false">IF(H113&gt;Vout, P113/SQRT(12), SQRT(O113/(1-O113))*SQRT(K113^2+(P113^2)/12))</f>
        <v>1.44116236098591</v>
      </c>
      <c r="V113" s="488" t="n">
        <f aca="false">RCoutEsr*U113^2</f>
        <v>0.0103847447536124</v>
      </c>
      <c r="W113" s="488" t="n">
        <f aca="false">V113</f>
        <v>0.0103847447536124</v>
      </c>
      <c r="X113" s="488" t="n">
        <f aca="false">IF(H113&gt;Vout, SQRT(N113*(1-N113))*SQRT(K113^2+(P113^2)/12), P113/SQRT(12))</f>
        <v>3.04391968939095</v>
      </c>
      <c r="Y113" s="587" t="n">
        <f aca="false">RCinEsr*X113^2</f>
        <v>0.0185308941509238</v>
      </c>
      <c r="Z113" s="588" t="n">
        <f aca="false">Y113</f>
        <v>0.0185308941509238</v>
      </c>
      <c r="AA113" s="488" t="n">
        <f aca="false">CHOOSE(J113, SQRT(N113)*SQRT(K113^2+(P113^2)/12), SQRT(L113^2+(P113^2)/12), SQRT(N113)*SQRT(M113^2+(P113^2)/12))</f>
        <v>3.99122143772194</v>
      </c>
      <c r="AB113" s="488" t="n">
        <f aca="false">Rdson1*AA113^2</f>
        <v>0.0908001368201076</v>
      </c>
      <c r="AC113" s="488" t="n">
        <f aca="false">CHOOSE(J113, (H113*K113/2)*(Fsw)*(Tr_buck+Tf_buck), 0, (H113*M113/2)*(Fsw/2)*(Tr_buck+Tf_buck))</f>
        <v>0.17646218651363</v>
      </c>
      <c r="AD113" s="0" t="n">
        <f aca="false">IF(H113&gt;Vout, IF(K113&gt;P113/2,0,ABS(K113-P113/2)*Vsd_Q1*Deadtime*Fsw),0)</f>
        <v>0</v>
      </c>
      <c r="AE113" s="488" t="n">
        <f aca="false">(AD113+AC113+AB113*(1+RdsonTopTc*Ta-RdsonTopTc*25))/(1-AB113*RdsonTopTc*ThetaJA_Q1)</f>
        <v>0.272205584191291</v>
      </c>
      <c r="AF113" s="488" t="n">
        <f aca="false">CHOOSE(J113, SQRT((1-N113))*SQRT(K113^2+(P113^2)/12), 0, SQRT((1-N113))*SQRT(M113^2+(P113^2)/12))</f>
        <v>4.70607058869619</v>
      </c>
      <c r="AG113" s="488" t="n">
        <f aca="false">Rdson2*AF113^2</f>
        <v>0.126238472199011</v>
      </c>
      <c r="AH113" s="488" t="n">
        <f aca="false">CHOOSE(J113, IF(K113&lt;P113/2,Deadtime*Fsw*IF(VfdSky_Q2&gt;0,0,Vsd_Q2)*(K113+P113/2),2*Deadtime*Fsw*IF(VfdSky_Q2&gt;0,0,Vsd_Q2)*K113),0, IF(K113&lt;P113/2,Deadtime*Fsw/2*IF(VfdSky_Q2&gt;0,0,Vsd_Q2)*(K113+P113/2),2*Deadtime*Fsw/2*IF(VfdSky_Q2&gt;0,0,Vsd_Q2)*K113))</f>
        <v>0.144</v>
      </c>
      <c r="AI113" s="488" t="n">
        <f aca="false">(AH113+AG113*(1+RdsonBotTc*Ta-RdsonBotTc*25))/(1-AG113*RdsonBotTc*ThetaJA_Q2)</f>
        <v>0.277238094906277</v>
      </c>
      <c r="AJ113" s="488" t="n">
        <f aca="false">CHOOSE(J113, 0, SQRT(O113)*SQRT(L113^2+(P113^2)/12), SQRT(O113)*SQRT(M113^2+(P113^2)/12))</f>
        <v>0</v>
      </c>
      <c r="AK113" s="488" t="n">
        <f aca="false">Rdson4*AJ113^2</f>
        <v>0</v>
      </c>
      <c r="AL113" s="488" t="n">
        <f aca="false">CHOOSE(J113, 0, (Vout*L113/2)*(Fsw)*(Tr_boost+Tf_boost), (Vout*Iout/2)*(Fsw/2)*(Tr_boost+Tf_boost))</f>
        <v>0</v>
      </c>
      <c r="AM113" s="0" t="n">
        <f aca="false">IF(H113&gt;Vout, 0, IF(L113&gt;P113/2,0,ABS(L113-P113/2)*Vsd_Q4*Deadtime*Fsw))</f>
        <v>0</v>
      </c>
      <c r="AN113" s="488" t="n">
        <f aca="false">(AM113+AL113+AK113*(1+RdsonTopTc*Ta-RdsonTopTc*25))/(1-AK113*RdsonTopTc*ThetaJA_Q4)</f>
        <v>0</v>
      </c>
      <c r="AO113" s="488" t="n">
        <f aca="false">CHOOSE(J113, SQRT(Iout^2+(P113^2)/12), SQRT(1-O113)*SQRT(L113^2+(P113^2)/12), SQRT(1-O113)*SQRT(M113^2+(P113^2)/12))</f>
        <v>6.1706522305768</v>
      </c>
      <c r="AP113" s="488" t="n">
        <f aca="false">Rdson3*AO113^2</f>
        <v>0.0723462030063727</v>
      </c>
      <c r="AQ113" s="488" t="n">
        <f aca="false">CHOOSE(J113, 0, IF(L113&lt;P113/2,Deadtime*Fsw*IF(VfdSky_Q3&gt;0,0,Vsd_Q3)*(L113+P113/2), 2*Deadtime*Fsw*IF(VfdSky_Q3&gt;0,0,Vsd_Q3)*L113), IF(L113&lt;P113/2,Deadtime*Fsw/2*IF(VfdSky_Q3&gt;0,0,Vsd_Q3)*(L113+P113/2), 2*Deadtime*Fsw/2*IF(VfdSky_Q3&gt;0,0,Vsd_Q3)*L113))</f>
        <v>0</v>
      </c>
      <c r="AR113" s="488" t="n">
        <f aca="false">(AQ113+AP113*(1+RdsonBotTc*Ta-RdsonBotTc*25))/(1-AP113*RdsonBotTc*ThetaJA_Q3)</f>
        <v>0.0734083663208151</v>
      </c>
      <c r="AS113" s="488" t="n">
        <f aca="false">CHOOSE(J113, Rdson3*Q113^2, Rdson1*Q113^2, 0)</f>
        <v>0.0723462030063727</v>
      </c>
      <c r="AT113" s="488" t="n">
        <f aca="false">CHOOSE(J113, 2*Deadtime*Fsw*IF(VfdSky_Q2&gt;0,VfdSky_Q2,0)*K113, 2*Deadtime*Fsw*IF(VfdSky_Q3&gt;0,VfdSky_Q3,0)*L113, 2*Deadtime*Fsw/2*IF(VfdSky_Q2&gt;0,VfdSky_Q2,0)*K113+2*Deadtime*Fsw/2*IF(VfdSky_Q3&gt;0,VfdSky_Q3,0)*L113)</f>
        <v>0</v>
      </c>
      <c r="AU113" s="488" t="n">
        <f aca="false">CHOOSE(J113, IF(QrrSky_Q2&gt;0,QrrSky_Q2,Qrr_Q2)*Fsw*(H113-K113*Rdson1), IF(QrrSky_Q3&gt;0,QrrSky_Q3,Qrr_Q3)*Fsw*Vout,  IF(QrrSky_Q2&gt;0,QrrSky_Q2,Qrr_Q2)*Fsw/2*(H113-K113*Rdson1)+IF(QrrSky_Q3&gt;0,QrrSky_Q3,Qrr_Q3)*Fsw/2*Vout)</f>
        <v>0.54518562</v>
      </c>
      <c r="AV113" s="488" t="n">
        <f aca="false">CHOOSE(J113, Rs*AF113^2, Rs*AJ113^2, Rs*(AF113^2+AJ113^2))</f>
        <v>0.177176803086331</v>
      </c>
      <c r="AW113" s="488" t="n">
        <f aca="false">Rshunt_std/1000*Iout^2</f>
        <v>0.14832</v>
      </c>
      <c r="AX113" s="488" t="n">
        <f aca="false">IF(Vout&gt;8, Iq*Vout, Iq*H113)</f>
        <v>0.036</v>
      </c>
      <c r="AY113" s="488" t="n">
        <f aca="false">CHOOSE(J113, (Qg_Q1+Qg_Q2)*Fsw, (Qg_Q3+Qg_Q4)*Fsw, (Qg_Q1+Qg_Q2+Qg_Q3+Qg_Q4)*Fsw/2)*IF(Vout&gt;8, Vout, H113)</f>
        <v>0.0792</v>
      </c>
      <c r="AZ113" s="488" t="n">
        <f aca="false">(Vin-Vdd)*Fsw*(Qg_Q1+Qg_Q2)+(RdsonDRT+RdsonDRT2)*Fsw*Qg_Q1*Vdd/(RdsonDRT+2*Rgate1+RdsonDRT2)+(RdsonDRB+RdsonDRB2)*Fsw*Qg_Q2*Vdd/(RdsonDRB+2*Rgate2+RdsonDRB2)</f>
        <v>0.0522</v>
      </c>
      <c r="BA113" s="488" t="n">
        <f aca="false">SUM(AX113:AY113)</f>
        <v>0.1152</v>
      </c>
      <c r="BB113" s="488" t="n">
        <f aca="false">SUM(T113,W113,Z113,AE113,AI113,AN113,AR113, AT113,AU113,BA113,AV113,AW113)</f>
        <v>2.44460802151103</v>
      </c>
      <c r="BC113" s="419" t="n">
        <f aca="false">Vout*K113</f>
        <v>72</v>
      </c>
      <c r="BD113" s="589" t="n">
        <f aca="false">BC113/(BC113+BB113)</f>
        <v>0.967162053955544</v>
      </c>
      <c r="BE113" s="590" t="n">
        <f aca="false">IF(H113&gt;Vout,ThetaJA_Q1*(AE113+AU113),ThetaJA_Q4*(AN113+AU113))</f>
        <v>40.8695602095645</v>
      </c>
      <c r="BF113" s="590" t="n">
        <f aca="false">IF(H113&gt;Vout, AI113*ThetaJA_Q2, ThetaJA_Q3*AR113)</f>
        <v>13.8619047453139</v>
      </c>
      <c r="BG113" s="536"/>
      <c r="BH113" s="385" t="n">
        <f aca="false">BD113*100</f>
        <v>96.7162053955544</v>
      </c>
      <c r="BI113" s="488" t="n">
        <f aca="false">T113</f>
        <v>0.806957914101776</v>
      </c>
      <c r="BJ113" s="488" t="n">
        <f aca="false">AE113+AI113+AN113+AR113+AU113</f>
        <v>1.16803766541838</v>
      </c>
      <c r="BK113" s="488" t="n">
        <f aca="false">AI113+AU113*0.33</f>
        <v>0.457149349506277</v>
      </c>
      <c r="BL113" s="488" t="n">
        <f aca="false">AV113</f>
        <v>0.177176803086331</v>
      </c>
    </row>
    <row r="114" customFormat="false" ht="12.75" hidden="false" customHeight="false" outlineLevel="0" collapsed="false">
      <c r="G114" s="0" t="n">
        <v>105</v>
      </c>
      <c r="H114" s="586" t="n">
        <f aca="false">VIN_min+(VIN_max-VIN_min)*(G114/200)</f>
        <v>29.1</v>
      </c>
      <c r="I114" s="385" t="str">
        <f aca="false">IF(H114&gt;VIN_BB_to_buck, "BUCK", IF(H114&lt;VIN_boost_to_BB,"BOOST","BUCK-BST"))</f>
        <v>BUCK</v>
      </c>
      <c r="J114" s="419" t="n">
        <f aca="false">IF(I114="BOOST",2, IF(I114="BUCK", 1,3))</f>
        <v>1</v>
      </c>
      <c r="K114" s="0" t="n">
        <f aca="false">Iout</f>
        <v>6</v>
      </c>
      <c r="L114" s="385" t="n">
        <f aca="false">Vout*K114/(H114*Efficiency)</f>
        <v>2.74914089347079</v>
      </c>
      <c r="M114" s="385" t="n">
        <f aca="false">Iout/(1-O114)</f>
        <v>6</v>
      </c>
      <c r="N114" s="488" t="n">
        <f aca="false">CHOOSE(J114,(Vout+(Rdson2+Rs+Rdcr)*K114)/(H114+(Rs+Rdson2-Rdson1)*K114),1,IF(H114&lt;Vout,D_max_buck_BB,Vout/H114*(1-D_min_boost_exitBB_to_buck)))</f>
        <v>0.415201729106628</v>
      </c>
      <c r="O114" s="488" t="n">
        <f aca="false">CHOOSE(J114,0,(Vout+(Rdson3+Rdcr)*L114-H114)/(Vout+(Rdson3-Rdson4-Rs)*L114),IF(H114&gt;Vout,D_min_boost_exitBB_to_buck, (Vout-H114*D_max_buck_BB)/Vout))</f>
        <v>0</v>
      </c>
      <c r="P114" s="385" t="n">
        <f aca="false">MAX(0, CHOOSE(J114, (H114-(Rdson1+Rdcr)*K114-Vout)*N114/(Fsw*Lf), (H114-(Rdson4+Rdcr+Rs)*L114)*O114/(Fsw*Lf), IF(H114&lt;Vout, (H114-(Rdson4+Rdcr+Rs)*L114)*O114/(0.5*Fsw*Lf),(H114-(Rdson1+Rdcr)*K114-Vout)*N114/(0.5*Fsw*Lf))))</f>
        <v>5.01943554172543</v>
      </c>
      <c r="Q114" s="488" t="n">
        <f aca="false">CHOOSE(J114, SQRT(K114^2+(P114^2)/12), SQRT(L114^2+(P114^2)/12), SQRT(M114^2+(P114^2)/12))</f>
        <v>6.17248419167367</v>
      </c>
      <c r="R114" s="488" t="n">
        <f aca="false">(Q114^2*Rdcr*(1+Ltc*Ta-Ltc*25))/(1-Q114^2*Rdcr*Ltc*ThetaCa)</f>
        <v>0.128950199199214</v>
      </c>
      <c r="S114" s="488" t="n">
        <f aca="false">7.759*10^-3*Fsw^0.9458*(0.00787*P114)^2.304</f>
        <v>0.686596626001176</v>
      </c>
      <c r="T114" s="488" t="n">
        <f aca="false">R114+S114</f>
        <v>0.81554682520039</v>
      </c>
      <c r="U114" s="385" t="n">
        <f aca="false">IF(H114&gt;Vout, P114/SQRT(12), SQRT(O114/(1-O114))*SQRT(K114^2+(P114^2)/12))</f>
        <v>1.44898623059758</v>
      </c>
      <c r="V114" s="488" t="n">
        <f aca="false">RCoutEsr*U114^2</f>
        <v>0.0104978054823069</v>
      </c>
      <c r="W114" s="488" t="n">
        <f aca="false">V114</f>
        <v>0.0104978054823069</v>
      </c>
      <c r="X114" s="488" t="n">
        <f aca="false">IF(H114&gt;Vout, SQRT(N114*(1-N114))*SQRT(K114^2+(P114^2)/12), P114/SQRT(12))</f>
        <v>3.04153349136873</v>
      </c>
      <c r="Y114" s="587" t="n">
        <f aca="false">RCinEsr*X114^2</f>
        <v>0.0185018519582353</v>
      </c>
      <c r="Z114" s="588" t="n">
        <f aca="false">Y114</f>
        <v>0.0185018519582353</v>
      </c>
      <c r="AA114" s="488" t="n">
        <f aca="false">CHOOSE(J114, SQRT(N114)*SQRT(K114^2+(P114^2)/12), SQRT(L114^2+(P114^2)/12), SQRT(N114)*SQRT(M114^2+(P114^2)/12))</f>
        <v>3.97731110745116</v>
      </c>
      <c r="AB114" s="488" t="n">
        <f aca="false">Rdson1*AA114^2</f>
        <v>0.09016832077909</v>
      </c>
      <c r="AC114" s="488" t="n">
        <f aca="false">CHOOSE(J114, (H114*K114/2)*(Fsw)*(Tr_buck+Tf_buck), 0, (H114*M114/2)*(Fsw/2)*(Tr_buck+Tf_buck))</f>
        <v>0.177806427546628</v>
      </c>
      <c r="AD114" s="0" t="n">
        <f aca="false">IF(H114&gt;Vout, IF(K114&gt;P114/2,0,ABS(K114-P114/2)*Vsd_Q1*Deadtime*Fsw),0)</f>
        <v>0</v>
      </c>
      <c r="AE114" s="488" t="n">
        <f aca="false">(AD114+AC114+AB114*(1+RdsonTopTc*Ta-RdsonTopTc*25))/(1-AB114*RdsonTopTc*ThetaJA_Q1)</f>
        <v>0.272896064298726</v>
      </c>
      <c r="AF114" s="488" t="n">
        <f aca="false">CHOOSE(J114, SQRT((1-N114))*SQRT(K114^2+(P114^2)/12), 0, SQRT((1-N114))*SQRT(M114^2+(P114^2)/12))</f>
        <v>4.72022853800608</v>
      </c>
      <c r="AG114" s="488" t="n">
        <f aca="false">Rdson2*AF114^2</f>
        <v>0.12699917747074</v>
      </c>
      <c r="AH114" s="488" t="n">
        <f aca="false">CHOOSE(J114, IF(K114&lt;P114/2,Deadtime*Fsw*IF(VfdSky_Q2&gt;0,0,Vsd_Q2)*(K114+P114/2),2*Deadtime*Fsw*IF(VfdSky_Q2&gt;0,0,Vsd_Q2)*K114),0, IF(K114&lt;P114/2,Deadtime*Fsw/2*IF(VfdSky_Q2&gt;0,0,Vsd_Q2)*(K114+P114/2),2*Deadtime*Fsw/2*IF(VfdSky_Q2&gt;0,0,Vsd_Q2)*K114))</f>
        <v>0.144</v>
      </c>
      <c r="AI114" s="488" t="n">
        <f aca="false">(AH114+AG114*(1+RdsonBotTc*Ta-RdsonBotTc*25))/(1-AG114*RdsonBotTc*ThetaJA_Q2)</f>
        <v>0.278061904091863</v>
      </c>
      <c r="AJ114" s="488" t="n">
        <f aca="false">CHOOSE(J114, 0, SQRT(O114)*SQRT(L114^2+(P114^2)/12), SQRT(O114)*SQRT(M114^2+(P114^2)/12))</f>
        <v>0</v>
      </c>
      <c r="AK114" s="488" t="n">
        <f aca="false">Rdson4*AJ114^2</f>
        <v>0</v>
      </c>
      <c r="AL114" s="488" t="n">
        <f aca="false">CHOOSE(J114, 0, (Vout*L114/2)*(Fsw)*(Tr_boost+Tf_boost), (Vout*Iout/2)*(Fsw/2)*(Tr_boost+Tf_boost))</f>
        <v>0</v>
      </c>
      <c r="AM114" s="0" t="n">
        <f aca="false">IF(H114&gt;Vout, 0, IF(L114&gt;P114/2,0,ABS(L114-P114/2)*Vsd_Q4*Deadtime*Fsw))</f>
        <v>0</v>
      </c>
      <c r="AN114" s="488" t="n">
        <f aca="false">(AM114+AL114+AK114*(1+RdsonTopTc*Ta-RdsonTopTc*25))/(1-AK114*RdsonTopTc*ThetaJA_Q4)</f>
        <v>0</v>
      </c>
      <c r="AO114" s="488" t="n">
        <f aca="false">CHOOSE(J114, SQRT(Iout^2+(P114^2)/12), SQRT(1-O114)*SQRT(L114^2+(P114^2)/12), SQRT(1-O114)*SQRT(M114^2+(P114^2)/12))</f>
        <v>6.17248419167367</v>
      </c>
      <c r="AP114" s="488" t="n">
        <f aca="false">Rdson3*AO114^2</f>
        <v>0.0723891660832766</v>
      </c>
      <c r="AQ114" s="488" t="n">
        <f aca="false">CHOOSE(J114, 0, IF(L114&lt;P114/2,Deadtime*Fsw*IF(VfdSky_Q3&gt;0,0,Vsd_Q3)*(L114+P114/2), 2*Deadtime*Fsw*IF(VfdSky_Q3&gt;0,0,Vsd_Q3)*L114), IF(L114&lt;P114/2,Deadtime*Fsw/2*IF(VfdSky_Q3&gt;0,0,Vsd_Q3)*(L114+P114/2), 2*Deadtime*Fsw/2*IF(VfdSky_Q3&gt;0,0,Vsd_Q3)*L114))</f>
        <v>0</v>
      </c>
      <c r="AR114" s="488" t="n">
        <f aca="false">(AQ114+AP114*(1+RdsonBotTc*Ta-RdsonBotTc*25))/(1-AP114*RdsonBotTc*ThetaJA_Q3)</f>
        <v>0.0734526005838593</v>
      </c>
      <c r="AS114" s="488" t="n">
        <f aca="false">CHOOSE(J114, Rdson3*Q114^2, Rdson1*Q114^2, 0)</f>
        <v>0.0723891660832766</v>
      </c>
      <c r="AT114" s="488" t="n">
        <f aca="false">CHOOSE(J114, 2*Deadtime*Fsw*IF(VfdSky_Q2&gt;0,VfdSky_Q2,0)*K114, 2*Deadtime*Fsw*IF(VfdSky_Q3&gt;0,VfdSky_Q3,0)*L114, 2*Deadtime*Fsw/2*IF(VfdSky_Q2&gt;0,VfdSky_Q2,0)*K114+2*Deadtime*Fsw/2*IF(VfdSky_Q3&gt;0,VfdSky_Q3,0)*L114)</f>
        <v>0</v>
      </c>
      <c r="AU114" s="488" t="n">
        <f aca="false">CHOOSE(J114, IF(QrrSky_Q2&gt;0,QrrSky_Q2,Qrr_Q2)*Fsw*(H114-K114*Rdson1), IF(QrrSky_Q3&gt;0,QrrSky_Q3,Qrr_Q3)*Fsw*Vout,  IF(QrrSky_Q2&gt;0,QrrSky_Q2,Qrr_Q2)*Fsw/2*(H114-K114*Rdson1)+IF(QrrSky_Q3&gt;0,QrrSky_Q3,Qrr_Q3)*Fsw/2*Vout)</f>
        <v>0.54934362</v>
      </c>
      <c r="AV114" s="488" t="n">
        <f aca="false">CHOOSE(J114, Rs*AF114^2, Rs*AJ114^2, Rs*(AF114^2+AJ114^2))</f>
        <v>0.178244459608056</v>
      </c>
      <c r="AW114" s="488" t="n">
        <f aca="false">Rshunt_std/1000*Iout^2</f>
        <v>0.14832</v>
      </c>
      <c r="AX114" s="488" t="n">
        <f aca="false">IF(Vout&gt;8, Iq*Vout, Iq*H114)</f>
        <v>0.036</v>
      </c>
      <c r="AY114" s="488" t="n">
        <f aca="false">CHOOSE(J114, (Qg_Q1+Qg_Q2)*Fsw, (Qg_Q3+Qg_Q4)*Fsw, (Qg_Q1+Qg_Q2+Qg_Q3+Qg_Q4)*Fsw/2)*IF(Vout&gt;8, Vout, H114)</f>
        <v>0.0792</v>
      </c>
      <c r="AZ114" s="488" t="n">
        <f aca="false">(Vin-Vdd)*Fsw*(Qg_Q1+Qg_Q2)+(RdsonDRT+RdsonDRT2)*Fsw*Qg_Q1*Vdd/(RdsonDRT+2*Rgate1+RdsonDRT2)+(RdsonDRB+RdsonDRB2)*Fsw*Qg_Q2*Vdd/(RdsonDRB+2*Rgate2+RdsonDRB2)</f>
        <v>0.0522</v>
      </c>
      <c r="BA114" s="488" t="n">
        <f aca="false">SUM(AX114:AY114)</f>
        <v>0.1152</v>
      </c>
      <c r="BB114" s="488" t="n">
        <f aca="false">SUM(T114,W114,Z114,AE114,AI114,AN114,AR114, AT114,AU114,BA114,AV114,AW114)</f>
        <v>2.46006513122344</v>
      </c>
      <c r="BC114" s="419" t="n">
        <f aca="false">Vout*K114</f>
        <v>72</v>
      </c>
      <c r="BD114" s="589" t="n">
        <f aca="false">BC114/(BC114+BB114)</f>
        <v>0.966961281501863</v>
      </c>
      <c r="BE114" s="590" t="n">
        <f aca="false">IF(H114&gt;Vout,ThetaJA_Q1*(AE114+AU114),ThetaJA_Q4*(AN114+AU114))</f>
        <v>41.1119842149363</v>
      </c>
      <c r="BF114" s="590" t="n">
        <f aca="false">IF(H114&gt;Vout, AI114*ThetaJA_Q2, ThetaJA_Q3*AR114)</f>
        <v>13.9030952045931</v>
      </c>
      <c r="BG114" s="536"/>
      <c r="BH114" s="385" t="n">
        <f aca="false">BD114*100</f>
        <v>96.6961281501863</v>
      </c>
      <c r="BI114" s="488" t="n">
        <f aca="false">T114</f>
        <v>0.81554682520039</v>
      </c>
      <c r="BJ114" s="488" t="n">
        <f aca="false">AE114+AI114+AN114+AR114+AU114</f>
        <v>1.17375418897445</v>
      </c>
      <c r="BK114" s="488" t="n">
        <f aca="false">AI114+AU114*0.33</f>
        <v>0.459345298691863</v>
      </c>
      <c r="BL114" s="488" t="n">
        <f aca="false">AV114</f>
        <v>0.178244459608056</v>
      </c>
    </row>
    <row r="115" customFormat="false" ht="12.75" hidden="false" customHeight="false" outlineLevel="0" collapsed="false">
      <c r="G115" s="0" t="n">
        <v>106</v>
      </c>
      <c r="H115" s="586" t="n">
        <f aca="false">VIN_min+(VIN_max-VIN_min)*(G115/200)</f>
        <v>29.32</v>
      </c>
      <c r="I115" s="385" t="str">
        <f aca="false">IF(H115&gt;VIN_BB_to_buck, "BUCK", IF(H115&lt;VIN_boost_to_BB,"BOOST","BUCK-BST"))</f>
        <v>BUCK</v>
      </c>
      <c r="J115" s="419" t="n">
        <f aca="false">IF(I115="BOOST",2, IF(I115="BUCK", 1,3))</f>
        <v>1</v>
      </c>
      <c r="K115" s="0" t="n">
        <f aca="false">Iout</f>
        <v>6</v>
      </c>
      <c r="L115" s="385" t="n">
        <f aca="false">Vout*K115/(H115*Efficiency)</f>
        <v>2.72851296043656</v>
      </c>
      <c r="M115" s="385" t="n">
        <f aca="false">Iout/(1-O115)</f>
        <v>6</v>
      </c>
      <c r="N115" s="488" t="n">
        <f aca="false">CHOOSE(J115,(Vout+(Rdson2+Rs+Rdcr)*K115)/(H115+(Rs+Rdson2-Rdson1)*K115),1,IF(H115&lt;Vout,D_max_buck_BB,Vout/H115*(1-D_min_boost_exitBB_to_buck)))</f>
        <v>0.412091391991283</v>
      </c>
      <c r="O115" s="488" t="n">
        <f aca="false">CHOOSE(J115,0,(Vout+(Rdson3+Rdcr)*L115-H115)/(Vout+(Rdson3-Rdson4-Rs)*L115),IF(H115&gt;Vout,D_min_boost_exitBB_to_buck, (Vout-H115*D_max_buck_BB)/Vout))</f>
        <v>0</v>
      </c>
      <c r="P115" s="385" t="n">
        <f aca="false">MAX(0, CHOOSE(J115, (H115-(Rdson1+Rdcr)*K115-Vout)*N115/(Fsw*Lf), (H115-(Rdson4+Rdcr+Rs)*L115)*O115/(Fsw*Lf), IF(H115&lt;Vout, (H115-(Rdson4+Rdcr+Rs)*L115)*O115/(0.5*Fsw*Lf),(H115-(Rdson1+Rdcr)*K115-Vout)*N115/(0.5*Fsw*Lf))))</f>
        <v>5.0461321607829</v>
      </c>
      <c r="Q115" s="488" t="n">
        <f aca="false">CHOOSE(J115, SQRT(K115^2+(P115^2)/12), SQRT(L115^2+(P115^2)/12), SQRT(M115^2+(P115^2)/12))</f>
        <v>6.17429786685692</v>
      </c>
      <c r="R115" s="488" t="n">
        <f aca="false">(Q115^2*Rdcr*(1+Ltc*Ta-Ltc*25))/(1-Q115^2*Rdcr*Ltc*ThetaCa)</f>
        <v>0.12902677211916</v>
      </c>
      <c r="S115" s="488" t="n">
        <f aca="false">7.759*10^-3*Fsw^0.9458*(0.00787*P115)^2.304</f>
        <v>0.695039489238229</v>
      </c>
      <c r="T115" s="488" t="n">
        <f aca="false">R115+S115</f>
        <v>0.824066261357389</v>
      </c>
      <c r="U115" s="385" t="n">
        <f aca="false">IF(H115&gt;Vout, P115/SQRT(12), SQRT(O115/(1-O115))*SQRT(K115^2+(P115^2)/12))</f>
        <v>1.45669288069722</v>
      </c>
      <c r="V115" s="488" t="n">
        <f aca="false">RCoutEsr*U115^2</f>
        <v>0.0106097707433698</v>
      </c>
      <c r="W115" s="488" t="n">
        <f aca="false">V115</f>
        <v>0.0106097707433698</v>
      </c>
      <c r="X115" s="488" t="n">
        <f aca="false">IF(H115&gt;Vout, SQRT(N115*(1-N115))*SQRT(K115^2+(P115^2)/12), P115/SQRT(12))</f>
        <v>3.03905988705335</v>
      </c>
      <c r="Y115" s="587" t="n">
        <f aca="false">RCinEsr*X115^2</f>
        <v>0.0184717699941934</v>
      </c>
      <c r="Z115" s="588" t="n">
        <f aca="false">Y115</f>
        <v>0.0184717699941934</v>
      </c>
      <c r="AA115" s="488" t="n">
        <f aca="false">CHOOSE(J115, SQRT(N115)*SQRT(K115^2+(P115^2)/12), SQRT(L115^2+(P115^2)/12), SQRT(N115)*SQRT(M115^2+(P115^2)/12))</f>
        <v>3.96355006913687</v>
      </c>
      <c r="AB115" s="488" t="n">
        <f aca="false">Rdson1*AA115^2</f>
        <v>0.0895454561581631</v>
      </c>
      <c r="AC115" s="488" t="n">
        <f aca="false">CHOOSE(J115, (H115*K115/2)*(Fsw)*(Tr_buck+Tf_buck), 0, (H115*M115/2)*(Fsw/2)*(Tr_buck+Tf_buck))</f>
        <v>0.179150668579627</v>
      </c>
      <c r="AD115" s="0" t="n">
        <f aca="false">IF(H115&gt;Vout, IF(K115&gt;P115/2,0,ABS(K115-P115/2)*Vsd_Q1*Deadtime*Fsw),0)</f>
        <v>0</v>
      </c>
      <c r="AE115" s="488" t="n">
        <f aca="false">(AD115+AC115+AB115*(1+RdsonTopTc*Ta-RdsonTopTc*25))/(1-AB115*RdsonTopTc*ThetaJA_Q1)</f>
        <v>0.273595980106118</v>
      </c>
      <c r="AF115" s="488" t="n">
        <f aca="false">CHOOSE(J115, SQRT((1-N115))*SQRT(K115^2+(P115^2)/12), 0, SQRT((1-N115))*SQRT(M115^2+(P115^2)/12))</f>
        <v>4.73415515146251</v>
      </c>
      <c r="AG115" s="488" t="n">
        <f aca="false">Rdson2*AF115^2</f>
        <v>0.127749682489279</v>
      </c>
      <c r="AH115" s="488" t="n">
        <f aca="false">CHOOSE(J115, IF(K115&lt;P115/2,Deadtime*Fsw*IF(VfdSky_Q2&gt;0,0,Vsd_Q2)*(K115+P115/2),2*Deadtime*Fsw*IF(VfdSky_Q2&gt;0,0,Vsd_Q2)*K115),0, IF(K115&lt;P115/2,Deadtime*Fsw/2*IF(VfdSky_Q2&gt;0,0,Vsd_Q2)*(K115+P115/2),2*Deadtime*Fsw/2*IF(VfdSky_Q2&gt;0,0,Vsd_Q2)*K115))</f>
        <v>0.144</v>
      </c>
      <c r="AI115" s="488" t="n">
        <f aca="false">(AH115+AG115*(1+RdsonBotTc*Ta-RdsonBotTc*25))/(1-AG115*RdsonBotTc*ThetaJA_Q2)</f>
        <v>0.27887491895954</v>
      </c>
      <c r="AJ115" s="488" t="n">
        <f aca="false">CHOOSE(J115, 0, SQRT(O115)*SQRT(L115^2+(P115^2)/12), SQRT(O115)*SQRT(M115^2+(P115^2)/12))</f>
        <v>0</v>
      </c>
      <c r="AK115" s="488" t="n">
        <f aca="false">Rdson4*AJ115^2</f>
        <v>0</v>
      </c>
      <c r="AL115" s="488" t="n">
        <f aca="false">CHOOSE(J115, 0, (Vout*L115/2)*(Fsw)*(Tr_boost+Tf_boost), (Vout*Iout/2)*(Fsw/2)*(Tr_boost+Tf_boost))</f>
        <v>0</v>
      </c>
      <c r="AM115" s="0" t="n">
        <f aca="false">IF(H115&gt;Vout, 0, IF(L115&gt;P115/2,0,ABS(L115-P115/2)*Vsd_Q4*Deadtime*Fsw))</f>
        <v>0</v>
      </c>
      <c r="AN115" s="488" t="n">
        <f aca="false">(AM115+AL115+AK115*(1+RdsonTopTc*Ta-RdsonTopTc*25))/(1-AK115*RdsonTopTc*ThetaJA_Q4)</f>
        <v>0</v>
      </c>
      <c r="AO115" s="488" t="n">
        <f aca="false">CHOOSE(J115, SQRT(Iout^2+(P115^2)/12), SQRT(1-O115)*SQRT(L115^2+(P115^2)/12), SQRT(1-O115)*SQRT(M115^2+(P115^2)/12))</f>
        <v>6.17429786685692</v>
      </c>
      <c r="AP115" s="488" t="n">
        <f aca="false">Rdson3*AO115^2</f>
        <v>0.0724317128824805</v>
      </c>
      <c r="AQ115" s="488" t="n">
        <f aca="false">CHOOSE(J115, 0, IF(L115&lt;P115/2,Deadtime*Fsw*IF(VfdSky_Q3&gt;0,0,Vsd_Q3)*(L115+P115/2), 2*Deadtime*Fsw*IF(VfdSky_Q3&gt;0,0,Vsd_Q3)*L115), IF(L115&lt;P115/2,Deadtime*Fsw/2*IF(VfdSky_Q3&gt;0,0,Vsd_Q3)*(L115+P115/2), 2*Deadtime*Fsw/2*IF(VfdSky_Q3&gt;0,0,Vsd_Q3)*L115))</f>
        <v>0</v>
      </c>
      <c r="AR115" s="488" t="n">
        <f aca="false">(AQ115+AP115*(1+RdsonBotTc*Ta-RdsonBotTc*25))/(1-AP115*RdsonBotTc*ThetaJA_Q3)</f>
        <v>0.0734964070126067</v>
      </c>
      <c r="AS115" s="488" t="n">
        <f aca="false">CHOOSE(J115, Rdson3*Q115^2, Rdson1*Q115^2, 0)</f>
        <v>0.0724317128824805</v>
      </c>
      <c r="AT115" s="488" t="n">
        <f aca="false">CHOOSE(J115, 2*Deadtime*Fsw*IF(VfdSky_Q2&gt;0,VfdSky_Q2,0)*K115, 2*Deadtime*Fsw*IF(VfdSky_Q3&gt;0,VfdSky_Q3,0)*L115, 2*Deadtime*Fsw/2*IF(VfdSky_Q2&gt;0,VfdSky_Q2,0)*K115+2*Deadtime*Fsw/2*IF(VfdSky_Q3&gt;0,VfdSky_Q3,0)*L115)</f>
        <v>0</v>
      </c>
      <c r="AU115" s="488" t="n">
        <f aca="false">CHOOSE(J115, IF(QrrSky_Q2&gt;0,QrrSky_Q2,Qrr_Q2)*Fsw*(H115-K115*Rdson1), IF(QrrSky_Q3&gt;0,QrrSky_Q3,Qrr_Q3)*Fsw*Vout,  IF(QrrSky_Q2&gt;0,QrrSky_Q2,Qrr_Q2)*Fsw/2*(H115-K115*Rdson1)+IF(QrrSky_Q3&gt;0,QrrSky_Q3,Qrr_Q3)*Fsw/2*Vout)</f>
        <v>0.55350162</v>
      </c>
      <c r="AV115" s="488" t="n">
        <f aca="false">CHOOSE(J115, Rs*AF115^2, Rs*AJ115^2, Rs*(AF115^2+AJ115^2))</f>
        <v>0.179297799984952</v>
      </c>
      <c r="AW115" s="488" t="n">
        <f aca="false">Rshunt_std/1000*Iout^2</f>
        <v>0.14832</v>
      </c>
      <c r="AX115" s="488" t="n">
        <f aca="false">IF(Vout&gt;8, Iq*Vout, Iq*H115)</f>
        <v>0.036</v>
      </c>
      <c r="AY115" s="488" t="n">
        <f aca="false">CHOOSE(J115, (Qg_Q1+Qg_Q2)*Fsw, (Qg_Q3+Qg_Q4)*Fsw, (Qg_Q1+Qg_Q2+Qg_Q3+Qg_Q4)*Fsw/2)*IF(Vout&gt;8, Vout, H115)</f>
        <v>0.0792</v>
      </c>
      <c r="AZ115" s="488" t="n">
        <f aca="false">(Vin-Vdd)*Fsw*(Qg_Q1+Qg_Q2)+(RdsonDRT+RdsonDRT2)*Fsw*Qg_Q1*Vdd/(RdsonDRT+2*Rgate1+RdsonDRT2)+(RdsonDRB+RdsonDRB2)*Fsw*Qg_Q2*Vdd/(RdsonDRB+2*Rgate2+RdsonDRB2)</f>
        <v>0.0522</v>
      </c>
      <c r="BA115" s="488" t="n">
        <f aca="false">SUM(AX115:AY115)</f>
        <v>0.1152</v>
      </c>
      <c r="BB115" s="488" t="n">
        <f aca="false">SUM(T115,W115,Z115,AE115,AI115,AN115,AR115, AT115,AU115,BA115,AV115,AW115)</f>
        <v>2.47543452815817</v>
      </c>
      <c r="BC115" s="419" t="n">
        <f aca="false">Vout*K115</f>
        <v>72</v>
      </c>
      <c r="BD115" s="589" t="n">
        <f aca="false">BC115/(BC115+BB115)</f>
        <v>0.966761730980942</v>
      </c>
      <c r="BE115" s="590" t="n">
        <f aca="false">IF(H115&gt;Vout,ThetaJA_Q1*(AE115+AU115),ThetaJA_Q4*(AN115+AU115))</f>
        <v>41.3548800053059</v>
      </c>
      <c r="BF115" s="590" t="n">
        <f aca="false">IF(H115&gt;Vout, AI115*ThetaJA_Q2, ThetaJA_Q3*AR115)</f>
        <v>13.943745947977</v>
      </c>
      <c r="BG115" s="536"/>
      <c r="BH115" s="385" t="n">
        <f aca="false">BD115*100</f>
        <v>96.6761730980942</v>
      </c>
      <c r="BI115" s="488" t="n">
        <f aca="false">T115</f>
        <v>0.824066261357389</v>
      </c>
      <c r="BJ115" s="488" t="n">
        <f aca="false">AE115+AI115+AN115+AR115+AU115</f>
        <v>1.17946892607826</v>
      </c>
      <c r="BK115" s="488" t="n">
        <f aca="false">AI115+AU115*0.33</f>
        <v>0.46153045355954</v>
      </c>
      <c r="BL115" s="488" t="n">
        <f aca="false">AV115</f>
        <v>0.179297799984952</v>
      </c>
    </row>
    <row r="116" customFormat="false" ht="12.75" hidden="false" customHeight="false" outlineLevel="0" collapsed="false">
      <c r="G116" s="0" t="n">
        <v>107</v>
      </c>
      <c r="H116" s="586" t="n">
        <f aca="false">VIN_min+(VIN_max-VIN_min)*(G116/200)</f>
        <v>29.54</v>
      </c>
      <c r="I116" s="385" t="str">
        <f aca="false">IF(H116&gt;VIN_BB_to_buck, "BUCK", IF(H116&lt;VIN_boost_to_BB,"BOOST","BUCK-BST"))</f>
        <v>BUCK</v>
      </c>
      <c r="J116" s="419" t="n">
        <f aca="false">IF(I116="BOOST",2, IF(I116="BUCK", 1,3))</f>
        <v>1</v>
      </c>
      <c r="K116" s="0" t="n">
        <f aca="false">Iout</f>
        <v>6</v>
      </c>
      <c r="L116" s="385" t="n">
        <f aca="false">Vout*K116/(H116*Efficiency)</f>
        <v>2.708192281652</v>
      </c>
      <c r="M116" s="385" t="n">
        <f aca="false">Iout/(1-O116)</f>
        <v>6</v>
      </c>
      <c r="N116" s="488" t="n">
        <f aca="false">CHOOSE(J116,(Vout+(Rdson2+Rs+Rdcr)*K116)/(H116+(Rs+Rdson2-Rdson1)*K116),1,IF(H116&lt;Vout,D_max_buck_BB,Vout/H116*(1-D_min_boost_exitBB_to_buck)))</f>
        <v>0.409027308368257</v>
      </c>
      <c r="O116" s="488" t="n">
        <f aca="false">CHOOSE(J116,0,(Vout+(Rdson3+Rdcr)*L116-H116)/(Vout+(Rdson3-Rdson4-Rs)*L116),IF(H116&gt;Vout,D_min_boost_exitBB_to_buck, (Vout-H116*D_max_buck_BB)/Vout))</f>
        <v>0</v>
      </c>
      <c r="P116" s="385" t="n">
        <f aca="false">MAX(0, CHOOSE(J116, (H116-(Rdson1+Rdcr)*K116-Vout)*N116/(Fsw*Lf), (H116-(Rdson4+Rdcr+Rs)*L116)*O116/(Fsw*Lf), IF(H116&lt;Vout, (H116-(Rdson4+Rdcr+Rs)*L116)*O116/(0.5*Fsw*Lf),(H116-(Rdson1+Rdcr)*K116-Vout)*N116/(0.5*Fsw*Lf))))</f>
        <v>5.07243177725875</v>
      </c>
      <c r="Q116" s="488" t="n">
        <f aca="false">CHOOSE(J116, SQRT(K116^2+(P116^2)/12), SQRT(L116^2+(P116^2)/12), SQRT(M116^2+(P116^2)/12))</f>
        <v>6.17609345335534</v>
      </c>
      <c r="R116" s="488" t="n">
        <f aca="false">(Q116^2*Rdcr*(1+Ltc*Ta-Ltc*25))/(1-Q116^2*Rdcr*Ltc*ThetaCa)</f>
        <v>0.12910260441527</v>
      </c>
      <c r="S116" s="488" t="n">
        <f aca="false">7.759*10^-3*Fsw^0.9458*(0.00787*P116)^2.304</f>
        <v>0.70341394913822</v>
      </c>
      <c r="T116" s="488" t="n">
        <f aca="false">R116+S116</f>
        <v>0.832516553553491</v>
      </c>
      <c r="U116" s="385" t="n">
        <f aca="false">IF(H116&gt;Vout, P116/SQRT(12), SQRT(O116/(1-O116))*SQRT(K116^2+(P116^2)/12))</f>
        <v>1.46428492602318</v>
      </c>
      <c r="V116" s="488" t="n">
        <f aca="false">RCoutEsr*U116^2</f>
        <v>0.0107206517228935</v>
      </c>
      <c r="W116" s="488" t="n">
        <f aca="false">V116</f>
        <v>0.0107206517228935</v>
      </c>
      <c r="X116" s="488" t="n">
        <f aca="false">IF(H116&gt;Vout, SQRT(N116*(1-N116))*SQRT(K116^2+(P116^2)/12), P116/SQRT(12))</f>
        <v>3.03650302080136</v>
      </c>
      <c r="Y116" s="587" t="n">
        <f aca="false">RCinEsr*X116^2</f>
        <v>0.0184407011906715</v>
      </c>
      <c r="Z116" s="588" t="n">
        <f aca="false">Y116</f>
        <v>0.0184407011906715</v>
      </c>
      <c r="AA116" s="488" t="n">
        <f aca="false">CHOOSE(J116, SQRT(N116)*SQRT(K116^2+(P116^2)/12), SQRT(L116^2+(P116^2)/12), SQRT(N116)*SQRT(M116^2+(P116^2)/12))</f>
        <v>3.94993556465052</v>
      </c>
      <c r="AB116" s="488" t="n">
        <f aca="false">Rdson1*AA116^2</f>
        <v>0.0889313484998787</v>
      </c>
      <c r="AC116" s="488" t="n">
        <f aca="false">CHOOSE(J116, (H116*K116/2)*(Fsw)*(Tr_buck+Tf_buck), 0, (H116*M116/2)*(Fsw/2)*(Tr_buck+Tf_buck))</f>
        <v>0.180494909612626</v>
      </c>
      <c r="AD116" s="0" t="n">
        <f aca="false">IF(H116&gt;Vout, IF(K116&gt;P116/2,0,ABS(K116-P116/2)*Vsd_Q1*Deadtime*Fsw),0)</f>
        <v>0</v>
      </c>
      <c r="AE116" s="488" t="n">
        <f aca="false">(AD116+AC116+AB116*(1+RdsonTopTc*Ta-RdsonTopTc*25))/(1-AB116*RdsonTopTc*ThetaJA_Q1)</f>
        <v>0.274305123010453</v>
      </c>
      <c r="AF116" s="488" t="n">
        <f aca="false">CHOOSE(J116, SQRT((1-N116))*SQRT(K116^2+(P116^2)/12), 0, SQRT((1-N116))*SQRT(M116^2+(P116^2)/12))</f>
        <v>4.74785629307456</v>
      </c>
      <c r="AG116" s="488" t="n">
        <f aca="false">Rdson2*AF116^2</f>
        <v>0.12849019446422</v>
      </c>
      <c r="AH116" s="488" t="n">
        <f aca="false">CHOOSE(J116, IF(K116&lt;P116/2,Deadtime*Fsw*IF(VfdSky_Q2&gt;0,0,Vsd_Q2)*(K116+P116/2),2*Deadtime*Fsw*IF(VfdSky_Q2&gt;0,0,Vsd_Q2)*K116),0, IF(K116&lt;P116/2,Deadtime*Fsw/2*IF(VfdSky_Q2&gt;0,0,Vsd_Q2)*(K116+P116/2),2*Deadtime*Fsw/2*IF(VfdSky_Q2&gt;0,0,Vsd_Q2)*K116))</f>
        <v>0.144</v>
      </c>
      <c r="AI116" s="488" t="n">
        <f aca="false">(AH116+AG116*(1+RdsonBotTc*Ta-RdsonBotTc*25))/(1-AG116*RdsonBotTc*ThetaJA_Q2)</f>
        <v>0.279677353984358</v>
      </c>
      <c r="AJ116" s="488" t="n">
        <f aca="false">CHOOSE(J116, 0, SQRT(O116)*SQRT(L116^2+(P116^2)/12), SQRT(O116)*SQRT(M116^2+(P116^2)/12))</f>
        <v>0</v>
      </c>
      <c r="AK116" s="488" t="n">
        <f aca="false">Rdson4*AJ116^2</f>
        <v>0</v>
      </c>
      <c r="AL116" s="488" t="n">
        <f aca="false">CHOOSE(J116, 0, (Vout*L116/2)*(Fsw)*(Tr_boost+Tf_boost), (Vout*Iout/2)*(Fsw/2)*(Tr_boost+Tf_boost))</f>
        <v>0</v>
      </c>
      <c r="AM116" s="0" t="n">
        <f aca="false">IF(H116&gt;Vout, 0, IF(L116&gt;P116/2,0,ABS(L116-P116/2)*Vsd_Q4*Deadtime*Fsw))</f>
        <v>0</v>
      </c>
      <c r="AN116" s="488" t="n">
        <f aca="false">(AM116+AL116+AK116*(1+RdsonTopTc*Ta-RdsonTopTc*25))/(1-AK116*RdsonTopTc*ThetaJA_Q4)</f>
        <v>0</v>
      </c>
      <c r="AO116" s="488" t="n">
        <f aca="false">CHOOSE(J116, SQRT(Iout^2+(P116^2)/12), SQRT(1-O116)*SQRT(L116^2+(P116^2)/12), SQRT(1-O116)*SQRT(M116^2+(P116^2)/12))</f>
        <v>6.17609345335534</v>
      </c>
      <c r="AP116" s="488" t="n">
        <f aca="false">Rdson3*AO116^2</f>
        <v>0.0724738476546995</v>
      </c>
      <c r="AQ116" s="488" t="n">
        <f aca="false">CHOOSE(J116, 0, IF(L116&lt;P116/2,Deadtime*Fsw*IF(VfdSky_Q3&gt;0,0,Vsd_Q3)*(L116+P116/2), 2*Deadtime*Fsw*IF(VfdSky_Q3&gt;0,0,Vsd_Q3)*L116), IF(L116&lt;P116/2,Deadtime*Fsw/2*IF(VfdSky_Q3&gt;0,0,Vsd_Q3)*(L116+P116/2), 2*Deadtime*Fsw/2*IF(VfdSky_Q3&gt;0,0,Vsd_Q3)*L116))</f>
        <v>0</v>
      </c>
      <c r="AR116" s="488" t="n">
        <f aca="false">(AQ116+AP116*(1+RdsonBotTc*Ta-RdsonBotTc*25))/(1-AP116*RdsonBotTc*ThetaJA_Q3)</f>
        <v>0.0735397899615459</v>
      </c>
      <c r="AS116" s="488" t="n">
        <f aca="false">CHOOSE(J116, Rdson3*Q116^2, Rdson1*Q116^2, 0)</f>
        <v>0.0724738476546995</v>
      </c>
      <c r="AT116" s="488" t="n">
        <f aca="false">CHOOSE(J116, 2*Deadtime*Fsw*IF(VfdSky_Q2&gt;0,VfdSky_Q2,0)*K116, 2*Deadtime*Fsw*IF(VfdSky_Q3&gt;0,VfdSky_Q3,0)*L116, 2*Deadtime*Fsw/2*IF(VfdSky_Q2&gt;0,VfdSky_Q2,0)*K116+2*Deadtime*Fsw/2*IF(VfdSky_Q3&gt;0,VfdSky_Q3,0)*L116)</f>
        <v>0</v>
      </c>
      <c r="AU116" s="488" t="n">
        <f aca="false">CHOOSE(J116, IF(QrrSky_Q2&gt;0,QrrSky_Q2,Qrr_Q2)*Fsw*(H116-K116*Rdson1), IF(QrrSky_Q3&gt;0,QrrSky_Q3,Qrr_Q3)*Fsw*Vout,  IF(QrrSky_Q2&gt;0,QrrSky_Q2,Qrr_Q2)*Fsw/2*(H116-K116*Rdson1)+IF(QrrSky_Q3&gt;0,QrrSky_Q3,Qrr_Q3)*Fsw/2*Vout)</f>
        <v>0.55765962</v>
      </c>
      <c r="AV116" s="488" t="n">
        <f aca="false">CHOOSE(J116, Rs*AF116^2, Rs*AJ116^2, Rs*(AF116^2+AJ116^2))</f>
        <v>0.180337115037502</v>
      </c>
      <c r="AW116" s="488" t="n">
        <f aca="false">Rshunt_std/1000*Iout^2</f>
        <v>0.14832</v>
      </c>
      <c r="AX116" s="488" t="n">
        <f aca="false">IF(Vout&gt;8, Iq*Vout, Iq*H116)</f>
        <v>0.036</v>
      </c>
      <c r="AY116" s="488" t="n">
        <f aca="false">CHOOSE(J116, (Qg_Q1+Qg_Q2)*Fsw, (Qg_Q3+Qg_Q4)*Fsw, (Qg_Q1+Qg_Q2+Qg_Q3+Qg_Q4)*Fsw/2)*IF(Vout&gt;8, Vout, H116)</f>
        <v>0.0792</v>
      </c>
      <c r="AZ116" s="488" t="n">
        <f aca="false">(Vin-Vdd)*Fsw*(Qg_Q1+Qg_Q2)+(RdsonDRT+RdsonDRT2)*Fsw*Qg_Q1*Vdd/(RdsonDRT+2*Rgate1+RdsonDRT2)+(RdsonDRB+RdsonDRB2)*Fsw*Qg_Q2*Vdd/(RdsonDRB+2*Rgate2+RdsonDRB2)</f>
        <v>0.0522</v>
      </c>
      <c r="BA116" s="488" t="n">
        <f aca="false">SUM(AX116:AY116)</f>
        <v>0.1152</v>
      </c>
      <c r="BB116" s="488" t="n">
        <f aca="false">SUM(T116,W116,Z116,AE116,AI116,AN116,AR116, AT116,AU116,BA116,AV116,AW116)</f>
        <v>2.49071690846091</v>
      </c>
      <c r="BC116" s="419" t="n">
        <f aca="false">Vout*K116</f>
        <v>72</v>
      </c>
      <c r="BD116" s="589" t="n">
        <f aca="false">BC116/(BC116+BB116)</f>
        <v>0.966563391898595</v>
      </c>
      <c r="BE116" s="590" t="n">
        <f aca="false">IF(H116&gt;Vout,ThetaJA_Q1*(AE116+AU116),ThetaJA_Q4*(AN116+AU116))</f>
        <v>41.5982371505227</v>
      </c>
      <c r="BF116" s="590" t="n">
        <f aca="false">IF(H116&gt;Vout, AI116*ThetaJA_Q2, ThetaJA_Q3*AR116)</f>
        <v>13.9838676992179</v>
      </c>
      <c r="BG116" s="536"/>
      <c r="BH116" s="385" t="n">
        <f aca="false">BD116*100</f>
        <v>96.6563391898595</v>
      </c>
      <c r="BI116" s="488" t="n">
        <f aca="false">T116</f>
        <v>0.832516553553491</v>
      </c>
      <c r="BJ116" s="488" t="n">
        <f aca="false">AE116+AI116+AN116+AR116+AU116</f>
        <v>1.18518188695636</v>
      </c>
      <c r="BK116" s="488" t="n">
        <f aca="false">AI116+AU116*0.33</f>
        <v>0.463705028584358</v>
      </c>
      <c r="BL116" s="488" t="n">
        <f aca="false">AV116</f>
        <v>0.180337115037502</v>
      </c>
    </row>
    <row r="117" customFormat="false" ht="12.75" hidden="false" customHeight="false" outlineLevel="0" collapsed="false">
      <c r="G117" s="0" t="n">
        <v>108</v>
      </c>
      <c r="H117" s="586" t="n">
        <f aca="false">VIN_min+(VIN_max-VIN_min)*(G117/200)</f>
        <v>29.76</v>
      </c>
      <c r="I117" s="385" t="str">
        <f aca="false">IF(H117&gt;VIN_BB_to_buck, "BUCK", IF(H117&lt;VIN_boost_to_BB,"BOOST","BUCK-BST"))</f>
        <v>BUCK</v>
      </c>
      <c r="J117" s="419" t="n">
        <f aca="false">IF(I117="BOOST",2, IF(I117="BUCK", 1,3))</f>
        <v>1</v>
      </c>
      <c r="K117" s="0" t="n">
        <f aca="false">Iout</f>
        <v>6</v>
      </c>
      <c r="L117" s="385" t="n">
        <f aca="false">Vout*K117/(H117*Efficiency)</f>
        <v>2.68817204301075</v>
      </c>
      <c r="M117" s="385" t="n">
        <f aca="false">Iout/(1-O117)</f>
        <v>6</v>
      </c>
      <c r="N117" s="488" t="n">
        <f aca="false">CHOOSE(J117,(Vout+(Rdson2+Rs+Rdcr)*K117)/(H117+(Rs+Rdson2-Rdson1)*K117),1,IF(H117&lt;Vout,D_max_buck_BB,Vout/H117*(1-D_min_boost_exitBB_to_buck)))</f>
        <v>0.40600845410628</v>
      </c>
      <c r="O117" s="488" t="n">
        <f aca="false">CHOOSE(J117,0,(Vout+(Rdson3+Rdcr)*L117-H117)/(Vout+(Rdson3-Rdson4-Rs)*L117),IF(H117&gt;Vout,D_min_boost_exitBB_to_buck, (Vout-H117*D_max_buck_BB)/Vout))</f>
        <v>0</v>
      </c>
      <c r="P117" s="385" t="n">
        <f aca="false">MAX(0, CHOOSE(J117, (H117-(Rdson1+Rdcr)*K117-Vout)*N117/(Fsw*Lf), (H117-(Rdson4+Rdcr+Rs)*L117)*O117/(Fsw*Lf), IF(H117&lt;Vout, (H117-(Rdson4+Rdcr+Rs)*L117)*O117/(0.5*Fsw*Lf),(H117-(Rdson1+Rdcr)*K117-Vout)*N117/(0.5*Fsw*Lf))))</f>
        <v>5.09834318146778</v>
      </c>
      <c r="Q117" s="488" t="n">
        <f aca="false">CHOOSE(J117, SQRT(K117^2+(P117^2)/12), SQRT(L117^2+(P117^2)/12), SQRT(M117^2+(P117^2)/12))</f>
        <v>6.1778711489478</v>
      </c>
      <c r="R117" s="488" t="n">
        <f aca="false">(Q117^2*Rdcr*(1+Ltc*Ta-Ltc*25))/(1-Q117^2*Rdcr*Ltc*ThetaCa)</f>
        <v>0.129177703750925</v>
      </c>
      <c r="S117" s="488" t="n">
        <f aca="false">7.759*10^-3*Fsw^0.9458*(0.00787*P117)^2.304</f>
        <v>0.711720351961256</v>
      </c>
      <c r="T117" s="488" t="n">
        <f aca="false">R117+S117</f>
        <v>0.840898055712182</v>
      </c>
      <c r="U117" s="385" t="n">
        <f aca="false">IF(H117&gt;Vout, P117/SQRT(12), SQRT(O117/(1-O117))*SQRT(K117^2+(P117^2)/12))</f>
        <v>1.47176490412076</v>
      </c>
      <c r="V117" s="488" t="n">
        <f aca="false">RCoutEsr*U117^2</f>
        <v>0.0108304596650079</v>
      </c>
      <c r="W117" s="488" t="n">
        <f aca="false">V117</f>
        <v>0.0108304596650079</v>
      </c>
      <c r="X117" s="488" t="n">
        <f aca="false">IF(H117&gt;Vout, SQRT(N117*(1-N117))*SQRT(K117^2+(P117^2)/12), P117/SQRT(12))</f>
        <v>3.03386684815265</v>
      </c>
      <c r="Y117" s="587" t="n">
        <f aca="false">RCinEsr*X117^2</f>
        <v>0.0184086961046394</v>
      </c>
      <c r="Z117" s="588" t="n">
        <f aca="false">Y117</f>
        <v>0.0184086961046394</v>
      </c>
      <c r="AA117" s="488" t="n">
        <f aca="false">CHOOSE(J117, SQRT(N117)*SQRT(K117^2+(P117^2)/12), SQRT(L117^2+(P117^2)/12), SQRT(N117)*SQRT(M117^2+(P117^2)/12))</f>
        <v>3.93646490966148</v>
      </c>
      <c r="AB117" s="488" t="n">
        <f aca="false">Rdson1*AA117^2</f>
        <v>0.088325809114478</v>
      </c>
      <c r="AC117" s="488" t="n">
        <f aca="false">CHOOSE(J117, (H117*K117/2)*(Fsw)*(Tr_buck+Tf_buck), 0, (H117*M117/2)*(Fsw/2)*(Tr_buck+Tf_buck))</f>
        <v>0.181839150645624</v>
      </c>
      <c r="AD117" s="0" t="n">
        <f aca="false">IF(H117&gt;Vout, IF(K117&gt;P117/2,0,ABS(K117-P117/2)*Vsd_Q1*Deadtime*Fsw),0)</f>
        <v>0</v>
      </c>
      <c r="AE117" s="488" t="n">
        <f aca="false">(AD117+AC117+AB117*(1+RdsonTopTc*Ta-RdsonTopTc*25))/(1-AB117*RdsonTopTc*ThetaJA_Q1)</f>
        <v>0.2750232906953</v>
      </c>
      <c r="AF117" s="488" t="n">
        <f aca="false">CHOOSE(J117, SQRT((1-N117))*SQRT(K117^2+(P117^2)/12), 0, SQRT((1-N117))*SQRT(M117^2+(P117^2)/12))</f>
        <v>4.76133762171991</v>
      </c>
      <c r="AG117" s="488" t="n">
        <f aca="false">Rdson2*AF117^2</f>
        <v>0.129220914903631</v>
      </c>
      <c r="AH117" s="488" t="n">
        <f aca="false">CHOOSE(J117, IF(K117&lt;P117/2,Deadtime*Fsw*IF(VfdSky_Q2&gt;0,0,Vsd_Q2)*(K117+P117/2),2*Deadtime*Fsw*IF(VfdSky_Q2&gt;0,0,Vsd_Q2)*K117),0, IF(K117&lt;P117/2,Deadtime*Fsw/2*IF(VfdSky_Q2&gt;0,0,Vsd_Q2)*(K117+P117/2),2*Deadtime*Fsw/2*IF(VfdSky_Q2&gt;0,0,Vsd_Q2)*K117))</f>
        <v>0.144</v>
      </c>
      <c r="AI117" s="488" t="n">
        <f aca="false">(AH117+AG117*(1+RdsonBotTc*Ta-RdsonBotTc*25))/(1-AG117*RdsonBotTc*ThetaJA_Q2)</f>
        <v>0.280469417859284</v>
      </c>
      <c r="AJ117" s="488" t="n">
        <f aca="false">CHOOSE(J117, 0, SQRT(O117)*SQRT(L117^2+(P117^2)/12), SQRT(O117)*SQRT(M117^2+(P117^2)/12))</f>
        <v>0</v>
      </c>
      <c r="AK117" s="488" t="n">
        <f aca="false">Rdson4*AJ117^2</f>
        <v>0</v>
      </c>
      <c r="AL117" s="488" t="n">
        <f aca="false">CHOOSE(J117, 0, (Vout*L117/2)*(Fsw)*(Tr_boost+Tf_boost), (Vout*Iout/2)*(Fsw/2)*(Tr_boost+Tf_boost))</f>
        <v>0</v>
      </c>
      <c r="AM117" s="0" t="n">
        <f aca="false">IF(H117&gt;Vout, 0, IF(L117&gt;P117/2,0,ABS(L117-P117/2)*Vsd_Q4*Deadtime*Fsw))</f>
        <v>0</v>
      </c>
      <c r="AN117" s="488" t="n">
        <f aca="false">(AM117+AL117+AK117*(1+RdsonTopTc*Ta-RdsonTopTc*25))/(1-AK117*RdsonTopTc*ThetaJA_Q4)</f>
        <v>0</v>
      </c>
      <c r="AO117" s="488" t="n">
        <f aca="false">CHOOSE(J117, SQRT(Iout^2+(P117^2)/12), SQRT(1-O117)*SQRT(L117^2+(P117^2)/12), SQRT(1-O117)*SQRT(M117^2+(P117^2)/12))</f>
        <v>6.1778711489478</v>
      </c>
      <c r="AP117" s="488" t="n">
        <f aca="false">Rdson3*AO117^2</f>
        <v>0.072515574672703</v>
      </c>
      <c r="AQ117" s="488" t="n">
        <f aca="false">CHOOSE(J117, 0, IF(L117&lt;P117/2,Deadtime*Fsw*IF(VfdSky_Q3&gt;0,0,Vsd_Q3)*(L117+P117/2), 2*Deadtime*Fsw*IF(VfdSky_Q3&gt;0,0,Vsd_Q3)*L117), IF(L117&lt;P117/2,Deadtime*Fsw/2*IF(VfdSky_Q3&gt;0,0,Vsd_Q3)*(L117+P117/2), 2*Deadtime*Fsw/2*IF(VfdSky_Q3&gt;0,0,Vsd_Q3)*L117))</f>
        <v>0</v>
      </c>
      <c r="AR117" s="488" t="n">
        <f aca="false">(AQ117+AP117*(1+RdsonBotTc*Ta-RdsonBotTc*25))/(1-AP117*RdsonBotTc*ThetaJA_Q3)</f>
        <v>0.073582753808386</v>
      </c>
      <c r="AS117" s="488" t="n">
        <f aca="false">CHOOSE(J117, Rdson3*Q117^2, Rdson1*Q117^2, 0)</f>
        <v>0.072515574672703</v>
      </c>
      <c r="AT117" s="488" t="n">
        <f aca="false">CHOOSE(J117, 2*Deadtime*Fsw*IF(VfdSky_Q2&gt;0,VfdSky_Q2,0)*K117, 2*Deadtime*Fsw*IF(VfdSky_Q3&gt;0,VfdSky_Q3,0)*L117, 2*Deadtime*Fsw/2*IF(VfdSky_Q2&gt;0,VfdSky_Q2,0)*K117+2*Deadtime*Fsw/2*IF(VfdSky_Q3&gt;0,VfdSky_Q3,0)*L117)</f>
        <v>0</v>
      </c>
      <c r="AU117" s="488" t="n">
        <f aca="false">CHOOSE(J117, IF(QrrSky_Q2&gt;0,QrrSky_Q2,Qrr_Q2)*Fsw*(H117-K117*Rdson1), IF(QrrSky_Q3&gt;0,QrrSky_Q3,Qrr_Q3)*Fsw*Vout,  IF(QrrSky_Q2&gt;0,QrrSky_Q2,Qrr_Q2)*Fsw/2*(H117-K117*Rdson1)+IF(QrrSky_Q3&gt;0,QrrSky_Q3,Qrr_Q3)*Fsw/2*Vout)</f>
        <v>0.56181762</v>
      </c>
      <c r="AV117" s="488" t="n">
        <f aca="false">CHOOSE(J117, Rs*AF117^2, Rs*AJ117^2, Rs*(AF117^2+AJ117^2))</f>
        <v>0.181362687584044</v>
      </c>
      <c r="AW117" s="488" t="n">
        <f aca="false">Rshunt_std/1000*Iout^2</f>
        <v>0.14832</v>
      </c>
      <c r="AX117" s="488" t="n">
        <f aca="false">IF(Vout&gt;8, Iq*Vout, Iq*H117)</f>
        <v>0.036</v>
      </c>
      <c r="AY117" s="488" t="n">
        <f aca="false">CHOOSE(J117, (Qg_Q1+Qg_Q2)*Fsw, (Qg_Q3+Qg_Q4)*Fsw, (Qg_Q1+Qg_Q2+Qg_Q3+Qg_Q4)*Fsw/2)*IF(Vout&gt;8, Vout, H117)</f>
        <v>0.0792</v>
      </c>
      <c r="AZ117" s="488" t="n">
        <f aca="false">(Vin-Vdd)*Fsw*(Qg_Q1+Qg_Q2)+(RdsonDRT+RdsonDRT2)*Fsw*Qg_Q1*Vdd/(RdsonDRT+2*Rgate1+RdsonDRT2)+(RdsonDRB+RdsonDRB2)*Fsw*Qg_Q2*Vdd/(RdsonDRB+2*Rgate2+RdsonDRB2)</f>
        <v>0.0522</v>
      </c>
      <c r="BA117" s="488" t="n">
        <f aca="false">SUM(AX117:AY117)</f>
        <v>0.1152</v>
      </c>
      <c r="BB117" s="488" t="n">
        <f aca="false">SUM(T117,W117,Z117,AE117,AI117,AN117,AR117, AT117,AU117,BA117,AV117,AW117)</f>
        <v>2.50591298142884</v>
      </c>
      <c r="BC117" s="419" t="n">
        <f aca="false">Vout*K117</f>
        <v>72</v>
      </c>
      <c r="BD117" s="589" t="n">
        <f aca="false">BC117/(BC117+BB117)</f>
        <v>0.966366253614616</v>
      </c>
      <c r="BE117" s="590" t="n">
        <f aca="false">IF(H117&gt;Vout,ThetaJA_Q1*(AE117+AU117),ThetaJA_Q4*(AN117+AU117))</f>
        <v>41.842045534765</v>
      </c>
      <c r="BF117" s="590" t="n">
        <f aca="false">IF(H117&gt;Vout, AI117*ThetaJA_Q2, ThetaJA_Q3*AR117)</f>
        <v>14.0234708929642</v>
      </c>
      <c r="BG117" s="536"/>
      <c r="BH117" s="385" t="n">
        <f aca="false">BD117*100</f>
        <v>96.6366253614616</v>
      </c>
      <c r="BI117" s="488" t="n">
        <f aca="false">T117</f>
        <v>0.840898055712182</v>
      </c>
      <c r="BJ117" s="488" t="n">
        <f aca="false">AE117+AI117+AN117+AR117+AU117</f>
        <v>1.19089308236297</v>
      </c>
      <c r="BK117" s="488" t="n">
        <f aca="false">AI117+AU117*0.33</f>
        <v>0.465869232459284</v>
      </c>
      <c r="BL117" s="488" t="n">
        <f aca="false">AV117</f>
        <v>0.181362687584044</v>
      </c>
    </row>
    <row r="118" customFormat="false" ht="12.75" hidden="false" customHeight="false" outlineLevel="0" collapsed="false">
      <c r="G118" s="0" t="n">
        <v>109</v>
      </c>
      <c r="H118" s="586" t="n">
        <f aca="false">VIN_min+(VIN_max-VIN_min)*(G118/200)</f>
        <v>29.98</v>
      </c>
      <c r="I118" s="385" t="str">
        <f aca="false">IF(H118&gt;VIN_BB_to_buck, "BUCK", IF(H118&lt;VIN_boost_to_BB,"BOOST","BUCK-BST"))</f>
        <v>BUCK</v>
      </c>
      <c r="J118" s="419" t="n">
        <f aca="false">IF(I118="BOOST",2, IF(I118="BUCK", 1,3))</f>
        <v>1</v>
      </c>
      <c r="K118" s="0" t="n">
        <f aca="false">Iout</f>
        <v>6</v>
      </c>
      <c r="L118" s="385" t="n">
        <f aca="false">Vout*K118/(H118*Efficiency)</f>
        <v>2.66844563042028</v>
      </c>
      <c r="M118" s="385" t="n">
        <f aca="false">Iout/(1-O118)</f>
        <v>6</v>
      </c>
      <c r="N118" s="488" t="n">
        <f aca="false">CHOOSE(J118,(Vout+(Rdson2+Rs+Rdcr)*K118)/(H118+(Rs+Rdson2-Rdson1)*K118),1,IF(H118&lt;Vout,D_max_buck_BB,Vout/H118*(1-D_min_boost_exitBB_to_buck)))</f>
        <v>0.403033835087252</v>
      </c>
      <c r="O118" s="488" t="n">
        <f aca="false">CHOOSE(J118,0,(Vout+(Rdson3+Rdcr)*L118-H118)/(Vout+(Rdson3-Rdson4-Rs)*L118),IF(H118&gt;Vout,D_min_boost_exitBB_to_buck, (Vout-H118*D_max_buck_BB)/Vout))</f>
        <v>0</v>
      </c>
      <c r="P118" s="385" t="n">
        <f aca="false">MAX(0, CHOOSE(J118, (H118-(Rdson1+Rdcr)*K118-Vout)*N118/(Fsw*Lf), (H118-(Rdson4+Rdcr+Rs)*L118)*O118/(Fsw*Lf), IF(H118&lt;Vout, (H118-(Rdson4+Rdcr+Rs)*L118)*O118/(0.5*Fsw*Lf),(H118-(Rdson1+Rdcr)*K118-Vout)*N118/(0.5*Fsw*Lf))))</f>
        <v>5.12387490611599</v>
      </c>
      <c r="Q118" s="488" t="n">
        <f aca="false">CHOOSE(J118, SQRT(K118^2+(P118^2)/12), SQRT(L118^2+(P118^2)/12), SQRT(M118^2+(P118^2)/12))</f>
        <v>6.17963115170534</v>
      </c>
      <c r="R118" s="488" t="n">
        <f aca="false">(Q118^2*Rdcr*(1+Ltc*Ta-Ltc*25))/(1-Q118^2*Rdcr*Ltc*ThetaCa)</f>
        <v>0.129252077818709</v>
      </c>
      <c r="S118" s="488" t="n">
        <f aca="false">7.759*10^-3*Fsw^0.9458*(0.00787*P118)^2.304</f>
        <v>0.719959064973432</v>
      </c>
      <c r="T118" s="488" t="n">
        <f aca="false">R118+S118</f>
        <v>0.84921114279214</v>
      </c>
      <c r="U118" s="385" t="n">
        <f aca="false">IF(H118&gt;Vout, P118/SQRT(12), SQRT(O118/(1-O118))*SQRT(K118^2+(P118^2)/12))</f>
        <v>1.47913527817002</v>
      </c>
      <c r="V118" s="488" t="n">
        <f aca="false">RCoutEsr*U118^2</f>
        <v>0.0109392058556355</v>
      </c>
      <c r="W118" s="488" t="n">
        <f aca="false">V118</f>
        <v>0.0109392058556355</v>
      </c>
      <c r="X118" s="488" t="n">
        <f aca="false">IF(H118&gt;Vout, SQRT(N118*(1-N118))*SQRT(K118^2+(P118^2)/12), P118/SQRT(12))</f>
        <v>3.03115514560681</v>
      </c>
      <c r="Y118" s="587" t="n">
        <f aca="false">RCinEsr*X118^2</f>
        <v>0.0183758030334773</v>
      </c>
      <c r="Z118" s="588" t="n">
        <f aca="false">Y118</f>
        <v>0.0183758030334773</v>
      </c>
      <c r="AA118" s="488" t="n">
        <f aca="false">CHOOSE(J118, SQRT(N118)*SQRT(K118^2+(P118^2)/12), SQRT(L118^2+(P118^2)/12), SQRT(N118)*SQRT(M118^2+(P118^2)/12))</f>
        <v>3.92313549102019</v>
      </c>
      <c r="AB118" s="488" t="n">
        <f aca="false">Rdson1*AA118^2</f>
        <v>0.0877286548611426</v>
      </c>
      <c r="AC118" s="488" t="n">
        <f aca="false">CHOOSE(J118, (H118*K118/2)*(Fsw)*(Tr_buck+Tf_buck), 0, (H118*M118/2)*(Fsw/2)*(Tr_buck+Tf_buck))</f>
        <v>0.183183391678623</v>
      </c>
      <c r="AD118" s="0" t="n">
        <f aca="false">IF(H118&gt;Vout, IF(K118&gt;P118/2,0,ABS(K118-P118/2)*Vsd_Q1*Deadtime*Fsw),0)</f>
        <v>0</v>
      </c>
      <c r="AE118" s="488" t="n">
        <f aca="false">(AD118+AC118+AB118*(1+RdsonTopTc*Ta-RdsonTopTc*25))/(1-AB118*RdsonTopTc*ThetaJA_Q1)</f>
        <v>0.275750286889035</v>
      </c>
      <c r="AF118" s="488" t="n">
        <f aca="false">CHOOSE(J118, SQRT((1-N118))*SQRT(K118^2+(P118^2)/12), 0, SQRT((1-N118))*SQRT(M118^2+(P118^2)/12))</f>
        <v>4.77460460040671</v>
      </c>
      <c r="AG118" s="488" t="n">
        <f aca="false">Rdson2*AF118^2</f>
        <v>0.129942039814282</v>
      </c>
      <c r="AH118" s="488" t="n">
        <f aca="false">CHOOSE(J118, IF(K118&lt;P118/2,Deadtime*Fsw*IF(VfdSky_Q2&gt;0,0,Vsd_Q2)*(K118+P118/2),2*Deadtime*Fsw*IF(VfdSky_Q2&gt;0,0,Vsd_Q2)*K118),0, IF(K118&lt;P118/2,Deadtime*Fsw/2*IF(VfdSky_Q2&gt;0,0,Vsd_Q2)*(K118+P118/2),2*Deadtime*Fsw/2*IF(VfdSky_Q2&gt;0,0,Vsd_Q2)*K118))</f>
        <v>0.144</v>
      </c>
      <c r="AI118" s="488" t="n">
        <f aca="false">(AH118+AG118*(1+RdsonBotTc*Ta-RdsonBotTc*25))/(1-AG118*RdsonBotTc*ThetaJA_Q2)</f>
        <v>0.281251313694668</v>
      </c>
      <c r="AJ118" s="488" t="n">
        <f aca="false">CHOOSE(J118, 0, SQRT(O118)*SQRT(L118^2+(P118^2)/12), SQRT(O118)*SQRT(M118^2+(P118^2)/12))</f>
        <v>0</v>
      </c>
      <c r="AK118" s="488" t="n">
        <f aca="false">Rdson4*AJ118^2</f>
        <v>0</v>
      </c>
      <c r="AL118" s="488" t="n">
        <f aca="false">CHOOSE(J118, 0, (Vout*L118/2)*(Fsw)*(Tr_boost+Tf_boost), (Vout*Iout/2)*(Fsw/2)*(Tr_boost+Tf_boost))</f>
        <v>0</v>
      </c>
      <c r="AM118" s="0" t="n">
        <f aca="false">IF(H118&gt;Vout, 0, IF(L118&gt;P118/2,0,ABS(L118-P118/2)*Vsd_Q4*Deadtime*Fsw))</f>
        <v>0</v>
      </c>
      <c r="AN118" s="488" t="n">
        <f aca="false">(AM118+AL118+AK118*(1+RdsonTopTc*Ta-RdsonTopTc*25))/(1-AK118*RdsonTopTc*ThetaJA_Q4)</f>
        <v>0</v>
      </c>
      <c r="AO118" s="488" t="n">
        <f aca="false">CHOOSE(J118, SQRT(Iout^2+(P118^2)/12), SQRT(1-O118)*SQRT(L118^2+(P118^2)/12), SQRT(1-O118)*SQRT(M118^2+(P118^2)/12))</f>
        <v>6.17963115170534</v>
      </c>
      <c r="AP118" s="488" t="n">
        <f aca="false">Rdson3*AO118^2</f>
        <v>0.0725568982251415</v>
      </c>
      <c r="AQ118" s="488" t="n">
        <f aca="false">CHOOSE(J118, 0, IF(L118&lt;P118/2,Deadtime*Fsw*IF(VfdSky_Q3&gt;0,0,Vsd_Q3)*(L118+P118/2), 2*Deadtime*Fsw*IF(VfdSky_Q3&gt;0,0,Vsd_Q3)*L118), IF(L118&lt;P118/2,Deadtime*Fsw/2*IF(VfdSky_Q3&gt;0,0,Vsd_Q3)*(L118+P118/2), 2*Deadtime*Fsw/2*IF(VfdSky_Q3&gt;0,0,Vsd_Q3)*L118))</f>
        <v>0</v>
      </c>
      <c r="AR118" s="488" t="n">
        <f aca="false">(AQ118+AP118*(1+RdsonBotTc*Ta-RdsonBotTc*25))/(1-AP118*RdsonBotTc*ThetaJA_Q3)</f>
        <v>0.0736253029476957</v>
      </c>
      <c r="AS118" s="488" t="n">
        <f aca="false">CHOOSE(J118, Rdson3*Q118^2, Rdson1*Q118^2, 0)</f>
        <v>0.0725568982251415</v>
      </c>
      <c r="AT118" s="488" t="n">
        <f aca="false">CHOOSE(J118, 2*Deadtime*Fsw*IF(VfdSky_Q2&gt;0,VfdSky_Q2,0)*K118, 2*Deadtime*Fsw*IF(VfdSky_Q3&gt;0,VfdSky_Q3,0)*L118, 2*Deadtime*Fsw/2*IF(VfdSky_Q2&gt;0,VfdSky_Q2,0)*K118+2*Deadtime*Fsw/2*IF(VfdSky_Q3&gt;0,VfdSky_Q3,0)*L118)</f>
        <v>0</v>
      </c>
      <c r="AU118" s="488" t="n">
        <f aca="false">CHOOSE(J118, IF(QrrSky_Q2&gt;0,QrrSky_Q2,Qrr_Q2)*Fsw*(H118-K118*Rdson1), IF(QrrSky_Q3&gt;0,QrrSky_Q3,Qrr_Q3)*Fsw*Vout,  IF(QrrSky_Q2&gt;0,QrrSky_Q2,Qrr_Q2)*Fsw/2*(H118-K118*Rdson1)+IF(QrrSky_Q3&gt;0,QrrSky_Q3,Qrr_Q3)*Fsw/2*Vout)</f>
        <v>0.56597562</v>
      </c>
      <c r="AV118" s="488" t="n">
        <f aca="false">CHOOSE(J118, Rs*AF118^2, Rs*AJ118^2, Rs*(AF118^2+AJ118^2))</f>
        <v>0.182374792721799</v>
      </c>
      <c r="AW118" s="488" t="n">
        <f aca="false">Rshunt_std/1000*Iout^2</f>
        <v>0.14832</v>
      </c>
      <c r="AX118" s="488" t="n">
        <f aca="false">IF(Vout&gt;8, Iq*Vout, Iq*H118)</f>
        <v>0.036</v>
      </c>
      <c r="AY118" s="488" t="n">
        <f aca="false">CHOOSE(J118, (Qg_Q1+Qg_Q2)*Fsw, (Qg_Q3+Qg_Q4)*Fsw, (Qg_Q1+Qg_Q2+Qg_Q3+Qg_Q4)*Fsw/2)*IF(Vout&gt;8, Vout, H118)</f>
        <v>0.0792</v>
      </c>
      <c r="AZ118" s="488" t="n">
        <f aca="false">(Vin-Vdd)*Fsw*(Qg_Q1+Qg_Q2)+(RdsonDRT+RdsonDRT2)*Fsw*Qg_Q1*Vdd/(RdsonDRT+2*Rgate1+RdsonDRT2)+(RdsonDRB+RdsonDRB2)*Fsw*Qg_Q2*Vdd/(RdsonDRB+2*Rgate2+RdsonDRB2)</f>
        <v>0.0522</v>
      </c>
      <c r="BA118" s="488" t="n">
        <f aca="false">SUM(AX118:AY118)</f>
        <v>0.1152</v>
      </c>
      <c r="BB118" s="488" t="n">
        <f aca="false">SUM(T118,W118,Z118,AE118,AI118,AN118,AR118, AT118,AU118,BA118,AV118,AW118)</f>
        <v>2.52102346793445</v>
      </c>
      <c r="BC118" s="419" t="n">
        <f aca="false">Vout*K118</f>
        <v>72</v>
      </c>
      <c r="BD118" s="589" t="n">
        <f aca="false">BC118/(BC118+BB118)</f>
        <v>0.966170305363302</v>
      </c>
      <c r="BE118" s="590" t="n">
        <f aca="false">IF(H118&gt;Vout,ThetaJA_Q1*(AE118+AU118),ThetaJA_Q4*(AN118+AU118))</f>
        <v>42.0862953444518</v>
      </c>
      <c r="BF118" s="590" t="n">
        <f aca="false">IF(H118&gt;Vout, AI118*ThetaJA_Q2, ThetaJA_Q3*AR118)</f>
        <v>14.0625656847334</v>
      </c>
      <c r="BG118" s="536"/>
      <c r="BH118" s="385" t="n">
        <f aca="false">BD118*100</f>
        <v>96.6170305363302</v>
      </c>
      <c r="BI118" s="488" t="n">
        <f aca="false">T118</f>
        <v>0.84921114279214</v>
      </c>
      <c r="BJ118" s="488" t="n">
        <f aca="false">AE118+AI118+AN118+AR118+AU118</f>
        <v>1.1966025235314</v>
      </c>
      <c r="BK118" s="488" t="n">
        <f aca="false">AI118+AU118*0.33</f>
        <v>0.468023268294668</v>
      </c>
      <c r="BL118" s="488" t="n">
        <f aca="false">AV118</f>
        <v>0.182374792721799</v>
      </c>
    </row>
    <row r="119" customFormat="false" ht="12.75" hidden="false" customHeight="false" outlineLevel="0" collapsed="false">
      <c r="G119" s="0" t="n">
        <v>110</v>
      </c>
      <c r="H119" s="586" t="n">
        <f aca="false">VIN_min+(VIN_max-VIN_min)*(G119/200)</f>
        <v>30.2</v>
      </c>
      <c r="I119" s="385" t="str">
        <f aca="false">IF(H119&gt;VIN_BB_to_buck, "BUCK", IF(H119&lt;VIN_boost_to_BB,"BOOST","BUCK-BST"))</f>
        <v>BUCK</v>
      </c>
      <c r="J119" s="419" t="n">
        <f aca="false">IF(I119="BOOST",2, IF(I119="BUCK", 1,3))</f>
        <v>1</v>
      </c>
      <c r="K119" s="0" t="n">
        <f aca="false">Iout</f>
        <v>6</v>
      </c>
      <c r="L119" s="385" t="n">
        <f aca="false">Vout*K119/(H119*Efficiency)</f>
        <v>2.64900662251656</v>
      </c>
      <c r="M119" s="385" t="n">
        <f aca="false">Iout/(1-O119)</f>
        <v>6</v>
      </c>
      <c r="N119" s="488" t="n">
        <f aca="false">CHOOSE(J119,(Vout+(Rdson2+Rs+Rdcr)*K119)/(H119+(Rs+Rdson2-Rdson1)*K119),1,IF(H119&lt;Vout,D_max_buck_BB,Vout/H119*(1-D_min_boost_exitBB_to_buck)))</f>
        <v>0.400102486114784</v>
      </c>
      <c r="O119" s="488" t="n">
        <f aca="false">CHOOSE(J119,0,(Vout+(Rdson3+Rdcr)*L119-H119)/(Vout+(Rdson3-Rdson4-Rs)*L119),IF(H119&gt;Vout,D_min_boost_exitBB_to_buck, (Vout-H119*D_max_buck_BB)/Vout))</f>
        <v>0</v>
      </c>
      <c r="P119" s="385" t="n">
        <f aca="false">MAX(0, CHOOSE(J119, (H119-(Rdson1+Rdcr)*K119-Vout)*N119/(Fsw*Lf), (H119-(Rdson4+Rdcr+Rs)*L119)*O119/(Fsw*Lf), IF(H119&lt;Vout, (H119-(Rdson4+Rdcr+Rs)*L119)*O119/(0.5*Fsw*Lf),(H119-(Rdson1+Rdcr)*K119-Vout)*N119/(0.5*Fsw*Lf))))</f>
        <v>5.14903523566883</v>
      </c>
      <c r="Q119" s="488" t="n">
        <f aca="false">CHOOSE(J119, SQRT(K119^2+(P119^2)/12), SQRT(L119^2+(P119^2)/12), SQRT(M119^2+(P119^2)/12))</f>
        <v>6.18137365975503</v>
      </c>
      <c r="R119" s="488" t="n">
        <f aca="false">(Q119^2*Rdcr*(1+Ltc*Ta-Ltc*25))/(1-Q119^2*Rdcr*Ltc*ThetaCa)</f>
        <v>0.129325734330196</v>
      </c>
      <c r="S119" s="488" t="n">
        <f aca="false">7.759*10^-3*Fsw^0.9458*(0.00787*P119)^2.304</f>
        <v>0.728130474672918</v>
      </c>
      <c r="T119" s="488" t="n">
        <f aca="false">R119+S119</f>
        <v>0.857456209003114</v>
      </c>
      <c r="U119" s="385" t="n">
        <f aca="false">IF(H119&gt;Vout, P119/SQRT(12), SQRT(O119/(1-O119))*SQRT(K119^2+(P119^2)/12))</f>
        <v>1.48639843969013</v>
      </c>
      <c r="V119" s="488" t="n">
        <f aca="false">RCoutEsr*U119^2</f>
        <v>0.0110469016075663</v>
      </c>
      <c r="W119" s="488" t="n">
        <f aca="false">V119</f>
        <v>0.0110469016075663</v>
      </c>
      <c r="X119" s="488" t="n">
        <f aca="false">IF(H119&gt;Vout, SQRT(N119*(1-N119))*SQRT(K119^2+(P119^2)/12), P119/SQRT(12))</f>
        <v>3.02837151981426</v>
      </c>
      <c r="Y119" s="587" t="n">
        <f aca="false">RCinEsr*X119^2</f>
        <v>0.0183420681240443</v>
      </c>
      <c r="Z119" s="588" t="n">
        <f aca="false">Y119</f>
        <v>0.0183420681240443</v>
      </c>
      <c r="AA119" s="488" t="n">
        <f aca="false">CHOOSE(J119, SQRT(N119)*SQRT(K119^2+(P119^2)/12), SQRT(L119^2+(P119^2)/12), SQRT(N119)*SQRT(M119^2+(P119^2)/12))</f>
        <v>3.90994476425726</v>
      </c>
      <c r="AB119" s="488" t="n">
        <f aca="false">Rdson1*AA119^2</f>
        <v>0.0871397079393938</v>
      </c>
      <c r="AC119" s="488" t="n">
        <f aca="false">CHOOSE(J119, (H119*K119/2)*(Fsw)*(Tr_buck+Tf_buck), 0, (H119*M119/2)*(Fsw/2)*(Tr_buck+Tf_buck))</f>
        <v>0.184527632711621</v>
      </c>
      <c r="AD119" s="0" t="n">
        <f aca="false">IF(H119&gt;Vout, IF(K119&gt;P119/2,0,ABS(K119-P119/2)*Vsd_Q1*Deadtime*Fsw),0)</f>
        <v>0</v>
      </c>
      <c r="AE119" s="488" t="n">
        <f aca="false">(AD119+AC119+AB119*(1+RdsonTopTc*Ta-RdsonTopTc*25))/(1-AB119*RdsonTopTc*ThetaJA_Q1)</f>
        <v>0.276485921134417</v>
      </c>
      <c r="AF119" s="488" t="n">
        <f aca="false">CHOOSE(J119, SQRT((1-N119))*SQRT(K119^2+(P119^2)/12), 0, SQRT((1-N119))*SQRT(M119^2+(P119^2)/12))</f>
        <v>4.78766250501959</v>
      </c>
      <c r="AG119" s="488" t="n">
        <f aca="false">Rdson2*AF119^2</f>
        <v>0.130653759893232</v>
      </c>
      <c r="AH119" s="488" t="n">
        <f aca="false">CHOOSE(J119, IF(K119&lt;P119/2,Deadtime*Fsw*IF(VfdSky_Q2&gt;0,0,Vsd_Q2)*(K119+P119/2),2*Deadtime*Fsw*IF(VfdSky_Q2&gt;0,0,Vsd_Q2)*K119),0, IF(K119&lt;P119/2,Deadtime*Fsw/2*IF(VfdSky_Q2&gt;0,0,Vsd_Q2)*(K119+P119/2),2*Deadtime*Fsw/2*IF(VfdSky_Q2&gt;0,0,Vsd_Q2)*K119))</f>
        <v>0.144</v>
      </c>
      <c r="AI119" s="488" t="n">
        <f aca="false">(AH119+AG119*(1+RdsonBotTc*Ta-RdsonBotTc*25))/(1-AG119*RdsonBotTc*ThetaJA_Q2)</f>
        <v>0.282023239209222</v>
      </c>
      <c r="AJ119" s="488" t="n">
        <f aca="false">CHOOSE(J119, 0, SQRT(O119)*SQRT(L119^2+(P119^2)/12), SQRT(O119)*SQRT(M119^2+(P119^2)/12))</f>
        <v>0</v>
      </c>
      <c r="AK119" s="488" t="n">
        <f aca="false">Rdson4*AJ119^2</f>
        <v>0</v>
      </c>
      <c r="AL119" s="488" t="n">
        <f aca="false">CHOOSE(J119, 0, (Vout*L119/2)*(Fsw)*(Tr_boost+Tf_boost), (Vout*Iout/2)*(Fsw/2)*(Tr_boost+Tf_boost))</f>
        <v>0</v>
      </c>
      <c r="AM119" s="0" t="n">
        <f aca="false">IF(H119&gt;Vout, 0, IF(L119&gt;P119/2,0,ABS(L119-P119/2)*Vsd_Q4*Deadtime*Fsw))</f>
        <v>0</v>
      </c>
      <c r="AN119" s="488" t="n">
        <f aca="false">(AM119+AL119+AK119*(1+RdsonTopTc*Ta-RdsonTopTc*25))/(1-AK119*RdsonTopTc*ThetaJA_Q4)</f>
        <v>0</v>
      </c>
      <c r="AO119" s="488" t="n">
        <f aca="false">CHOOSE(J119, SQRT(Iout^2+(P119^2)/12), SQRT(1-O119)*SQRT(L119^2+(P119^2)/12), SQRT(1-O119)*SQRT(M119^2+(P119^2)/12))</f>
        <v>6.18137365975503</v>
      </c>
      <c r="AP119" s="488" t="n">
        <f aca="false">Rdson3*AO119^2</f>
        <v>0.0725978226108752</v>
      </c>
      <c r="AQ119" s="488" t="n">
        <f aca="false">CHOOSE(J119, 0, IF(L119&lt;P119/2,Deadtime*Fsw*IF(VfdSky_Q3&gt;0,0,Vsd_Q3)*(L119+P119/2), 2*Deadtime*Fsw*IF(VfdSky_Q3&gt;0,0,Vsd_Q3)*L119), IF(L119&lt;P119/2,Deadtime*Fsw/2*IF(VfdSky_Q3&gt;0,0,Vsd_Q3)*(L119+P119/2), 2*Deadtime*Fsw/2*IF(VfdSky_Q3&gt;0,0,Vsd_Q3)*L119))</f>
        <v>0</v>
      </c>
      <c r="AR119" s="488" t="n">
        <f aca="false">(AQ119+AP119*(1+RdsonBotTc*Ta-RdsonBotTc*25))/(1-AP119*RdsonBotTc*ThetaJA_Q3)</f>
        <v>0.0736674417850569</v>
      </c>
      <c r="AS119" s="488" t="n">
        <f aca="false">CHOOSE(J119, Rdson3*Q119^2, Rdson1*Q119^2, 0)</f>
        <v>0.0725978226108752</v>
      </c>
      <c r="AT119" s="488" t="n">
        <f aca="false">CHOOSE(J119, 2*Deadtime*Fsw*IF(VfdSky_Q2&gt;0,VfdSky_Q2,0)*K119, 2*Deadtime*Fsw*IF(VfdSky_Q3&gt;0,VfdSky_Q3,0)*L119, 2*Deadtime*Fsw/2*IF(VfdSky_Q2&gt;0,VfdSky_Q2,0)*K119+2*Deadtime*Fsw/2*IF(VfdSky_Q3&gt;0,VfdSky_Q3,0)*L119)</f>
        <v>0</v>
      </c>
      <c r="AU119" s="488" t="n">
        <f aca="false">CHOOSE(J119, IF(QrrSky_Q2&gt;0,QrrSky_Q2,Qrr_Q2)*Fsw*(H119-K119*Rdson1), IF(QrrSky_Q3&gt;0,QrrSky_Q3,Qrr_Q3)*Fsw*Vout,  IF(QrrSky_Q2&gt;0,QrrSky_Q2,Qrr_Q2)*Fsw/2*(H119-K119*Rdson1)+IF(QrrSky_Q3&gt;0,QrrSky_Q3,Qrr_Q3)*Fsw/2*Vout)</f>
        <v>0.57013362</v>
      </c>
      <c r="AV119" s="488" t="n">
        <f aca="false">CHOOSE(J119, Rs*AF119^2, Rs*AJ119^2, Rs*(AF119^2+AJ119^2))</f>
        <v>0.183373698095764</v>
      </c>
      <c r="AW119" s="488" t="n">
        <f aca="false">Rshunt_std/1000*Iout^2</f>
        <v>0.14832</v>
      </c>
      <c r="AX119" s="488" t="n">
        <f aca="false">IF(Vout&gt;8, Iq*Vout, Iq*H119)</f>
        <v>0.036</v>
      </c>
      <c r="AY119" s="488" t="n">
        <f aca="false">CHOOSE(J119, (Qg_Q1+Qg_Q2)*Fsw, (Qg_Q3+Qg_Q4)*Fsw, (Qg_Q1+Qg_Q2+Qg_Q3+Qg_Q4)*Fsw/2)*IF(Vout&gt;8, Vout, H119)</f>
        <v>0.0792</v>
      </c>
      <c r="AZ119" s="488" t="n">
        <f aca="false">(Vin-Vdd)*Fsw*(Qg_Q1+Qg_Q2)+(RdsonDRT+RdsonDRT2)*Fsw*Qg_Q1*Vdd/(RdsonDRT+2*Rgate1+RdsonDRT2)+(RdsonDRB+RdsonDRB2)*Fsw*Qg_Q2*Vdd/(RdsonDRB+2*Rgate2+RdsonDRB2)</f>
        <v>0.0522</v>
      </c>
      <c r="BA119" s="488" t="n">
        <f aca="false">SUM(AX119:AY119)</f>
        <v>0.1152</v>
      </c>
      <c r="BB119" s="488" t="n">
        <f aca="false">SUM(T119,W119,Z119,AE119,AI119,AN119,AR119, AT119,AU119,BA119,AV119,AW119)</f>
        <v>2.53604909895918</v>
      </c>
      <c r="BC119" s="419" t="n">
        <f aca="false">Vout*K119</f>
        <v>72</v>
      </c>
      <c r="BD119" s="589" t="n">
        <f aca="false">BC119/(BC119+BB119)</f>
        <v>0.965975536272493</v>
      </c>
      <c r="BE119" s="590" t="n">
        <f aca="false">IF(H119&gt;Vout,ThetaJA_Q1*(AE119+AU119),ThetaJA_Q4*(AN119+AU119))</f>
        <v>42.3309770567208</v>
      </c>
      <c r="BF119" s="590" t="n">
        <f aca="false">IF(H119&gt;Vout, AI119*ThetaJA_Q2, ThetaJA_Q3*AR119)</f>
        <v>14.1011619604611</v>
      </c>
      <c r="BG119" s="536"/>
      <c r="BH119" s="385" t="n">
        <f aca="false">BD119*100</f>
        <v>96.5975536272493</v>
      </c>
      <c r="BI119" s="488" t="n">
        <f aca="false">T119</f>
        <v>0.857456209003114</v>
      </c>
      <c r="BJ119" s="488" t="n">
        <f aca="false">AE119+AI119+AN119+AR119+AU119</f>
        <v>1.2023102221287</v>
      </c>
      <c r="BK119" s="488" t="n">
        <f aca="false">AI119+AU119*0.33</f>
        <v>0.470167333809223</v>
      </c>
      <c r="BL119" s="488" t="n">
        <f aca="false">AV119</f>
        <v>0.183373698095764</v>
      </c>
    </row>
    <row r="120" customFormat="false" ht="12.75" hidden="false" customHeight="false" outlineLevel="0" collapsed="false">
      <c r="G120" s="0" t="n">
        <v>111</v>
      </c>
      <c r="H120" s="586" t="n">
        <f aca="false">VIN_min+(VIN_max-VIN_min)*(G120/200)</f>
        <v>30.42</v>
      </c>
      <c r="I120" s="385" t="str">
        <f aca="false">IF(H120&gt;VIN_BB_to_buck, "BUCK", IF(H120&lt;VIN_boost_to_BB,"BOOST","BUCK-BST"))</f>
        <v>BUCK</v>
      </c>
      <c r="J120" s="419" t="n">
        <f aca="false">IF(I120="BOOST",2, IF(I120="BUCK", 1,3))</f>
        <v>1</v>
      </c>
      <c r="K120" s="0" t="n">
        <f aca="false">Iout</f>
        <v>6</v>
      </c>
      <c r="L120" s="385" t="n">
        <f aca="false">Vout*K120/(H120*Efficiency)</f>
        <v>2.62984878369494</v>
      </c>
      <c r="M120" s="385" t="n">
        <f aca="false">Iout/(1-O120)</f>
        <v>6</v>
      </c>
      <c r="N120" s="488" t="n">
        <f aca="false">CHOOSE(J120,(Vout+(Rdson2+Rs+Rdcr)*K120)/(H120+(Rs+Rdson2-Rdson1)*K120),1,IF(H120&lt;Vout,D_max_buck_BB,Vout/H120*(1-D_min_boost_exitBB_to_buck)))</f>
        <v>0.397213469870028</v>
      </c>
      <c r="O120" s="488" t="n">
        <f aca="false">CHOOSE(J120,0,(Vout+(Rdson3+Rdcr)*L120-H120)/(Vout+(Rdson3-Rdson4-Rs)*L120),IF(H120&gt;Vout,D_min_boost_exitBB_to_buck, (Vout-H120*D_max_buck_BB)/Vout))</f>
        <v>0</v>
      </c>
      <c r="P120" s="385" t="n">
        <f aca="false">MAX(0, CHOOSE(J120, (H120-(Rdson1+Rdcr)*K120-Vout)*N120/(Fsw*Lf), (H120-(Rdson4+Rdcr+Rs)*L120)*O120/(Fsw*Lf), IF(H120&lt;Vout, (H120-(Rdson4+Rdcr+Rs)*L120)*O120/(0.5*Fsw*Lf),(H120-(Rdson1+Rdcr)*K120-Vout)*N120/(0.5*Fsw*Lf))))</f>
        <v>5.17383221531345</v>
      </c>
      <c r="Q120" s="488" t="n">
        <f aca="false">CHOOSE(J120, SQRT(K120^2+(P120^2)/12), SQRT(L120^2+(P120^2)/12), SQRT(M120^2+(P120^2)/12))</f>
        <v>6.18309887106387</v>
      </c>
      <c r="R120" s="488" t="n">
        <f aca="false">(Q120^2*Rdcr*(1+Ltc*Ta-Ltc*25))/(1-Q120^2*Rdcr*Ltc*ThetaCa)</f>
        <v>0.129398681006574</v>
      </c>
      <c r="S120" s="488" t="n">
        <f aca="false">7.759*10^-3*Fsw^0.9458*(0.00787*P120)^2.304</f>
        <v>0.736234985130765</v>
      </c>
      <c r="T120" s="488" t="n">
        <f aca="false">R120+S120</f>
        <v>0.865633666137338</v>
      </c>
      <c r="U120" s="385" t="n">
        <f aca="false">IF(H120&gt;Vout, P120/SQRT(12), SQRT(O120/(1-O120))*SQRT(K120^2+(P120^2)/12))</f>
        <v>1.49355671112659</v>
      </c>
      <c r="V120" s="488" t="n">
        <f aca="false">RCoutEsr*U120^2</f>
        <v>0.0111535582467564</v>
      </c>
      <c r="W120" s="488" t="n">
        <f aca="false">V120</f>
        <v>0.0111535582467564</v>
      </c>
      <c r="X120" s="488" t="n">
        <f aca="false">IF(H120&gt;Vout, SQRT(N120*(1-N120))*SQRT(K120^2+(P120^2)/12), P120/SQRT(12))</f>
        <v>3.02551941622252</v>
      </c>
      <c r="Y120" s="587" t="n">
        <f aca="false">RCinEsr*X120^2</f>
        <v>0.0183075354758789</v>
      </c>
      <c r="Z120" s="588" t="n">
        <f aca="false">Y120</f>
        <v>0.0183075354758789</v>
      </c>
      <c r="AA120" s="488" t="n">
        <f aca="false">CHOOSE(J120, SQRT(N120)*SQRT(K120^2+(P120^2)/12), SQRT(L120^2+(P120^2)/12), SQRT(N120)*SQRT(M120^2+(P120^2)/12))</f>
        <v>3.89689025119252</v>
      </c>
      <c r="AB120" s="488" t="n">
        <f aca="false">Rdson1*AA120^2</f>
        <v>0.086558795690084</v>
      </c>
      <c r="AC120" s="488" t="n">
        <f aca="false">CHOOSE(J120, (H120*K120/2)*(Fsw)*(Tr_buck+Tf_buck), 0, (H120*M120/2)*(Fsw/2)*(Tr_buck+Tf_buck))</f>
        <v>0.18587187374462</v>
      </c>
      <c r="AD120" s="0" t="n">
        <f aca="false">IF(H120&gt;Vout, IF(K120&gt;P120/2,0,ABS(K120-P120/2)*Vsd_Q1*Deadtime*Fsw),0)</f>
        <v>0</v>
      </c>
      <c r="AE120" s="488" t="n">
        <f aca="false">(AD120+AC120+AB120*(1+RdsonTopTc*Ta-RdsonTopTc*25))/(1-AB120*RdsonTopTc*ThetaJA_Q1)</f>
        <v>0.277230008568879</v>
      </c>
      <c r="AF120" s="488" t="n">
        <f aca="false">CHOOSE(J120, SQRT((1-N120))*SQRT(K120^2+(P120^2)/12), 0, SQRT((1-N120))*SQRT(M120^2+(P120^2)/12))</f>
        <v>4.80051643258431</v>
      </c>
      <c r="AG120" s="488" t="n">
        <f aca="false">Rdson2*AF120^2</f>
        <v>0.131356260711218</v>
      </c>
      <c r="AH120" s="488" t="n">
        <f aca="false">CHOOSE(J120, IF(K120&lt;P120/2,Deadtime*Fsw*IF(VfdSky_Q2&gt;0,0,Vsd_Q2)*(K120+P120/2),2*Deadtime*Fsw*IF(VfdSky_Q2&gt;0,0,Vsd_Q2)*K120),0, IF(K120&lt;P120/2,Deadtime*Fsw/2*IF(VfdSky_Q2&gt;0,0,Vsd_Q2)*(K120+P120/2),2*Deadtime*Fsw/2*IF(VfdSky_Q2&gt;0,0,Vsd_Q2)*K120))</f>
        <v>0.144</v>
      </c>
      <c r="AI120" s="488" t="n">
        <f aca="false">(AH120+AG120*(1+RdsonBotTc*Ta-RdsonBotTc*25))/(1-AG120*RdsonBotTc*ThetaJA_Q2)</f>
        <v>0.28278538691295</v>
      </c>
      <c r="AJ120" s="488" t="n">
        <f aca="false">CHOOSE(J120, 0, SQRT(O120)*SQRT(L120^2+(P120^2)/12), SQRT(O120)*SQRT(M120^2+(P120^2)/12))</f>
        <v>0</v>
      </c>
      <c r="AK120" s="488" t="n">
        <f aca="false">Rdson4*AJ120^2</f>
        <v>0</v>
      </c>
      <c r="AL120" s="488" t="n">
        <f aca="false">CHOOSE(J120, 0, (Vout*L120/2)*(Fsw)*(Tr_boost+Tf_boost), (Vout*Iout/2)*(Fsw/2)*(Tr_boost+Tf_boost))</f>
        <v>0</v>
      </c>
      <c r="AM120" s="0" t="n">
        <f aca="false">IF(H120&gt;Vout, 0, IF(L120&gt;P120/2,0,ABS(L120-P120/2)*Vsd_Q4*Deadtime*Fsw))</f>
        <v>0</v>
      </c>
      <c r="AN120" s="488" t="n">
        <f aca="false">(AM120+AL120+AK120*(1+RdsonTopTc*Ta-RdsonTopTc*25))/(1-AK120*RdsonTopTc*ThetaJA_Q4)</f>
        <v>0</v>
      </c>
      <c r="AO120" s="488" t="n">
        <f aca="false">CHOOSE(J120, SQRT(Iout^2+(P120^2)/12), SQRT(1-O120)*SQRT(L120^2+(P120^2)/12), SQRT(1-O120)*SQRT(M120^2+(P120^2)/12))</f>
        <v>6.18309887106387</v>
      </c>
      <c r="AP120" s="488" t="n">
        <f aca="false">Rdson3*AO120^2</f>
        <v>0.0726383521337674</v>
      </c>
      <c r="AQ120" s="488" t="n">
        <f aca="false">CHOOSE(J120, 0, IF(L120&lt;P120/2,Deadtime*Fsw*IF(VfdSky_Q3&gt;0,0,Vsd_Q3)*(L120+P120/2), 2*Deadtime*Fsw*IF(VfdSky_Q3&gt;0,0,Vsd_Q3)*L120), IF(L120&lt;P120/2,Deadtime*Fsw/2*IF(VfdSky_Q3&gt;0,0,Vsd_Q3)*(L120+P120/2), 2*Deadtime*Fsw/2*IF(VfdSky_Q3&gt;0,0,Vsd_Q3)*L120))</f>
        <v>0</v>
      </c>
      <c r="AR120" s="488" t="n">
        <f aca="false">(AQ120+AP120*(1+RdsonBotTc*Ta-RdsonBotTc*25))/(1-AP120*RdsonBotTc*ThetaJA_Q3)</f>
        <v>0.0737091747316975</v>
      </c>
      <c r="AS120" s="488" t="n">
        <f aca="false">CHOOSE(J120, Rdson3*Q120^2, Rdson1*Q120^2, 0)</f>
        <v>0.0726383521337674</v>
      </c>
      <c r="AT120" s="488" t="n">
        <f aca="false">CHOOSE(J120, 2*Deadtime*Fsw*IF(VfdSky_Q2&gt;0,VfdSky_Q2,0)*K120, 2*Deadtime*Fsw*IF(VfdSky_Q3&gt;0,VfdSky_Q3,0)*L120, 2*Deadtime*Fsw/2*IF(VfdSky_Q2&gt;0,VfdSky_Q2,0)*K120+2*Deadtime*Fsw/2*IF(VfdSky_Q3&gt;0,VfdSky_Q3,0)*L120)</f>
        <v>0</v>
      </c>
      <c r="AU120" s="488" t="n">
        <f aca="false">CHOOSE(J120, IF(QrrSky_Q2&gt;0,QrrSky_Q2,Qrr_Q2)*Fsw*(H120-K120*Rdson1), IF(QrrSky_Q3&gt;0,QrrSky_Q3,Qrr_Q3)*Fsw*Vout,  IF(QrrSky_Q2&gt;0,QrrSky_Q2,Qrr_Q2)*Fsw/2*(H120-K120*Rdson1)+IF(QrrSky_Q3&gt;0,QrrSky_Q3,Qrr_Q3)*Fsw/2*Vout)</f>
        <v>0.57429162</v>
      </c>
      <c r="AV120" s="488" t="n">
        <f aca="false">CHOOSE(J120, Rs*AF120^2, Rs*AJ120^2, Rs*(AF120^2+AJ120^2))</f>
        <v>0.184359664156096</v>
      </c>
      <c r="AW120" s="488" t="n">
        <f aca="false">Rshunt_std/1000*Iout^2</f>
        <v>0.14832</v>
      </c>
      <c r="AX120" s="488" t="n">
        <f aca="false">IF(Vout&gt;8, Iq*Vout, Iq*H120)</f>
        <v>0.036</v>
      </c>
      <c r="AY120" s="488" t="n">
        <f aca="false">CHOOSE(J120, (Qg_Q1+Qg_Q2)*Fsw, (Qg_Q3+Qg_Q4)*Fsw, (Qg_Q1+Qg_Q2+Qg_Q3+Qg_Q4)*Fsw/2)*IF(Vout&gt;8, Vout, H120)</f>
        <v>0.0792</v>
      </c>
      <c r="AZ120" s="488" t="n">
        <f aca="false">(Vin-Vdd)*Fsw*(Qg_Q1+Qg_Q2)+(RdsonDRT+RdsonDRT2)*Fsw*Qg_Q1*Vdd/(RdsonDRT+2*Rgate1+RdsonDRT2)+(RdsonDRB+RdsonDRB2)*Fsw*Qg_Q2*Vdd/(RdsonDRB+2*Rgate2+RdsonDRB2)</f>
        <v>0.0522</v>
      </c>
      <c r="BA120" s="488" t="n">
        <f aca="false">SUM(AX120:AY120)</f>
        <v>0.1152</v>
      </c>
      <c r="BB120" s="488" t="n">
        <f aca="false">SUM(T120,W120,Z120,AE120,AI120,AN120,AR120, AT120,AU120,BA120,AV120,AW120)</f>
        <v>2.5509906142296</v>
      </c>
      <c r="BC120" s="419" t="n">
        <f aca="false">Vout*K120</f>
        <v>72</v>
      </c>
      <c r="BD120" s="589" t="n">
        <f aca="false">BC120/(BC120+BB120)</f>
        <v>0.965781935381249</v>
      </c>
      <c r="BE120" s="590" t="n">
        <f aca="false">IF(H120&gt;Vout,ThetaJA_Q1*(AE120+AU120),ThetaJA_Q4*(AN120+AU120))</f>
        <v>42.5760814284439</v>
      </c>
      <c r="BF120" s="590" t="n">
        <f aca="false">IF(H120&gt;Vout, AI120*ThetaJA_Q2, ThetaJA_Q3*AR120)</f>
        <v>14.1392693456475</v>
      </c>
      <c r="BG120" s="536"/>
      <c r="BH120" s="385" t="n">
        <f aca="false">BD120*100</f>
        <v>96.5781935381249</v>
      </c>
      <c r="BI120" s="488" t="n">
        <f aca="false">T120</f>
        <v>0.865633666137338</v>
      </c>
      <c r="BJ120" s="488" t="n">
        <f aca="false">AE120+AI120+AN120+AR120+AU120</f>
        <v>1.20801619021353</v>
      </c>
      <c r="BK120" s="488" t="n">
        <f aca="false">AI120+AU120*0.33</f>
        <v>0.47230162151295</v>
      </c>
      <c r="BL120" s="488" t="n">
        <f aca="false">AV120</f>
        <v>0.184359664156096</v>
      </c>
    </row>
    <row r="121" customFormat="false" ht="12.75" hidden="false" customHeight="false" outlineLevel="0" collapsed="false">
      <c r="G121" s="0" t="n">
        <v>112</v>
      </c>
      <c r="H121" s="586" t="n">
        <f aca="false">VIN_min+(VIN_max-VIN_min)*(G121/200)</f>
        <v>30.64</v>
      </c>
      <c r="I121" s="385" t="str">
        <f aca="false">IF(H121&gt;VIN_BB_to_buck, "BUCK", IF(H121&lt;VIN_boost_to_BB,"BOOST","BUCK-BST"))</f>
        <v>BUCK</v>
      </c>
      <c r="J121" s="419" t="n">
        <f aca="false">IF(I121="BOOST",2, IF(I121="BUCK", 1,3))</f>
        <v>1</v>
      </c>
      <c r="K121" s="0" t="n">
        <f aca="false">Iout</f>
        <v>6</v>
      </c>
      <c r="L121" s="385" t="n">
        <f aca="false">Vout*K121/(H121*Efficiency)</f>
        <v>2.61096605744125</v>
      </c>
      <c r="M121" s="385" t="n">
        <f aca="false">Iout/(1-O121)</f>
        <v>6</v>
      </c>
      <c r="N121" s="488" t="n">
        <f aca="false">CHOOSE(J121,(Vout+(Rdson2+Rs+Rdcr)*K121)/(H121+(Rs+Rdson2-Rdson1)*K121),1,IF(H121&lt;Vout,D_max_buck_BB,Vout/H121*(1-D_min_boost_exitBB_to_buck)))</f>
        <v>0.394365875912409</v>
      </c>
      <c r="O121" s="488" t="n">
        <f aca="false">CHOOSE(J121,0,(Vout+(Rdson3+Rdcr)*L121-H121)/(Vout+(Rdson3-Rdson4-Rs)*L121),IF(H121&gt;Vout,D_min_boost_exitBB_to_buck, (Vout-H121*D_max_buck_BB)/Vout))</f>
        <v>0</v>
      </c>
      <c r="P121" s="385" t="n">
        <f aca="false">MAX(0, CHOOSE(J121, (H121-(Rdson1+Rdcr)*K121-Vout)*N121/(Fsw*Lf), (H121-(Rdson4+Rdcr+Rs)*L121)*O121/(Fsw*Lf), IF(H121&lt;Vout, (H121-(Rdson4+Rdcr+Rs)*L121)*O121/(0.5*Fsw*Lf),(H121-(Rdson1+Rdcr)*K121-Vout)*N121/(0.5*Fsw*Lf))))</f>
        <v>5.19827365953564</v>
      </c>
      <c r="Q121" s="488" t="n">
        <f aca="false">CHOOSE(J121, SQRT(K121^2+(P121^2)/12), SQRT(L121^2+(P121^2)/12), SQRT(M121^2+(P121^2)/12))</f>
        <v>6.18480698324142</v>
      </c>
      <c r="R121" s="488" t="n">
        <f aca="false">(Q121^2*Rdcr*(1+Ltc*Ta-Ltc*25))/(1-Q121^2*Rdcr*Ltc*ThetaCa)</f>
        <v>0.129470925570037</v>
      </c>
      <c r="S121" s="488" t="n">
        <f aca="false">7.759*10^-3*Fsw^0.9458*(0.00787*P121)^2.304</f>
        <v>0.744273016439085</v>
      </c>
      <c r="T121" s="488" t="n">
        <f aca="false">R121+S121</f>
        <v>0.873743942009122</v>
      </c>
      <c r="U121" s="385" t="n">
        <f aca="false">IF(H121&gt;Vout, P121/SQRT(12), SQRT(O121/(1-O121))*SQRT(K121^2+(P121^2)/12))</f>
        <v>1.50061234832712</v>
      </c>
      <c r="V121" s="488" t="n">
        <f aca="false">RCoutEsr*U121^2</f>
        <v>0.0112591870997592</v>
      </c>
      <c r="W121" s="488" t="n">
        <f aca="false">V121</f>
        <v>0.0112591870997592</v>
      </c>
      <c r="X121" s="488" t="n">
        <f aca="false">IF(H121&gt;Vout, SQRT(N121*(1-N121))*SQRT(K121^2+(P121^2)/12), P121/SQRT(12))</f>
        <v>3.02260212721467</v>
      </c>
      <c r="Y121" s="587" t="n">
        <f aca="false">RCinEsr*X121^2</f>
        <v>0.0182722472388853</v>
      </c>
      <c r="Z121" s="588" t="n">
        <f aca="false">Y121</f>
        <v>0.0182722472388853</v>
      </c>
      <c r="AA121" s="488" t="n">
        <f aca="false">CHOOSE(J121, SQRT(N121)*SQRT(K121^2+(P121^2)/12), SQRT(L121^2+(P121^2)/12), SQRT(N121)*SQRT(M121^2+(P121^2)/12))</f>
        <v>3.8839695376481</v>
      </c>
      <c r="AB121" s="488" t="n">
        <f aca="false">Rdson1*AA121^2</f>
        <v>0.0859857504054567</v>
      </c>
      <c r="AC121" s="488" t="n">
        <f aca="false">CHOOSE(J121, (H121*K121/2)*(Fsw)*(Tr_buck+Tf_buck), 0, (H121*M121/2)*(Fsw/2)*(Tr_buck+Tf_buck))</f>
        <v>0.187216114777618</v>
      </c>
      <c r="AD121" s="0" t="n">
        <f aca="false">IF(H121&gt;Vout, IF(K121&gt;P121/2,0,ABS(K121-P121/2)*Vsd_Q1*Deadtime*Fsw),0)</f>
        <v>0</v>
      </c>
      <c r="AE121" s="488" t="n">
        <f aca="false">(AD121+AC121+AB121*(1+RdsonTopTc*Ta-RdsonTopTc*25))/(1-AB121*RdsonTopTc*ThetaJA_Q1)</f>
        <v>0.277982369714961</v>
      </c>
      <c r="AF121" s="488" t="n">
        <f aca="false">CHOOSE(J121, SQRT((1-N121))*SQRT(K121^2+(P121^2)/12), 0, SQRT((1-N121))*SQRT(M121^2+(P121^2)/12))</f>
        <v>4.81317130908235</v>
      </c>
      <c r="AG121" s="488" t="n">
        <f aca="false">Rdson2*AF121^2</f>
        <v>0.132049722888269</v>
      </c>
      <c r="AH121" s="488" t="n">
        <f aca="false">CHOOSE(J121, IF(K121&lt;P121/2,Deadtime*Fsw*IF(VfdSky_Q2&gt;0,0,Vsd_Q2)*(K121+P121/2),2*Deadtime*Fsw*IF(VfdSky_Q2&gt;0,0,Vsd_Q2)*K121),0, IF(K121&lt;P121/2,Deadtime*Fsw/2*IF(VfdSky_Q2&gt;0,0,Vsd_Q2)*(K121+P121/2),2*Deadtime*Fsw/2*IF(VfdSky_Q2&gt;0,0,Vsd_Q2)*K121))</f>
        <v>0.144</v>
      </c>
      <c r="AI121" s="488" t="n">
        <f aca="false">(AH121+AG121*(1+RdsonBotTc*Ta-RdsonBotTc*25))/(1-AG121*RdsonBotTc*ThetaJA_Q2)</f>
        <v>0.28353794428243</v>
      </c>
      <c r="AJ121" s="488" t="n">
        <f aca="false">CHOOSE(J121, 0, SQRT(O121)*SQRT(L121^2+(P121^2)/12), SQRT(O121)*SQRT(M121^2+(P121^2)/12))</f>
        <v>0</v>
      </c>
      <c r="AK121" s="488" t="n">
        <f aca="false">Rdson4*AJ121^2</f>
        <v>0</v>
      </c>
      <c r="AL121" s="488" t="n">
        <f aca="false">CHOOSE(J121, 0, (Vout*L121/2)*(Fsw)*(Tr_boost+Tf_boost), (Vout*Iout/2)*(Fsw/2)*(Tr_boost+Tf_boost))</f>
        <v>0</v>
      </c>
      <c r="AM121" s="0" t="n">
        <f aca="false">IF(H121&gt;Vout, 0, IF(L121&gt;P121/2,0,ABS(L121-P121/2)*Vsd_Q4*Deadtime*Fsw))</f>
        <v>0</v>
      </c>
      <c r="AN121" s="488" t="n">
        <f aca="false">(AM121+AL121+AK121*(1+RdsonTopTc*Ta-RdsonTopTc*25))/(1-AK121*RdsonTopTc*ThetaJA_Q4)</f>
        <v>0</v>
      </c>
      <c r="AO121" s="488" t="n">
        <f aca="false">CHOOSE(J121, SQRT(Iout^2+(P121^2)/12), SQRT(1-O121)*SQRT(L121^2+(P121^2)/12), SQRT(1-O121)*SQRT(M121^2+(P121^2)/12))</f>
        <v>6.18480698324142</v>
      </c>
      <c r="AP121" s="488" t="n">
        <f aca="false">Rdson3*AO121^2</f>
        <v>0.0726784910979085</v>
      </c>
      <c r="AQ121" s="488" t="n">
        <f aca="false">CHOOSE(J121, 0, IF(L121&lt;P121/2,Deadtime*Fsw*IF(VfdSky_Q3&gt;0,0,Vsd_Q3)*(L121+P121/2), 2*Deadtime*Fsw*IF(VfdSky_Q3&gt;0,0,Vsd_Q3)*L121), IF(L121&lt;P121/2,Deadtime*Fsw/2*IF(VfdSky_Q3&gt;0,0,Vsd_Q3)*(L121+P121/2), 2*Deadtime*Fsw/2*IF(VfdSky_Q3&gt;0,0,Vsd_Q3)*L121))</f>
        <v>0</v>
      </c>
      <c r="AR121" s="488" t="n">
        <f aca="false">(AQ121+AP121*(1+RdsonBotTc*Ta-RdsonBotTc*25))/(1-AP121*RdsonBotTc*ThetaJA_Q3)</f>
        <v>0.0737505061995668</v>
      </c>
      <c r="AS121" s="488" t="n">
        <f aca="false">CHOOSE(J121, Rdson3*Q121^2, Rdson1*Q121^2, 0)</f>
        <v>0.0726784910979085</v>
      </c>
      <c r="AT121" s="488" t="n">
        <f aca="false">CHOOSE(J121, 2*Deadtime*Fsw*IF(VfdSky_Q2&gt;0,VfdSky_Q2,0)*K121, 2*Deadtime*Fsw*IF(VfdSky_Q3&gt;0,VfdSky_Q3,0)*L121, 2*Deadtime*Fsw/2*IF(VfdSky_Q2&gt;0,VfdSky_Q2,0)*K121+2*Deadtime*Fsw/2*IF(VfdSky_Q3&gt;0,VfdSky_Q3,0)*L121)</f>
        <v>0</v>
      </c>
      <c r="AU121" s="488" t="n">
        <f aca="false">CHOOSE(J121, IF(QrrSky_Q2&gt;0,QrrSky_Q2,Qrr_Q2)*Fsw*(H121-K121*Rdson1), IF(QrrSky_Q3&gt;0,QrrSky_Q3,Qrr_Q3)*Fsw*Vout,  IF(QrrSky_Q2&gt;0,QrrSky_Q2,Qrr_Q2)*Fsw/2*(H121-K121*Rdson1)+IF(QrrSky_Q3&gt;0,QrrSky_Q3,Qrr_Q3)*Fsw/2*Vout)</f>
        <v>0.57844962</v>
      </c>
      <c r="AV121" s="488" t="n">
        <f aca="false">CHOOSE(J121, Rs*AF121^2, Rs*AJ121^2, Rs*(AF121^2+AJ121^2))</f>
        <v>0.185332944404588</v>
      </c>
      <c r="AW121" s="488" t="n">
        <f aca="false">Rshunt_std/1000*Iout^2</f>
        <v>0.14832</v>
      </c>
      <c r="AX121" s="488" t="n">
        <f aca="false">IF(Vout&gt;8, Iq*Vout, Iq*H121)</f>
        <v>0.036</v>
      </c>
      <c r="AY121" s="488" t="n">
        <f aca="false">CHOOSE(J121, (Qg_Q1+Qg_Q2)*Fsw, (Qg_Q3+Qg_Q4)*Fsw, (Qg_Q1+Qg_Q2+Qg_Q3+Qg_Q4)*Fsw/2)*IF(Vout&gt;8, Vout, H121)</f>
        <v>0.0792</v>
      </c>
      <c r="AZ121" s="488" t="n">
        <f aca="false">(Vin-Vdd)*Fsw*(Qg_Q1+Qg_Q2)+(RdsonDRT+RdsonDRT2)*Fsw*Qg_Q1*Vdd/(RdsonDRT+2*Rgate1+RdsonDRT2)+(RdsonDRB+RdsonDRB2)*Fsw*Qg_Q2*Vdd/(RdsonDRB+2*Rgate2+RdsonDRB2)</f>
        <v>0.0522</v>
      </c>
      <c r="BA121" s="488" t="n">
        <f aca="false">SUM(AX121:AY121)</f>
        <v>0.1152</v>
      </c>
      <c r="BB121" s="488" t="n">
        <f aca="false">SUM(T121,W121,Z121,AE121,AI121,AN121,AR121, AT121,AU121,BA121,AV121,AW121)</f>
        <v>2.56584876094931</v>
      </c>
      <c r="BC121" s="419" t="n">
        <f aca="false">Vout*K121</f>
        <v>72</v>
      </c>
      <c r="BD121" s="589" t="n">
        <f aca="false">BC121/(BC121+BB121)</f>
        <v>0.965589491656225</v>
      </c>
      <c r="BE121" s="590" t="n">
        <f aca="false">IF(H121&gt;Vout,ThetaJA_Q1*(AE121+AU121),ThetaJA_Q4*(AN121+AU121))</f>
        <v>42.821599485748</v>
      </c>
      <c r="BF121" s="590" t="n">
        <f aca="false">IF(H121&gt;Vout, AI121*ThetaJA_Q2, ThetaJA_Q3*AR121)</f>
        <v>14.1768972141215</v>
      </c>
      <c r="BG121" s="536"/>
      <c r="BH121" s="385" t="n">
        <f aca="false">BD121*100</f>
        <v>96.5589491656225</v>
      </c>
      <c r="BI121" s="488" t="n">
        <f aca="false">T121</f>
        <v>0.873743942009122</v>
      </c>
      <c r="BJ121" s="488" t="n">
        <f aca="false">AE121+AI121+AN121+AR121+AU121</f>
        <v>1.21372044019696</v>
      </c>
      <c r="BK121" s="488" t="n">
        <f aca="false">AI121+AU121*0.33</f>
        <v>0.47442631888243</v>
      </c>
      <c r="BL121" s="488" t="n">
        <f aca="false">AV121</f>
        <v>0.185332944404588</v>
      </c>
    </row>
    <row r="122" customFormat="false" ht="12.75" hidden="false" customHeight="false" outlineLevel="0" collapsed="false">
      <c r="G122" s="0" t="n">
        <v>113</v>
      </c>
      <c r="H122" s="586" t="n">
        <f aca="false">VIN_min+(VIN_max-VIN_min)*(G122/200)</f>
        <v>30.86</v>
      </c>
      <c r="I122" s="385" t="str">
        <f aca="false">IF(H122&gt;VIN_BB_to_buck, "BUCK", IF(H122&lt;VIN_boost_to_BB,"BOOST","BUCK-BST"))</f>
        <v>BUCK</v>
      </c>
      <c r="J122" s="419" t="n">
        <f aca="false">IF(I122="BOOST",2, IF(I122="BUCK", 1,3))</f>
        <v>1</v>
      </c>
      <c r="K122" s="0" t="n">
        <f aca="false">Iout</f>
        <v>6</v>
      </c>
      <c r="L122" s="385" t="n">
        <f aca="false">Vout*K122/(H122*Efficiency)</f>
        <v>2.59235255994815</v>
      </c>
      <c r="M122" s="385" t="n">
        <f aca="false">Iout/(1-O122)</f>
        <v>6</v>
      </c>
      <c r="N122" s="488" t="n">
        <f aca="false">CHOOSE(J122,(Vout+(Rdson2+Rs+Rdcr)*K122)/(H122+(Rs+Rdson2-Rdson1)*K122),1,IF(H122&lt;Vout,D_max_buck_BB,Vout/H122*(1-D_min_boost_exitBB_to_buck)))</f>
        <v>0.391558819723049</v>
      </c>
      <c r="O122" s="488" t="n">
        <f aca="false">CHOOSE(J122,0,(Vout+(Rdson3+Rdcr)*L122-H122)/(Vout+(Rdson3-Rdson4-Rs)*L122),IF(H122&gt;Vout,D_min_boost_exitBB_to_buck, (Vout-H122*D_max_buck_BB)/Vout))</f>
        <v>0</v>
      </c>
      <c r="P122" s="385" t="n">
        <f aca="false">MAX(0, CHOOSE(J122, (H122-(Rdson1+Rdcr)*K122-Vout)*N122/(Fsw*Lf), (H122-(Rdson4+Rdcr+Rs)*L122)*O122/(Fsw*Lf), IF(H122&lt;Vout, (H122-(Rdson4+Rdcr+Rs)*L122)*O122/(0.5*Fsw*Lf),(H122-(Rdson1+Rdcr)*K122-Vout)*N122/(0.5*Fsw*Lf))))</f>
        <v>5.22236716033032</v>
      </c>
      <c r="Q122" s="488" t="n">
        <f aca="false">CHOOSE(J122, SQRT(K122^2+(P122^2)/12), SQRT(L122^2+(P122^2)/12), SQRT(M122^2+(P122^2)/12))</f>
        <v>6.18649819335958</v>
      </c>
      <c r="R122" s="488" t="n">
        <f aca="false">(Q122^2*Rdcr*(1+Ltc*Ta-Ltc*25))/(1-Q122^2*Rdcr*Ltc*ThetaCa)</f>
        <v>0.1295424757359</v>
      </c>
      <c r="S122" s="488" t="n">
        <f aca="false">7.759*10^-3*Fsw^0.9458*(0.00787*P122)^2.304</f>
        <v>0.752245003259784</v>
      </c>
      <c r="T122" s="488" t="n">
        <f aca="false">R122+S122</f>
        <v>0.881787478995685</v>
      </c>
      <c r="U122" s="385" t="n">
        <f aca="false">IF(H122&gt;Vout, P122/SQRT(12), SQRT(O122/(1-O122))*SQRT(K122^2+(P122^2)/12))</f>
        <v>1.50756754291188</v>
      </c>
      <c r="V122" s="488" t="n">
        <f aca="false">RCoutEsr*U122^2</f>
        <v>0.0113637994822069</v>
      </c>
      <c r="W122" s="488" t="n">
        <f aca="false">V122</f>
        <v>0.0113637994822069</v>
      </c>
      <c r="X122" s="488" t="n">
        <f aca="false">IF(H122&gt;Vout, SQRT(N122*(1-N122))*SQRT(K122^2+(P122^2)/12), P122/SQRT(12))</f>
        <v>3.01962279977413</v>
      </c>
      <c r="Y122" s="587" t="n">
        <f aca="false">RCinEsr*X122^2</f>
        <v>0.0182362437058315</v>
      </c>
      <c r="Z122" s="588" t="n">
        <f aca="false">Y122</f>
        <v>0.0182362437058315</v>
      </c>
      <c r="AA122" s="488" t="n">
        <f aca="false">CHOOSE(J122, SQRT(N122)*SQRT(K122^2+(P122^2)/12), SQRT(L122^2+(P122^2)/12), SQRT(N122)*SQRT(M122^2+(P122^2)/12))</f>
        <v>3.87118027126021</v>
      </c>
      <c r="AB122" s="488" t="n">
        <f aca="false">Rdson1*AA122^2</f>
        <v>0.0854204091477872</v>
      </c>
      <c r="AC122" s="488" t="n">
        <f aca="false">CHOOSE(J122, (H122*K122/2)*(Fsw)*(Tr_buck+Tf_buck), 0, (H122*M122/2)*(Fsw/2)*(Tr_buck+Tf_buck))</f>
        <v>0.188560355810617</v>
      </c>
      <c r="AD122" s="0" t="n">
        <f aca="false">IF(H122&gt;Vout, IF(K122&gt;P122/2,0,ABS(K122-P122/2)*Vsd_Q1*Deadtime*Fsw),0)</f>
        <v>0</v>
      </c>
      <c r="AE122" s="488" t="n">
        <f aca="false">(AD122+AC122+AB122*(1+RdsonTopTc*Ta-RdsonTopTc*25))/(1-AB122*RdsonTopTc*ThetaJA_Q1)</f>
        <v>0.278742830280315</v>
      </c>
      <c r="AF122" s="488" t="n">
        <f aca="false">CHOOSE(J122, SQRT((1-N122))*SQRT(K122^2+(P122^2)/12), 0, SQRT((1-N122))*SQRT(M122^2+(P122^2)/12))</f>
        <v>4.82563189684493</v>
      </c>
      <c r="AG122" s="488" t="n">
        <f aca="false">Rdson2*AF122^2</f>
        <v>0.132734322261929</v>
      </c>
      <c r="AH122" s="488" t="n">
        <f aca="false">CHOOSE(J122, IF(K122&lt;P122/2,Deadtime*Fsw*IF(VfdSky_Q2&gt;0,0,Vsd_Q2)*(K122+P122/2),2*Deadtime*Fsw*IF(VfdSky_Q2&gt;0,0,Vsd_Q2)*K122),0, IF(K122&lt;P122/2,Deadtime*Fsw/2*IF(VfdSky_Q2&gt;0,0,Vsd_Q2)*(K122+P122/2),2*Deadtime*Fsw/2*IF(VfdSky_Q2&gt;0,0,Vsd_Q2)*K122))</f>
        <v>0.144</v>
      </c>
      <c r="AI122" s="488" t="n">
        <f aca="false">(AH122+AG122*(1+RdsonBotTc*Ta-RdsonBotTc*25))/(1-AG122*RdsonBotTc*ThetaJA_Q2)</f>
        <v>0.284281093928833</v>
      </c>
      <c r="AJ122" s="488" t="n">
        <f aca="false">CHOOSE(J122, 0, SQRT(O122)*SQRT(L122^2+(P122^2)/12), SQRT(O122)*SQRT(M122^2+(P122^2)/12))</f>
        <v>0</v>
      </c>
      <c r="AK122" s="488" t="n">
        <f aca="false">Rdson4*AJ122^2</f>
        <v>0</v>
      </c>
      <c r="AL122" s="488" t="n">
        <f aca="false">CHOOSE(J122, 0, (Vout*L122/2)*(Fsw)*(Tr_boost+Tf_boost), (Vout*Iout/2)*(Fsw/2)*(Tr_boost+Tf_boost))</f>
        <v>0</v>
      </c>
      <c r="AM122" s="0" t="n">
        <f aca="false">IF(H122&gt;Vout, 0, IF(L122&gt;P122/2,0,ABS(L122-P122/2)*Vsd_Q4*Deadtime*Fsw))</f>
        <v>0</v>
      </c>
      <c r="AN122" s="488" t="n">
        <f aca="false">(AM122+AL122+AK122*(1+RdsonTopTc*Ta-RdsonTopTc*25))/(1-AK122*RdsonTopTc*ThetaJA_Q4)</f>
        <v>0</v>
      </c>
      <c r="AO122" s="488" t="n">
        <f aca="false">CHOOSE(J122, SQRT(Iout^2+(P122^2)/12), SQRT(1-O122)*SQRT(L122^2+(P122^2)/12), SQRT(1-O122)*SQRT(M122^2+(P122^2)/12))</f>
        <v>6.18649819335958</v>
      </c>
      <c r="AP122" s="488" t="n">
        <f aca="false">Rdson3*AO122^2</f>
        <v>0.0727182438032386</v>
      </c>
      <c r="AQ122" s="488" t="n">
        <f aca="false">CHOOSE(J122, 0, IF(L122&lt;P122/2,Deadtime*Fsw*IF(VfdSky_Q3&gt;0,0,Vsd_Q3)*(L122+P122/2), 2*Deadtime*Fsw*IF(VfdSky_Q3&gt;0,0,Vsd_Q3)*L122), IF(L122&lt;P122/2,Deadtime*Fsw/2*IF(VfdSky_Q3&gt;0,0,Vsd_Q3)*(L122+P122/2), 2*Deadtime*Fsw/2*IF(VfdSky_Q3&gt;0,0,Vsd_Q3)*L122))</f>
        <v>0</v>
      </c>
      <c r="AR122" s="488" t="n">
        <f aca="false">(AQ122+AP122*(1+RdsonBotTc*Ta-RdsonBotTc*25))/(1-AP122*RdsonBotTc*ThetaJA_Q3)</f>
        <v>0.073791440596821</v>
      </c>
      <c r="AS122" s="488" t="n">
        <f aca="false">CHOOSE(J122, Rdson3*Q122^2, Rdson1*Q122^2, 0)</f>
        <v>0.0727182438032386</v>
      </c>
      <c r="AT122" s="488" t="n">
        <f aca="false">CHOOSE(J122, 2*Deadtime*Fsw*IF(VfdSky_Q2&gt;0,VfdSky_Q2,0)*K122, 2*Deadtime*Fsw*IF(VfdSky_Q3&gt;0,VfdSky_Q3,0)*L122, 2*Deadtime*Fsw/2*IF(VfdSky_Q2&gt;0,VfdSky_Q2,0)*K122+2*Deadtime*Fsw/2*IF(VfdSky_Q3&gt;0,VfdSky_Q3,0)*L122)</f>
        <v>0</v>
      </c>
      <c r="AU122" s="488" t="n">
        <f aca="false">CHOOSE(J122, IF(QrrSky_Q2&gt;0,QrrSky_Q2,Qrr_Q2)*Fsw*(H122-K122*Rdson1), IF(QrrSky_Q3&gt;0,QrrSky_Q3,Qrr_Q3)*Fsw*Vout,  IF(QrrSky_Q2&gt;0,QrrSky_Q2,Qrr_Q2)*Fsw/2*(H122-K122*Rdson1)+IF(QrrSky_Q3&gt;0,QrrSky_Q3,Qrr_Q3)*Fsw/2*Vout)</f>
        <v>0.58260762</v>
      </c>
      <c r="AV122" s="488" t="n">
        <f aca="false">CHOOSE(J122, Rs*AF122^2, Rs*AJ122^2, Rs*(AF122^2+AJ122^2))</f>
        <v>0.186293785630777</v>
      </c>
      <c r="AW122" s="488" t="n">
        <f aca="false">Rshunt_std/1000*Iout^2</f>
        <v>0.14832</v>
      </c>
      <c r="AX122" s="488" t="n">
        <f aca="false">IF(Vout&gt;8, Iq*Vout, Iq*H122)</f>
        <v>0.036</v>
      </c>
      <c r="AY122" s="488" t="n">
        <f aca="false">CHOOSE(J122, (Qg_Q1+Qg_Q2)*Fsw, (Qg_Q3+Qg_Q4)*Fsw, (Qg_Q1+Qg_Q2+Qg_Q3+Qg_Q4)*Fsw/2)*IF(Vout&gt;8, Vout, H122)</f>
        <v>0.0792</v>
      </c>
      <c r="AZ122" s="488" t="n">
        <f aca="false">(Vin-Vdd)*Fsw*(Qg_Q1+Qg_Q2)+(RdsonDRT+RdsonDRT2)*Fsw*Qg_Q1*Vdd/(RdsonDRT+2*Rgate1+RdsonDRT2)+(RdsonDRB+RdsonDRB2)*Fsw*Qg_Q2*Vdd/(RdsonDRB+2*Rgate2+RdsonDRB2)</f>
        <v>0.0522</v>
      </c>
      <c r="BA122" s="488" t="n">
        <f aca="false">SUM(AX122:AY122)</f>
        <v>0.1152</v>
      </c>
      <c r="BB122" s="488" t="n">
        <f aca="false">SUM(T122,W122,Z122,AE122,AI122,AN122,AR122, AT122,AU122,BA122,AV122,AW122)</f>
        <v>2.58062429262047</v>
      </c>
      <c r="BC122" s="419" t="n">
        <f aca="false">Vout*K122</f>
        <v>72</v>
      </c>
      <c r="BD122" s="589" t="n">
        <f aca="false">BC122/(BC122+BB122)</f>
        <v>0.965398194006861</v>
      </c>
      <c r="BE122" s="590" t="n">
        <f aca="false">IF(H122&gt;Vout,ThetaJA_Q1*(AE122+AU122),ThetaJA_Q4*(AN122+AU122))</f>
        <v>43.0675225140158</v>
      </c>
      <c r="BF122" s="590" t="n">
        <f aca="false">IF(H122&gt;Vout, AI122*ThetaJA_Q2, ThetaJA_Q3*AR122)</f>
        <v>14.2140546964417</v>
      </c>
      <c r="BG122" s="536"/>
      <c r="BH122" s="385" t="n">
        <f aca="false">BD122*100</f>
        <v>96.5398194006861</v>
      </c>
      <c r="BI122" s="488" t="n">
        <f aca="false">T122</f>
        <v>0.881787478995685</v>
      </c>
      <c r="BJ122" s="488" t="n">
        <f aca="false">AE122+AI122+AN122+AR122+AU122</f>
        <v>1.21942298480597</v>
      </c>
      <c r="BK122" s="488" t="n">
        <f aca="false">AI122+AU122*0.33</f>
        <v>0.476541608528833</v>
      </c>
      <c r="BL122" s="488" t="n">
        <f aca="false">AV122</f>
        <v>0.186293785630777</v>
      </c>
    </row>
    <row r="123" customFormat="false" ht="12.75" hidden="false" customHeight="false" outlineLevel="0" collapsed="false">
      <c r="G123" s="0" t="n">
        <v>114</v>
      </c>
      <c r="H123" s="586" t="n">
        <f aca="false">VIN_min+(VIN_max-VIN_min)*(G123/200)</f>
        <v>31.08</v>
      </c>
      <c r="I123" s="385" t="str">
        <f aca="false">IF(H123&gt;VIN_BB_to_buck, "BUCK", IF(H123&lt;VIN_boost_to_BB,"BOOST","BUCK-BST"))</f>
        <v>BUCK</v>
      </c>
      <c r="J123" s="419" t="n">
        <f aca="false">IF(I123="BOOST",2, IF(I123="BUCK", 1,3))</f>
        <v>1</v>
      </c>
      <c r="K123" s="0" t="n">
        <f aca="false">Iout</f>
        <v>6</v>
      </c>
      <c r="L123" s="385" t="n">
        <f aca="false">Vout*K123/(H123*Efficiency)</f>
        <v>2.57400257400257</v>
      </c>
      <c r="M123" s="385" t="n">
        <f aca="false">Iout/(1-O123)</f>
        <v>6</v>
      </c>
      <c r="N123" s="488" t="n">
        <f aca="false">CHOOSE(J123,(Vout+(Rdson2+Rs+Rdcr)*K123)/(H123+(Rs+Rdson2-Rdson1)*K123),1,IF(H123&lt;Vout,D_max_buck_BB,Vout/H123*(1-D_min_boost_exitBB_to_buck)))</f>
        <v>0.388791441788743</v>
      </c>
      <c r="O123" s="488" t="n">
        <f aca="false">CHOOSE(J123,0,(Vout+(Rdson3+Rdcr)*L123-H123)/(Vout+(Rdson3-Rdson4-Rs)*L123),IF(H123&gt;Vout,D_min_boost_exitBB_to_buck, (Vout-H123*D_max_buck_BB)/Vout))</f>
        <v>0</v>
      </c>
      <c r="P123" s="385" t="n">
        <f aca="false">MAX(0, CHOOSE(J123, (H123-(Rdson1+Rdcr)*K123-Vout)*N123/(Fsw*Lf), (H123-(Rdson4+Rdcr+Rs)*L123)*O123/(Fsw*Lf), IF(H123&lt;Vout, (H123-(Rdson4+Rdcr+Rs)*L123)*O123/(0.5*Fsw*Lf),(H123-(Rdson1+Rdcr)*K123-Vout)*N123/(0.5*Fsw*Lf))))</f>
        <v>5.2461200950639</v>
      </c>
      <c r="Q123" s="488" t="n">
        <f aca="false">CHOOSE(J123, SQRT(K123^2+(P123^2)/12), SQRT(L123^2+(P123^2)/12), SQRT(M123^2+(P123^2)/12))</f>
        <v>6.18817269778832</v>
      </c>
      <c r="R123" s="488" t="n">
        <f aca="false">(Q123^2*Rdcr*(1+Ltc*Ta-Ltc*25))/(1-Q123^2*Rdcr*Ltc*ThetaCa)</f>
        <v>0.129613339205377</v>
      </c>
      <c r="S123" s="488" t="n">
        <f aca="false">7.759*10^-3*Fsw^0.9458*(0.00787*P123)^2.304</f>
        <v>0.760151393467451</v>
      </c>
      <c r="T123" s="488" t="n">
        <f aca="false">R123+S123</f>
        <v>0.889764732672829</v>
      </c>
      <c r="U123" s="385" t="n">
        <f aca="false">IF(H123&gt;Vout, P123/SQRT(12), SQRT(O123/(1-O123))*SQRT(K123^2+(P123^2)/12))</f>
        <v>1.51442442454312</v>
      </c>
      <c r="V123" s="488" t="n">
        <f aca="false">RCoutEsr*U123^2</f>
        <v>0.0114674066882638</v>
      </c>
      <c r="W123" s="488" t="n">
        <f aca="false">V123</f>
        <v>0.0114674066882638</v>
      </c>
      <c r="X123" s="488" t="n">
        <f aca="false">IF(H123&gt;Vout, SQRT(N123*(1-N123))*SQRT(K123^2+(P123^2)/12), P123/SQRT(12))</f>
        <v>3.01658444270752</v>
      </c>
      <c r="Y123" s="587" t="n">
        <f aca="false">RCinEsr*X123^2</f>
        <v>0.0181995633999701</v>
      </c>
      <c r="Z123" s="588" t="n">
        <f aca="false">Y123</f>
        <v>0.0181995633999701</v>
      </c>
      <c r="AA123" s="488" t="n">
        <f aca="false">CHOOSE(J123, SQRT(N123)*SQRT(K123^2+(P123^2)/12), SQRT(L123^2+(P123^2)/12), SQRT(N123)*SQRT(M123^2+(P123^2)/12))</f>
        <v>3.85852015938447</v>
      </c>
      <c r="AB123" s="488" t="n">
        <f aca="false">Rdson1*AA123^2</f>
        <v>0.0848626135761452</v>
      </c>
      <c r="AC123" s="488" t="n">
        <f aca="false">CHOOSE(J123, (H123*K123/2)*(Fsw)*(Tr_buck+Tf_buck), 0, (H123*M123/2)*(Fsw/2)*(Tr_buck+Tf_buck))</f>
        <v>0.189904596843615</v>
      </c>
      <c r="AD123" s="0" t="n">
        <f aca="false">IF(H123&gt;Vout, IF(K123&gt;P123/2,0,ABS(K123-P123/2)*Vsd_Q1*Deadtime*Fsw),0)</f>
        <v>0</v>
      </c>
      <c r="AE123" s="488" t="n">
        <f aca="false">(AD123+AC123+AB123*(1+RdsonTopTc*Ta-RdsonTopTc*25))/(1-AB123*RdsonTopTc*ThetaJA_Q1)</f>
        <v>0.279511220966781</v>
      </c>
      <c r="AF123" s="488" t="n">
        <f aca="false">CHOOSE(J123, SQRT((1-N123))*SQRT(K123^2+(P123^2)/12), 0, SQRT((1-N123))*SQRT(M123^2+(P123^2)/12))</f>
        <v>4.83790280155321</v>
      </c>
      <c r="AG123" s="488" t="n">
        <f aca="false">Rdson2*AF123^2</f>
        <v>0.133410230048476</v>
      </c>
      <c r="AH123" s="488" t="n">
        <f aca="false">CHOOSE(J123, IF(K123&lt;P123/2,Deadtime*Fsw*IF(VfdSky_Q2&gt;0,0,Vsd_Q2)*(K123+P123/2),2*Deadtime*Fsw*IF(VfdSky_Q2&gt;0,0,Vsd_Q2)*K123),0, IF(K123&lt;P123/2,Deadtime*Fsw/2*IF(VfdSky_Q2&gt;0,0,Vsd_Q2)*(K123+P123/2),2*Deadtime*Fsw/2*IF(VfdSky_Q2&gt;0,0,Vsd_Q2)*K123))</f>
        <v>0.144</v>
      </c>
      <c r="AI123" s="488" t="n">
        <f aca="false">(AH123+AG123*(1+RdsonBotTc*Ta-RdsonBotTc*25))/(1-AG123*RdsonBotTc*ThetaJA_Q2)</f>
        <v>0.285015013759048</v>
      </c>
      <c r="AJ123" s="488" t="n">
        <f aca="false">CHOOSE(J123, 0, SQRT(O123)*SQRT(L123^2+(P123^2)/12), SQRT(O123)*SQRT(M123^2+(P123^2)/12))</f>
        <v>0</v>
      </c>
      <c r="AK123" s="488" t="n">
        <f aca="false">Rdson4*AJ123^2</f>
        <v>0</v>
      </c>
      <c r="AL123" s="488" t="n">
        <f aca="false">CHOOSE(J123, 0, (Vout*L123/2)*(Fsw)*(Tr_boost+Tf_boost), (Vout*Iout/2)*(Fsw/2)*(Tr_boost+Tf_boost))</f>
        <v>0</v>
      </c>
      <c r="AM123" s="0" t="n">
        <f aca="false">IF(H123&gt;Vout, 0, IF(L123&gt;P123/2,0,ABS(L123-P123/2)*Vsd_Q4*Deadtime*Fsw))</f>
        <v>0</v>
      </c>
      <c r="AN123" s="488" t="n">
        <f aca="false">(AM123+AL123+AK123*(1+RdsonTopTc*Ta-RdsonTopTc*25))/(1-AK123*RdsonTopTc*ThetaJA_Q4)</f>
        <v>0</v>
      </c>
      <c r="AO123" s="488" t="n">
        <f aca="false">CHOOSE(J123, SQRT(Iout^2+(P123^2)/12), SQRT(1-O123)*SQRT(L123^2+(P123^2)/12), SQRT(1-O123)*SQRT(M123^2+(P123^2)/12))</f>
        <v>6.18817269778832</v>
      </c>
      <c r="AP123" s="488" t="n">
        <f aca="false">Rdson3*AO123^2</f>
        <v>0.0727576145415403</v>
      </c>
      <c r="AQ123" s="488" t="n">
        <f aca="false">CHOOSE(J123, 0, IF(L123&lt;P123/2,Deadtime*Fsw*IF(VfdSky_Q3&gt;0,0,Vsd_Q3)*(L123+P123/2), 2*Deadtime*Fsw*IF(VfdSky_Q3&gt;0,0,Vsd_Q3)*L123), IF(L123&lt;P123/2,Deadtime*Fsw/2*IF(VfdSky_Q3&gt;0,0,Vsd_Q3)*(L123+P123/2), 2*Deadtime*Fsw/2*IF(VfdSky_Q3&gt;0,0,Vsd_Q3)*L123))</f>
        <v>0</v>
      </c>
      <c r="AR123" s="488" t="n">
        <f aca="false">(AQ123+AP123*(1+RdsonBotTc*Ta-RdsonBotTc*25))/(1-AP123*RdsonBotTc*ThetaJA_Q3)</f>
        <v>0.0738319823236892</v>
      </c>
      <c r="AS123" s="488" t="n">
        <f aca="false">CHOOSE(J123, Rdson3*Q123^2, Rdson1*Q123^2, 0)</f>
        <v>0.0727576145415403</v>
      </c>
      <c r="AT123" s="488" t="n">
        <f aca="false">CHOOSE(J123, 2*Deadtime*Fsw*IF(VfdSky_Q2&gt;0,VfdSky_Q2,0)*K123, 2*Deadtime*Fsw*IF(VfdSky_Q3&gt;0,VfdSky_Q3,0)*L123, 2*Deadtime*Fsw/2*IF(VfdSky_Q2&gt;0,VfdSky_Q2,0)*K123+2*Deadtime*Fsw/2*IF(VfdSky_Q3&gt;0,VfdSky_Q3,0)*L123)</f>
        <v>0</v>
      </c>
      <c r="AU123" s="488" t="n">
        <f aca="false">CHOOSE(J123, IF(QrrSky_Q2&gt;0,QrrSky_Q2,Qrr_Q2)*Fsw*(H123-K123*Rdson1), IF(QrrSky_Q3&gt;0,QrrSky_Q3,Qrr_Q3)*Fsw*Vout,  IF(QrrSky_Q2&gt;0,QrrSky_Q2,Qrr_Q2)*Fsw/2*(H123-K123*Rdson1)+IF(QrrSky_Q3&gt;0,QrrSky_Q3,Qrr_Q3)*Fsw/2*Vout)</f>
        <v>0.58676562</v>
      </c>
      <c r="AV123" s="488" t="n">
        <f aca="false">CHOOSE(J123, Rs*AF123^2, Rs*AJ123^2, Rs*(AF123^2+AJ123^2))</f>
        <v>0.187242428138211</v>
      </c>
      <c r="AW123" s="488" t="n">
        <f aca="false">Rshunt_std/1000*Iout^2</f>
        <v>0.14832</v>
      </c>
      <c r="AX123" s="488" t="n">
        <f aca="false">IF(Vout&gt;8, Iq*Vout, Iq*H123)</f>
        <v>0.036</v>
      </c>
      <c r="AY123" s="488" t="n">
        <f aca="false">CHOOSE(J123, (Qg_Q1+Qg_Q2)*Fsw, (Qg_Q3+Qg_Q4)*Fsw, (Qg_Q1+Qg_Q2+Qg_Q3+Qg_Q4)*Fsw/2)*IF(Vout&gt;8, Vout, H123)</f>
        <v>0.0792</v>
      </c>
      <c r="AZ123" s="488" t="n">
        <f aca="false">(Vin-Vdd)*Fsw*(Qg_Q1+Qg_Q2)+(RdsonDRT+RdsonDRT2)*Fsw*Qg_Q1*Vdd/(RdsonDRT+2*Rgate1+RdsonDRT2)+(RdsonDRB+RdsonDRB2)*Fsw*Qg_Q2*Vdd/(RdsonDRB+2*Rgate2+RdsonDRB2)</f>
        <v>0.0522</v>
      </c>
      <c r="BA123" s="488" t="n">
        <f aca="false">SUM(AX123:AY123)</f>
        <v>0.1152</v>
      </c>
      <c r="BB123" s="488" t="n">
        <f aca="false">SUM(T123,W123,Z123,AE123,AI123,AN123,AR123, AT123,AU123,BA123,AV123,AW123)</f>
        <v>2.59531796794879</v>
      </c>
      <c r="BC123" s="419" t="n">
        <f aca="false">Vout*K123</f>
        <v>72</v>
      </c>
      <c r="BD123" s="589" t="n">
        <f aca="false">BC123/(BC123+BB123)</f>
        <v>0.965208031299445</v>
      </c>
      <c r="BE123" s="590" t="n">
        <f aca="false">IF(H123&gt;Vout,ThetaJA_Q1*(AE123+AU123),ThetaJA_Q4*(AN123+AU123))</f>
        <v>43.313842048339</v>
      </c>
      <c r="BF123" s="590" t="n">
        <f aca="false">IF(H123&gt;Vout, AI123*ThetaJA_Q2, ThetaJA_Q3*AR123)</f>
        <v>14.2507506879524</v>
      </c>
      <c r="BG123" s="536"/>
      <c r="BH123" s="385" t="n">
        <f aca="false">BD123*100</f>
        <v>96.5208031299445</v>
      </c>
      <c r="BI123" s="488" t="n">
        <f aca="false">T123</f>
        <v>0.889764732672829</v>
      </c>
      <c r="BJ123" s="488" t="n">
        <f aca="false">AE123+AI123+AN123+AR123+AU123</f>
        <v>1.22512383704952</v>
      </c>
      <c r="BK123" s="488" t="n">
        <f aca="false">AI123+AU123*0.33</f>
        <v>0.478647668359048</v>
      </c>
      <c r="BL123" s="488" t="n">
        <f aca="false">AV123</f>
        <v>0.187242428138211</v>
      </c>
    </row>
    <row r="124" customFormat="false" ht="12.75" hidden="false" customHeight="false" outlineLevel="0" collapsed="false">
      <c r="G124" s="0" t="n">
        <v>115</v>
      </c>
      <c r="H124" s="586" t="n">
        <f aca="false">VIN_min+(VIN_max-VIN_min)*(G124/200)</f>
        <v>31.3</v>
      </c>
      <c r="I124" s="385" t="str">
        <f aca="false">IF(H124&gt;VIN_BB_to_buck, "BUCK", IF(H124&lt;VIN_boost_to_BB,"BOOST","BUCK-BST"))</f>
        <v>BUCK</v>
      </c>
      <c r="J124" s="419" t="n">
        <f aca="false">IF(I124="BOOST",2, IF(I124="BUCK", 1,3))</f>
        <v>1</v>
      </c>
      <c r="K124" s="0" t="n">
        <f aca="false">Iout</f>
        <v>6</v>
      </c>
      <c r="L124" s="385" t="n">
        <f aca="false">Vout*K124/(H124*Efficiency)</f>
        <v>2.55591054313099</v>
      </c>
      <c r="M124" s="385" t="n">
        <f aca="false">Iout/(1-O124)</f>
        <v>6</v>
      </c>
      <c r="N124" s="488" t="n">
        <f aca="false">CHOOSE(J124,(Vout+(Rdson2+Rs+Rdcr)*K124)/(H124+(Rs+Rdson2-Rdson1)*K124),1,IF(H124&lt;Vout,D_max_buck_BB,Vout/H124*(1-D_min_boost_exitBB_to_buck)))</f>
        <v>0.386062906724512</v>
      </c>
      <c r="O124" s="488" t="n">
        <f aca="false">CHOOSE(J124,0,(Vout+(Rdson3+Rdcr)*L124-H124)/(Vout+(Rdson3-Rdson4-Rs)*L124),IF(H124&gt;Vout,D_min_boost_exitBB_to_buck, (Vout-H124*D_max_buck_BB)/Vout))</f>
        <v>0</v>
      </c>
      <c r="P124" s="385" t="n">
        <f aca="false">MAX(0, CHOOSE(J124, (H124-(Rdson1+Rdcr)*K124-Vout)*N124/(Fsw*Lf), (H124-(Rdson4+Rdcr+Rs)*L124)*O124/(Fsw*Lf), IF(H124&lt;Vout, (H124-(Rdson4+Rdcr+Rs)*L124)*O124/(0.5*Fsw*Lf),(H124-(Rdson1+Rdcr)*K124-Vout)*N124/(0.5*Fsw*Lf))))</f>
        <v>5.26953963400563</v>
      </c>
      <c r="Q124" s="488" t="n">
        <f aca="false">CHOOSE(J124, SQRT(K124^2+(P124^2)/12), SQRT(L124^2+(P124^2)/12), SQRT(M124^2+(P124^2)/12))</f>
        <v>6.18983069204614</v>
      </c>
      <c r="R124" s="488" t="n">
        <f aca="false">(Q124^2*Rdcr*(1+Ltc*Ta-Ltc*25))/(1-Q124^2*Rdcr*Ltc*ThetaCa)</f>
        <v>0.129683523658972</v>
      </c>
      <c r="S124" s="488" t="n">
        <f aca="false">7.759*10^-3*Fsw^0.9458*(0.00787*P124)^2.304</f>
        <v>0.767992646880435</v>
      </c>
      <c r="T124" s="488" t="n">
        <f aca="false">R124+S124</f>
        <v>0.897676170539407</v>
      </c>
      <c r="U124" s="385" t="n">
        <f aca="false">IF(H124&gt;Vout, P124/SQRT(12), SQRT(O124/(1-O124))*SQRT(K124^2+(P124^2)/12))</f>
        <v>1.52118506309928</v>
      </c>
      <c r="V124" s="488" t="n">
        <f aca="false">RCoutEsr*U124^2</f>
        <v>0.0115700199809818</v>
      </c>
      <c r="W124" s="488" t="n">
        <f aca="false">V124</f>
        <v>0.0115700199809818</v>
      </c>
      <c r="X124" s="488" t="n">
        <f aca="false">IF(H124&gt;Vout, SQRT(N124*(1-N124))*SQRT(K124^2+(P124^2)/12), P124/SQRT(12))</f>
        <v>3.01348993345472</v>
      </c>
      <c r="Y124" s="587" t="n">
        <f aca="false">RCinEsr*X124^2</f>
        <v>0.0181622431580658</v>
      </c>
      <c r="Z124" s="588" t="n">
        <f aca="false">Y124</f>
        <v>0.0181622431580658</v>
      </c>
      <c r="AA124" s="488" t="n">
        <f aca="false">CHOOSE(J124, SQRT(N124)*SQRT(K124^2+(P124^2)/12), SQRT(L124^2+(P124^2)/12), SQRT(N124)*SQRT(M124^2+(P124^2)/12))</f>
        <v>3.84598696709</v>
      </c>
      <c r="AB124" s="488" t="n">
        <f aca="false">Rdson1*AA124^2</f>
        <v>0.0843122097808489</v>
      </c>
      <c r="AC124" s="488" t="n">
        <f aca="false">CHOOSE(J124, (H124*K124/2)*(Fsw)*(Tr_buck+Tf_buck), 0, (H124*M124/2)*(Fsw/2)*(Tr_buck+Tf_buck))</f>
        <v>0.191248837876614</v>
      </c>
      <c r="AD124" s="0" t="n">
        <f aca="false">IF(H124&gt;Vout, IF(K124&gt;P124/2,0,ABS(K124-P124/2)*Vsd_Q1*Deadtime*Fsw),0)</f>
        <v>0</v>
      </c>
      <c r="AE124" s="488" t="n">
        <f aca="false">(AD124+AC124+AB124*(1+RdsonTopTc*Ta-RdsonTopTc*25))/(1-AB124*RdsonTopTc*ThetaJA_Q1)</f>
        <v>0.280287377288029</v>
      </c>
      <c r="AF124" s="488" t="n">
        <f aca="false">CHOOSE(J124, SQRT((1-N124))*SQRT(K124^2+(P124^2)/12), 0, SQRT((1-N124))*SQRT(M124^2+(P124^2)/12))</f>
        <v>4.84998847886984</v>
      </c>
      <c r="AG124" s="488" t="n">
        <f aca="false">Rdson2*AF124^2</f>
        <v>0.13407761299747</v>
      </c>
      <c r="AH124" s="488" t="n">
        <f aca="false">CHOOSE(J124, IF(K124&lt;P124/2,Deadtime*Fsw*IF(VfdSky_Q2&gt;0,0,Vsd_Q2)*(K124+P124/2),2*Deadtime*Fsw*IF(VfdSky_Q2&gt;0,0,Vsd_Q2)*K124),0, IF(K124&lt;P124/2,Deadtime*Fsw/2*IF(VfdSky_Q2&gt;0,0,Vsd_Q2)*(K124+P124/2),2*Deadtime*Fsw/2*IF(VfdSky_Q2&gt;0,0,Vsd_Q2)*K124))</f>
        <v>0.144</v>
      </c>
      <c r="AI124" s="488" t="n">
        <f aca="false">(AH124+AG124*(1+RdsonBotTc*Ta-RdsonBotTc*25))/(1-AG124*RdsonBotTc*ThetaJA_Q2)</f>
        <v>0.285739877130233</v>
      </c>
      <c r="AJ124" s="488" t="n">
        <f aca="false">CHOOSE(J124, 0, SQRT(O124)*SQRT(L124^2+(P124^2)/12), SQRT(O124)*SQRT(M124^2+(P124^2)/12))</f>
        <v>0</v>
      </c>
      <c r="AK124" s="488" t="n">
        <f aca="false">Rdson4*AJ124^2</f>
        <v>0</v>
      </c>
      <c r="AL124" s="488" t="n">
        <f aca="false">CHOOSE(J124, 0, (Vout*L124/2)*(Fsw)*(Tr_boost+Tf_boost), (Vout*Iout/2)*(Fsw/2)*(Tr_boost+Tf_boost))</f>
        <v>0</v>
      </c>
      <c r="AM124" s="0" t="n">
        <f aca="false">IF(H124&gt;Vout, 0, IF(L124&gt;P124/2,0,ABS(L124-P124/2)*Vsd_Q4*Deadtime*Fsw))</f>
        <v>0</v>
      </c>
      <c r="AN124" s="488" t="n">
        <f aca="false">(AM124+AL124+AK124*(1+RdsonTopTc*Ta-RdsonTopTc*25))/(1-AK124*RdsonTopTc*ThetaJA_Q4)</f>
        <v>0</v>
      </c>
      <c r="AO124" s="488" t="n">
        <f aca="false">CHOOSE(J124, SQRT(Iout^2+(P124^2)/12), SQRT(1-O124)*SQRT(L124^2+(P124^2)/12), SQRT(1-O124)*SQRT(M124^2+(P124^2)/12))</f>
        <v>6.18983069204614</v>
      </c>
      <c r="AP124" s="488" t="n">
        <f aca="false">Rdson3*AO124^2</f>
        <v>0.0727966075927731</v>
      </c>
      <c r="AQ124" s="488" t="n">
        <f aca="false">CHOOSE(J124, 0, IF(L124&lt;P124/2,Deadtime*Fsw*IF(VfdSky_Q3&gt;0,0,Vsd_Q3)*(L124+P124/2), 2*Deadtime*Fsw*IF(VfdSky_Q3&gt;0,0,Vsd_Q3)*L124), IF(L124&lt;P124/2,Deadtime*Fsw/2*IF(VfdSky_Q3&gt;0,0,Vsd_Q3)*(L124+P124/2), 2*Deadtime*Fsw/2*IF(VfdSky_Q3&gt;0,0,Vsd_Q3)*L124))</f>
        <v>0</v>
      </c>
      <c r="AR124" s="488" t="n">
        <f aca="false">(AQ124+AP124*(1+RdsonBotTc*Ta-RdsonBotTc*25))/(1-AP124*RdsonBotTc*ThetaJA_Q3)</f>
        <v>0.0738721357686918</v>
      </c>
      <c r="AS124" s="488" t="n">
        <f aca="false">CHOOSE(J124, Rdson3*Q124^2, Rdson1*Q124^2, 0)</f>
        <v>0.0727966075927731</v>
      </c>
      <c r="AT124" s="488" t="n">
        <f aca="false">CHOOSE(J124, 2*Deadtime*Fsw*IF(VfdSky_Q2&gt;0,VfdSky_Q2,0)*K124, 2*Deadtime*Fsw*IF(VfdSky_Q3&gt;0,VfdSky_Q3,0)*L124, 2*Deadtime*Fsw/2*IF(VfdSky_Q2&gt;0,VfdSky_Q2,0)*K124+2*Deadtime*Fsw/2*IF(VfdSky_Q3&gt;0,VfdSky_Q3,0)*L124)</f>
        <v>0</v>
      </c>
      <c r="AU124" s="488" t="n">
        <f aca="false">CHOOSE(J124, IF(QrrSky_Q2&gt;0,QrrSky_Q2,Qrr_Q2)*Fsw*(H124-K124*Rdson1), IF(QrrSky_Q3&gt;0,QrrSky_Q3,Qrr_Q3)*Fsw*Vout,  IF(QrrSky_Q2&gt;0,QrrSky_Q2,Qrr_Q2)*Fsw/2*(H124-K124*Rdson1)+IF(QrrSky_Q3&gt;0,QrrSky_Q3,Qrr_Q3)*Fsw/2*Vout)</f>
        <v>0.59092362</v>
      </c>
      <c r="AV124" s="488" t="n">
        <f aca="false">CHOOSE(J124, Rs*AF124^2, Rs*AJ124^2, Rs*(AF124^2+AJ124^2))</f>
        <v>0.188179105961362</v>
      </c>
      <c r="AW124" s="488" t="n">
        <f aca="false">Rshunt_std/1000*Iout^2</f>
        <v>0.14832</v>
      </c>
      <c r="AX124" s="488" t="n">
        <f aca="false">IF(Vout&gt;8, Iq*Vout, Iq*H124)</f>
        <v>0.036</v>
      </c>
      <c r="AY124" s="488" t="n">
        <f aca="false">CHOOSE(J124, (Qg_Q1+Qg_Q2)*Fsw, (Qg_Q3+Qg_Q4)*Fsw, (Qg_Q1+Qg_Q2+Qg_Q3+Qg_Q4)*Fsw/2)*IF(Vout&gt;8, Vout, H124)</f>
        <v>0.0792</v>
      </c>
      <c r="AZ124" s="488" t="n">
        <f aca="false">(Vin-Vdd)*Fsw*(Qg_Q1+Qg_Q2)+(RdsonDRT+RdsonDRT2)*Fsw*Qg_Q1*Vdd/(RdsonDRT+2*Rgate1+RdsonDRT2)+(RdsonDRB+RdsonDRB2)*Fsw*Qg_Q2*Vdd/(RdsonDRB+2*Rgate2+RdsonDRB2)</f>
        <v>0.0522</v>
      </c>
      <c r="BA124" s="488" t="n">
        <f aca="false">SUM(AX124:AY124)</f>
        <v>0.1152</v>
      </c>
      <c r="BB124" s="488" t="n">
        <f aca="false">SUM(T124,W124,Z124,AE124,AI124,AN124,AR124, AT124,AU124,BA124,AV124,AW124)</f>
        <v>2.60993054982677</v>
      </c>
      <c r="BC124" s="419" t="n">
        <f aca="false">Vout*K124</f>
        <v>72</v>
      </c>
      <c r="BD124" s="589" t="n">
        <f aca="false">BC124/(BC124+BB124)</f>
        <v>0.965018992370141</v>
      </c>
      <c r="BE124" s="590" t="n">
        <f aca="false">IF(H124&gt;Vout,ThetaJA_Q1*(AE124+AU124),ThetaJA_Q4*(AN124+AU124))</f>
        <v>43.5605498644015</v>
      </c>
      <c r="BF124" s="590" t="n">
        <f aca="false">IF(H124&gt;Vout, AI124*ThetaJA_Q2, ThetaJA_Q3*AR124)</f>
        <v>14.2869938565116</v>
      </c>
      <c r="BG124" s="536"/>
      <c r="BH124" s="385" t="n">
        <f aca="false">BD124*100</f>
        <v>96.5018992370141</v>
      </c>
      <c r="BI124" s="488" t="n">
        <f aca="false">T124</f>
        <v>0.897676170539407</v>
      </c>
      <c r="BJ124" s="488" t="n">
        <f aca="false">AE124+AI124+AN124+AR124+AU124</f>
        <v>1.23082301018695</v>
      </c>
      <c r="BK124" s="488" t="n">
        <f aca="false">AI124+AU124*0.33</f>
        <v>0.480744671730233</v>
      </c>
      <c r="BL124" s="488" t="n">
        <f aca="false">AV124</f>
        <v>0.188179105961362</v>
      </c>
    </row>
    <row r="125" customFormat="false" ht="12.75" hidden="false" customHeight="false" outlineLevel="0" collapsed="false">
      <c r="G125" s="0" t="n">
        <v>116</v>
      </c>
      <c r="H125" s="586" t="n">
        <f aca="false">VIN_min+(VIN_max-VIN_min)*(G125/200)</f>
        <v>31.52</v>
      </c>
      <c r="I125" s="385" t="str">
        <f aca="false">IF(H125&gt;VIN_BB_to_buck, "BUCK", IF(H125&lt;VIN_boost_to_BB,"BOOST","BUCK-BST"))</f>
        <v>BUCK</v>
      </c>
      <c r="J125" s="419" t="n">
        <f aca="false">IF(I125="BOOST",2, IF(I125="BUCK", 1,3))</f>
        <v>1</v>
      </c>
      <c r="K125" s="0" t="n">
        <f aca="false">Iout</f>
        <v>6</v>
      </c>
      <c r="L125" s="385" t="n">
        <f aca="false">Vout*K125/(H125*Efficiency)</f>
        <v>2.53807106598985</v>
      </c>
      <c r="M125" s="385" t="n">
        <f aca="false">Iout/(1-O125)</f>
        <v>6</v>
      </c>
      <c r="N125" s="488" t="n">
        <f aca="false">CHOOSE(J125,(Vout+(Rdson2+Rs+Rdcr)*K125)/(H125+(Rs+Rdson2-Rdson1)*K125),1,IF(H125&lt;Vout,D_max_buck_BB,Vout/H125*(1-D_min_boost_exitBB_to_buck)))</f>
        <v>0.383372402432843</v>
      </c>
      <c r="O125" s="488" t="n">
        <f aca="false">CHOOSE(J125,0,(Vout+(Rdson3+Rdcr)*L125-H125)/(Vout+(Rdson3-Rdson4-Rs)*L125),IF(H125&gt;Vout,D_min_boost_exitBB_to_buck, (Vout-H125*D_max_buck_BB)/Vout))</f>
        <v>0</v>
      </c>
      <c r="P125" s="385" t="n">
        <f aca="false">MAX(0, CHOOSE(J125, (H125-(Rdson1+Rdcr)*K125-Vout)*N125/(Fsw*Lf), (H125-(Rdson4+Rdcr+Rs)*L125)*O125/(Fsw*Lf), IF(H125&lt;Vout, (H125-(Rdson4+Rdcr+Rs)*L125)*O125/(0.5*Fsw*Lf),(H125-(Rdson1+Rdcr)*K125-Vout)*N125/(0.5*Fsw*Lf))))</f>
        <v>5.29263274754397</v>
      </c>
      <c r="Q125" s="488" t="n">
        <f aca="false">CHOOSE(J125, SQRT(K125^2+(P125^2)/12), SQRT(L125^2+(P125^2)/12), SQRT(M125^2+(P125^2)/12))</f>
        <v>6.19147237066418</v>
      </c>
      <c r="R125" s="488" t="n">
        <f aca="false">(Q125^2*Rdcr*(1+Ltc*Ta-Ltc*25))/(1-Q125^2*Rdcr*Ltc*ThetaCa)</f>
        <v>0.129753036750447</v>
      </c>
      <c r="S125" s="488" t="n">
        <f aca="false">7.759*10^-3*Fsw^0.9458*(0.00787*P125)^2.304</f>
        <v>0.775769234074536</v>
      </c>
      <c r="T125" s="488" t="n">
        <f aca="false">R125+S125</f>
        <v>0.905522270824983</v>
      </c>
      <c r="U125" s="385" t="n">
        <f aca="false">IF(H125&gt;Vout, P125/SQRT(12), SQRT(O125/(1-O125))*SQRT(K125^2+(P125^2)/12))</f>
        <v>1.52785147075817</v>
      </c>
      <c r="V125" s="488" t="n">
        <f aca="false">RCoutEsr*U125^2</f>
        <v>0.0116716505834895</v>
      </c>
      <c r="W125" s="488" t="n">
        <f aca="false">V125</f>
        <v>0.0116716505834895</v>
      </c>
      <c r="X125" s="488" t="n">
        <f aca="false">IF(H125&gt;Vout, SQRT(N125*(1-N125))*SQRT(K125^2+(P125^2)/12), P125/SQRT(12))</f>
        <v>3.0103420245131</v>
      </c>
      <c r="Y125" s="587" t="n">
        <f aca="false">RCinEsr*X125^2</f>
        <v>0.0181243182090993</v>
      </c>
      <c r="Z125" s="588" t="n">
        <f aca="false">Y125</f>
        <v>0.0181243182090993</v>
      </c>
      <c r="AA125" s="488" t="n">
        <f aca="false">CHOOSE(J125, SQRT(N125)*SQRT(K125^2+(P125^2)/12), SQRT(L125^2+(P125^2)/12), SQRT(N125)*SQRT(M125^2+(P125^2)/12))</f>
        <v>3.83357851523771</v>
      </c>
      <c r="AB125" s="488" t="n">
        <f aca="false">Rdson1*AA125^2</f>
        <v>0.0837690481252054</v>
      </c>
      <c r="AC125" s="488" t="n">
        <f aca="false">CHOOSE(J125, (H125*K125/2)*(Fsw)*(Tr_buck+Tf_buck), 0, (H125*M125/2)*(Fsw/2)*(Tr_buck+Tf_buck))</f>
        <v>0.192593078909613</v>
      </c>
      <c r="AD125" s="0" t="n">
        <f aca="false">IF(H125&gt;Vout, IF(K125&gt;P125/2,0,ABS(K125-P125/2)*Vsd_Q1*Deadtime*Fsw),0)</f>
        <v>0</v>
      </c>
      <c r="AE125" s="488" t="n">
        <f aca="false">(AD125+AC125+AB125*(1+RdsonTopTc*Ta-RdsonTopTc*25))/(1-AB125*RdsonTopTc*ThetaJA_Q1)</f>
        <v>0.281071139395341</v>
      </c>
      <c r="AF125" s="488" t="n">
        <f aca="false">CHOOSE(J125, SQRT((1-N125))*SQRT(K125^2+(P125^2)/12), 0, SQRT((1-N125))*SQRT(M125^2+(P125^2)/12))</f>
        <v>4.86189324072482</v>
      </c>
      <c r="AG125" s="488" t="n">
        <f aca="false">Rdson2*AF125^2</f>
        <v>0.134736633539973</v>
      </c>
      <c r="AH125" s="488" t="n">
        <f aca="false">CHOOSE(J125, IF(K125&lt;P125/2,Deadtime*Fsw*IF(VfdSky_Q2&gt;0,0,Vsd_Q2)*(K125+P125/2),2*Deadtime*Fsw*IF(VfdSky_Q2&gt;0,0,Vsd_Q2)*K125),0, IF(K125&lt;P125/2,Deadtime*Fsw/2*IF(VfdSky_Q2&gt;0,0,Vsd_Q2)*(K125+P125/2),2*Deadtime*Fsw/2*IF(VfdSky_Q2&gt;0,0,Vsd_Q2)*K125))</f>
        <v>0.144</v>
      </c>
      <c r="AI125" s="488" t="n">
        <f aca="false">(AH125+AG125*(1+RdsonBotTc*Ta-RdsonBotTc*25))/(1-AG125*RdsonBotTc*ThetaJA_Q2)</f>
        <v>0.286455852998131</v>
      </c>
      <c r="AJ125" s="488" t="n">
        <f aca="false">CHOOSE(J125, 0, SQRT(O125)*SQRT(L125^2+(P125^2)/12), SQRT(O125)*SQRT(M125^2+(P125^2)/12))</f>
        <v>0</v>
      </c>
      <c r="AK125" s="488" t="n">
        <f aca="false">Rdson4*AJ125^2</f>
        <v>0</v>
      </c>
      <c r="AL125" s="488" t="n">
        <f aca="false">CHOOSE(J125, 0, (Vout*L125/2)*(Fsw)*(Tr_boost+Tf_boost), (Vout*Iout/2)*(Fsw/2)*(Tr_boost+Tf_boost))</f>
        <v>0</v>
      </c>
      <c r="AM125" s="0" t="n">
        <f aca="false">IF(H125&gt;Vout, 0, IF(L125&gt;P125/2,0,ABS(L125-P125/2)*Vsd_Q4*Deadtime*Fsw))</f>
        <v>0</v>
      </c>
      <c r="AN125" s="488" t="n">
        <f aca="false">(AM125+AL125+AK125*(1+RdsonTopTc*Ta-RdsonTopTc*25))/(1-AK125*RdsonTopTc*ThetaJA_Q4)</f>
        <v>0</v>
      </c>
      <c r="AO125" s="488" t="n">
        <f aca="false">CHOOSE(J125, SQRT(Iout^2+(P125^2)/12), SQRT(1-O125)*SQRT(L125^2+(P125^2)/12), SQRT(1-O125)*SQRT(M125^2+(P125^2)/12))</f>
        <v>6.19147237066418</v>
      </c>
      <c r="AP125" s="488" t="n">
        <f aca="false">Rdson3*AO125^2</f>
        <v>0.072835227221726</v>
      </c>
      <c r="AQ125" s="488" t="n">
        <f aca="false">CHOOSE(J125, 0, IF(L125&lt;P125/2,Deadtime*Fsw*IF(VfdSky_Q3&gt;0,0,Vsd_Q3)*(L125+P125/2), 2*Deadtime*Fsw*IF(VfdSky_Q3&gt;0,0,Vsd_Q3)*L125), IF(L125&lt;P125/2,Deadtime*Fsw/2*IF(VfdSky_Q3&gt;0,0,Vsd_Q3)*(L125+P125/2), 2*Deadtime*Fsw/2*IF(VfdSky_Q3&gt;0,0,Vsd_Q3)*L125))</f>
        <v>0</v>
      </c>
      <c r="AR125" s="488" t="n">
        <f aca="false">(AQ125+AP125*(1+RdsonBotTc*Ta-RdsonBotTc*25))/(1-AP125*RdsonBotTc*ThetaJA_Q3)</f>
        <v>0.0739119053051848</v>
      </c>
      <c r="AS125" s="488" t="n">
        <f aca="false">CHOOSE(J125, Rdson3*Q125^2, Rdson1*Q125^2, 0)</f>
        <v>0.072835227221726</v>
      </c>
      <c r="AT125" s="488" t="n">
        <f aca="false">CHOOSE(J125, 2*Deadtime*Fsw*IF(VfdSky_Q2&gt;0,VfdSky_Q2,0)*K125, 2*Deadtime*Fsw*IF(VfdSky_Q3&gt;0,VfdSky_Q3,0)*L125, 2*Deadtime*Fsw/2*IF(VfdSky_Q2&gt;0,VfdSky_Q2,0)*K125+2*Deadtime*Fsw/2*IF(VfdSky_Q3&gt;0,VfdSky_Q3,0)*L125)</f>
        <v>0</v>
      </c>
      <c r="AU125" s="488" t="n">
        <f aca="false">CHOOSE(J125, IF(QrrSky_Q2&gt;0,QrrSky_Q2,Qrr_Q2)*Fsw*(H125-K125*Rdson1), IF(QrrSky_Q3&gt;0,QrrSky_Q3,Qrr_Q3)*Fsw*Vout,  IF(QrrSky_Q2&gt;0,QrrSky_Q2,Qrr_Q2)*Fsw/2*(H125-K125*Rdson1)+IF(QrrSky_Q3&gt;0,QrrSky_Q3,Qrr_Q3)*Fsw/2*Vout)</f>
        <v>0.59508162</v>
      </c>
      <c r="AV125" s="488" t="n">
        <f aca="false">CHOOSE(J125, Rs*AF125^2, Rs*AJ125^2, Rs*(AF125^2+AJ125^2))</f>
        <v>0.189104047073646</v>
      </c>
      <c r="AW125" s="488" t="n">
        <f aca="false">Rshunt_std/1000*Iout^2</f>
        <v>0.14832</v>
      </c>
      <c r="AX125" s="488" t="n">
        <f aca="false">IF(Vout&gt;8, Iq*Vout, Iq*H125)</f>
        <v>0.036</v>
      </c>
      <c r="AY125" s="488" t="n">
        <f aca="false">CHOOSE(J125, (Qg_Q1+Qg_Q2)*Fsw, (Qg_Q3+Qg_Q4)*Fsw, (Qg_Q1+Qg_Q2+Qg_Q3+Qg_Q4)*Fsw/2)*IF(Vout&gt;8, Vout, H125)</f>
        <v>0.0792</v>
      </c>
      <c r="AZ125" s="488" t="n">
        <f aca="false">(Vin-Vdd)*Fsw*(Qg_Q1+Qg_Q2)+(RdsonDRT+RdsonDRT2)*Fsw*Qg_Q1*Vdd/(RdsonDRT+2*Rgate1+RdsonDRT2)+(RdsonDRB+RdsonDRB2)*Fsw*Qg_Q2*Vdd/(RdsonDRB+2*Rgate2+RdsonDRB2)</f>
        <v>0.0522</v>
      </c>
      <c r="BA125" s="488" t="n">
        <f aca="false">SUM(AX125:AY125)</f>
        <v>0.1152</v>
      </c>
      <c r="BB125" s="488" t="n">
        <f aca="false">SUM(T125,W125,Z125,AE125,AI125,AN125,AR125, AT125,AU125,BA125,AV125,AW125)</f>
        <v>2.62446280438987</v>
      </c>
      <c r="BC125" s="419" t="n">
        <f aca="false">Vout*K125</f>
        <v>72</v>
      </c>
      <c r="BD125" s="589" t="n">
        <f aca="false">BC125/(BC125+BB125)</f>
        <v>0.964831066037028</v>
      </c>
      <c r="BE125" s="590" t="n">
        <f aca="false">IF(H125&gt;Vout,ThetaJA_Q1*(AE125+AU125),ThetaJA_Q4*(AN125+AU125))</f>
        <v>43.807637969767</v>
      </c>
      <c r="BF125" s="590" t="n">
        <f aca="false">IF(H125&gt;Vout, AI125*ThetaJA_Q2, ThetaJA_Q3*AR125)</f>
        <v>14.3227926499065</v>
      </c>
      <c r="BG125" s="536"/>
      <c r="BH125" s="385" t="n">
        <f aca="false">BD125*100</f>
        <v>96.4831066037028</v>
      </c>
      <c r="BI125" s="488" t="n">
        <f aca="false">T125</f>
        <v>0.905522270824983</v>
      </c>
      <c r="BJ125" s="488" t="n">
        <f aca="false">AE125+AI125+AN125+AR125+AU125</f>
        <v>1.23652051769866</v>
      </c>
      <c r="BK125" s="488" t="n">
        <f aca="false">AI125+AU125*0.33</f>
        <v>0.482832787598131</v>
      </c>
      <c r="BL125" s="488" t="n">
        <f aca="false">AV125</f>
        <v>0.189104047073646</v>
      </c>
    </row>
    <row r="126" customFormat="false" ht="12.75" hidden="false" customHeight="false" outlineLevel="0" collapsed="false">
      <c r="G126" s="0" t="n">
        <v>117</v>
      </c>
      <c r="H126" s="586" t="n">
        <f aca="false">VIN_min+(VIN_max-VIN_min)*(G126/200)</f>
        <v>31.74</v>
      </c>
      <c r="I126" s="385" t="str">
        <f aca="false">IF(H126&gt;VIN_BB_to_buck, "BUCK", IF(H126&lt;VIN_boost_to_BB,"BOOST","BUCK-BST"))</f>
        <v>BUCK</v>
      </c>
      <c r="J126" s="419" t="n">
        <f aca="false">IF(I126="BOOST",2, IF(I126="BUCK", 1,3))</f>
        <v>1</v>
      </c>
      <c r="K126" s="0" t="n">
        <f aca="false">Iout</f>
        <v>6</v>
      </c>
      <c r="L126" s="385" t="n">
        <f aca="false">Vout*K126/(H126*Efficiency)</f>
        <v>2.52047889098929</v>
      </c>
      <c r="M126" s="385" t="n">
        <f aca="false">Iout/(1-O126)</f>
        <v>6</v>
      </c>
      <c r="N126" s="488" t="n">
        <f aca="false">CHOOSE(J126,(Vout+(Rdson2+Rs+Rdcr)*K126)/(H126+(Rs+Rdson2-Rdson1)*K126),1,IF(H126&lt;Vout,D_max_buck_BB,Vout/H126*(1-D_min_boost_exitBB_to_buck)))</f>
        <v>0.380719139297848</v>
      </c>
      <c r="O126" s="488" t="n">
        <f aca="false">CHOOSE(J126,0,(Vout+(Rdson3+Rdcr)*L126-H126)/(Vout+(Rdson3-Rdson4-Rs)*L126),IF(H126&gt;Vout,D_min_boost_exitBB_to_buck, (Vout-H126*D_max_buck_BB)/Vout))</f>
        <v>0</v>
      </c>
      <c r="P126" s="385" t="n">
        <f aca="false">MAX(0, CHOOSE(J126, (H126-(Rdson1+Rdcr)*K126-Vout)*N126/(Fsw*Lf), (H126-(Rdson4+Rdcr+Rs)*L126)*O126/(Fsw*Lf), IF(H126&lt;Vout, (H126-(Rdson4+Rdcr+Rs)*L126)*O126/(0.5*Fsw*Lf),(H126-(Rdson1+Rdcr)*K126-Vout)*N126/(0.5*Fsw*Lf))))</f>
        <v>5.3154062131033</v>
      </c>
      <c r="Q126" s="488" t="n">
        <f aca="false">CHOOSE(J126, SQRT(K126^2+(P126^2)/12), SQRT(L126^2+(P126^2)/12), SQRT(M126^2+(P126^2)/12))</f>
        <v>6.19309792706295</v>
      </c>
      <c r="R126" s="488" t="n">
        <f aca="false">(Q126^2*Rdcr*(1+Ltc*Ta-Ltc*25))/(1-Q126^2*Rdcr*Ltc*ThetaCa)</f>
        <v>0.129821886101312</v>
      </c>
      <c r="S126" s="488" t="n">
        <f aca="false">7.759*10^-3*Fsw^0.9458*(0.00787*P126)^2.304</f>
        <v>0.783481635274105</v>
      </c>
      <c r="T126" s="488" t="n">
        <f aca="false">R126+S126</f>
        <v>0.913303521375417</v>
      </c>
      <c r="U126" s="385" t="n">
        <f aca="false">IF(H126&gt;Vout, P126/SQRT(12), SQRT(O126/(1-O126))*SQRT(K126^2+(P126^2)/12))</f>
        <v>1.5344256039937</v>
      </c>
      <c r="V126" s="488" t="n">
        <f aca="false">RCoutEsr*U126^2</f>
        <v>0.0117723096709571</v>
      </c>
      <c r="W126" s="488" t="n">
        <f aca="false">V126</f>
        <v>0.0117723096709571</v>
      </c>
      <c r="X126" s="488" t="n">
        <f aca="false">IF(H126&gt;Vout, SQRT(N126*(1-N126))*SQRT(K126^2+(P126^2)/12), P126/SQRT(12))</f>
        <v>3.00714334950113</v>
      </c>
      <c r="Y126" s="587" t="n">
        <f aca="false">RCinEsr*X126^2</f>
        <v>0.0180858222488978</v>
      </c>
      <c r="Z126" s="588" t="n">
        <f aca="false">Y126</f>
        <v>0.0180858222488978</v>
      </c>
      <c r="AA126" s="488" t="n">
        <f aca="false">CHOOSE(J126, SQRT(N126)*SQRT(K126^2+(P126^2)/12), SQRT(L126^2+(P126^2)/12), SQRT(N126)*SQRT(M126^2+(P126^2)/12))</f>
        <v>3.82129267863866</v>
      </c>
      <c r="AB126" s="488" t="n">
        <f aca="false">Rdson1*AA126^2</f>
        <v>0.0832329830941594</v>
      </c>
      <c r="AC126" s="488" t="n">
        <f aca="false">CHOOSE(J126, (H126*K126/2)*(Fsw)*(Tr_buck+Tf_buck), 0, (H126*M126/2)*(Fsw/2)*(Tr_buck+Tf_buck))</f>
        <v>0.193937319942611</v>
      </c>
      <c r="AD126" s="0" t="n">
        <f aca="false">IF(H126&gt;Vout, IF(K126&gt;P126/2,0,ABS(K126-P126/2)*Vsd_Q1*Deadtime*Fsw),0)</f>
        <v>0</v>
      </c>
      <c r="AE126" s="488" t="n">
        <f aca="false">(AD126+AC126+AB126*(1+RdsonTopTc*Ta-RdsonTopTc*25))/(1-AB126*RdsonTopTc*ThetaJA_Q1)</f>
        <v>0.281862351911069</v>
      </c>
      <c r="AF126" s="488" t="n">
        <f aca="false">CHOOSE(J126, SQRT((1-N126))*SQRT(K126^2+(P126^2)/12), 0, SQRT((1-N126))*SQRT(M126^2+(P126^2)/12))</f>
        <v>4.87362126127728</v>
      </c>
      <c r="AG126" s="488" t="n">
        <f aca="false">Rdson2*AF126^2</f>
        <v>0.135387449930732</v>
      </c>
      <c r="AH126" s="488" t="n">
        <f aca="false">CHOOSE(J126, IF(K126&lt;P126/2,Deadtime*Fsw*IF(VfdSky_Q2&gt;0,0,Vsd_Q2)*(K126+P126/2),2*Deadtime*Fsw*IF(VfdSky_Q2&gt;0,0,Vsd_Q2)*K126),0, IF(K126&lt;P126/2,Deadtime*Fsw/2*IF(VfdSky_Q2&gt;0,0,Vsd_Q2)*(K126+P126/2),2*Deadtime*Fsw/2*IF(VfdSky_Q2&gt;0,0,Vsd_Q2)*K126))</f>
        <v>0.144</v>
      </c>
      <c r="AI126" s="488" t="n">
        <f aca="false">(AH126+AG126*(1+RdsonBotTc*Ta-RdsonBotTc*25))/(1-AG126*RdsonBotTc*ThetaJA_Q2)</f>
        <v>0.287163106059447</v>
      </c>
      <c r="AJ126" s="488" t="n">
        <f aca="false">CHOOSE(J126, 0, SQRT(O126)*SQRT(L126^2+(P126^2)/12), SQRT(O126)*SQRT(M126^2+(P126^2)/12))</f>
        <v>0</v>
      </c>
      <c r="AK126" s="488" t="n">
        <f aca="false">Rdson4*AJ126^2</f>
        <v>0</v>
      </c>
      <c r="AL126" s="488" t="n">
        <f aca="false">CHOOSE(J126, 0, (Vout*L126/2)*(Fsw)*(Tr_boost+Tf_boost), (Vout*Iout/2)*(Fsw/2)*(Tr_boost+Tf_boost))</f>
        <v>0</v>
      </c>
      <c r="AM126" s="0" t="n">
        <f aca="false">IF(H126&gt;Vout, 0, IF(L126&gt;P126/2,0,ABS(L126-P126/2)*Vsd_Q4*Deadtime*Fsw))</f>
        <v>0</v>
      </c>
      <c r="AN126" s="488" t="n">
        <f aca="false">(AM126+AL126+AK126*(1+RdsonTopTc*Ta-RdsonTopTc*25))/(1-AK126*RdsonTopTc*ThetaJA_Q4)</f>
        <v>0</v>
      </c>
      <c r="AO126" s="488" t="n">
        <f aca="false">CHOOSE(J126, SQRT(Iout^2+(P126^2)/12), SQRT(1-O126)*SQRT(L126^2+(P126^2)/12), SQRT(1-O126)*SQRT(M126^2+(P126^2)/12))</f>
        <v>6.19309792706295</v>
      </c>
      <c r="AP126" s="488" t="n">
        <f aca="false">Rdson3*AO126^2</f>
        <v>0.0728734776749637</v>
      </c>
      <c r="AQ126" s="488" t="n">
        <f aca="false">CHOOSE(J126, 0, IF(L126&lt;P126/2,Deadtime*Fsw*IF(VfdSky_Q3&gt;0,0,Vsd_Q3)*(L126+P126/2), 2*Deadtime*Fsw*IF(VfdSky_Q3&gt;0,0,Vsd_Q3)*L126), IF(L126&lt;P126/2,Deadtime*Fsw/2*IF(VfdSky_Q3&gt;0,0,Vsd_Q3)*(L126+P126/2), 2*Deadtime*Fsw/2*IF(VfdSky_Q3&gt;0,0,Vsd_Q3)*L126))</f>
        <v>0</v>
      </c>
      <c r="AR126" s="488" t="n">
        <f aca="false">(AQ126+AP126*(1+RdsonBotTc*Ta-RdsonBotTc*25))/(1-AP126*RdsonBotTc*ThetaJA_Q3)</f>
        <v>0.0739512952882077</v>
      </c>
      <c r="AS126" s="488" t="n">
        <f aca="false">CHOOSE(J126, Rdson3*Q126^2, Rdson1*Q126^2, 0)</f>
        <v>0.0728734776749637</v>
      </c>
      <c r="AT126" s="488" t="n">
        <f aca="false">CHOOSE(J126, 2*Deadtime*Fsw*IF(VfdSky_Q2&gt;0,VfdSky_Q2,0)*K126, 2*Deadtime*Fsw*IF(VfdSky_Q3&gt;0,VfdSky_Q3,0)*L126, 2*Deadtime*Fsw/2*IF(VfdSky_Q2&gt;0,VfdSky_Q2,0)*K126+2*Deadtime*Fsw/2*IF(VfdSky_Q3&gt;0,VfdSky_Q3,0)*L126)</f>
        <v>0</v>
      </c>
      <c r="AU126" s="488" t="n">
        <f aca="false">CHOOSE(J126, IF(QrrSky_Q2&gt;0,QrrSky_Q2,Qrr_Q2)*Fsw*(H126-K126*Rdson1), IF(QrrSky_Q3&gt;0,QrrSky_Q3,Qrr_Q3)*Fsw*Vout,  IF(QrrSky_Q2&gt;0,QrrSky_Q2,Qrr_Q2)*Fsw/2*(H126-K126*Rdson1)+IF(QrrSky_Q3&gt;0,QrrSky_Q3,Qrr_Q3)*Fsw/2*Vout)</f>
        <v>0.59923962</v>
      </c>
      <c r="AV126" s="488" t="n">
        <f aca="false">CHOOSE(J126, Rs*AF126^2, Rs*AJ126^2, Rs*(AF126^2+AJ126^2))</f>
        <v>0.190017473586992</v>
      </c>
      <c r="AW126" s="488" t="n">
        <f aca="false">Rshunt_std/1000*Iout^2</f>
        <v>0.14832</v>
      </c>
      <c r="AX126" s="488" t="n">
        <f aca="false">IF(Vout&gt;8, Iq*Vout, Iq*H126)</f>
        <v>0.036</v>
      </c>
      <c r="AY126" s="488" t="n">
        <f aca="false">CHOOSE(J126, (Qg_Q1+Qg_Q2)*Fsw, (Qg_Q3+Qg_Q4)*Fsw, (Qg_Q1+Qg_Q2+Qg_Q3+Qg_Q4)*Fsw/2)*IF(Vout&gt;8, Vout, H126)</f>
        <v>0.0792</v>
      </c>
      <c r="AZ126" s="488" t="n">
        <f aca="false">(Vin-Vdd)*Fsw*(Qg_Q1+Qg_Q2)+(RdsonDRT+RdsonDRT2)*Fsw*Qg_Q1*Vdd/(RdsonDRT+2*Rgate1+RdsonDRT2)+(RdsonDRB+RdsonDRB2)*Fsw*Qg_Q2*Vdd/(RdsonDRB+2*Rgate2+RdsonDRB2)</f>
        <v>0.0522</v>
      </c>
      <c r="BA126" s="488" t="n">
        <f aca="false">SUM(AX126:AY126)</f>
        <v>0.1152</v>
      </c>
      <c r="BB126" s="488" t="n">
        <f aca="false">SUM(T126,W126,Z126,AE126,AI126,AN126,AR126, AT126,AU126,BA126,AV126,AW126)</f>
        <v>2.63891550014099</v>
      </c>
      <c r="BC126" s="419" t="n">
        <f aca="false">Vout*K126</f>
        <v>72</v>
      </c>
      <c r="BD126" s="589" t="n">
        <f aca="false">BC126/(BC126+BB126)</f>
        <v>0.964644241111247</v>
      </c>
      <c r="BE126" s="590" t="n">
        <f aca="false">IF(H126&gt;Vout,ThetaJA_Q1*(AE126+AU126),ThetaJA_Q4*(AN126+AU126))</f>
        <v>44.0550985955535</v>
      </c>
      <c r="BF126" s="590" t="n">
        <f aca="false">IF(H126&gt;Vout, AI126*ThetaJA_Q2, ThetaJA_Q3*AR126)</f>
        <v>14.3581553029724</v>
      </c>
      <c r="BG126" s="536"/>
      <c r="BH126" s="385" t="n">
        <f aca="false">BD126*100</f>
        <v>96.4644241111247</v>
      </c>
      <c r="BI126" s="488" t="n">
        <f aca="false">T126</f>
        <v>0.913303521375417</v>
      </c>
      <c r="BJ126" s="488" t="n">
        <f aca="false">AE126+AI126+AN126+AR126+AU126</f>
        <v>1.24221637325872</v>
      </c>
      <c r="BK126" s="488" t="n">
        <f aca="false">AI126+AU126*0.33</f>
        <v>0.484912180659447</v>
      </c>
      <c r="BL126" s="488" t="n">
        <f aca="false">AV126</f>
        <v>0.190017473586992</v>
      </c>
    </row>
    <row r="127" customFormat="false" ht="12.75" hidden="false" customHeight="false" outlineLevel="0" collapsed="false">
      <c r="G127" s="0" t="n">
        <v>118</v>
      </c>
      <c r="H127" s="586" t="n">
        <f aca="false">VIN_min+(VIN_max-VIN_min)*(G127/200)</f>
        <v>31.96</v>
      </c>
      <c r="I127" s="385" t="str">
        <f aca="false">IF(H127&gt;VIN_BB_to_buck, "BUCK", IF(H127&lt;VIN_boost_to_BB,"BOOST","BUCK-BST"))</f>
        <v>BUCK</v>
      </c>
      <c r="J127" s="419" t="n">
        <f aca="false">IF(I127="BOOST",2, IF(I127="BUCK", 1,3))</f>
        <v>1</v>
      </c>
      <c r="K127" s="0" t="n">
        <f aca="false">Iout</f>
        <v>6</v>
      </c>
      <c r="L127" s="385" t="n">
        <f aca="false">Vout*K127/(H127*Efficiency)</f>
        <v>2.50312891113892</v>
      </c>
      <c r="M127" s="385" t="n">
        <f aca="false">Iout/(1-O127)</f>
        <v>6</v>
      </c>
      <c r="N127" s="488" t="n">
        <f aca="false">CHOOSE(J127,(Vout+(Rdson2+Rs+Rdcr)*K127)/(H127+(Rs+Rdson2-Rdson1)*K127),1,IF(H127&lt;Vout,D_max_buck_BB,Vout/H127*(1-D_min_boost_exitBB_to_buck)))</f>
        <v>0.378102349412647</v>
      </c>
      <c r="O127" s="488" t="n">
        <f aca="false">CHOOSE(J127,0,(Vout+(Rdson3+Rdcr)*L127-H127)/(Vout+(Rdson3-Rdson4-Rs)*L127),IF(H127&gt;Vout,D_min_boost_exitBB_to_buck, (Vout-H127*D_max_buck_BB)/Vout))</f>
        <v>0</v>
      </c>
      <c r="P127" s="385" t="n">
        <f aca="false">MAX(0, CHOOSE(J127, (H127-(Rdson1+Rdcr)*K127-Vout)*N127/(Fsw*Lf), (H127-(Rdson4+Rdcr+Rs)*L127)*O127/(Fsw*Lf), IF(H127&lt;Vout, (H127-(Rdson4+Rdcr+Rs)*L127)*O127/(0.5*Fsw*Lf),(H127-(Rdson1+Rdcr)*K127-Vout)*N127/(0.5*Fsw*Lf))))</f>
        <v>5.33786662177541</v>
      </c>
      <c r="Q127" s="488" t="n">
        <f aca="false">CHOOSE(J127, SQRT(K127^2+(P127^2)/12), SQRT(L127^2+(P127^2)/12), SQRT(M127^2+(P127^2)/12))</f>
        <v>6.19470755344071</v>
      </c>
      <c r="R127" s="488" t="n">
        <f aca="false">(Q127^2*Rdcr*(1+Ltc*Ta-Ltc*25))/(1-Q127^2*Rdcr*Ltc*ThetaCa)</f>
        <v>0.129890079295814</v>
      </c>
      <c r="S127" s="488" t="n">
        <f aca="false">7.759*10^-3*Fsw^0.9458*(0.00787*P127)^2.304</f>
        <v>0.791130339315657</v>
      </c>
      <c r="T127" s="488" t="n">
        <f aca="false">R127+S127</f>
        <v>0.921020418611472</v>
      </c>
      <c r="U127" s="385" t="n">
        <f aca="false">IF(H127&gt;Vout, P127/SQRT(12), SQRT(O127/(1-O127))*SQRT(K127^2+(P127^2)/12))</f>
        <v>1.54090936549017</v>
      </c>
      <c r="V127" s="488" t="n">
        <f aca="false">RCoutEsr*U127^2</f>
        <v>0.0118720083632767</v>
      </c>
      <c r="W127" s="488" t="n">
        <f aca="false">V127</f>
        <v>0.0118720083632767</v>
      </c>
      <c r="X127" s="488" t="n">
        <f aca="false">IF(H127&gt;Vout, SQRT(N127*(1-N127))*SQRT(K127^2+(P127^2)/12), P127/SQRT(12))</f>
        <v>3.0038964288843</v>
      </c>
      <c r="Y127" s="587" t="n">
        <f aca="false">RCinEsr*X127^2</f>
        <v>0.0180467875109278</v>
      </c>
      <c r="Z127" s="588" t="n">
        <f aca="false">Y127</f>
        <v>0.0180467875109278</v>
      </c>
      <c r="AA127" s="488" t="n">
        <f aca="false">CHOOSE(J127, SQRT(N127)*SQRT(K127^2+(P127^2)/12), SQRT(L127^2+(P127^2)/12), SQRT(N127)*SQRT(M127^2+(P127^2)/12))</f>
        <v>3.80912738428837</v>
      </c>
      <c r="AB127" s="488" t="n">
        <f aca="false">Rdson1*AA127^2</f>
        <v>0.0827038731494928</v>
      </c>
      <c r="AC127" s="488" t="n">
        <f aca="false">CHOOSE(J127, (H127*K127/2)*(Fsw)*(Tr_buck+Tf_buck), 0, (H127*M127/2)*(Fsw/2)*(Tr_buck+Tf_buck))</f>
        <v>0.19528156097561</v>
      </c>
      <c r="AD127" s="0" t="n">
        <f aca="false">IF(H127&gt;Vout, IF(K127&gt;P127/2,0,ABS(K127-P127/2)*Vsd_Q1*Deadtime*Fsw),0)</f>
        <v>0</v>
      </c>
      <c r="AE127" s="488" t="n">
        <f aca="false">(AD127+AC127+AB127*(1+RdsonTopTc*Ta-RdsonTopTc*25))/(1-AB127*RdsonTopTc*ThetaJA_Q1)</f>
        <v>0.282660863769405</v>
      </c>
      <c r="AF127" s="488" t="n">
        <f aca="false">CHOOSE(J127, SQRT((1-N127))*SQRT(K127^2+(P127^2)/12), 0, SQRT((1-N127))*SQRT(M127^2+(P127^2)/12))</f>
        <v>4.88517658257301</v>
      </c>
      <c r="AG127" s="488" t="n">
        <f aca="false">Rdson2*AF127^2</f>
        <v>0.136030216384643</v>
      </c>
      <c r="AH127" s="488" t="n">
        <f aca="false">CHOOSE(J127, IF(K127&lt;P127/2,Deadtime*Fsw*IF(VfdSky_Q2&gt;0,0,Vsd_Q2)*(K127+P127/2),2*Deadtime*Fsw*IF(VfdSky_Q2&gt;0,0,Vsd_Q2)*K127),0, IF(K127&lt;P127/2,Deadtime*Fsw/2*IF(VfdSky_Q2&gt;0,0,Vsd_Q2)*(K127+P127/2),2*Deadtime*Fsw/2*IF(VfdSky_Q2&gt;0,0,Vsd_Q2)*K127))</f>
        <v>0.144</v>
      </c>
      <c r="AI127" s="488" t="n">
        <f aca="false">(AH127+AG127*(1+RdsonBotTc*Ta-RdsonBotTc*25))/(1-AG127*RdsonBotTc*ThetaJA_Q2)</f>
        <v>0.287861796888567</v>
      </c>
      <c r="AJ127" s="488" t="n">
        <f aca="false">CHOOSE(J127, 0, SQRT(O127)*SQRT(L127^2+(P127^2)/12), SQRT(O127)*SQRT(M127^2+(P127^2)/12))</f>
        <v>0</v>
      </c>
      <c r="AK127" s="488" t="n">
        <f aca="false">Rdson4*AJ127^2</f>
        <v>0</v>
      </c>
      <c r="AL127" s="488" t="n">
        <f aca="false">CHOOSE(J127, 0, (Vout*L127/2)*(Fsw)*(Tr_boost+Tf_boost), (Vout*Iout/2)*(Fsw/2)*(Tr_boost+Tf_boost))</f>
        <v>0</v>
      </c>
      <c r="AM127" s="0" t="n">
        <f aca="false">IF(H127&gt;Vout, 0, IF(L127&gt;P127/2,0,ABS(L127-P127/2)*Vsd_Q4*Deadtime*Fsw))</f>
        <v>0</v>
      </c>
      <c r="AN127" s="488" t="n">
        <f aca="false">(AM127+AL127+AK127*(1+RdsonTopTc*Ta-RdsonTopTc*25))/(1-AK127*RdsonTopTc*ThetaJA_Q4)</f>
        <v>0</v>
      </c>
      <c r="AO127" s="488" t="n">
        <f aca="false">CHOOSE(J127, SQRT(Iout^2+(P127^2)/12), SQRT(1-O127)*SQRT(L127^2+(P127^2)/12), SQRT(1-O127)*SQRT(M127^2+(P127^2)/12))</f>
        <v>6.19470755344071</v>
      </c>
      <c r="AP127" s="488" t="n">
        <f aca="false">Rdson3*AO127^2</f>
        <v>0.0729113631780451</v>
      </c>
      <c r="AQ127" s="488" t="n">
        <f aca="false">CHOOSE(J127, 0, IF(L127&lt;P127/2,Deadtime*Fsw*IF(VfdSky_Q3&gt;0,0,Vsd_Q3)*(L127+P127/2), 2*Deadtime*Fsw*IF(VfdSky_Q3&gt;0,0,Vsd_Q3)*L127), IF(L127&lt;P127/2,Deadtime*Fsw/2*IF(VfdSky_Q3&gt;0,0,Vsd_Q3)*(L127+P127/2), 2*Deadtime*Fsw/2*IF(VfdSky_Q3&gt;0,0,Vsd_Q3)*L127))</f>
        <v>0</v>
      </c>
      <c r="AR127" s="488" t="n">
        <f aca="false">(AQ127+AP127*(1+RdsonBotTc*Ta-RdsonBotTc*25))/(1-AP127*RdsonBotTc*ThetaJA_Q3)</f>
        <v>0.073990310051611</v>
      </c>
      <c r="AS127" s="488" t="n">
        <f aca="false">CHOOSE(J127, Rdson3*Q127^2, Rdson1*Q127^2, 0)</f>
        <v>0.0729113631780451</v>
      </c>
      <c r="AT127" s="488" t="n">
        <f aca="false">CHOOSE(J127, 2*Deadtime*Fsw*IF(VfdSky_Q2&gt;0,VfdSky_Q2,0)*K127, 2*Deadtime*Fsw*IF(VfdSky_Q3&gt;0,VfdSky_Q3,0)*L127, 2*Deadtime*Fsw/2*IF(VfdSky_Q2&gt;0,VfdSky_Q2,0)*K127+2*Deadtime*Fsw/2*IF(VfdSky_Q3&gt;0,VfdSky_Q3,0)*L127)</f>
        <v>0</v>
      </c>
      <c r="AU127" s="488" t="n">
        <f aca="false">CHOOSE(J127, IF(QrrSky_Q2&gt;0,QrrSky_Q2,Qrr_Q2)*Fsw*(H127-K127*Rdson1), IF(QrrSky_Q3&gt;0,QrrSky_Q3,Qrr_Q3)*Fsw*Vout,  IF(QrrSky_Q2&gt;0,QrrSky_Q2,Qrr_Q2)*Fsw/2*(H127-K127*Rdson1)+IF(QrrSky_Q3&gt;0,QrrSky_Q3,Qrr_Q3)*Fsw/2*Vout)</f>
        <v>0.60339762</v>
      </c>
      <c r="AV127" s="488" t="n">
        <f aca="false">CHOOSE(J127, Rs*AF127^2, Rs*AJ127^2, Rs*(AF127^2+AJ127^2))</f>
        <v>0.190919601943358</v>
      </c>
      <c r="AW127" s="488" t="n">
        <f aca="false">Rshunt_std/1000*Iout^2</f>
        <v>0.14832</v>
      </c>
      <c r="AX127" s="488" t="n">
        <f aca="false">IF(Vout&gt;8, Iq*Vout, Iq*H127)</f>
        <v>0.036</v>
      </c>
      <c r="AY127" s="488" t="n">
        <f aca="false">CHOOSE(J127, (Qg_Q1+Qg_Q2)*Fsw, (Qg_Q3+Qg_Q4)*Fsw, (Qg_Q1+Qg_Q2+Qg_Q3+Qg_Q4)*Fsw/2)*IF(Vout&gt;8, Vout, H127)</f>
        <v>0.0792</v>
      </c>
      <c r="AZ127" s="488" t="n">
        <f aca="false">(Vin-Vdd)*Fsw*(Qg_Q1+Qg_Q2)+(RdsonDRT+RdsonDRT2)*Fsw*Qg_Q1*Vdd/(RdsonDRT+2*Rgate1+RdsonDRT2)+(RdsonDRB+RdsonDRB2)*Fsw*Qg_Q2*Vdd/(RdsonDRB+2*Rgate2+RdsonDRB2)</f>
        <v>0.0522</v>
      </c>
      <c r="BA127" s="488" t="n">
        <f aca="false">SUM(AX127:AY127)</f>
        <v>0.1152</v>
      </c>
      <c r="BB127" s="488" t="n">
        <f aca="false">SUM(T127,W127,Z127,AE127,AI127,AN127,AR127, AT127,AU127,BA127,AV127,AW127)</f>
        <v>2.65328940713862</v>
      </c>
      <c r="BC127" s="419" t="n">
        <f aca="false">Vout*K127</f>
        <v>72</v>
      </c>
      <c r="BD127" s="589" t="n">
        <f aca="false">BC127/(BC127+BB127)</f>
        <v>0.964458506407289</v>
      </c>
      <c r="BE127" s="590" t="n">
        <f aca="false">IF(H127&gt;Vout,ThetaJA_Q1*(AE127+AU127),ThetaJA_Q4*(AN127+AU127))</f>
        <v>44.3029241884702</v>
      </c>
      <c r="BF127" s="590" t="n">
        <f aca="false">IF(H127&gt;Vout, AI127*ThetaJA_Q2, ThetaJA_Q3*AR127)</f>
        <v>14.3930898444284</v>
      </c>
      <c r="BG127" s="536"/>
      <c r="BH127" s="385" t="n">
        <f aca="false">BD127*100</f>
        <v>96.4458506407289</v>
      </c>
      <c r="BI127" s="488" t="n">
        <f aca="false">T127</f>
        <v>0.921020418611472</v>
      </c>
      <c r="BJ127" s="488" t="n">
        <f aca="false">AE127+AI127+AN127+AR127+AU127</f>
        <v>1.24791059070958</v>
      </c>
      <c r="BK127" s="488" t="n">
        <f aca="false">AI127+AU127*0.33</f>
        <v>0.486983011488567</v>
      </c>
      <c r="BL127" s="488" t="n">
        <f aca="false">AV127</f>
        <v>0.190919601943358</v>
      </c>
    </row>
    <row r="128" customFormat="false" ht="12.75" hidden="false" customHeight="false" outlineLevel="0" collapsed="false">
      <c r="G128" s="0" t="n">
        <v>119</v>
      </c>
      <c r="H128" s="586" t="n">
        <f aca="false">VIN_min+(VIN_max-VIN_min)*(G128/200)</f>
        <v>32.18</v>
      </c>
      <c r="I128" s="385" t="str">
        <f aca="false">IF(H128&gt;VIN_BB_to_buck, "BUCK", IF(H128&lt;VIN_boost_to_BB,"BOOST","BUCK-BST"))</f>
        <v>BUCK</v>
      </c>
      <c r="J128" s="419" t="n">
        <f aca="false">IF(I128="BOOST",2, IF(I128="BUCK", 1,3))</f>
        <v>1</v>
      </c>
      <c r="K128" s="0" t="n">
        <f aca="false">Iout</f>
        <v>6</v>
      </c>
      <c r="L128" s="385" t="n">
        <f aca="false">Vout*K128/(H128*Efficiency)</f>
        <v>2.48601615910503</v>
      </c>
      <c r="M128" s="385" t="n">
        <f aca="false">Iout/(1-O128)</f>
        <v>6</v>
      </c>
      <c r="N128" s="488" t="n">
        <f aca="false">CHOOSE(J128,(Vout+(Rdson2+Rs+Rdcr)*K128)/(H128+(Rs+Rdson2-Rdson1)*K128),1,IF(H128&lt;Vout,D_max_buck_BB,Vout/H128*(1-D_min_boost_exitBB_to_buck)))</f>
        <v>0.375521285838401</v>
      </c>
      <c r="O128" s="488" t="n">
        <f aca="false">CHOOSE(J128,0,(Vout+(Rdson3+Rdcr)*L128-H128)/(Vout+(Rdson3-Rdson4-Rs)*L128),IF(H128&gt;Vout,D_min_boost_exitBB_to_buck, (Vout-H128*D_max_buck_BB)/Vout))</f>
        <v>0</v>
      </c>
      <c r="P128" s="385" t="n">
        <f aca="false">MAX(0, CHOOSE(J128, (H128-(Rdson1+Rdcr)*K128-Vout)*N128/(Fsw*Lf), (H128-(Rdson4+Rdcr+Rs)*L128)*O128/(Fsw*Lf), IF(H128&lt;Vout, (H128-(Rdson4+Rdcr+Rs)*L128)*O128/(0.5*Fsw*Lf),(H128-(Rdson1+Rdcr)*K128-Vout)*N128/(0.5*Fsw*Lf))))</f>
        <v>5.36002038467937</v>
      </c>
      <c r="Q128" s="488" t="n">
        <f aca="false">CHOOSE(J128, SQRT(K128^2+(P128^2)/12), SQRT(L128^2+(P128^2)/12), SQRT(M128^2+(P128^2)/12))</f>
        <v>6.19630144067262</v>
      </c>
      <c r="R128" s="488" t="n">
        <f aca="false">(Q128^2*Rdcr*(1+Ltc*Ta-Ltc*25))/(1-Q128^2*Rdcr*Ltc*ThetaCa)</f>
        <v>0.129957623876371</v>
      </c>
      <c r="S128" s="488" t="n">
        <f aca="false">7.759*10^-3*Fsw^0.9458*(0.00787*P128)^2.304</f>
        <v>0.798715842679477</v>
      </c>
      <c r="T128" s="488" t="n">
        <f aca="false">R128+S128</f>
        <v>0.928673466555848</v>
      </c>
      <c r="U128" s="385" t="n">
        <f aca="false">IF(H128&gt;Vout, P128/SQRT(12), SQRT(O128/(1-O128))*SQRT(K128^2+(P128^2)/12))</f>
        <v>1.54730460597826</v>
      </c>
      <c r="V128" s="488" t="n">
        <f aca="false">RCoutEsr*U128^2</f>
        <v>0.0119707577184077</v>
      </c>
      <c r="W128" s="488" t="n">
        <f aca="false">V128</f>
        <v>0.0119707577184077</v>
      </c>
      <c r="X128" s="488" t="n">
        <f aca="false">IF(H128&gt;Vout, SQRT(N128*(1-N128))*SQRT(K128^2+(P128^2)/12), P128/SQRT(12))</f>
        <v>3.00060367538503</v>
      </c>
      <c r="Y128" s="587" t="n">
        <f aca="false">RCinEsr*X128^2</f>
        <v>0.0180072448334683</v>
      </c>
      <c r="Z128" s="588" t="n">
        <f aca="false">Y128</f>
        <v>0.0180072448334683</v>
      </c>
      <c r="AA128" s="488" t="n">
        <f aca="false">CHOOSE(J128, SQRT(N128)*SQRT(K128^2+(P128^2)/12), SQRT(L128^2+(P128^2)/12), SQRT(N128)*SQRT(M128^2+(P128^2)/12))</f>
        <v>3.7970806096734</v>
      </c>
      <c r="AB128" s="488" t="n">
        <f aca="false">Rdson1*AA128^2</f>
        <v>0.0821815805912391</v>
      </c>
      <c r="AC128" s="488" t="n">
        <f aca="false">CHOOSE(J128, (H128*K128/2)*(Fsw)*(Tr_buck+Tf_buck), 0, (H128*M128/2)*(Fsw/2)*(Tr_buck+Tf_buck))</f>
        <v>0.196625802008608</v>
      </c>
      <c r="AD128" s="0" t="n">
        <f aca="false">IF(H128&gt;Vout, IF(K128&gt;P128/2,0,ABS(K128-P128/2)*Vsd_Q1*Deadtime*Fsw),0)</f>
        <v>0</v>
      </c>
      <c r="AE128" s="488" t="n">
        <f aca="false">(AD128+AC128+AB128*(1+RdsonTopTc*Ta-RdsonTopTc*25))/(1-AB128*RdsonTopTc*ThetaJA_Q1)</f>
        <v>0.28346652806405</v>
      </c>
      <c r="AF128" s="488" t="n">
        <f aca="false">CHOOSE(J128, SQRT((1-N128))*SQRT(K128^2+(P128^2)/12), 0, SQRT((1-N128))*SQRT(M128^2+(P128^2)/12))</f>
        <v>4.89656311991623</v>
      </c>
      <c r="AG128" s="488" t="n">
        <f aca="false">Rdson2*AF128^2</f>
        <v>0.136665083207746</v>
      </c>
      <c r="AH128" s="488" t="n">
        <f aca="false">CHOOSE(J128, IF(K128&lt;P128/2,Deadtime*Fsw*IF(VfdSky_Q2&gt;0,0,Vsd_Q2)*(K128+P128/2),2*Deadtime*Fsw*IF(VfdSky_Q2&gt;0,0,Vsd_Q2)*K128),0, IF(K128&lt;P128/2,Deadtime*Fsw/2*IF(VfdSky_Q2&gt;0,0,Vsd_Q2)*(K128+P128/2),2*Deadtime*Fsw/2*IF(VfdSky_Q2&gt;0,0,Vsd_Q2)*K128))</f>
        <v>0.144</v>
      </c>
      <c r="AI128" s="488" t="n">
        <f aca="false">(AH128+AG128*(1+RdsonBotTc*Ta-RdsonBotTc*25))/(1-AG128*RdsonBotTc*ThetaJA_Q2)</f>
        <v>0.288552082068888</v>
      </c>
      <c r="AJ128" s="488" t="n">
        <f aca="false">CHOOSE(J128, 0, SQRT(O128)*SQRT(L128^2+(P128^2)/12), SQRT(O128)*SQRT(M128^2+(P128^2)/12))</f>
        <v>0</v>
      </c>
      <c r="AK128" s="488" t="n">
        <f aca="false">Rdson4*AJ128^2</f>
        <v>0</v>
      </c>
      <c r="AL128" s="488" t="n">
        <f aca="false">CHOOSE(J128, 0, (Vout*L128/2)*(Fsw)*(Tr_boost+Tf_boost), (Vout*Iout/2)*(Fsw/2)*(Tr_boost+Tf_boost))</f>
        <v>0</v>
      </c>
      <c r="AM128" s="0" t="n">
        <f aca="false">IF(H128&gt;Vout, 0, IF(L128&gt;P128/2,0,ABS(L128-P128/2)*Vsd_Q4*Deadtime*Fsw))</f>
        <v>0</v>
      </c>
      <c r="AN128" s="488" t="n">
        <f aca="false">(AM128+AL128+AK128*(1+RdsonTopTc*Ta-RdsonTopTc*25))/(1-AK128*RdsonTopTc*ThetaJA_Q4)</f>
        <v>0</v>
      </c>
      <c r="AO128" s="488" t="n">
        <f aca="false">CHOOSE(J128, SQRT(Iout^2+(P128^2)/12), SQRT(1-O128)*SQRT(L128^2+(P128^2)/12), SQRT(1-O128)*SQRT(M128^2+(P128^2)/12))</f>
        <v>6.19630144067262</v>
      </c>
      <c r="AP128" s="488" t="n">
        <f aca="false">Rdson3*AO128^2</f>
        <v>0.0729488879329949</v>
      </c>
      <c r="AQ128" s="488" t="n">
        <f aca="false">CHOOSE(J128, 0, IF(L128&lt;P128/2,Deadtime*Fsw*IF(VfdSky_Q3&gt;0,0,Vsd_Q3)*(L128+P128/2), 2*Deadtime*Fsw*IF(VfdSky_Q3&gt;0,0,Vsd_Q3)*L128), IF(L128&lt;P128/2,Deadtime*Fsw/2*IF(VfdSky_Q3&gt;0,0,Vsd_Q3)*(L128+P128/2), 2*Deadtime*Fsw/2*IF(VfdSky_Q3&gt;0,0,Vsd_Q3)*L128))</f>
        <v>0</v>
      </c>
      <c r="AR128" s="488" t="n">
        <f aca="false">(AQ128+AP128*(1+RdsonBotTc*Ta-RdsonBotTc*25))/(1-AP128*RdsonBotTc*ThetaJA_Q3)</f>
        <v>0.0740289539054439</v>
      </c>
      <c r="AS128" s="488" t="n">
        <f aca="false">CHOOSE(J128, Rdson3*Q128^2, Rdson1*Q128^2, 0)</f>
        <v>0.0729488879329949</v>
      </c>
      <c r="AT128" s="488" t="n">
        <f aca="false">CHOOSE(J128, 2*Deadtime*Fsw*IF(VfdSky_Q2&gt;0,VfdSky_Q2,0)*K128, 2*Deadtime*Fsw*IF(VfdSky_Q3&gt;0,VfdSky_Q3,0)*L128, 2*Deadtime*Fsw/2*IF(VfdSky_Q2&gt;0,VfdSky_Q2,0)*K128+2*Deadtime*Fsw/2*IF(VfdSky_Q3&gt;0,VfdSky_Q3,0)*L128)</f>
        <v>0</v>
      </c>
      <c r="AU128" s="488" t="n">
        <f aca="false">CHOOSE(J128, IF(QrrSky_Q2&gt;0,QrrSky_Q2,Qrr_Q2)*Fsw*(H128-K128*Rdson1), IF(QrrSky_Q3&gt;0,QrrSky_Q3,Qrr_Q3)*Fsw*Vout,  IF(QrrSky_Q2&gt;0,QrrSky_Q2,Qrr_Q2)*Fsw/2*(H128-K128*Rdson1)+IF(QrrSky_Q3&gt;0,QrrSky_Q3,Qrr_Q3)*Fsw/2*Vout)</f>
        <v>0.60755562</v>
      </c>
      <c r="AV128" s="488" t="n">
        <f aca="false">CHOOSE(J128, Rs*AF128^2, Rs*AJ128^2, Rs*(AF128^2+AJ128^2))</f>
        <v>0.19181064309859</v>
      </c>
      <c r="AW128" s="488" t="n">
        <f aca="false">Rshunt_std/1000*Iout^2</f>
        <v>0.14832</v>
      </c>
      <c r="AX128" s="488" t="n">
        <f aca="false">IF(Vout&gt;8, Iq*Vout, Iq*H128)</f>
        <v>0.036</v>
      </c>
      <c r="AY128" s="488" t="n">
        <f aca="false">CHOOSE(J128, (Qg_Q1+Qg_Q2)*Fsw, (Qg_Q3+Qg_Q4)*Fsw, (Qg_Q1+Qg_Q2+Qg_Q3+Qg_Q4)*Fsw/2)*IF(Vout&gt;8, Vout, H128)</f>
        <v>0.0792</v>
      </c>
      <c r="AZ128" s="488" t="n">
        <f aca="false">(Vin-Vdd)*Fsw*(Qg_Q1+Qg_Q2)+(RdsonDRT+RdsonDRT2)*Fsw*Qg_Q1*Vdd/(RdsonDRT+2*Rgate1+RdsonDRT2)+(RdsonDRB+RdsonDRB2)*Fsw*Qg_Q2*Vdd/(RdsonDRB+2*Rgate2+RdsonDRB2)</f>
        <v>0.0522</v>
      </c>
      <c r="BA128" s="488" t="n">
        <f aca="false">SUM(AX128:AY128)</f>
        <v>0.1152</v>
      </c>
      <c r="BB128" s="488" t="n">
        <f aca="false">SUM(T128,W128,Z128,AE128,AI128,AN128,AR128, AT128,AU128,BA128,AV128,AW128)</f>
        <v>2.6675852962447</v>
      </c>
      <c r="BC128" s="419" t="n">
        <f aca="false">Vout*K128</f>
        <v>72</v>
      </c>
      <c r="BD128" s="589" t="n">
        <f aca="false">BC128/(BC128+BB128)</f>
        <v>0.964273850752492</v>
      </c>
      <c r="BE128" s="590" t="n">
        <f aca="false">IF(H128&gt;Vout,ThetaJA_Q1*(AE128+AU128),ThetaJA_Q4*(AN128+AU128))</f>
        <v>44.5511074032025</v>
      </c>
      <c r="BF128" s="590" t="n">
        <f aca="false">IF(H128&gt;Vout, AI128*ThetaJA_Q2, ThetaJA_Q3*AR128)</f>
        <v>14.4276041034444</v>
      </c>
      <c r="BG128" s="536"/>
      <c r="BH128" s="385" t="n">
        <f aca="false">BD128*100</f>
        <v>96.4273850752492</v>
      </c>
      <c r="BI128" s="488" t="n">
        <f aca="false">T128</f>
        <v>0.928673466555848</v>
      </c>
      <c r="BJ128" s="488" t="n">
        <f aca="false">AE128+AI128+AN128+AR128+AU128</f>
        <v>1.25360318403838</v>
      </c>
      <c r="BK128" s="488" t="n">
        <f aca="false">AI128+AU128*0.33</f>
        <v>0.489045436668888</v>
      </c>
      <c r="BL128" s="488" t="n">
        <f aca="false">AV128</f>
        <v>0.19181064309859</v>
      </c>
    </row>
    <row r="129" customFormat="false" ht="12.75" hidden="false" customHeight="false" outlineLevel="0" collapsed="false">
      <c r="G129" s="0" t="n">
        <v>120</v>
      </c>
      <c r="H129" s="586" t="n">
        <f aca="false">VIN_min+(VIN_max-VIN_min)*(G129/200)</f>
        <v>32.4</v>
      </c>
      <c r="I129" s="385" t="str">
        <f aca="false">IF(H129&gt;VIN_BB_to_buck, "BUCK", IF(H129&lt;VIN_boost_to_BB,"BOOST","BUCK-BST"))</f>
        <v>BUCK</v>
      </c>
      <c r="J129" s="419" t="n">
        <f aca="false">IF(I129="BOOST",2, IF(I129="BUCK", 1,3))</f>
        <v>1</v>
      </c>
      <c r="K129" s="0" t="n">
        <f aca="false">Iout</f>
        <v>6</v>
      </c>
      <c r="L129" s="385" t="n">
        <f aca="false">Vout*K129/(H129*Efficiency)</f>
        <v>2.46913580246914</v>
      </c>
      <c r="M129" s="385" t="n">
        <f aca="false">Iout/(1-O129)</f>
        <v>6</v>
      </c>
      <c r="N129" s="488" t="n">
        <f aca="false">CHOOSE(J129,(Vout+(Rdson2+Rs+Rdcr)*K129)/(H129+(Rs+Rdson2-Rdson1)*K129),1,IF(H129&lt;Vout,D_max_buck_BB,Vout/H129*(1-D_min_boost_exitBB_to_buck)))</f>
        <v>0.372975221893491</v>
      </c>
      <c r="O129" s="488" t="n">
        <f aca="false">CHOOSE(J129,0,(Vout+(Rdson3+Rdcr)*L129-H129)/(Vout+(Rdson3-Rdson4-Rs)*L129),IF(H129&gt;Vout,D_min_boost_exitBB_to_buck, (Vout-H129*D_max_buck_BB)/Vout))</f>
        <v>0</v>
      </c>
      <c r="P129" s="385" t="n">
        <f aca="false">MAX(0, CHOOSE(J129, (H129-(Rdson1+Rdcr)*K129-Vout)*N129/(Fsw*Lf), (H129-(Rdson4+Rdcr+Rs)*L129)*O129/(Fsw*Lf), IF(H129&lt;Vout, (H129-(Rdson4+Rdcr+Rs)*L129)*O129/(0.5*Fsw*Lf),(H129-(Rdson1+Rdcr)*K129-Vout)*N129/(0.5*Fsw*Lf))))</f>
        <v>5.3818737390627</v>
      </c>
      <c r="Q129" s="488" t="n">
        <f aca="false">CHOOSE(J129, SQRT(K129^2+(P129^2)/12), SQRT(L129^2+(P129^2)/12), SQRT(M129^2+(P129^2)/12))</f>
        <v>6.19787977821995</v>
      </c>
      <c r="R129" s="488" t="n">
        <f aca="false">(Q129^2*Rdcr*(1+Ltc*Ta-Ltc*25))/(1-Q129^2*Rdcr*Ltc*ThetaCa)</f>
        <v>0.130024527339433</v>
      </c>
      <c r="S129" s="488" t="n">
        <f aca="false">7.759*10^-3*Fsw^0.9458*(0.00787*P129)^2.304</f>
        <v>0.806238648584913</v>
      </c>
      <c r="T129" s="488" t="n">
        <f aca="false">R129+S129</f>
        <v>0.936263175924346</v>
      </c>
      <c r="U129" s="385" t="n">
        <f aca="false">IF(H129&gt;Vout, P129/SQRT(12), SQRT(O129/(1-O129))*SQRT(K129^2+(P129^2)/12))</f>
        <v>1.55361312599621</v>
      </c>
      <c r="V129" s="488" t="n">
        <f aca="false">RCoutEsr*U129^2</f>
        <v>0.0120685687263386</v>
      </c>
      <c r="W129" s="488" t="n">
        <f aca="false">V129</f>
        <v>0.0120685687263386</v>
      </c>
      <c r="X129" s="488" t="n">
        <f aca="false">IF(H129&gt;Vout, SQRT(N129*(1-N129))*SQRT(K129^2+(P129^2)/12), P129/SQRT(12))</f>
        <v>2.99726739909642</v>
      </c>
      <c r="Y129" s="587" t="n">
        <f aca="false">RCinEsr*X129^2</f>
        <v>0.0179672237233725</v>
      </c>
      <c r="Z129" s="588" t="n">
        <f aca="false">Y129</f>
        <v>0.0179672237233725</v>
      </c>
      <c r="AA129" s="488" t="n">
        <f aca="false">CHOOSE(J129, SQRT(N129)*SQRT(K129^2+(P129^2)/12), SQRT(L129^2+(P129^2)/12), SQRT(N129)*SQRT(M129^2+(P129^2)/12))</f>
        <v>3.7851503811466</v>
      </c>
      <c r="AB129" s="488" t="n">
        <f aca="false">Rdson1*AA129^2</f>
        <v>0.0816659714249974</v>
      </c>
      <c r="AC129" s="488" t="n">
        <f aca="false">CHOOSE(J129, (H129*K129/2)*(Fsw)*(Tr_buck+Tf_buck), 0, (H129*M129/2)*(Fsw/2)*(Tr_buck+Tf_buck))</f>
        <v>0.197970043041607</v>
      </c>
      <c r="AD129" s="0" t="n">
        <f aca="false">IF(H129&gt;Vout, IF(K129&gt;P129/2,0,ABS(K129-P129/2)*Vsd_Q1*Deadtime*Fsw),0)</f>
        <v>0</v>
      </c>
      <c r="AE129" s="488" t="n">
        <f aca="false">(AD129+AC129+AB129*(1+RdsonTopTc*Ta-RdsonTopTc*25))/(1-AB129*RdsonTopTc*ThetaJA_Q1)</f>
        <v>0.284279201902462</v>
      </c>
      <c r="AF129" s="488" t="n">
        <f aca="false">CHOOSE(J129, SQRT((1-N129))*SQRT(K129^2+(P129^2)/12), 0, SQRT((1-N129))*SQRT(M129^2+(P129^2)/12))</f>
        <v>4.90778466697281</v>
      </c>
      <c r="AG129" s="488" t="n">
        <f aca="false">Rdson2*AF129^2</f>
        <v>0.137292196923029</v>
      </c>
      <c r="AH129" s="488" t="n">
        <f aca="false">CHOOSE(J129, IF(K129&lt;P129/2,Deadtime*Fsw*IF(VfdSky_Q2&gt;0,0,Vsd_Q2)*(K129+P129/2),2*Deadtime*Fsw*IF(VfdSky_Q2&gt;0,0,Vsd_Q2)*K129),0, IF(K129&lt;P129/2,Deadtime*Fsw/2*IF(VfdSky_Q2&gt;0,0,Vsd_Q2)*(K129+P129/2),2*Deadtime*Fsw/2*IF(VfdSky_Q2&gt;0,0,Vsd_Q2)*K129))</f>
        <v>0.144</v>
      </c>
      <c r="AI129" s="488" t="n">
        <f aca="false">(AH129+AG129*(1+RdsonBotTc*Ta-RdsonBotTc*25))/(1-AG129*RdsonBotTc*ThetaJA_Q2)</f>
        <v>0.289234114319018</v>
      </c>
      <c r="AJ129" s="488" t="n">
        <f aca="false">CHOOSE(J129, 0, SQRT(O129)*SQRT(L129^2+(P129^2)/12), SQRT(O129)*SQRT(M129^2+(P129^2)/12))</f>
        <v>0</v>
      </c>
      <c r="AK129" s="488" t="n">
        <f aca="false">Rdson4*AJ129^2</f>
        <v>0</v>
      </c>
      <c r="AL129" s="488" t="n">
        <f aca="false">CHOOSE(J129, 0, (Vout*L129/2)*(Fsw)*(Tr_boost+Tf_boost), (Vout*Iout/2)*(Fsw/2)*(Tr_boost+Tf_boost))</f>
        <v>0</v>
      </c>
      <c r="AM129" s="0" t="n">
        <f aca="false">IF(H129&gt;Vout, 0, IF(L129&gt;P129/2,0,ABS(L129-P129/2)*Vsd_Q4*Deadtime*Fsw))</f>
        <v>0</v>
      </c>
      <c r="AN129" s="488" t="n">
        <f aca="false">(AM129+AL129+AK129*(1+RdsonTopTc*Ta-RdsonTopTc*25))/(1-AK129*RdsonTopTc*ThetaJA_Q4)</f>
        <v>0</v>
      </c>
      <c r="AO129" s="488" t="n">
        <f aca="false">CHOOSE(J129, SQRT(Iout^2+(P129^2)/12), SQRT(1-O129)*SQRT(L129^2+(P129^2)/12), SQRT(1-O129)*SQRT(M129^2+(P129^2)/12))</f>
        <v>6.19787977821995</v>
      </c>
      <c r="AP129" s="488" t="n">
        <f aca="false">Rdson3*AO129^2</f>
        <v>0.0729860561160087</v>
      </c>
      <c r="AQ129" s="488" t="n">
        <f aca="false">CHOOSE(J129, 0, IF(L129&lt;P129/2,Deadtime*Fsw*IF(VfdSky_Q3&gt;0,0,Vsd_Q3)*(L129+P129/2), 2*Deadtime*Fsw*IF(VfdSky_Q3&gt;0,0,Vsd_Q3)*L129), IF(L129&lt;P129/2,Deadtime*Fsw/2*IF(VfdSky_Q3&gt;0,0,Vsd_Q3)*(L129+P129/2), 2*Deadtime*Fsw/2*IF(VfdSky_Q3&gt;0,0,Vsd_Q3)*L129))</f>
        <v>0</v>
      </c>
      <c r="AR129" s="488" t="n">
        <f aca="false">(AQ129+AP129*(1+RdsonBotTc*Ta-RdsonBotTc*25))/(1-AP129*RdsonBotTc*ThetaJA_Q3)</f>
        <v>0.0740672311335833</v>
      </c>
      <c r="AS129" s="488" t="n">
        <f aca="false">CHOOSE(J129, Rdson3*Q129^2, Rdson1*Q129^2, 0)</f>
        <v>0.0729860561160087</v>
      </c>
      <c r="AT129" s="488" t="n">
        <f aca="false">CHOOSE(J129, 2*Deadtime*Fsw*IF(VfdSky_Q2&gt;0,VfdSky_Q2,0)*K129, 2*Deadtime*Fsw*IF(VfdSky_Q3&gt;0,VfdSky_Q3,0)*L129, 2*Deadtime*Fsw/2*IF(VfdSky_Q2&gt;0,VfdSky_Q2,0)*K129+2*Deadtime*Fsw/2*IF(VfdSky_Q3&gt;0,VfdSky_Q3,0)*L129)</f>
        <v>0</v>
      </c>
      <c r="AU129" s="488" t="n">
        <f aca="false">CHOOSE(J129, IF(QrrSky_Q2&gt;0,QrrSky_Q2,Qrr_Q2)*Fsw*(H129-K129*Rdson1), IF(QrrSky_Q3&gt;0,QrrSky_Q3,Qrr_Q3)*Fsw*Vout,  IF(QrrSky_Q2&gt;0,QrrSky_Q2,Qrr_Q2)*Fsw/2*(H129-K129*Rdson1)+IF(QrrSky_Q3&gt;0,QrrSky_Q3,Qrr_Q3)*Fsw/2*Vout)</f>
        <v>0.61171362</v>
      </c>
      <c r="AV129" s="488" t="n">
        <f aca="false">CHOOSE(J129, Rs*AF129^2, Rs*AJ129^2, Rs*(AF129^2+AJ129^2))</f>
        <v>0.192690802698988</v>
      </c>
      <c r="AW129" s="488" t="n">
        <f aca="false">Rshunt_std/1000*Iout^2</f>
        <v>0.14832</v>
      </c>
      <c r="AX129" s="488" t="n">
        <f aca="false">IF(Vout&gt;8, Iq*Vout, Iq*H129)</f>
        <v>0.036</v>
      </c>
      <c r="AY129" s="488" t="n">
        <f aca="false">CHOOSE(J129, (Qg_Q1+Qg_Q2)*Fsw, (Qg_Q3+Qg_Q4)*Fsw, (Qg_Q1+Qg_Q2+Qg_Q3+Qg_Q4)*Fsw/2)*IF(Vout&gt;8, Vout, H129)</f>
        <v>0.0792</v>
      </c>
      <c r="AZ129" s="488" t="n">
        <f aca="false">(Vin-Vdd)*Fsw*(Qg_Q1+Qg_Q2)+(RdsonDRT+RdsonDRT2)*Fsw*Qg_Q1*Vdd/(RdsonDRT+2*Rgate1+RdsonDRT2)+(RdsonDRB+RdsonDRB2)*Fsw*Qg_Q2*Vdd/(RdsonDRB+2*Rgate2+RdsonDRB2)</f>
        <v>0.0522</v>
      </c>
      <c r="BA129" s="488" t="n">
        <f aca="false">SUM(AX129:AY129)</f>
        <v>0.1152</v>
      </c>
      <c r="BB129" s="488" t="n">
        <f aca="false">SUM(T129,W129,Z129,AE129,AI129,AN129,AR129, AT129,AU129,BA129,AV129,AW129)</f>
        <v>2.68180393842811</v>
      </c>
      <c r="BC129" s="419" t="n">
        <f aca="false">Vout*K129</f>
        <v>72</v>
      </c>
      <c r="BD129" s="589" t="n">
        <f aca="false">BC129/(BC129+BB129)</f>
        <v>0.964090262995801</v>
      </c>
      <c r="BE129" s="590" t="n">
        <f aca="false">IF(H129&gt;Vout,ThetaJA_Q1*(AE129+AU129),ThetaJA_Q4*(AN129+AU129))</f>
        <v>44.7996410951231</v>
      </c>
      <c r="BF129" s="590" t="n">
        <f aca="false">IF(H129&gt;Vout, AI129*ThetaJA_Q2, ThetaJA_Q3*AR129)</f>
        <v>14.4617057159509</v>
      </c>
      <c r="BG129" s="536"/>
      <c r="BH129" s="385" t="n">
        <f aca="false">BD129*100</f>
        <v>96.4090262995801</v>
      </c>
      <c r="BI129" s="488" t="n">
        <f aca="false">T129</f>
        <v>0.936263175924346</v>
      </c>
      <c r="BJ129" s="488" t="n">
        <f aca="false">AE129+AI129+AN129+AR129+AU129</f>
        <v>1.25929416735506</v>
      </c>
      <c r="BK129" s="488" t="n">
        <f aca="false">AI129+AU129*0.33</f>
        <v>0.491099608919018</v>
      </c>
      <c r="BL129" s="488" t="n">
        <f aca="false">AV129</f>
        <v>0.192690802698988</v>
      </c>
    </row>
    <row r="130" customFormat="false" ht="12.75" hidden="false" customHeight="false" outlineLevel="0" collapsed="false">
      <c r="G130" s="0" t="n">
        <v>121</v>
      </c>
      <c r="H130" s="586" t="n">
        <f aca="false">VIN_min+(VIN_max-VIN_min)*(G130/200)</f>
        <v>32.62</v>
      </c>
      <c r="I130" s="385" t="str">
        <f aca="false">IF(H130&gt;VIN_BB_to_buck, "BUCK", IF(H130&lt;VIN_boost_to_BB,"BOOST","BUCK-BST"))</f>
        <v>BUCK</v>
      </c>
      <c r="J130" s="419" t="n">
        <f aca="false">IF(I130="BOOST",2, IF(I130="BUCK", 1,3))</f>
        <v>1</v>
      </c>
      <c r="K130" s="0" t="n">
        <f aca="false">Iout</f>
        <v>6</v>
      </c>
      <c r="L130" s="385" t="n">
        <f aca="false">Vout*K130/(H130*Efficiency)</f>
        <v>2.45248313917842</v>
      </c>
      <c r="M130" s="385" t="n">
        <f aca="false">Iout/(1-O130)</f>
        <v>6</v>
      </c>
      <c r="N130" s="488" t="n">
        <f aca="false">CHOOSE(J130,(Vout+(Rdson2+Rs+Rdcr)*K130)/(H130+(Rs+Rdson2-Rdson1)*K130),1,IF(H130&lt;Vout,D_max_buck_BB,Vout/H130*(1-D_min_boost_exitBB_to_buck)))</f>
        <v>0.370463450471409</v>
      </c>
      <c r="O130" s="488" t="n">
        <f aca="false">CHOOSE(J130,0,(Vout+(Rdson3+Rdcr)*L130-H130)/(Vout+(Rdson3-Rdson4-Rs)*L130),IF(H130&gt;Vout,D_min_boost_exitBB_to_buck, (Vout-H130*D_max_buck_BB)/Vout))</f>
        <v>0</v>
      </c>
      <c r="P130" s="385" t="n">
        <f aca="false">MAX(0, CHOOSE(J130, (H130-(Rdson1+Rdcr)*K130-Vout)*N130/(Fsw*Lf), (H130-(Rdson4+Rdcr+Rs)*L130)*O130/(Fsw*Lf), IF(H130&lt;Vout, (H130-(Rdson4+Rdcr+Rs)*L130)*O130/(0.5*Fsw*Lf),(H130-(Rdson1+Rdcr)*K130-Vout)*N130/(0.5*Fsw*Lf))))</f>
        <v>5.40343275415593</v>
      </c>
      <c r="Q130" s="488" t="n">
        <f aca="false">CHOOSE(J130, SQRT(K130^2+(P130^2)/12), SQRT(L130^2+(P130^2)/12), SQRT(M130^2+(P130^2)/12))</f>
        <v>6.19944275404844</v>
      </c>
      <c r="R130" s="488" t="n">
        <f aca="false">(Q130^2*Rdcr*(1+Ltc*Ta-Ltc*25))/(1-Q130^2*Rdcr*Ltc*ThetaCa)</f>
        <v>0.130090797131729</v>
      </c>
      <c r="S130" s="488" t="n">
        <f aca="false">7.759*10^-3*Fsw^0.9458*(0.00787*P130)^2.304</f>
        <v>0.813699266145417</v>
      </c>
      <c r="T130" s="488" t="n">
        <f aca="false">R130+S130</f>
        <v>0.943790063277146</v>
      </c>
      <c r="U130" s="385" t="n">
        <f aca="false">IF(H130&gt;Vout, P130/SQRT(12), SQRT(O130/(1-O130))*SQRT(K130^2+(P130^2)/12))</f>
        <v>1.55983667757998</v>
      </c>
      <c r="V130" s="488" t="n">
        <f aca="false">RCoutEsr*U130^2</f>
        <v>0.0121654523036188</v>
      </c>
      <c r="W130" s="488" t="n">
        <f aca="false">V130</f>
        <v>0.0121654523036188</v>
      </c>
      <c r="X130" s="488" t="n">
        <f aca="false">IF(H130&gt;Vout, SQRT(N130*(1-N130))*SQRT(K130^2+(P130^2)/12), P130/SQRT(12))</f>
        <v>2.99388981231837</v>
      </c>
      <c r="Y130" s="587" t="n">
        <f aca="false">RCinEsr*X130^2</f>
        <v>0.0179267524166075</v>
      </c>
      <c r="Z130" s="588" t="n">
        <f aca="false">Y130</f>
        <v>0.0179267524166075</v>
      </c>
      <c r="AA130" s="488" t="n">
        <f aca="false">CHOOSE(J130, SQRT(N130)*SQRT(K130^2+(P130^2)/12), SQRT(L130^2+(P130^2)/12), SQRT(N130)*SQRT(M130^2+(P130^2)/12))</f>
        <v>3.77333477236774</v>
      </c>
      <c r="AB130" s="488" t="n">
        <f aca="false">Rdson1*AA130^2</f>
        <v>0.0811569152348493</v>
      </c>
      <c r="AC130" s="488" t="n">
        <f aca="false">CHOOSE(J130, (H130*K130/2)*(Fsw)*(Tr_buck+Tf_buck), 0, (H130*M130/2)*(Fsw/2)*(Tr_buck+Tf_buck))</f>
        <v>0.199314284074605</v>
      </c>
      <c r="AD130" s="0" t="n">
        <f aca="false">IF(H130&gt;Vout, IF(K130&gt;P130/2,0,ABS(K130-P130/2)*Vsd_Q1*Deadtime*Fsw),0)</f>
        <v>0</v>
      </c>
      <c r="AE130" s="488" t="n">
        <f aca="false">(AD130+AC130+AB130*(1+RdsonTopTc*Ta-RdsonTopTc*25))/(1-AB130*RdsonTopTc*ThetaJA_Q1)</f>
        <v>0.285098746266314</v>
      </c>
      <c r="AF130" s="488" t="n">
        <f aca="false">CHOOSE(J130, SQRT((1-N130))*SQRT(K130^2+(P130^2)/12), 0, SQRT((1-N130))*SQRT(M130^2+(P130^2)/12))</f>
        <v>4.9188449006209</v>
      </c>
      <c r="AG130" s="488" t="n">
        <f aca="false">Rdson2*AF130^2</f>
        <v>0.137911700391276</v>
      </c>
      <c r="AH130" s="488" t="n">
        <f aca="false">CHOOSE(J130, IF(K130&lt;P130/2,Deadtime*Fsw*IF(VfdSky_Q2&gt;0,0,Vsd_Q2)*(K130+P130/2),2*Deadtime*Fsw*IF(VfdSky_Q2&gt;0,0,Vsd_Q2)*K130),0, IF(K130&lt;P130/2,Deadtime*Fsw/2*IF(VfdSky_Q2&gt;0,0,Vsd_Q2)*(K130+P130/2),2*Deadtime*Fsw/2*IF(VfdSky_Q2&gt;0,0,Vsd_Q2)*K130))</f>
        <v>0.144</v>
      </c>
      <c r="AI130" s="488" t="n">
        <f aca="false">(AH130+AG130*(1+RdsonBotTc*Ta-RdsonBotTc*25))/(1-AG130*RdsonBotTc*ThetaJA_Q2)</f>
        <v>0.289908042614079</v>
      </c>
      <c r="AJ130" s="488" t="n">
        <f aca="false">CHOOSE(J130, 0, SQRT(O130)*SQRT(L130^2+(P130^2)/12), SQRT(O130)*SQRT(M130^2+(P130^2)/12))</f>
        <v>0</v>
      </c>
      <c r="AK130" s="488" t="n">
        <f aca="false">Rdson4*AJ130^2</f>
        <v>0</v>
      </c>
      <c r="AL130" s="488" t="n">
        <f aca="false">CHOOSE(J130, 0, (Vout*L130/2)*(Fsw)*(Tr_boost+Tf_boost), (Vout*Iout/2)*(Fsw/2)*(Tr_boost+Tf_boost))</f>
        <v>0</v>
      </c>
      <c r="AM130" s="0" t="n">
        <f aca="false">IF(H130&gt;Vout, 0, IF(L130&gt;P130/2,0,ABS(L130-P130/2)*Vsd_Q4*Deadtime*Fsw))</f>
        <v>0</v>
      </c>
      <c r="AN130" s="488" t="n">
        <f aca="false">(AM130+AL130+AK130*(1+RdsonTopTc*Ta-RdsonTopTc*25))/(1-AK130*RdsonTopTc*ThetaJA_Q4)</f>
        <v>0</v>
      </c>
      <c r="AO130" s="488" t="n">
        <f aca="false">CHOOSE(J130, SQRT(Iout^2+(P130^2)/12), SQRT(1-O130)*SQRT(L130^2+(P130^2)/12), SQRT(1-O130)*SQRT(M130^2+(P130^2)/12))</f>
        <v>6.19944275404844</v>
      </c>
      <c r="AP130" s="488" t="n">
        <f aca="false">Rdson3*AO130^2</f>
        <v>0.0730228718753752</v>
      </c>
      <c r="AQ130" s="488" t="n">
        <f aca="false">CHOOSE(J130, 0, IF(L130&lt;P130/2,Deadtime*Fsw*IF(VfdSky_Q3&gt;0,0,Vsd_Q3)*(L130+P130/2), 2*Deadtime*Fsw*IF(VfdSky_Q3&gt;0,0,Vsd_Q3)*L130), IF(L130&lt;P130/2,Deadtime*Fsw/2*IF(VfdSky_Q3&gt;0,0,Vsd_Q3)*(L130+P130/2), 2*Deadtime*Fsw/2*IF(VfdSky_Q3&gt;0,0,Vsd_Q3)*L130))</f>
        <v>0</v>
      </c>
      <c r="AR130" s="488" t="n">
        <f aca="false">(AQ130+AP130*(1+RdsonBotTc*Ta-RdsonBotTc*25))/(1-AP130*RdsonBotTc*ThetaJA_Q3)</f>
        <v>0.0741051459915851</v>
      </c>
      <c r="AS130" s="488" t="n">
        <f aca="false">CHOOSE(J130, Rdson3*Q130^2, Rdson1*Q130^2, 0)</f>
        <v>0.0730228718753752</v>
      </c>
      <c r="AT130" s="488" t="n">
        <f aca="false">CHOOSE(J130, 2*Deadtime*Fsw*IF(VfdSky_Q2&gt;0,VfdSky_Q2,0)*K130, 2*Deadtime*Fsw*IF(VfdSky_Q3&gt;0,VfdSky_Q3,0)*L130, 2*Deadtime*Fsw/2*IF(VfdSky_Q2&gt;0,VfdSky_Q2,0)*K130+2*Deadtime*Fsw/2*IF(VfdSky_Q3&gt;0,VfdSky_Q3,0)*L130)</f>
        <v>0</v>
      </c>
      <c r="AU130" s="488" t="n">
        <f aca="false">CHOOSE(J130, IF(QrrSky_Q2&gt;0,QrrSky_Q2,Qrr_Q2)*Fsw*(H130-K130*Rdson1), IF(QrrSky_Q3&gt;0,QrrSky_Q3,Qrr_Q3)*Fsw*Vout,  IF(QrrSky_Q2&gt;0,QrrSky_Q2,Qrr_Q2)*Fsw/2*(H130-K130*Rdson1)+IF(QrrSky_Q3&gt;0,QrrSky_Q3,Qrr_Q3)*Fsw/2*Vout)</f>
        <v>0.61587162</v>
      </c>
      <c r="AV130" s="488" t="n">
        <f aca="false">CHOOSE(J130, Rs*AF130^2, Rs*AJ130^2, Rs*(AF130^2+AJ130^2))</f>
        <v>0.193560281250914</v>
      </c>
      <c r="AW130" s="488" t="n">
        <f aca="false">Rshunt_std/1000*Iout^2</f>
        <v>0.14832</v>
      </c>
      <c r="AX130" s="488" t="n">
        <f aca="false">IF(Vout&gt;8, Iq*Vout, Iq*H130)</f>
        <v>0.036</v>
      </c>
      <c r="AY130" s="488" t="n">
        <f aca="false">CHOOSE(J130, (Qg_Q1+Qg_Q2)*Fsw, (Qg_Q3+Qg_Q4)*Fsw, (Qg_Q1+Qg_Q2+Qg_Q3+Qg_Q4)*Fsw/2)*IF(Vout&gt;8, Vout, H130)</f>
        <v>0.0792</v>
      </c>
      <c r="AZ130" s="488" t="n">
        <f aca="false">(Vin-Vdd)*Fsw*(Qg_Q1+Qg_Q2)+(RdsonDRT+RdsonDRT2)*Fsw*Qg_Q1*Vdd/(RdsonDRT+2*Rgate1+RdsonDRT2)+(RdsonDRB+RdsonDRB2)*Fsw*Qg_Q2*Vdd/(RdsonDRB+2*Rgate2+RdsonDRB2)</f>
        <v>0.0522</v>
      </c>
      <c r="BA130" s="488" t="n">
        <f aca="false">SUM(AX130:AY130)</f>
        <v>0.1152</v>
      </c>
      <c r="BB130" s="488" t="n">
        <f aca="false">SUM(T130,W130,Z130,AE130,AI130,AN130,AR130, AT130,AU130,BA130,AV130,AW130)</f>
        <v>2.69594610412026</v>
      </c>
      <c r="BC130" s="419" t="n">
        <f aca="false">Vout*K130</f>
        <v>72</v>
      </c>
      <c r="BD130" s="589" t="n">
        <f aca="false">BC130/(BC130+BB130)</f>
        <v>0.96390773201584</v>
      </c>
      <c r="BE130" s="590" t="n">
        <f aca="false">IF(H130&gt;Vout,ThetaJA_Q1*(AE130+AU130),ThetaJA_Q4*(AN130+AU130))</f>
        <v>45.0485183133157</v>
      </c>
      <c r="BF130" s="590" t="n">
        <f aca="false">IF(H130&gt;Vout, AI130*ThetaJA_Q2, ThetaJA_Q3*AR130)</f>
        <v>14.495402130704</v>
      </c>
      <c r="BG130" s="536"/>
      <c r="BH130" s="385" t="n">
        <f aca="false">BD130*100</f>
        <v>96.390773201584</v>
      </c>
      <c r="BI130" s="488" t="n">
        <f aca="false">T130</f>
        <v>0.943790063277146</v>
      </c>
      <c r="BJ130" s="488" t="n">
        <f aca="false">AE130+AI130+AN130+AR130+AU130</f>
        <v>1.26498355487198</v>
      </c>
      <c r="BK130" s="488" t="n">
        <f aca="false">AI130+AU130*0.33</f>
        <v>0.493145677214079</v>
      </c>
      <c r="BL130" s="488" t="n">
        <f aca="false">AV130</f>
        <v>0.193560281250914</v>
      </c>
    </row>
    <row r="131" customFormat="false" ht="12.75" hidden="false" customHeight="false" outlineLevel="0" collapsed="false">
      <c r="G131" s="0" t="n">
        <v>122</v>
      </c>
      <c r="H131" s="586" t="n">
        <f aca="false">VIN_min+(VIN_max-VIN_min)*(G131/200)</f>
        <v>32.84</v>
      </c>
      <c r="I131" s="385" t="str">
        <f aca="false">IF(H131&gt;VIN_BB_to_buck, "BUCK", IF(H131&lt;VIN_boost_to_BB,"BOOST","BUCK-BST"))</f>
        <v>BUCK</v>
      </c>
      <c r="J131" s="419" t="n">
        <f aca="false">IF(I131="BOOST",2, IF(I131="BUCK", 1,3))</f>
        <v>1</v>
      </c>
      <c r="K131" s="0" t="n">
        <f aca="false">Iout</f>
        <v>6</v>
      </c>
      <c r="L131" s="385" t="n">
        <f aca="false">Vout*K131/(H131*Efficiency)</f>
        <v>2.43605359317905</v>
      </c>
      <c r="M131" s="385" t="n">
        <f aca="false">Iout/(1-O131)</f>
        <v>6</v>
      </c>
      <c r="N131" s="488" t="n">
        <f aca="false">CHOOSE(J131,(Vout+(Rdson2+Rs+Rdcr)*K131)/(H131+(Rs+Rdson2-Rdson1)*K131),1,IF(H131&lt;Vout,D_max_buck_BB,Vout/H131*(1-D_min_boost_exitBB_to_buck)))</f>
        <v>0.367985283386037</v>
      </c>
      <c r="O131" s="488" t="n">
        <f aca="false">CHOOSE(J131,0,(Vout+(Rdson3+Rdcr)*L131-H131)/(Vout+(Rdson3-Rdson4-Rs)*L131),IF(H131&gt;Vout,D_min_boost_exitBB_to_buck, (Vout-H131*D_max_buck_BB)/Vout))</f>
        <v>0</v>
      </c>
      <c r="P131" s="385" t="n">
        <f aca="false">MAX(0, CHOOSE(J131, (H131-(Rdson1+Rdcr)*K131-Vout)*N131/(Fsw*Lf), (H131-(Rdson4+Rdcr+Rs)*L131)*O131/(Fsw*Lf), IF(H131&lt;Vout, (H131-(Rdson4+Rdcr+Rs)*L131)*O131/(0.5*Fsw*Lf),(H131-(Rdson1+Rdcr)*K131-Vout)*N131/(0.5*Fsw*Lf))))</f>
        <v>5.42470333679231</v>
      </c>
      <c r="Q131" s="488" t="n">
        <f aca="false">CHOOSE(J131, SQRT(K131^2+(P131^2)/12), SQRT(L131^2+(P131^2)/12), SQRT(M131^2+(P131^2)/12))</f>
        <v>6.20099055455528</v>
      </c>
      <c r="R131" s="488" t="n">
        <f aca="false">(Q131^2*Rdcr*(1+Ltc*Ta-Ltc*25))/(1-Q131^2*Rdcr*Ltc*ThetaCa)</f>
        <v>0.130156440646886</v>
      </c>
      <c r="S131" s="488" t="n">
        <f aca="false">7.759*10^-3*Fsw^0.9458*(0.00787*P131)^2.304</f>
        <v>0.821098209579557</v>
      </c>
      <c r="T131" s="488" t="n">
        <f aca="false">R131+S131</f>
        <v>0.951254650226442</v>
      </c>
      <c r="U131" s="385" t="n">
        <f aca="false">IF(H131&gt;Vout, P131/SQRT(12), SQRT(O131/(1-O131))*SQRT(K131^2+(P131^2)/12))</f>
        <v>1.56597696588545</v>
      </c>
      <c r="V131" s="488" t="n">
        <f aca="false">RCoutEsr*U131^2</f>
        <v>0.012261419288419</v>
      </c>
      <c r="W131" s="488" t="n">
        <f aca="false">V131</f>
        <v>0.012261419288419</v>
      </c>
      <c r="X131" s="488" t="n">
        <f aca="false">IF(H131&gt;Vout, SQRT(N131*(1-N131))*SQRT(K131^2+(P131^2)/12), P131/SQRT(12))</f>
        <v>2.99047303413331</v>
      </c>
      <c r="Y131" s="587" t="n">
        <f aca="false">RCinEsr*X131^2</f>
        <v>0.017885857935757</v>
      </c>
      <c r="Z131" s="588" t="n">
        <f aca="false">Y131</f>
        <v>0.017885857935757</v>
      </c>
      <c r="AA131" s="488" t="n">
        <f aca="false">CHOOSE(J131, SQRT(N131)*SQRT(K131^2+(P131^2)/12), SQRT(L131^2+(P131^2)/12), SQRT(N131)*SQRT(M131^2+(P131^2)/12))</f>
        <v>3.7616319028063</v>
      </c>
      <c r="AB131" s="488" t="n">
        <f aca="false">Rdson1*AA131^2</f>
        <v>0.0806542850615977</v>
      </c>
      <c r="AC131" s="488" t="n">
        <f aca="false">CHOOSE(J131, (H131*K131/2)*(Fsw)*(Tr_buck+Tf_buck), 0, (H131*M131/2)*(Fsw/2)*(Tr_buck+Tf_buck))</f>
        <v>0.200658525107604</v>
      </c>
      <c r="AD131" s="0" t="n">
        <f aca="false">IF(H131&gt;Vout, IF(K131&gt;P131/2,0,ABS(K131-P131/2)*Vsd_Q1*Deadtime*Fsw),0)</f>
        <v>0</v>
      </c>
      <c r="AE131" s="488" t="n">
        <f aca="false">(AD131+AC131+AB131*(1+RdsonTopTc*Ta-RdsonTopTc*25))/(1-AB131*RdsonTopTc*ThetaJA_Q1)</f>
        <v>0.285925025877882</v>
      </c>
      <c r="AF131" s="488" t="n">
        <f aca="false">CHOOSE(J131, SQRT((1-N131))*SQRT(K131^2+(P131^2)/12), 0, SQRT((1-N131))*SQRT(M131^2+(P131^2)/12))</f>
        <v>4.92974738556386</v>
      </c>
      <c r="AG131" s="488" t="n">
        <f aca="false">Rdson2*AF131^2</f>
        <v>0.1385237329272</v>
      </c>
      <c r="AH131" s="488" t="n">
        <f aca="false">CHOOSE(J131, IF(K131&lt;P131/2,Deadtime*Fsw*IF(VfdSky_Q2&gt;0,0,Vsd_Q2)*(K131+P131/2),2*Deadtime*Fsw*IF(VfdSky_Q2&gt;0,0,Vsd_Q2)*K131),0, IF(K131&lt;P131/2,Deadtime*Fsw/2*IF(VfdSky_Q2&gt;0,0,Vsd_Q2)*(K131+P131/2),2*Deadtime*Fsw/2*IF(VfdSky_Q2&gt;0,0,Vsd_Q2)*K131))</f>
        <v>0.144</v>
      </c>
      <c r="AI131" s="488" t="n">
        <f aca="false">(AH131+AG131*(1+RdsonBotTc*Ta-RdsonBotTc*25))/(1-AG131*RdsonBotTc*ThetaJA_Q2)</f>
        <v>0.290574012302351</v>
      </c>
      <c r="AJ131" s="488" t="n">
        <f aca="false">CHOOSE(J131, 0, SQRT(O131)*SQRT(L131^2+(P131^2)/12), SQRT(O131)*SQRT(M131^2+(P131^2)/12))</f>
        <v>0</v>
      </c>
      <c r="AK131" s="488" t="n">
        <f aca="false">Rdson4*AJ131^2</f>
        <v>0</v>
      </c>
      <c r="AL131" s="488" t="n">
        <f aca="false">CHOOSE(J131, 0, (Vout*L131/2)*(Fsw)*(Tr_boost+Tf_boost), (Vout*Iout/2)*(Fsw/2)*(Tr_boost+Tf_boost))</f>
        <v>0</v>
      </c>
      <c r="AM131" s="0" t="n">
        <f aca="false">IF(H131&gt;Vout, 0, IF(L131&gt;P131/2,0,ABS(L131-P131/2)*Vsd_Q4*Deadtime*Fsw))</f>
        <v>0</v>
      </c>
      <c r="AN131" s="488" t="n">
        <f aca="false">(AM131+AL131+AK131*(1+RdsonTopTc*Ta-RdsonTopTc*25))/(1-AK131*RdsonTopTc*ThetaJA_Q4)</f>
        <v>0</v>
      </c>
      <c r="AO131" s="488" t="n">
        <f aca="false">CHOOSE(J131, SQRT(Iout^2+(P131^2)/12), SQRT(1-O131)*SQRT(L131^2+(P131^2)/12), SQRT(1-O131)*SQRT(M131^2+(P131^2)/12))</f>
        <v>6.20099055455528</v>
      </c>
      <c r="AP131" s="488" t="n">
        <f aca="false">Rdson3*AO131^2</f>
        <v>0.0730593393295992</v>
      </c>
      <c r="AQ131" s="488" t="n">
        <f aca="false">CHOOSE(J131, 0, IF(L131&lt;P131/2,Deadtime*Fsw*IF(VfdSky_Q3&gt;0,0,Vsd_Q3)*(L131+P131/2), 2*Deadtime*Fsw*IF(VfdSky_Q3&gt;0,0,Vsd_Q3)*L131), IF(L131&lt;P131/2,Deadtime*Fsw/2*IF(VfdSky_Q3&gt;0,0,Vsd_Q3)*(L131+P131/2), 2*Deadtime*Fsw/2*IF(VfdSky_Q3&gt;0,0,Vsd_Q3)*L131))</f>
        <v>0</v>
      </c>
      <c r="AR131" s="488" t="n">
        <f aca="false">(AQ131+AP131*(1+RdsonBotTc*Ta-RdsonBotTc*25))/(1-AP131*RdsonBotTc*ThetaJA_Q3)</f>
        <v>0.0741427027047431</v>
      </c>
      <c r="AS131" s="488" t="n">
        <f aca="false">CHOOSE(J131, Rdson3*Q131^2, Rdson1*Q131^2, 0)</f>
        <v>0.0730593393295992</v>
      </c>
      <c r="AT131" s="488" t="n">
        <f aca="false">CHOOSE(J131, 2*Deadtime*Fsw*IF(VfdSky_Q2&gt;0,VfdSky_Q2,0)*K131, 2*Deadtime*Fsw*IF(VfdSky_Q3&gt;0,VfdSky_Q3,0)*L131, 2*Deadtime*Fsw/2*IF(VfdSky_Q2&gt;0,VfdSky_Q2,0)*K131+2*Deadtime*Fsw/2*IF(VfdSky_Q3&gt;0,VfdSky_Q3,0)*L131)</f>
        <v>0</v>
      </c>
      <c r="AU131" s="488" t="n">
        <f aca="false">CHOOSE(J131, IF(QrrSky_Q2&gt;0,QrrSky_Q2,Qrr_Q2)*Fsw*(H131-K131*Rdson1), IF(QrrSky_Q3&gt;0,QrrSky_Q3,Qrr_Q3)*Fsw*Vout,  IF(QrrSky_Q2&gt;0,QrrSky_Q2,Qrr_Q2)*Fsw/2*(H131-K131*Rdson1)+IF(QrrSky_Q3&gt;0,QrrSky_Q3,Qrr_Q3)*Fsw/2*Vout)</f>
        <v>0.62002962</v>
      </c>
      <c r="AV131" s="488" t="n">
        <f aca="false">CHOOSE(J131, Rs*AF131^2, Rs*AJ131^2, Rs*(AF131^2+AJ131^2))</f>
        <v>0.194419274283789</v>
      </c>
      <c r="AW131" s="488" t="n">
        <f aca="false">Rshunt_std/1000*Iout^2</f>
        <v>0.14832</v>
      </c>
      <c r="AX131" s="488" t="n">
        <f aca="false">IF(Vout&gt;8, Iq*Vout, Iq*H131)</f>
        <v>0.036</v>
      </c>
      <c r="AY131" s="488" t="n">
        <f aca="false">CHOOSE(J131, (Qg_Q1+Qg_Q2)*Fsw, (Qg_Q3+Qg_Q4)*Fsw, (Qg_Q1+Qg_Q2+Qg_Q3+Qg_Q4)*Fsw/2)*IF(Vout&gt;8, Vout, H131)</f>
        <v>0.0792</v>
      </c>
      <c r="AZ131" s="488" t="n">
        <f aca="false">(Vin-Vdd)*Fsw*(Qg_Q1+Qg_Q2)+(RdsonDRT+RdsonDRT2)*Fsw*Qg_Q1*Vdd/(RdsonDRT+2*Rgate1+RdsonDRT2)+(RdsonDRB+RdsonDRB2)*Fsw*Qg_Q2*Vdd/(RdsonDRB+2*Rgate2+RdsonDRB2)</f>
        <v>0.0522</v>
      </c>
      <c r="BA131" s="488" t="n">
        <f aca="false">SUM(AX131:AY131)</f>
        <v>0.1152</v>
      </c>
      <c r="BB131" s="488" t="n">
        <f aca="false">SUM(T131,W131,Z131,AE131,AI131,AN131,AR131, AT131,AU131,BA131,AV131,AW131)</f>
        <v>2.71001256261938</v>
      </c>
      <c r="BC131" s="419" t="n">
        <f aca="false">Vout*K131</f>
        <v>72</v>
      </c>
      <c r="BD131" s="589" t="n">
        <f aca="false">BC131/(BC131+BB131)</f>
        <v>0.963726246728336</v>
      </c>
      <c r="BE131" s="590" t="n">
        <f aca="false">IF(H131&gt;Vout,ThetaJA_Q1*(AE131+AU131),ThetaJA_Q4*(AN131+AU131))</f>
        <v>45.2977322938941</v>
      </c>
      <c r="BF131" s="590" t="n">
        <f aca="false">IF(H131&gt;Vout, AI131*ThetaJA_Q2, ThetaJA_Q3*AR131)</f>
        <v>14.5287006151176</v>
      </c>
      <c r="BG131" s="536"/>
      <c r="BH131" s="385" t="n">
        <f aca="false">BD131*100</f>
        <v>96.3726246728336</v>
      </c>
      <c r="BI131" s="488" t="n">
        <f aca="false">T131</f>
        <v>0.951254650226442</v>
      </c>
      <c r="BJ131" s="488" t="n">
        <f aca="false">AE131+AI131+AN131+AR131+AU131</f>
        <v>1.27067136088498</v>
      </c>
      <c r="BK131" s="488" t="n">
        <f aca="false">AI131+AU131*0.33</f>
        <v>0.495183786902351</v>
      </c>
      <c r="BL131" s="488" t="n">
        <f aca="false">AV131</f>
        <v>0.194419274283789</v>
      </c>
    </row>
    <row r="132" customFormat="false" ht="12.75" hidden="false" customHeight="false" outlineLevel="0" collapsed="false">
      <c r="G132" s="0" t="n">
        <v>123</v>
      </c>
      <c r="H132" s="586" t="n">
        <f aca="false">VIN_min+(VIN_max-VIN_min)*(G132/200)</f>
        <v>33.06</v>
      </c>
      <c r="I132" s="385" t="str">
        <f aca="false">IF(H132&gt;VIN_BB_to_buck, "BUCK", IF(H132&lt;VIN_boost_to_BB,"BOOST","BUCK-BST"))</f>
        <v>BUCK</v>
      </c>
      <c r="J132" s="419" t="n">
        <f aca="false">IF(I132="BOOST",2, IF(I132="BUCK", 1,3))</f>
        <v>1</v>
      </c>
      <c r="K132" s="0" t="n">
        <f aca="false">Iout</f>
        <v>6</v>
      </c>
      <c r="L132" s="385" t="n">
        <f aca="false">Vout*K132/(H132*Efficiency)</f>
        <v>2.41984271022384</v>
      </c>
      <c r="M132" s="385" t="n">
        <f aca="false">Iout/(1-O132)</f>
        <v>6</v>
      </c>
      <c r="N132" s="488" t="n">
        <f aca="false">CHOOSE(J132,(Vout+(Rdson2+Rs+Rdcr)*K132)/(H132+(Rs+Rdson2-Rdson1)*K132),1,IF(H132&lt;Vout,D_max_buck_BB,Vout/H132*(1-D_min_boost_exitBB_to_buck)))</f>
        <v>0.365540050743023</v>
      </c>
      <c r="O132" s="488" t="n">
        <f aca="false">CHOOSE(J132,0,(Vout+(Rdson3+Rdcr)*L132-H132)/(Vout+(Rdson3-Rdson4-Rs)*L132),IF(H132&gt;Vout,D_min_boost_exitBB_to_buck, (Vout-H132*D_max_buck_BB)/Vout))</f>
        <v>0</v>
      </c>
      <c r="P132" s="385" t="n">
        <f aca="false">MAX(0, CHOOSE(J132, (H132-(Rdson1+Rdcr)*K132-Vout)*N132/(Fsw*Lf), (H132-(Rdson4+Rdcr+Rs)*L132)*O132/(Fsw*Lf), IF(H132&lt;Vout, (H132-(Rdson4+Rdcr+Rs)*L132)*O132/(0.5*Fsw*Lf),(H132-(Rdson1+Rdcr)*K132-Vout)*N132/(0.5*Fsw*Lf))))</f>
        <v>5.44569123680334</v>
      </c>
      <c r="Q132" s="488" t="n">
        <f aca="false">CHOOSE(J132, SQRT(K132^2+(P132^2)/12), SQRT(L132^2+(P132^2)/12), SQRT(M132^2+(P132^2)/12))</f>
        <v>6.20252336450387</v>
      </c>
      <c r="R132" s="488" t="n">
        <f aca="false">(Q132^2*Rdcr*(1+Ltc*Ta-Ltc*25))/(1-Q132^2*Rdcr*Ltc*ThetaCa)</f>
        <v>0.130221465222364</v>
      </c>
      <c r="S132" s="488" t="n">
        <f aca="false">7.759*10^-3*Fsw^0.9458*(0.00787*P132)^2.304</f>
        <v>0.828435997474543</v>
      </c>
      <c r="T132" s="488" t="n">
        <f aca="false">R132+S132</f>
        <v>0.958657462696907</v>
      </c>
      <c r="U132" s="385" t="n">
        <f aca="false">IF(H132&gt;Vout, P132/SQRT(12), SQRT(O132/(1-O132))*SQRT(K132^2+(P132^2)/12))</f>
        <v>1.572035650746</v>
      </c>
      <c r="V132" s="488" t="n">
        <f aca="false">RCoutEsr*U132^2</f>
        <v>0.012356480436082</v>
      </c>
      <c r="W132" s="488" t="n">
        <f aca="false">V132</f>
        <v>0.012356480436082</v>
      </c>
      <c r="X132" s="488" t="n">
        <f aca="false">IF(H132&gt;Vout, SQRT(N132*(1-N132))*SQRT(K132^2+(P132^2)/12), P132/SQRT(12))</f>
        <v>2.98701909473746</v>
      </c>
      <c r="Y132" s="587" t="n">
        <f aca="false">RCinEsr*X132^2</f>
        <v>0.0178445661446524</v>
      </c>
      <c r="Z132" s="588" t="n">
        <f aca="false">Y132</f>
        <v>0.0178445661446524</v>
      </c>
      <c r="AA132" s="488" t="n">
        <f aca="false">CHOOSE(J132, SQRT(N132)*SQRT(K132^2+(P132^2)/12), SQRT(L132^2+(P132^2)/12), SQRT(N132)*SQRT(M132^2+(P132^2)/12))</f>
        <v>3.75003993630347</v>
      </c>
      <c r="AB132" s="488" t="n">
        <f aca="false">Rdson1*AA132^2</f>
        <v>0.0801579572860643</v>
      </c>
      <c r="AC132" s="488" t="n">
        <f aca="false">CHOOSE(J132, (H132*K132/2)*(Fsw)*(Tr_buck+Tf_buck), 0, (H132*M132/2)*(Fsw/2)*(Tr_buck+Tf_buck))</f>
        <v>0.202002766140603</v>
      </c>
      <c r="AD132" s="0" t="n">
        <f aca="false">IF(H132&gt;Vout, IF(K132&gt;P132/2,0,ABS(K132-P132/2)*Vsd_Q1*Deadtime*Fsw),0)</f>
        <v>0</v>
      </c>
      <c r="AE132" s="488" t="n">
        <f aca="false">(AD132+AC132+AB132*(1+RdsonTopTc*Ta-RdsonTopTc*25))/(1-AB132*RdsonTopTc*ThetaJA_Q1)</f>
        <v>0.286757909072034</v>
      </c>
      <c r="AF132" s="488" t="n">
        <f aca="false">CHOOSE(J132, SQRT((1-N132))*SQRT(K132^2+(P132^2)/12), 0, SQRT((1-N132))*SQRT(M132^2+(P132^2)/12))</f>
        <v>4.94049557871935</v>
      </c>
      <c r="AG132" s="488" t="n">
        <f aca="false">Rdson2*AF132^2</f>
        <v>0.139128430411069</v>
      </c>
      <c r="AH132" s="488" t="n">
        <f aca="false">CHOOSE(J132, IF(K132&lt;P132/2,Deadtime*Fsw*IF(VfdSky_Q2&gt;0,0,Vsd_Q2)*(K132+P132/2),2*Deadtime*Fsw*IF(VfdSky_Q2&gt;0,0,Vsd_Q2)*K132),0, IF(K132&lt;P132/2,Deadtime*Fsw/2*IF(VfdSky_Q2&gt;0,0,Vsd_Q2)*(K132+P132/2),2*Deadtime*Fsw/2*IF(VfdSky_Q2&gt;0,0,Vsd_Q2)*K132))</f>
        <v>0.144</v>
      </c>
      <c r="AI132" s="488" t="n">
        <f aca="false">(AH132+AG132*(1+RdsonBotTc*Ta-RdsonBotTc*25))/(1-AG132*RdsonBotTc*ThetaJA_Q2)</f>
        <v>0.291232165217453</v>
      </c>
      <c r="AJ132" s="488" t="n">
        <f aca="false">CHOOSE(J132, 0, SQRT(O132)*SQRT(L132^2+(P132^2)/12), SQRT(O132)*SQRT(M132^2+(P132^2)/12))</f>
        <v>0</v>
      </c>
      <c r="AK132" s="488" t="n">
        <f aca="false">Rdson4*AJ132^2</f>
        <v>0</v>
      </c>
      <c r="AL132" s="488" t="n">
        <f aca="false">CHOOSE(J132, 0, (Vout*L132/2)*(Fsw)*(Tr_boost+Tf_boost), (Vout*Iout/2)*(Fsw/2)*(Tr_boost+Tf_boost))</f>
        <v>0</v>
      </c>
      <c r="AM132" s="0" t="n">
        <f aca="false">IF(H132&gt;Vout, 0, IF(L132&gt;P132/2,0,ABS(L132-P132/2)*Vsd_Q4*Deadtime*Fsw))</f>
        <v>0</v>
      </c>
      <c r="AN132" s="488" t="n">
        <f aca="false">(AM132+AL132+AK132*(1+RdsonTopTc*Ta-RdsonTopTc*25))/(1-AK132*RdsonTopTc*ThetaJA_Q4)</f>
        <v>0</v>
      </c>
      <c r="AO132" s="488" t="n">
        <f aca="false">CHOOSE(J132, SQRT(Iout^2+(P132^2)/12), SQRT(1-O132)*SQRT(L132^2+(P132^2)/12), SQRT(1-O132)*SQRT(M132^2+(P132^2)/12))</f>
        <v>6.20252336450387</v>
      </c>
      <c r="AP132" s="488" t="n">
        <f aca="false">Rdson3*AO132^2</f>
        <v>0.0730954625657111</v>
      </c>
      <c r="AQ132" s="488" t="n">
        <f aca="false">CHOOSE(J132, 0, IF(L132&lt;P132/2,Deadtime*Fsw*IF(VfdSky_Q3&gt;0,0,Vsd_Q3)*(L132+P132/2), 2*Deadtime*Fsw*IF(VfdSky_Q3&gt;0,0,Vsd_Q3)*L132), IF(L132&lt;P132/2,Deadtime*Fsw/2*IF(VfdSky_Q3&gt;0,0,Vsd_Q3)*(L132+P132/2), 2*Deadtime*Fsw/2*IF(VfdSky_Q3&gt;0,0,Vsd_Q3)*L132))</f>
        <v>0</v>
      </c>
      <c r="AR132" s="488" t="n">
        <f aca="false">(AQ132+AP132*(1+RdsonBotTc*Ta-RdsonBotTc*25))/(1-AP132*RdsonBotTc*ThetaJA_Q3)</f>
        <v>0.0741799054663397</v>
      </c>
      <c r="AS132" s="488" t="n">
        <f aca="false">CHOOSE(J132, Rdson3*Q132^2, Rdson1*Q132^2, 0)</f>
        <v>0.0730954625657111</v>
      </c>
      <c r="AT132" s="488" t="n">
        <f aca="false">CHOOSE(J132, 2*Deadtime*Fsw*IF(VfdSky_Q2&gt;0,VfdSky_Q2,0)*K132, 2*Deadtime*Fsw*IF(VfdSky_Q3&gt;0,VfdSky_Q3,0)*L132, 2*Deadtime*Fsw/2*IF(VfdSky_Q2&gt;0,VfdSky_Q2,0)*K132+2*Deadtime*Fsw/2*IF(VfdSky_Q3&gt;0,VfdSky_Q3,0)*L132)</f>
        <v>0</v>
      </c>
      <c r="AU132" s="488" t="n">
        <f aca="false">CHOOSE(J132, IF(QrrSky_Q2&gt;0,QrrSky_Q2,Qrr_Q2)*Fsw*(H132-K132*Rdson1), IF(QrrSky_Q3&gt;0,QrrSky_Q3,Qrr_Q3)*Fsw*Vout,  IF(QrrSky_Q2&gt;0,QrrSky_Q2,Qrr_Q2)*Fsw/2*(H132-K132*Rdson1)+IF(QrrSky_Q3&gt;0,QrrSky_Q3,Qrr_Q3)*Fsw/2*Vout)</f>
        <v>0.62418762</v>
      </c>
      <c r="AV132" s="488" t="n">
        <f aca="false">CHOOSE(J132, Rs*AF132^2, Rs*AJ132^2, Rs*(AF132^2+AJ132^2))</f>
        <v>0.195267972506764</v>
      </c>
      <c r="AW132" s="488" t="n">
        <f aca="false">Rshunt_std/1000*Iout^2</f>
        <v>0.14832</v>
      </c>
      <c r="AX132" s="488" t="n">
        <f aca="false">IF(Vout&gt;8, Iq*Vout, Iq*H132)</f>
        <v>0.036</v>
      </c>
      <c r="AY132" s="488" t="n">
        <f aca="false">CHOOSE(J132, (Qg_Q1+Qg_Q2)*Fsw, (Qg_Q3+Qg_Q4)*Fsw, (Qg_Q1+Qg_Q2+Qg_Q3+Qg_Q4)*Fsw/2)*IF(Vout&gt;8, Vout, H132)</f>
        <v>0.0792</v>
      </c>
      <c r="AZ132" s="488" t="n">
        <f aca="false">(Vin-Vdd)*Fsw*(Qg_Q1+Qg_Q2)+(RdsonDRT+RdsonDRT2)*Fsw*Qg_Q1*Vdd/(RdsonDRT+2*Rgate1+RdsonDRT2)+(RdsonDRB+RdsonDRB2)*Fsw*Qg_Q2*Vdd/(RdsonDRB+2*Rgate2+RdsonDRB2)</f>
        <v>0.0522</v>
      </c>
      <c r="BA132" s="488" t="n">
        <f aca="false">SUM(AX132:AY132)</f>
        <v>0.1152</v>
      </c>
      <c r="BB132" s="488" t="n">
        <f aca="false">SUM(T132,W132,Z132,AE132,AI132,AN132,AR132, AT132,AU132,BA132,AV132,AW132)</f>
        <v>2.72400408154023</v>
      </c>
      <c r="BC132" s="419" t="n">
        <f aca="false">Vout*K132</f>
        <v>72</v>
      </c>
      <c r="BD132" s="589" t="n">
        <f aca="false">BC132/(BC132+BB132)</f>
        <v>0.963545796092943</v>
      </c>
      <c r="BE132" s="590" t="n">
        <f aca="false">IF(H132&gt;Vout,ThetaJA_Q1*(AE132+AU132),ThetaJA_Q4*(AN132+AU132))</f>
        <v>45.5472764536017</v>
      </c>
      <c r="BF132" s="590" t="n">
        <f aca="false">IF(H132&gt;Vout, AI132*ThetaJA_Q2, ThetaJA_Q3*AR132)</f>
        <v>14.5616082608727</v>
      </c>
      <c r="BG132" s="536"/>
      <c r="BH132" s="385" t="n">
        <f aca="false">BD132*100</f>
        <v>96.3545796092943</v>
      </c>
      <c r="BI132" s="488" t="n">
        <f aca="false">T132</f>
        <v>0.958657462696907</v>
      </c>
      <c r="BJ132" s="488" t="n">
        <f aca="false">AE132+AI132+AN132+AR132+AU132</f>
        <v>1.27635759975583</v>
      </c>
      <c r="BK132" s="488" t="n">
        <f aca="false">AI132+AU132*0.33</f>
        <v>0.497214079817453</v>
      </c>
      <c r="BL132" s="488" t="n">
        <f aca="false">AV132</f>
        <v>0.195267972506764</v>
      </c>
    </row>
    <row r="133" customFormat="false" ht="12.75" hidden="false" customHeight="false" outlineLevel="0" collapsed="false">
      <c r="G133" s="0" t="n">
        <v>124</v>
      </c>
      <c r="H133" s="586" t="n">
        <f aca="false">VIN_min+(VIN_max-VIN_min)*(G133/200)</f>
        <v>33.28</v>
      </c>
      <c r="I133" s="385" t="str">
        <f aca="false">IF(H133&gt;VIN_BB_to_buck, "BUCK", IF(H133&lt;VIN_boost_to_BB,"BOOST","BUCK-BST"))</f>
        <v>BUCK</v>
      </c>
      <c r="J133" s="419" t="n">
        <f aca="false">IF(I133="BOOST",2, IF(I133="BUCK", 1,3))</f>
        <v>1</v>
      </c>
      <c r="K133" s="0" t="n">
        <f aca="false">Iout</f>
        <v>6</v>
      </c>
      <c r="L133" s="385" t="n">
        <f aca="false">Vout*K133/(H133*Efficiency)</f>
        <v>2.40384615384615</v>
      </c>
      <c r="M133" s="385" t="n">
        <f aca="false">Iout/(1-O133)</f>
        <v>6</v>
      </c>
      <c r="N133" s="488" t="n">
        <f aca="false">CHOOSE(J133,(Vout+(Rdson2+Rs+Rdcr)*K133)/(H133+(Rs+Rdson2-Rdson1)*K133),1,IF(H133&lt;Vout,D_max_buck_BB,Vout/H133*(1-D_min_boost_exitBB_to_buck)))</f>
        <v>0.363127100336054</v>
      </c>
      <c r="O133" s="488" t="n">
        <f aca="false">CHOOSE(J133,0,(Vout+(Rdson3+Rdcr)*L133-H133)/(Vout+(Rdson3-Rdson4-Rs)*L133),IF(H133&gt;Vout,D_min_boost_exitBB_to_buck, (Vout-H133*D_max_buck_BB)/Vout))</f>
        <v>0</v>
      </c>
      <c r="P133" s="385" t="n">
        <f aca="false">MAX(0, CHOOSE(J133, (H133-(Rdson1+Rdcr)*K133-Vout)*N133/(Fsw*Lf), (H133-(Rdson4+Rdcr+Rs)*L133)*O133/(Fsw*Lf), IF(H133&lt;Vout, (H133-(Rdson4+Rdcr+Rs)*L133)*O133/(0.5*Fsw*Lf),(H133-(Rdson1+Rdcr)*K133-Vout)*N133/(0.5*Fsw*Lf))))</f>
        <v>5.46640205220069</v>
      </c>
      <c r="Q133" s="488" t="n">
        <f aca="false">CHOOSE(J133, SQRT(K133^2+(P133^2)/12), SQRT(L133^2+(P133^2)/12), SQRT(M133^2+(P133^2)/12))</f>
        <v>6.204041366966</v>
      </c>
      <c r="R133" s="488" t="n">
        <f aca="false">(Q133^2*Rdcr*(1+Ltc*Ta-Ltc*25))/(1-Q133^2*Rdcr*Ltc*ThetaCa)</f>
        <v>0.130285878136722</v>
      </c>
      <c r="S133" s="488" t="n">
        <f aca="false">7.759*10^-3*Fsw^0.9458*(0.00787*P133)^2.304</f>
        <v>0.835713152098985</v>
      </c>
      <c r="T133" s="488" t="n">
        <f aca="false">R133+S133</f>
        <v>0.965999030235707</v>
      </c>
      <c r="U133" s="385" t="n">
        <f aca="false">IF(H133&gt;Vout, P133/SQRT(12), SQRT(O133/(1-O133))*SQRT(K133^2+(P133^2)/12))</f>
        <v>1.5780143481684</v>
      </c>
      <c r="V133" s="488" t="n">
        <f aca="false">RCoutEsr*U133^2</f>
        <v>0.0124506464151266</v>
      </c>
      <c r="W133" s="488" t="n">
        <f aca="false">V133</f>
        <v>0.0124506464151266</v>
      </c>
      <c r="X133" s="488" t="n">
        <f aca="false">IF(H133&gt;Vout, SQRT(N133*(1-N133))*SQRT(K133^2+(P133^2)/12), P133/SQRT(12))</f>
        <v>2.9835299395426</v>
      </c>
      <c r="Y133" s="587" t="n">
        <f aca="false">RCinEsr*X133^2</f>
        <v>0.0178029018002941</v>
      </c>
      <c r="Z133" s="588" t="n">
        <f aca="false">Y133</f>
        <v>0.0178029018002941</v>
      </c>
      <c r="AA133" s="488" t="n">
        <f aca="false">CHOOSE(J133, SQRT(N133)*SQRT(K133^2+(P133^2)/12), SQRT(L133^2+(P133^2)/12), SQRT(N133)*SQRT(M133^2+(P133^2)/12))</f>
        <v>3.73855707969061</v>
      </c>
      <c r="AB133" s="488" t="n">
        <f aca="false">Rdson1*AA133^2</f>
        <v>0.0796678115171974</v>
      </c>
      <c r="AC133" s="488" t="n">
        <f aca="false">CHOOSE(J133, (H133*K133/2)*(Fsw)*(Tr_buck+Tf_buck), 0, (H133*M133/2)*(Fsw/2)*(Tr_buck+Tf_buck))</f>
        <v>0.203347007173601</v>
      </c>
      <c r="AD133" s="0" t="n">
        <f aca="false">IF(H133&gt;Vout, IF(K133&gt;P133/2,0,ABS(K133-P133/2)*Vsd_Q1*Deadtime*Fsw),0)</f>
        <v>0</v>
      </c>
      <c r="AE133" s="488" t="n">
        <f aca="false">(AD133+AC133+AB133*(1+RdsonTopTc*Ta-RdsonTopTc*25))/(1-AB133*RdsonTopTc*ThetaJA_Q1)</f>
        <v>0.287597267673574</v>
      </c>
      <c r="AF133" s="488" t="n">
        <f aca="false">CHOOSE(J133, SQRT((1-N133))*SQRT(K133^2+(P133^2)/12), 0, SQRT((1-N133))*SQRT(M133^2+(P133^2)/12))</f>
        <v>4.95109283339754</v>
      </c>
      <c r="AG133" s="488" t="n">
        <f aca="false">Rdson2*AF133^2</f>
        <v>0.139725925396047</v>
      </c>
      <c r="AH133" s="488" t="n">
        <f aca="false">CHOOSE(J133, IF(K133&lt;P133/2,Deadtime*Fsw*IF(VfdSky_Q2&gt;0,0,Vsd_Q2)*(K133+P133/2),2*Deadtime*Fsw*IF(VfdSky_Q2&gt;0,0,Vsd_Q2)*K133),0, IF(K133&lt;P133/2,Deadtime*Fsw/2*IF(VfdSky_Q2&gt;0,0,Vsd_Q2)*(K133+P133/2),2*Deadtime*Fsw/2*IF(VfdSky_Q2&gt;0,0,Vsd_Q2)*K133))</f>
        <v>0.144</v>
      </c>
      <c r="AI133" s="488" t="n">
        <f aca="false">(AH133+AG133*(1+RdsonBotTc*Ta-RdsonBotTc*25))/(1-AG133*RdsonBotTc*ThetaJA_Q2)</f>
        <v>0.291882639786283</v>
      </c>
      <c r="AJ133" s="488" t="n">
        <f aca="false">CHOOSE(J133, 0, SQRT(O133)*SQRT(L133^2+(P133^2)/12), SQRT(O133)*SQRT(M133^2+(P133^2)/12))</f>
        <v>0</v>
      </c>
      <c r="AK133" s="488" t="n">
        <f aca="false">Rdson4*AJ133^2</f>
        <v>0</v>
      </c>
      <c r="AL133" s="488" t="n">
        <f aca="false">CHOOSE(J133, 0, (Vout*L133/2)*(Fsw)*(Tr_boost+Tf_boost), (Vout*Iout/2)*(Fsw/2)*(Tr_boost+Tf_boost))</f>
        <v>0</v>
      </c>
      <c r="AM133" s="0" t="n">
        <f aca="false">IF(H133&gt;Vout, 0, IF(L133&gt;P133/2,0,ABS(L133-P133/2)*Vsd_Q4*Deadtime*Fsw))</f>
        <v>0</v>
      </c>
      <c r="AN133" s="488" t="n">
        <f aca="false">(AM133+AL133+AK133*(1+RdsonTopTc*Ta-RdsonTopTc*25))/(1-AK133*RdsonTopTc*ThetaJA_Q4)</f>
        <v>0</v>
      </c>
      <c r="AO133" s="488" t="n">
        <f aca="false">CHOOSE(J133, SQRT(Iout^2+(P133^2)/12), SQRT(1-O133)*SQRT(L133^2+(P133^2)/12), SQRT(1-O133)*SQRT(M133^2+(P133^2)/12))</f>
        <v>6.204041366966</v>
      </c>
      <c r="AP133" s="488" t="n">
        <f aca="false">Rdson3*AO133^2</f>
        <v>0.0731312456377481</v>
      </c>
      <c r="AQ133" s="488" t="n">
        <f aca="false">CHOOSE(J133, 0, IF(L133&lt;P133/2,Deadtime*Fsw*IF(VfdSky_Q3&gt;0,0,Vsd_Q3)*(L133+P133/2), 2*Deadtime*Fsw*IF(VfdSky_Q3&gt;0,0,Vsd_Q3)*L133), IF(L133&lt;P133/2,Deadtime*Fsw/2*IF(VfdSky_Q3&gt;0,0,Vsd_Q3)*(L133+P133/2), 2*Deadtime*Fsw/2*IF(VfdSky_Q3&gt;0,0,Vsd_Q3)*L133))</f>
        <v>0</v>
      </c>
      <c r="AR133" s="488" t="n">
        <f aca="false">(AQ133+AP133*(1+RdsonBotTc*Ta-RdsonBotTc*25))/(1-AP133*RdsonBotTc*ThetaJA_Q3)</f>
        <v>0.0742167584360733</v>
      </c>
      <c r="AS133" s="488" t="n">
        <f aca="false">CHOOSE(J133, Rdson3*Q133^2, Rdson1*Q133^2, 0)</f>
        <v>0.0731312456377481</v>
      </c>
      <c r="AT133" s="488" t="n">
        <f aca="false">CHOOSE(J133, 2*Deadtime*Fsw*IF(VfdSky_Q2&gt;0,VfdSky_Q2,0)*K133, 2*Deadtime*Fsw*IF(VfdSky_Q3&gt;0,VfdSky_Q3,0)*L133, 2*Deadtime*Fsw/2*IF(VfdSky_Q2&gt;0,VfdSky_Q2,0)*K133+2*Deadtime*Fsw/2*IF(VfdSky_Q3&gt;0,VfdSky_Q3,0)*L133)</f>
        <v>0</v>
      </c>
      <c r="AU133" s="488" t="n">
        <f aca="false">CHOOSE(J133, IF(QrrSky_Q2&gt;0,QrrSky_Q2,Qrr_Q2)*Fsw*(H133-K133*Rdson1), IF(QrrSky_Q3&gt;0,QrrSky_Q3,Qrr_Q3)*Fsw*Vout,  IF(QrrSky_Q2&gt;0,QrrSky_Q2,Qrr_Q2)*Fsw/2*(H133-K133*Rdson1)+IF(QrrSky_Q3&gt;0,QrrSky_Q3,Qrr_Q3)*Fsw/2*Vout)</f>
        <v>0.62834562</v>
      </c>
      <c r="AV133" s="488" t="n">
        <f aca="false">CHOOSE(J133, Rs*AF133^2, Rs*AJ133^2, Rs*(AF133^2+AJ133^2))</f>
        <v>0.196106561959364</v>
      </c>
      <c r="AW133" s="488" t="n">
        <f aca="false">Rshunt_std/1000*Iout^2</f>
        <v>0.14832</v>
      </c>
      <c r="AX133" s="488" t="n">
        <f aca="false">IF(Vout&gt;8, Iq*Vout, Iq*H133)</f>
        <v>0.036</v>
      </c>
      <c r="AY133" s="488" t="n">
        <f aca="false">CHOOSE(J133, (Qg_Q1+Qg_Q2)*Fsw, (Qg_Q3+Qg_Q4)*Fsw, (Qg_Q1+Qg_Q2+Qg_Q3+Qg_Q4)*Fsw/2)*IF(Vout&gt;8, Vout, H133)</f>
        <v>0.0792</v>
      </c>
      <c r="AZ133" s="488" t="n">
        <f aca="false">(Vin-Vdd)*Fsw*(Qg_Q1+Qg_Q2)+(RdsonDRT+RdsonDRT2)*Fsw*Qg_Q1*Vdd/(RdsonDRT+2*Rgate1+RdsonDRT2)+(RdsonDRB+RdsonDRB2)*Fsw*Qg_Q2*Vdd/(RdsonDRB+2*Rgate2+RdsonDRB2)</f>
        <v>0.0522</v>
      </c>
      <c r="BA133" s="488" t="n">
        <f aca="false">SUM(AX133:AY133)</f>
        <v>0.1152</v>
      </c>
      <c r="BB133" s="488" t="n">
        <f aca="false">SUM(T133,W133,Z133,AE133,AI133,AN133,AR133, AT133,AU133,BA133,AV133,AW133)</f>
        <v>2.73792142630642</v>
      </c>
      <c r="BC133" s="419" t="n">
        <f aca="false">Vout*K133</f>
        <v>72</v>
      </c>
      <c r="BD133" s="589" t="n">
        <f aca="false">BC133/(BC133+BB133)</f>
        <v>0.963366369119509</v>
      </c>
      <c r="BE133" s="590" t="n">
        <f aca="false">IF(H133&gt;Vout,ThetaJA_Q1*(AE133+AU133),ThetaJA_Q4*(AN133+AU133))</f>
        <v>45.7971443836787</v>
      </c>
      <c r="BF133" s="590" t="n">
        <f aca="false">IF(H133&gt;Vout, AI133*ThetaJA_Q2, ThetaJA_Q3*AR133)</f>
        <v>14.5941319893141</v>
      </c>
      <c r="BG133" s="536"/>
      <c r="BH133" s="385" t="n">
        <f aca="false">BD133*100</f>
        <v>96.3366369119509</v>
      </c>
      <c r="BI133" s="488" t="n">
        <f aca="false">T133</f>
        <v>0.965999030235707</v>
      </c>
      <c r="BJ133" s="488" t="n">
        <f aca="false">AE133+AI133+AN133+AR133+AU133</f>
        <v>1.28204228589593</v>
      </c>
      <c r="BK133" s="488" t="n">
        <f aca="false">AI133+AU133*0.33</f>
        <v>0.499236694386283</v>
      </c>
      <c r="BL133" s="488" t="n">
        <f aca="false">AV133</f>
        <v>0.196106561959364</v>
      </c>
    </row>
    <row r="134" customFormat="false" ht="12.75" hidden="false" customHeight="false" outlineLevel="0" collapsed="false">
      <c r="G134" s="0" t="n">
        <v>125</v>
      </c>
      <c r="H134" s="586" t="n">
        <f aca="false">VIN_min+(VIN_max-VIN_min)*(G134/200)</f>
        <v>33.5</v>
      </c>
      <c r="I134" s="385" t="str">
        <f aca="false">IF(H134&gt;VIN_BB_to_buck, "BUCK", IF(H134&lt;VIN_boost_to_BB,"BOOST","BUCK-BST"))</f>
        <v>BUCK</v>
      </c>
      <c r="J134" s="419" t="n">
        <f aca="false">IF(I134="BOOST",2, IF(I134="BUCK", 1,3))</f>
        <v>1</v>
      </c>
      <c r="K134" s="0" t="n">
        <f aca="false">Iout</f>
        <v>6</v>
      </c>
      <c r="L134" s="385" t="n">
        <f aca="false">Vout*K134/(H134*Efficiency)</f>
        <v>2.38805970149254</v>
      </c>
      <c r="M134" s="385" t="n">
        <f aca="false">Iout/(1-O134)</f>
        <v>6</v>
      </c>
      <c r="N134" s="488" t="n">
        <f aca="false">CHOOSE(J134,(Vout+(Rdson2+Rs+Rdcr)*K134)/(H134+(Rs+Rdson2-Rdson1)*K134),1,IF(H134&lt;Vout,D_max_buck_BB,Vout/H134*(1-D_min_boost_exitBB_to_buck)))</f>
        <v>0.360745797066889</v>
      </c>
      <c r="O134" s="488" t="n">
        <f aca="false">CHOOSE(J134,0,(Vout+(Rdson3+Rdcr)*L134-H134)/(Vout+(Rdson3-Rdson4-Rs)*L134),IF(H134&gt;Vout,D_min_boost_exitBB_to_buck, (Vout-H134*D_max_buck_BB)/Vout))</f>
        <v>0</v>
      </c>
      <c r="P134" s="385" t="n">
        <f aca="false">MAX(0, CHOOSE(J134, (H134-(Rdson1+Rdcr)*K134-Vout)*N134/(Fsw*Lf), (H134-(Rdson4+Rdcr+Rs)*L134)*O134/(Fsw*Lf), IF(H134&lt;Vout, (H134-(Rdson4+Rdcr+Rs)*L134)*O134/(0.5*Fsw*Lf),(H134-(Rdson1+Rdcr)*K134-Vout)*N134/(0.5*Fsw*Lf))))</f>
        <v>5.48684123415418</v>
      </c>
      <c r="Q134" s="488" t="n">
        <f aca="false">CHOOSE(J134, SQRT(K134^2+(P134^2)/12), SQRT(L134^2+(P134^2)/12), SQRT(M134^2+(P134^2)/12))</f>
        <v>6.20554474327069</v>
      </c>
      <c r="R134" s="488" t="n">
        <f aca="false">(Q134^2*Rdcr*(1+Ltc*Ta-Ltc*25))/(1-Q134^2*Rdcr*Ltc*ThetaCa)</f>
        <v>0.130349686607157</v>
      </c>
      <c r="S134" s="488" t="n">
        <f aca="false">7.759*10^-3*Fsw^0.9458*(0.00787*P134)^2.304</f>
        <v>0.842930198761816</v>
      </c>
      <c r="T134" s="488" t="n">
        <f aca="false">R134+S134</f>
        <v>0.973279885368973</v>
      </c>
      <c r="U134" s="385" t="n">
        <f aca="false">IF(H134&gt;Vout, P134/SQRT(12), SQRT(O134/(1-O134))*SQRT(K134^2+(P134^2)/12))</f>
        <v>1.58391463176983</v>
      </c>
      <c r="V134" s="488" t="n">
        <f aca="false">RCoutEsr*U134^2</f>
        <v>0.0125439278036727</v>
      </c>
      <c r="W134" s="488" t="n">
        <f aca="false">V134</f>
        <v>0.0125439278036727</v>
      </c>
      <c r="X134" s="488" t="n">
        <f aca="false">IF(H134&gt;Vout, SQRT(N134*(1-N134))*SQRT(K134^2+(P134^2)/12), P134/SQRT(12))</f>
        <v>2.98000743306215</v>
      </c>
      <c r="Y134" s="587" t="n">
        <f aca="false">RCinEsr*X134^2</f>
        <v>0.0177608886022114</v>
      </c>
      <c r="Z134" s="588" t="n">
        <f aca="false">Y134</f>
        <v>0.0177608886022114</v>
      </c>
      <c r="AA134" s="488" t="n">
        <f aca="false">CHOOSE(J134, SQRT(N134)*SQRT(K134^2+(P134^2)/12), SQRT(L134^2+(P134^2)/12), SQRT(N134)*SQRT(M134^2+(P134^2)/12))</f>
        <v>3.7271815814614</v>
      </c>
      <c r="AB134" s="488" t="n">
        <f aca="false">Rdson1*AA134^2</f>
        <v>0.0791837304847551</v>
      </c>
      <c r="AC134" s="488" t="n">
        <f aca="false">CHOOSE(J134, (H134*K134/2)*(Fsw)*(Tr_buck+Tf_buck), 0, (H134*M134/2)*(Fsw/2)*(Tr_buck+Tf_buck))</f>
        <v>0.2046912482066</v>
      </c>
      <c r="AD134" s="0" t="n">
        <f aca="false">IF(H134&gt;Vout, IF(K134&gt;P134/2,0,ABS(K134-P134/2)*Vsd_Q1*Deadtime*Fsw),0)</f>
        <v>0</v>
      </c>
      <c r="AE134" s="488" t="n">
        <f aca="false">(AD134+AC134+AB134*(1+RdsonTopTc*Ta-RdsonTopTc*25))/(1-AB134*RdsonTopTc*ThetaJA_Q1)</f>
        <v>0.288442976879646</v>
      </c>
      <c r="AF134" s="488" t="n">
        <f aca="false">CHOOSE(J134, SQRT((1-N134))*SQRT(K134^2+(P134^2)/12), 0, SQRT((1-N134))*SQRT(M134^2+(P134^2)/12))</f>
        <v>4.9615424032804</v>
      </c>
      <c r="AG134" s="488" t="n">
        <f aca="false">Rdson2*AF134^2</f>
        <v>0.140316347211432</v>
      </c>
      <c r="AH134" s="488" t="n">
        <f aca="false">CHOOSE(J134, IF(K134&lt;P134/2,Deadtime*Fsw*IF(VfdSky_Q2&gt;0,0,Vsd_Q2)*(K134+P134/2),2*Deadtime*Fsw*IF(VfdSky_Q2&gt;0,0,Vsd_Q2)*K134),0, IF(K134&lt;P134/2,Deadtime*Fsw/2*IF(VfdSky_Q2&gt;0,0,Vsd_Q2)*(K134+P134/2),2*Deadtime*Fsw/2*IF(VfdSky_Q2&gt;0,0,Vsd_Q2)*K134))</f>
        <v>0.144</v>
      </c>
      <c r="AI134" s="488" t="n">
        <f aca="false">(AH134+AG134*(1+RdsonBotTc*Ta-RdsonBotTc*25))/(1-AG134*RdsonBotTc*ThetaJA_Q2)</f>
        <v>0.292525571132893</v>
      </c>
      <c r="AJ134" s="488" t="n">
        <f aca="false">CHOOSE(J134, 0, SQRT(O134)*SQRT(L134^2+(P134^2)/12), SQRT(O134)*SQRT(M134^2+(P134^2)/12))</f>
        <v>0</v>
      </c>
      <c r="AK134" s="488" t="n">
        <f aca="false">Rdson4*AJ134^2</f>
        <v>0</v>
      </c>
      <c r="AL134" s="488" t="n">
        <f aca="false">CHOOSE(J134, 0, (Vout*L134/2)*(Fsw)*(Tr_boost+Tf_boost), (Vout*Iout/2)*(Fsw/2)*(Tr_boost+Tf_boost))</f>
        <v>0</v>
      </c>
      <c r="AM134" s="0" t="n">
        <f aca="false">IF(H134&gt;Vout, 0, IF(L134&gt;P134/2,0,ABS(L134-P134/2)*Vsd_Q4*Deadtime*Fsw))</f>
        <v>0</v>
      </c>
      <c r="AN134" s="488" t="n">
        <f aca="false">(AM134+AL134+AK134*(1+RdsonTopTc*Ta-RdsonTopTc*25))/(1-AK134*RdsonTopTc*ThetaJA_Q4)</f>
        <v>0</v>
      </c>
      <c r="AO134" s="488" t="n">
        <f aca="false">CHOOSE(J134, SQRT(Iout^2+(P134^2)/12), SQRT(1-O134)*SQRT(L134^2+(P134^2)/12), SQRT(1-O134)*SQRT(M134^2+(P134^2)/12))</f>
        <v>6.20554474327069</v>
      </c>
      <c r="AP134" s="488" t="n">
        <f aca="false">Rdson3*AO134^2</f>
        <v>0.0731666925653957</v>
      </c>
      <c r="AQ134" s="488" t="n">
        <f aca="false">CHOOSE(J134, 0, IF(L134&lt;P134/2,Deadtime*Fsw*IF(VfdSky_Q3&gt;0,0,Vsd_Q3)*(L134+P134/2), 2*Deadtime*Fsw*IF(VfdSky_Q3&gt;0,0,Vsd_Q3)*L134), IF(L134&lt;P134/2,Deadtime*Fsw/2*IF(VfdSky_Q3&gt;0,0,Vsd_Q3)*(L134+P134/2), 2*Deadtime*Fsw/2*IF(VfdSky_Q3&gt;0,0,Vsd_Q3)*L134))</f>
        <v>0</v>
      </c>
      <c r="AR134" s="488" t="n">
        <f aca="false">(AQ134+AP134*(1+RdsonBotTc*Ta-RdsonBotTc*25))/(1-AP134*RdsonBotTc*ThetaJA_Q3)</f>
        <v>0.074253265738651</v>
      </c>
      <c r="AS134" s="488" t="n">
        <f aca="false">CHOOSE(J134, Rdson3*Q134^2, Rdson1*Q134^2, 0)</f>
        <v>0.0731666925653957</v>
      </c>
      <c r="AT134" s="488" t="n">
        <f aca="false">CHOOSE(J134, 2*Deadtime*Fsw*IF(VfdSky_Q2&gt;0,VfdSky_Q2,0)*K134, 2*Deadtime*Fsw*IF(VfdSky_Q3&gt;0,VfdSky_Q3,0)*L134, 2*Deadtime*Fsw/2*IF(VfdSky_Q2&gt;0,VfdSky_Q2,0)*K134+2*Deadtime*Fsw/2*IF(VfdSky_Q3&gt;0,VfdSky_Q3,0)*L134)</f>
        <v>0</v>
      </c>
      <c r="AU134" s="488" t="n">
        <f aca="false">CHOOSE(J134, IF(QrrSky_Q2&gt;0,QrrSky_Q2,Qrr_Q2)*Fsw*(H134-K134*Rdson1), IF(QrrSky_Q3&gt;0,QrrSky_Q3,Qrr_Q3)*Fsw*Vout,  IF(QrrSky_Q2&gt;0,QrrSky_Q2,Qrr_Q2)*Fsw/2*(H134-K134*Rdson1)+IF(QrrSky_Q3&gt;0,QrrSky_Q3,Qrr_Q3)*Fsw/2*Vout)</f>
        <v>0.63250362</v>
      </c>
      <c r="AV134" s="488" t="n">
        <f aca="false">CHOOSE(J134, Rs*AF134^2, Rs*AJ134^2, Rs*(AF134^2+AJ134^2))</f>
        <v>0.196935224156396</v>
      </c>
      <c r="AW134" s="488" t="n">
        <f aca="false">Rshunt_std/1000*Iout^2</f>
        <v>0.14832</v>
      </c>
      <c r="AX134" s="488" t="n">
        <f aca="false">IF(Vout&gt;8, Iq*Vout, Iq*H134)</f>
        <v>0.036</v>
      </c>
      <c r="AY134" s="488" t="n">
        <f aca="false">CHOOSE(J134, (Qg_Q1+Qg_Q2)*Fsw, (Qg_Q3+Qg_Q4)*Fsw, (Qg_Q1+Qg_Q2+Qg_Q3+Qg_Q4)*Fsw/2)*IF(Vout&gt;8, Vout, H134)</f>
        <v>0.0792</v>
      </c>
      <c r="AZ134" s="488" t="n">
        <f aca="false">(Vin-Vdd)*Fsw*(Qg_Q1+Qg_Q2)+(RdsonDRT+RdsonDRT2)*Fsw*Qg_Q1*Vdd/(RdsonDRT+2*Rgate1+RdsonDRT2)+(RdsonDRB+RdsonDRB2)*Fsw*Qg_Q2*Vdd/(RdsonDRB+2*Rgate2+RdsonDRB2)</f>
        <v>0.0522</v>
      </c>
      <c r="BA134" s="488" t="n">
        <f aca="false">SUM(AX134:AY134)</f>
        <v>0.1152</v>
      </c>
      <c r="BB134" s="488" t="n">
        <f aca="false">SUM(T134,W134,Z134,AE134,AI134,AN134,AR134, AT134,AU134,BA134,AV134,AW134)</f>
        <v>2.75176535968244</v>
      </c>
      <c r="BC134" s="419" t="n">
        <f aca="false">Vout*K134</f>
        <v>72</v>
      </c>
      <c r="BD134" s="589" t="n">
        <f aca="false">BC134/(BC134+BB134)</f>
        <v>0.963187954873818</v>
      </c>
      <c r="BE134" s="590" t="n">
        <f aca="false">IF(H134&gt;Vout,ThetaJA_Q1*(AE134+AU134),ThetaJA_Q4*(AN134+AU134))</f>
        <v>46.0473298439823</v>
      </c>
      <c r="BF134" s="590" t="n">
        <f aca="false">IF(H134&gt;Vout, AI134*ThetaJA_Q2, ThetaJA_Q3*AR134)</f>
        <v>14.6262785566447</v>
      </c>
      <c r="BG134" s="536"/>
      <c r="BH134" s="385" t="n">
        <f aca="false">BD134*100</f>
        <v>96.3187954873818</v>
      </c>
      <c r="BI134" s="488" t="n">
        <f aca="false">T134</f>
        <v>0.973279885368973</v>
      </c>
      <c r="BJ134" s="488" t="n">
        <f aca="false">AE134+AI134+AN134+AR134+AU134</f>
        <v>1.28772543375119</v>
      </c>
      <c r="BK134" s="488" t="n">
        <f aca="false">AI134+AU134*0.33</f>
        <v>0.501251765732893</v>
      </c>
      <c r="BL134" s="488" t="n">
        <f aca="false">AV134</f>
        <v>0.196935224156396</v>
      </c>
    </row>
    <row r="135" customFormat="false" ht="12.75" hidden="false" customHeight="false" outlineLevel="0" collapsed="false">
      <c r="G135" s="0" t="n">
        <v>126</v>
      </c>
      <c r="H135" s="586" t="n">
        <f aca="false">VIN_min+(VIN_max-VIN_min)*(G135/200)</f>
        <v>33.72</v>
      </c>
      <c r="I135" s="385" t="str">
        <f aca="false">IF(H135&gt;VIN_BB_to_buck, "BUCK", IF(H135&lt;VIN_boost_to_BB,"BOOST","BUCK-BST"))</f>
        <v>BUCK</v>
      </c>
      <c r="J135" s="419" t="n">
        <f aca="false">IF(I135="BOOST",2, IF(I135="BUCK", 1,3))</f>
        <v>1</v>
      </c>
      <c r="K135" s="0" t="n">
        <f aca="false">Iout</f>
        <v>6</v>
      </c>
      <c r="L135" s="385" t="n">
        <f aca="false">Vout*K135/(H135*Efficiency)</f>
        <v>2.37247924080664</v>
      </c>
      <c r="M135" s="385" t="n">
        <f aca="false">Iout/(1-O135)</f>
        <v>6</v>
      </c>
      <c r="N135" s="488" t="n">
        <f aca="false">CHOOSE(J135,(Vout+(Rdson2+Rs+Rdcr)*K135)/(H135+(Rs+Rdson2-Rdson1)*K135),1,IF(H135&lt;Vout,D_max_buck_BB,Vout/H135*(1-D_min_boost_exitBB_to_buck)))</f>
        <v>0.35839552238806</v>
      </c>
      <c r="O135" s="488" t="n">
        <f aca="false">CHOOSE(J135,0,(Vout+(Rdson3+Rdcr)*L135-H135)/(Vout+(Rdson3-Rdson4-Rs)*L135),IF(H135&gt;Vout,D_min_boost_exitBB_to_buck, (Vout-H135*D_max_buck_BB)/Vout))</f>
        <v>0</v>
      </c>
      <c r="P135" s="385" t="n">
        <f aca="false">MAX(0, CHOOSE(J135, (H135-(Rdson1+Rdcr)*K135-Vout)*N135/(Fsw*Lf), (H135-(Rdson4+Rdcr+Rs)*L135)*O135/(Fsw*Lf), IF(H135&lt;Vout, (H135-(Rdson4+Rdcr+Rs)*L135)*O135/(0.5*Fsw*Lf),(H135-(Rdson1+Rdcr)*K135-Vout)*N135/(0.5*Fsw*Lf))))</f>
        <v>5.50701409177517</v>
      </c>
      <c r="Q135" s="488" t="n">
        <f aca="false">CHOOSE(J135, SQRT(K135^2+(P135^2)/12), SQRT(L135^2+(P135^2)/12), SQRT(M135^2+(P135^2)/12))</f>
        <v>6.20703367295932</v>
      </c>
      <c r="R135" s="488" t="n">
        <f aca="false">(Q135^2*Rdcr*(1+Ltc*Ta-Ltc*25))/(1-Q135^2*Rdcr*Ltc*ThetaCa)</f>
        <v>0.130412897787317</v>
      </c>
      <c r="S135" s="488" t="n">
        <f aca="false">7.759*10^-3*Fsw^0.9458*(0.00787*P135)^2.304</f>
        <v>0.850087665214527</v>
      </c>
      <c r="T135" s="488" t="n">
        <f aca="false">R135+S135</f>
        <v>0.980500563001844</v>
      </c>
      <c r="U135" s="385" t="n">
        <f aca="false">IF(H135&gt;Vout, P135/SQRT(12), SQRT(O135/(1-O135))*SQRT(K135^2+(P135^2)/12))</f>
        <v>1.58973803415873</v>
      </c>
      <c r="V135" s="488" t="n">
        <f aca="false">RCoutEsr*U135^2</f>
        <v>0.0126363350862543</v>
      </c>
      <c r="W135" s="488" t="n">
        <f aca="false">V135</f>
        <v>0.0126363350862543</v>
      </c>
      <c r="X135" s="488" t="n">
        <f aca="false">IF(H135&gt;Vout, SQRT(N135*(1-N135))*SQRT(K135^2+(P135^2)/12), P135/SQRT(12))</f>
        <v>2.97645336259451</v>
      </c>
      <c r="Y135" s="587" t="n">
        <f aca="false">RCinEsr*X135^2</f>
        <v>0.0177185492394003</v>
      </c>
      <c r="Z135" s="588" t="n">
        <f aca="false">Y135</f>
        <v>0.0177185492394003</v>
      </c>
      <c r="AA135" s="488" t="n">
        <f aca="false">CHOOSE(J135, SQRT(N135)*SQRT(K135^2+(P135^2)/12), SQRT(L135^2+(P135^2)/12), SQRT(N135)*SQRT(M135^2+(P135^2)/12))</f>
        <v>3.71591173049521</v>
      </c>
      <c r="AB135" s="488" t="n">
        <f aca="false">Rdson1*AA135^2</f>
        <v>0.0787055999363417</v>
      </c>
      <c r="AC135" s="488" t="n">
        <f aca="false">CHOOSE(J135, (H135*K135/2)*(Fsw)*(Tr_buck+Tf_buck), 0, (H135*M135/2)*(Fsw/2)*(Tr_buck+Tf_buck))</f>
        <v>0.206035489239598</v>
      </c>
      <c r="AD135" s="0" t="n">
        <f aca="false">IF(H135&gt;Vout, IF(K135&gt;P135/2,0,ABS(K135-P135/2)*Vsd_Q1*Deadtime*Fsw),0)</f>
        <v>0</v>
      </c>
      <c r="AE135" s="488" t="n">
        <f aca="false">(AD135+AC135+AB135*(1+RdsonTopTc*Ta-RdsonTopTc*25))/(1-AB135*RdsonTopTc*ThetaJA_Q1)</f>
        <v>0.289294915146975</v>
      </c>
      <c r="AF135" s="488" t="n">
        <f aca="false">CHOOSE(J135, SQRT((1-N135))*SQRT(K135^2+(P135^2)/12), 0, SQRT((1-N135))*SQRT(M135^2+(P135^2)/12))</f>
        <v>4.97184744621343</v>
      </c>
      <c r="AG135" s="488" t="n">
        <f aca="false">Rdson2*AF135^2</f>
        <v>0.140899822061988</v>
      </c>
      <c r="AH135" s="488" t="n">
        <f aca="false">CHOOSE(J135, IF(K135&lt;P135/2,Deadtime*Fsw*IF(VfdSky_Q2&gt;0,0,Vsd_Q2)*(K135+P135/2),2*Deadtime*Fsw*IF(VfdSky_Q2&gt;0,0,Vsd_Q2)*K135),0, IF(K135&lt;P135/2,Deadtime*Fsw/2*IF(VfdSky_Q2&gt;0,0,Vsd_Q2)*(K135+P135/2),2*Deadtime*Fsw/2*IF(VfdSky_Q2&gt;0,0,Vsd_Q2)*K135))</f>
        <v>0.144</v>
      </c>
      <c r="AI135" s="488" t="n">
        <f aca="false">(AH135+AG135*(1+RdsonBotTc*Ta-RdsonBotTc*25))/(1-AG135*RdsonBotTc*ThetaJA_Q2)</f>
        <v>0.293161091178498</v>
      </c>
      <c r="AJ135" s="488" t="n">
        <f aca="false">CHOOSE(J135, 0, SQRT(O135)*SQRT(L135^2+(P135^2)/12), SQRT(O135)*SQRT(M135^2+(P135^2)/12))</f>
        <v>0</v>
      </c>
      <c r="AK135" s="488" t="n">
        <f aca="false">Rdson4*AJ135^2</f>
        <v>0</v>
      </c>
      <c r="AL135" s="488" t="n">
        <f aca="false">CHOOSE(J135, 0, (Vout*L135/2)*(Fsw)*(Tr_boost+Tf_boost), (Vout*Iout/2)*(Fsw/2)*(Tr_boost+Tf_boost))</f>
        <v>0</v>
      </c>
      <c r="AM135" s="0" t="n">
        <f aca="false">IF(H135&gt;Vout, 0, IF(L135&gt;P135/2,0,ABS(L135-P135/2)*Vsd_Q4*Deadtime*Fsw))</f>
        <v>0</v>
      </c>
      <c r="AN135" s="488" t="n">
        <f aca="false">(AM135+AL135+AK135*(1+RdsonTopTc*Ta-RdsonTopTc*25))/(1-AK135*RdsonTopTc*ThetaJA_Q4)</f>
        <v>0</v>
      </c>
      <c r="AO135" s="488" t="n">
        <f aca="false">CHOOSE(J135, SQRT(Iout^2+(P135^2)/12), SQRT(1-O135)*SQRT(L135^2+(P135^2)/12), SQRT(1-O135)*SQRT(M135^2+(P135^2)/12))</f>
        <v>6.20703367295932</v>
      </c>
      <c r="AP135" s="488" t="n">
        <f aca="false">Rdson3*AO135^2</f>
        <v>0.0732018073327766</v>
      </c>
      <c r="AQ135" s="488" t="n">
        <f aca="false">CHOOSE(J135, 0, IF(L135&lt;P135/2,Deadtime*Fsw*IF(VfdSky_Q3&gt;0,0,Vsd_Q3)*(L135+P135/2), 2*Deadtime*Fsw*IF(VfdSky_Q3&gt;0,0,Vsd_Q3)*L135), IF(L135&lt;P135/2,Deadtime*Fsw/2*IF(VfdSky_Q3&gt;0,0,Vsd_Q3)*(L135+P135/2), 2*Deadtime*Fsw/2*IF(VfdSky_Q3&gt;0,0,Vsd_Q3)*L135))</f>
        <v>0</v>
      </c>
      <c r="AR135" s="488" t="n">
        <f aca="false">(AQ135+AP135*(1+RdsonBotTc*Ta-RdsonBotTc*25))/(1-AP135*RdsonBotTc*ThetaJA_Q3)</f>
        <v>0.074289431462533</v>
      </c>
      <c r="AS135" s="488" t="n">
        <f aca="false">CHOOSE(J135, Rdson3*Q135^2, Rdson1*Q135^2, 0)</f>
        <v>0.0732018073327766</v>
      </c>
      <c r="AT135" s="488" t="n">
        <f aca="false">CHOOSE(J135, 2*Deadtime*Fsw*IF(VfdSky_Q2&gt;0,VfdSky_Q2,0)*K135, 2*Deadtime*Fsw*IF(VfdSky_Q3&gt;0,VfdSky_Q3,0)*L135, 2*Deadtime*Fsw/2*IF(VfdSky_Q2&gt;0,VfdSky_Q2,0)*K135+2*Deadtime*Fsw/2*IF(VfdSky_Q3&gt;0,VfdSky_Q3,0)*L135)</f>
        <v>0</v>
      </c>
      <c r="AU135" s="488" t="n">
        <f aca="false">CHOOSE(J135, IF(QrrSky_Q2&gt;0,QrrSky_Q2,Qrr_Q2)*Fsw*(H135-K135*Rdson1), IF(QrrSky_Q3&gt;0,QrrSky_Q3,Qrr_Q3)*Fsw*Vout,  IF(QrrSky_Q2&gt;0,QrrSky_Q2,Qrr_Q2)*Fsw/2*(H135-K135*Rdson1)+IF(QrrSky_Q3&gt;0,QrrSky_Q3,Qrr_Q3)*Fsw/2*Vout)</f>
        <v>0.63666162</v>
      </c>
      <c r="AV135" s="488" t="n">
        <f aca="false">CHOOSE(J135, Rs*AF135^2, Rs*AJ135^2, Rs*(AF135^2+AJ135^2))</f>
        <v>0.197754136227352</v>
      </c>
      <c r="AW135" s="488" t="n">
        <f aca="false">Rshunt_std/1000*Iout^2</f>
        <v>0.14832</v>
      </c>
      <c r="AX135" s="488" t="n">
        <f aca="false">IF(Vout&gt;8, Iq*Vout, Iq*H135)</f>
        <v>0.036</v>
      </c>
      <c r="AY135" s="488" t="n">
        <f aca="false">CHOOSE(J135, (Qg_Q1+Qg_Q2)*Fsw, (Qg_Q3+Qg_Q4)*Fsw, (Qg_Q1+Qg_Q2+Qg_Q3+Qg_Q4)*Fsw/2)*IF(Vout&gt;8, Vout, H135)</f>
        <v>0.0792</v>
      </c>
      <c r="AZ135" s="488" t="n">
        <f aca="false">(Vin-Vdd)*Fsw*(Qg_Q1+Qg_Q2)+(RdsonDRT+RdsonDRT2)*Fsw*Qg_Q1*Vdd/(RdsonDRT+2*Rgate1+RdsonDRT2)+(RdsonDRB+RdsonDRB2)*Fsw*Qg_Q2*Vdd/(RdsonDRB+2*Rgate2+RdsonDRB2)</f>
        <v>0.0522</v>
      </c>
      <c r="BA135" s="488" t="n">
        <f aca="false">SUM(AX135:AY135)</f>
        <v>0.1152</v>
      </c>
      <c r="BB135" s="488" t="n">
        <f aca="false">SUM(T135,W135,Z135,AE135,AI135,AN135,AR135, AT135,AU135,BA135,AV135,AW135)</f>
        <v>2.76553664134286</v>
      </c>
      <c r="BC135" s="419" t="n">
        <f aca="false">Vout*K135</f>
        <v>72</v>
      </c>
      <c r="BD135" s="589" t="n">
        <f aca="false">BC135/(BC135+BB135)</f>
        <v>0.963010542482837</v>
      </c>
      <c r="BE135" s="590" t="n">
        <f aca="false">IF(H135&gt;Vout,ThetaJA_Q1*(AE135+AU135),ThetaJA_Q4*(AN135+AU135))</f>
        <v>46.2978267573488</v>
      </c>
      <c r="BF135" s="590" t="n">
        <f aca="false">IF(H135&gt;Vout, AI135*ThetaJA_Q2, ThetaJA_Q3*AR135)</f>
        <v>14.6580545589249</v>
      </c>
      <c r="BG135" s="536"/>
      <c r="BH135" s="385" t="n">
        <f aca="false">BD135*100</f>
        <v>96.3010542482837</v>
      </c>
      <c r="BI135" s="488" t="n">
        <f aca="false">T135</f>
        <v>0.980500563001844</v>
      </c>
      <c r="BJ135" s="488" t="n">
        <f aca="false">AE135+AI135+AN135+AR135+AU135</f>
        <v>1.29340705778801</v>
      </c>
      <c r="BK135" s="488" t="n">
        <f aca="false">AI135+AU135*0.33</f>
        <v>0.503259425778498</v>
      </c>
      <c r="BL135" s="488" t="n">
        <f aca="false">AV135</f>
        <v>0.197754136227352</v>
      </c>
    </row>
    <row r="136" customFormat="false" ht="12.75" hidden="false" customHeight="false" outlineLevel="0" collapsed="false">
      <c r="G136" s="0" t="n">
        <v>127</v>
      </c>
      <c r="H136" s="586" t="n">
        <f aca="false">VIN_min+(VIN_max-VIN_min)*(G136/200)</f>
        <v>33.94</v>
      </c>
      <c r="I136" s="385" t="str">
        <f aca="false">IF(H136&gt;VIN_BB_to_buck, "BUCK", IF(H136&lt;VIN_boost_to_BB,"BOOST","BUCK-BST"))</f>
        <v>BUCK</v>
      </c>
      <c r="J136" s="419" t="n">
        <f aca="false">IF(I136="BOOST",2, IF(I136="BUCK", 1,3))</f>
        <v>1</v>
      </c>
      <c r="K136" s="0" t="n">
        <f aca="false">Iout</f>
        <v>6</v>
      </c>
      <c r="L136" s="385" t="n">
        <f aca="false">Vout*K136/(H136*Efficiency)</f>
        <v>2.35710076605775</v>
      </c>
      <c r="M136" s="385" t="n">
        <f aca="false">Iout/(1-O136)</f>
        <v>6</v>
      </c>
      <c r="N136" s="488" t="n">
        <f aca="false">CHOOSE(J136,(Vout+(Rdson2+Rs+Rdcr)*K136)/(H136+(Rs+Rdson2-Rdson1)*K136),1,IF(H136&lt;Vout,D_max_buck_BB,Vout/H136*(1-D_min_boost_exitBB_to_buck)))</f>
        <v>0.356075673767212</v>
      </c>
      <c r="O136" s="488" t="n">
        <f aca="false">CHOOSE(J136,0,(Vout+(Rdson3+Rdcr)*L136-H136)/(Vout+(Rdson3-Rdson4-Rs)*L136),IF(H136&gt;Vout,D_min_boost_exitBB_to_buck, (Vout-H136*D_max_buck_BB)/Vout))</f>
        <v>0</v>
      </c>
      <c r="P136" s="385" t="n">
        <f aca="false">MAX(0, CHOOSE(J136, (H136-(Rdson1+Rdcr)*K136-Vout)*N136/(Fsw*Lf), (H136-(Rdson4+Rdcr+Rs)*L136)*O136/(Fsw*Lf), IF(H136&lt;Vout, (H136-(Rdson4+Rdcr+Rs)*L136)*O136/(0.5*Fsw*Lf),(H136-(Rdson1+Rdcr)*K136-Vout)*N136/(0.5*Fsw*Lf))))</f>
        <v>5.52692579671423</v>
      </c>
      <c r="Q136" s="488" t="n">
        <f aca="false">CHOOSE(J136, SQRT(K136^2+(P136^2)/12), SQRT(L136^2+(P136^2)/12), SQRT(M136^2+(P136^2)/12))</f>
        <v>6.20850833374642</v>
      </c>
      <c r="R136" s="488" t="n">
        <f aca="false">(Q136^2*Rdcr*(1+Ltc*Ta-Ltc*25))/(1-Q136^2*Rdcr*Ltc*ThetaCa)</f>
        <v>0.130475518765354</v>
      </c>
      <c r="S136" s="488" t="n">
        <f aca="false">7.759*10^-3*Fsw^0.9458*(0.00787*P136)^2.304</f>
        <v>0.857186081094021</v>
      </c>
      <c r="T136" s="488" t="n">
        <f aca="false">R136+S136</f>
        <v>0.987661599859375</v>
      </c>
      <c r="U136" s="385" t="n">
        <f aca="false">IF(H136&gt;Vout, P136/SQRT(12), SQRT(O136/(1-O136))*SQRT(K136^2+(P136^2)/12))</f>
        <v>1.59548604826203</v>
      </c>
      <c r="V136" s="488" t="n">
        <f aca="false">RCoutEsr*U136^2</f>
        <v>0.0127278786509939</v>
      </c>
      <c r="W136" s="488" t="n">
        <f aca="false">V136</f>
        <v>0.0127278786509939</v>
      </c>
      <c r="X136" s="488" t="n">
        <f aca="false">IF(H136&gt;Vout, SQRT(N136*(1-N136))*SQRT(K136^2+(P136^2)/12), P136/SQRT(12))</f>
        <v>2.97286944171564</v>
      </c>
      <c r="Y136" s="587" t="n">
        <f aca="false">RCinEsr*X136^2</f>
        <v>0.0176759054349734</v>
      </c>
      <c r="Z136" s="588" t="n">
        <f aca="false">Y136</f>
        <v>0.0176759054349734</v>
      </c>
      <c r="AA136" s="488" t="n">
        <f aca="false">CHOOSE(J136, SQRT(N136)*SQRT(K136^2+(P136^2)/12), SQRT(L136^2+(P136^2)/12), SQRT(N136)*SQRT(M136^2+(P136^2)/12))</f>
        <v>3.7047458548294</v>
      </c>
      <c r="AB136" s="488" t="n">
        <f aca="false">Rdson1*AA136^2</f>
        <v>0.078233308538591</v>
      </c>
      <c r="AC136" s="488" t="n">
        <f aca="false">CHOOSE(J136, (H136*K136/2)*(Fsw)*(Tr_buck+Tf_buck), 0, (H136*M136/2)*(Fsw/2)*(Tr_buck+Tf_buck))</f>
        <v>0.207379730272597</v>
      </c>
      <c r="AD136" s="0" t="n">
        <f aca="false">IF(H136&gt;Vout, IF(K136&gt;P136/2,0,ABS(K136-P136/2)*Vsd_Q1*Deadtime*Fsw),0)</f>
        <v>0</v>
      </c>
      <c r="AE136" s="488" t="n">
        <f aca="false">(AD136+AC136+AB136*(1+RdsonTopTc*Ta-RdsonTopTc*25))/(1-AB136*RdsonTopTc*ThetaJA_Q1)</f>
        <v>0.290152964083697</v>
      </c>
      <c r="AF136" s="488" t="n">
        <f aca="false">CHOOSE(J136, SQRT((1-N136))*SQRT(K136^2+(P136^2)/12), 0, SQRT((1-N136))*SQRT(M136^2+(P136^2)/12))</f>
        <v>4.98201102782031</v>
      </c>
      <c r="AG136" s="488" t="n">
        <f aca="false">Rdson2*AF136^2</f>
        <v>0.141476473123542</v>
      </c>
      <c r="AH136" s="488" t="n">
        <f aca="false">CHOOSE(J136, IF(K136&lt;P136/2,Deadtime*Fsw*IF(VfdSky_Q2&gt;0,0,Vsd_Q2)*(K136+P136/2),2*Deadtime*Fsw*IF(VfdSky_Q2&gt;0,0,Vsd_Q2)*K136),0, IF(K136&lt;P136/2,Deadtime*Fsw/2*IF(VfdSky_Q2&gt;0,0,Vsd_Q2)*(K136+P136/2),2*Deadtime*Fsw/2*IF(VfdSky_Q2&gt;0,0,Vsd_Q2)*K136))</f>
        <v>0.144</v>
      </c>
      <c r="AI136" s="488" t="n">
        <f aca="false">(AH136+AG136*(1+RdsonBotTc*Ta-RdsonBotTc*25))/(1-AG136*RdsonBotTc*ThetaJA_Q2)</f>
        <v>0.293789328737773</v>
      </c>
      <c r="AJ136" s="488" t="n">
        <f aca="false">CHOOSE(J136, 0, SQRT(O136)*SQRT(L136^2+(P136^2)/12), SQRT(O136)*SQRT(M136^2+(P136^2)/12))</f>
        <v>0</v>
      </c>
      <c r="AK136" s="488" t="n">
        <f aca="false">Rdson4*AJ136^2</f>
        <v>0</v>
      </c>
      <c r="AL136" s="488" t="n">
        <f aca="false">CHOOSE(J136, 0, (Vout*L136/2)*(Fsw)*(Tr_boost+Tf_boost), (Vout*Iout/2)*(Fsw/2)*(Tr_boost+Tf_boost))</f>
        <v>0</v>
      </c>
      <c r="AM136" s="0" t="n">
        <f aca="false">IF(H136&gt;Vout, 0, IF(L136&gt;P136/2,0,ABS(L136-P136/2)*Vsd_Q4*Deadtime*Fsw))</f>
        <v>0</v>
      </c>
      <c r="AN136" s="488" t="n">
        <f aca="false">(AM136+AL136+AK136*(1+RdsonTopTc*Ta-RdsonTopTc*25))/(1-AK136*RdsonTopTc*ThetaJA_Q4)</f>
        <v>0</v>
      </c>
      <c r="AO136" s="488" t="n">
        <f aca="false">CHOOSE(J136, SQRT(Iout^2+(P136^2)/12), SQRT(1-O136)*SQRT(L136^2+(P136^2)/12), SQRT(1-O136)*SQRT(M136^2+(P136^2)/12))</f>
        <v>6.20850833374642</v>
      </c>
      <c r="AP136" s="488" t="n">
        <f aca="false">Rdson3*AO136^2</f>
        <v>0.0732365938873777</v>
      </c>
      <c r="AQ136" s="488" t="n">
        <f aca="false">CHOOSE(J136, 0, IF(L136&lt;P136/2,Deadtime*Fsw*IF(VfdSky_Q3&gt;0,0,Vsd_Q3)*(L136+P136/2), 2*Deadtime*Fsw*IF(VfdSky_Q3&gt;0,0,Vsd_Q3)*L136), IF(L136&lt;P136/2,Deadtime*Fsw/2*IF(VfdSky_Q3&gt;0,0,Vsd_Q3)*(L136+P136/2), 2*Deadtime*Fsw/2*IF(VfdSky_Q3&gt;0,0,Vsd_Q3)*L136))</f>
        <v>0</v>
      </c>
      <c r="AR136" s="488" t="n">
        <f aca="false">(AQ136+AP136*(1+RdsonBotTc*Ta-RdsonBotTc*25))/(1-AP136*RdsonBotTc*ThetaJA_Q3)</f>
        <v>0.074325259658819</v>
      </c>
      <c r="AS136" s="488" t="n">
        <f aca="false">CHOOSE(J136, Rdson3*Q136^2, Rdson1*Q136^2, 0)</f>
        <v>0.0732365938873777</v>
      </c>
      <c r="AT136" s="488" t="n">
        <f aca="false">CHOOSE(J136, 2*Deadtime*Fsw*IF(VfdSky_Q2&gt;0,VfdSky_Q2,0)*K136, 2*Deadtime*Fsw*IF(VfdSky_Q3&gt;0,VfdSky_Q3,0)*L136, 2*Deadtime*Fsw/2*IF(VfdSky_Q2&gt;0,VfdSky_Q2,0)*K136+2*Deadtime*Fsw/2*IF(VfdSky_Q3&gt;0,VfdSky_Q3,0)*L136)</f>
        <v>0</v>
      </c>
      <c r="AU136" s="488" t="n">
        <f aca="false">CHOOSE(J136, IF(QrrSky_Q2&gt;0,QrrSky_Q2,Qrr_Q2)*Fsw*(H136-K136*Rdson1), IF(QrrSky_Q3&gt;0,QrrSky_Q3,Qrr_Q3)*Fsw*Vout,  IF(QrrSky_Q2&gt;0,QrrSky_Q2,Qrr_Q2)*Fsw/2*(H136-K136*Rdson1)+IF(QrrSky_Q3&gt;0,QrrSky_Q3,Qrr_Q3)*Fsw/2*Vout)</f>
        <v>0.64081962</v>
      </c>
      <c r="AV136" s="488" t="n">
        <f aca="false">CHOOSE(J136, Rs*AF136^2, Rs*AJ136^2, Rs*(AF136^2+AJ136^2))</f>
        <v>0.198563471050585</v>
      </c>
      <c r="AW136" s="488" t="n">
        <f aca="false">Rshunt_std/1000*Iout^2</f>
        <v>0.14832</v>
      </c>
      <c r="AX136" s="488" t="n">
        <f aca="false">IF(Vout&gt;8, Iq*Vout, Iq*H136)</f>
        <v>0.036</v>
      </c>
      <c r="AY136" s="488" t="n">
        <f aca="false">CHOOSE(J136, (Qg_Q1+Qg_Q2)*Fsw, (Qg_Q3+Qg_Q4)*Fsw, (Qg_Q1+Qg_Q2+Qg_Q3+Qg_Q4)*Fsw/2)*IF(Vout&gt;8, Vout, H136)</f>
        <v>0.0792</v>
      </c>
      <c r="AZ136" s="488" t="n">
        <f aca="false">(Vin-Vdd)*Fsw*(Qg_Q1+Qg_Q2)+(RdsonDRT+RdsonDRT2)*Fsw*Qg_Q1*Vdd/(RdsonDRT+2*Rgate1+RdsonDRT2)+(RdsonDRB+RdsonDRB2)*Fsw*Qg_Q2*Vdd/(RdsonDRB+2*Rgate2+RdsonDRB2)</f>
        <v>0.0522</v>
      </c>
      <c r="BA136" s="488" t="n">
        <f aca="false">SUM(AX136:AY136)</f>
        <v>0.1152</v>
      </c>
      <c r="BB136" s="488" t="n">
        <f aca="false">SUM(T136,W136,Z136,AE136,AI136,AN136,AR136, AT136,AU136,BA136,AV136,AW136)</f>
        <v>2.77923602747622</v>
      </c>
      <c r="BC136" s="419" t="n">
        <f aca="false">Vout*K136</f>
        <v>72</v>
      </c>
      <c r="BD136" s="589" t="n">
        <f aca="false">BC136/(BC136+BB136)</f>
        <v>0.962834121139523</v>
      </c>
      <c r="BE136" s="590" t="n">
        <f aca="false">IF(H136&gt;Vout,ThetaJA_Q1*(AE136+AU136),ThetaJA_Q4*(AN136+AU136))</f>
        <v>46.5486292041849</v>
      </c>
      <c r="BF136" s="590" t="n">
        <f aca="false">IF(H136&gt;Vout, AI136*ThetaJA_Q2, ThetaJA_Q3*AR136)</f>
        <v>14.6894664368886</v>
      </c>
      <c r="BG136" s="536"/>
      <c r="BH136" s="385" t="n">
        <f aca="false">BD136*100</f>
        <v>96.2834121139523</v>
      </c>
      <c r="BI136" s="488" t="n">
        <f aca="false">T136</f>
        <v>0.987661599859375</v>
      </c>
      <c r="BJ136" s="488" t="n">
        <f aca="false">AE136+AI136+AN136+AR136+AU136</f>
        <v>1.29908717248029</v>
      </c>
      <c r="BK136" s="488" t="n">
        <f aca="false">AI136+AU136*0.33</f>
        <v>0.505259803337773</v>
      </c>
      <c r="BL136" s="488" t="n">
        <f aca="false">AV136</f>
        <v>0.198563471050585</v>
      </c>
    </row>
    <row r="137" customFormat="false" ht="12.75" hidden="false" customHeight="false" outlineLevel="0" collapsed="false">
      <c r="G137" s="0" t="n">
        <v>128</v>
      </c>
      <c r="H137" s="586" t="n">
        <f aca="false">VIN_min+(VIN_max-VIN_min)*(G137/200)</f>
        <v>34.16</v>
      </c>
      <c r="I137" s="385" t="str">
        <f aca="false">IF(H137&gt;VIN_BB_to_buck, "BUCK", IF(H137&lt;VIN_boost_to_BB,"BOOST","BUCK-BST"))</f>
        <v>BUCK</v>
      </c>
      <c r="J137" s="419" t="n">
        <f aca="false">IF(I137="BOOST",2, IF(I137="BUCK", 1,3))</f>
        <v>1</v>
      </c>
      <c r="K137" s="0" t="n">
        <f aca="false">Iout</f>
        <v>6</v>
      </c>
      <c r="L137" s="385" t="n">
        <f aca="false">Vout*K137/(H137*Efficiency)</f>
        <v>2.34192037470726</v>
      </c>
      <c r="M137" s="385" t="n">
        <f aca="false">Iout/(1-O137)</f>
        <v>6</v>
      </c>
      <c r="N137" s="488" t="n">
        <f aca="false">CHOOSE(J137,(Vout+(Rdson2+Rs+Rdcr)*K137)/(H137+(Rs+Rdson2-Rdson1)*K137),1,IF(H137&lt;Vout,D_max_buck_BB,Vout/H137*(1-D_min_boost_exitBB_to_buck)))</f>
        <v>0.353785664172124</v>
      </c>
      <c r="O137" s="488" t="n">
        <f aca="false">CHOOSE(J137,0,(Vout+(Rdson3+Rdcr)*L137-H137)/(Vout+(Rdson3-Rdson4-Rs)*L137),IF(H137&gt;Vout,D_min_boost_exitBB_to_buck, (Vout-H137*D_max_buck_BB)/Vout))</f>
        <v>0</v>
      </c>
      <c r="P137" s="385" t="n">
        <f aca="false">MAX(0, CHOOSE(J137, (H137-(Rdson1+Rdcr)*K137-Vout)*N137/(Fsw*Lf), (H137-(Rdson4+Rdcr+Rs)*L137)*O137/(Fsw*Lf), IF(H137&lt;Vout, (H137-(Rdson4+Rdcr+Rs)*L137)*O137/(0.5*Fsw*Lf),(H137-(Rdson1+Rdcr)*K137-Vout)*N137/(0.5*Fsw*Lf))))</f>
        <v>5.54658138758135</v>
      </c>
      <c r="Q137" s="488" t="n">
        <f aca="false">CHOOSE(J137, SQRT(K137^2+(P137^2)/12), SQRT(L137^2+(P137^2)/12), SQRT(M137^2+(P137^2)/12))</f>
        <v>6.2099689014859</v>
      </c>
      <c r="R137" s="488" t="n">
        <f aca="false">(Q137^2*Rdcr*(1+Ltc*Ta-Ltc*25))/(1-Q137^2*Rdcr*Ltc*ThetaCa)</f>
        <v>0.130537556562214</v>
      </c>
      <c r="S137" s="488" t="n">
        <f aca="false">7.759*10^-3*Fsw^0.9458*(0.00787*P137)^2.304</f>
        <v>0.864225977403573</v>
      </c>
      <c r="T137" s="488" t="n">
        <f aca="false">R137+S137</f>
        <v>0.994763533965787</v>
      </c>
      <c r="U137" s="385" t="n">
        <f aca="false">IF(H137&gt;Vout, P137/SQRT(12), SQRT(O137/(1-O137))*SQRT(K137^2+(P137^2)/12))</f>
        <v>1.60116012860113</v>
      </c>
      <c r="V137" s="488" t="n">
        <f aca="false">RCoutEsr*U137^2</f>
        <v>0.01281856878711</v>
      </c>
      <c r="W137" s="488" t="n">
        <f aca="false">V137</f>
        <v>0.01281856878711</v>
      </c>
      <c r="X137" s="488" t="n">
        <f aca="false">IF(H137&gt;Vout, SQRT(N137*(1-N137))*SQRT(K137^2+(P137^2)/12), P137/SQRT(12))</f>
        <v>2.96925731359225</v>
      </c>
      <c r="Y137" s="587" t="n">
        <f aca="false">RCinEsr*X137^2</f>
        <v>0.0176329779886421</v>
      </c>
      <c r="Z137" s="588" t="n">
        <f aca="false">Y137</f>
        <v>0.0176329779886421</v>
      </c>
      <c r="AA137" s="488" t="n">
        <f aca="false">CHOOSE(J137, SQRT(N137)*SQRT(K137^2+(P137^2)/12), SQRT(L137^2+(P137^2)/12), SQRT(N137)*SQRT(M137^2+(P137^2)/12))</f>
        <v>3.6936823204782</v>
      </c>
      <c r="AB137" s="488" t="n">
        <f aca="false">Rdson1*AA137^2</f>
        <v>0.0777667477822952</v>
      </c>
      <c r="AC137" s="488" t="n">
        <f aca="false">CHOOSE(J137, (H137*K137/2)*(Fsw)*(Tr_buck+Tf_buck), 0, (H137*M137/2)*(Fsw/2)*(Tr_buck+Tf_buck))</f>
        <v>0.208723971305595</v>
      </c>
      <c r="AD137" s="0" t="n">
        <f aca="false">IF(H137&gt;Vout, IF(K137&gt;P137/2,0,ABS(K137-P137/2)*Vsd_Q1*Deadtime*Fsw),0)</f>
        <v>0</v>
      </c>
      <c r="AE137" s="488" t="n">
        <f aca="false">(AD137+AC137+AB137*(1+RdsonTopTc*Ta-RdsonTopTc*25))/(1-AB137*RdsonTopTc*ThetaJA_Q1)</f>
        <v>0.291017008345564</v>
      </c>
      <c r="AF137" s="488" t="n">
        <f aca="false">CHOOSE(J137, SQRT((1-N137))*SQRT(K137^2+(P137^2)/12), 0, SQRT((1-N137))*SQRT(M137^2+(P137^2)/12))</f>
        <v>4.9920361249503</v>
      </c>
      <c r="AG137" s="488" t="n">
        <f aca="false">Rdson2*AF137^2</f>
        <v>0.14204642063501</v>
      </c>
      <c r="AH137" s="488" t="n">
        <f aca="false">CHOOSE(J137, IF(K137&lt;P137/2,Deadtime*Fsw*IF(VfdSky_Q2&gt;0,0,Vsd_Q2)*(K137+P137/2),2*Deadtime*Fsw*IF(VfdSky_Q2&gt;0,0,Vsd_Q2)*K137),0, IF(K137&lt;P137/2,Deadtime*Fsw/2*IF(VfdSky_Q2&gt;0,0,Vsd_Q2)*(K137+P137/2),2*Deadtime*Fsw/2*IF(VfdSky_Q2&gt;0,0,Vsd_Q2)*K137))</f>
        <v>0.144</v>
      </c>
      <c r="AI137" s="488" t="n">
        <f aca="false">(AH137+AG137*(1+RdsonBotTc*Ta-RdsonBotTc*25))/(1-AG137*RdsonBotTc*ThetaJA_Q2)</f>
        <v>0.294410409611614</v>
      </c>
      <c r="AJ137" s="488" t="n">
        <f aca="false">CHOOSE(J137, 0, SQRT(O137)*SQRT(L137^2+(P137^2)/12), SQRT(O137)*SQRT(M137^2+(P137^2)/12))</f>
        <v>0</v>
      </c>
      <c r="AK137" s="488" t="n">
        <f aca="false">Rdson4*AJ137^2</f>
        <v>0</v>
      </c>
      <c r="AL137" s="488" t="n">
        <f aca="false">CHOOSE(J137, 0, (Vout*L137/2)*(Fsw)*(Tr_boost+Tf_boost), (Vout*Iout/2)*(Fsw/2)*(Tr_boost+Tf_boost))</f>
        <v>0</v>
      </c>
      <c r="AM137" s="0" t="n">
        <f aca="false">IF(H137&gt;Vout, 0, IF(L137&gt;P137/2,0,ABS(L137-P137/2)*Vsd_Q4*Deadtime*Fsw))</f>
        <v>0</v>
      </c>
      <c r="AN137" s="488" t="n">
        <f aca="false">(AM137+AL137+AK137*(1+RdsonTopTc*Ta-RdsonTopTc*25))/(1-AK137*RdsonTopTc*ThetaJA_Q4)</f>
        <v>0</v>
      </c>
      <c r="AO137" s="488" t="n">
        <f aca="false">CHOOSE(J137, SQRT(Iout^2+(P137^2)/12), SQRT(1-O137)*SQRT(L137^2+(P137^2)/12), SQRT(1-O137)*SQRT(M137^2+(P137^2)/12))</f>
        <v>6.2099689014859</v>
      </c>
      <c r="AP137" s="488" t="n">
        <f aca="false">Rdson3*AO137^2</f>
        <v>0.0732710561391018</v>
      </c>
      <c r="AQ137" s="488" t="n">
        <f aca="false">CHOOSE(J137, 0, IF(L137&lt;P137/2,Deadtime*Fsw*IF(VfdSky_Q3&gt;0,0,Vsd_Q3)*(L137+P137/2), 2*Deadtime*Fsw*IF(VfdSky_Q3&gt;0,0,Vsd_Q3)*L137), IF(L137&lt;P137/2,Deadtime*Fsw/2*IF(VfdSky_Q3&gt;0,0,Vsd_Q3)*(L137+P137/2), 2*Deadtime*Fsw/2*IF(VfdSky_Q3&gt;0,0,Vsd_Q3)*L137))</f>
        <v>0</v>
      </c>
      <c r="AR137" s="488" t="n">
        <f aca="false">(AQ137+AP137*(1+RdsonBotTc*Ta-RdsonBotTc*25))/(1-AP137*RdsonBotTc*ThetaJA_Q3)</f>
        <v>0.0743607543402641</v>
      </c>
      <c r="AS137" s="488" t="n">
        <f aca="false">CHOOSE(J137, Rdson3*Q137^2, Rdson1*Q137^2, 0)</f>
        <v>0.0732710561391018</v>
      </c>
      <c r="AT137" s="488" t="n">
        <f aca="false">CHOOSE(J137, 2*Deadtime*Fsw*IF(VfdSky_Q2&gt;0,VfdSky_Q2,0)*K137, 2*Deadtime*Fsw*IF(VfdSky_Q3&gt;0,VfdSky_Q3,0)*L137, 2*Deadtime*Fsw/2*IF(VfdSky_Q2&gt;0,VfdSky_Q2,0)*K137+2*Deadtime*Fsw/2*IF(VfdSky_Q3&gt;0,VfdSky_Q3,0)*L137)</f>
        <v>0</v>
      </c>
      <c r="AU137" s="488" t="n">
        <f aca="false">CHOOSE(J137, IF(QrrSky_Q2&gt;0,QrrSky_Q2,Qrr_Q2)*Fsw*(H137-K137*Rdson1), IF(QrrSky_Q3&gt;0,QrrSky_Q3,Qrr_Q3)*Fsw*Vout,  IF(QrrSky_Q2&gt;0,QrrSky_Q2,Qrr_Q2)*Fsw/2*(H137-K137*Rdson1)+IF(QrrSky_Q3&gt;0,QrrSky_Q3,Qrr_Q3)*Fsw/2*Vout)</f>
        <v>0.64497762</v>
      </c>
      <c r="AV137" s="488" t="n">
        <f aca="false">CHOOSE(J137, Rs*AF137^2, Rs*AJ137^2, Rs*(AF137^2+AJ137^2))</f>
        <v>0.19936339738247</v>
      </c>
      <c r="AW137" s="488" t="n">
        <f aca="false">Rshunt_std/1000*Iout^2</f>
        <v>0.14832</v>
      </c>
      <c r="AX137" s="488" t="n">
        <f aca="false">IF(Vout&gt;8, Iq*Vout, Iq*H137)</f>
        <v>0.036</v>
      </c>
      <c r="AY137" s="488" t="n">
        <f aca="false">CHOOSE(J137, (Qg_Q1+Qg_Q2)*Fsw, (Qg_Q3+Qg_Q4)*Fsw, (Qg_Q1+Qg_Q2+Qg_Q3+Qg_Q4)*Fsw/2)*IF(Vout&gt;8, Vout, H137)</f>
        <v>0.0792</v>
      </c>
      <c r="AZ137" s="488" t="n">
        <f aca="false">(Vin-Vdd)*Fsw*(Qg_Q1+Qg_Q2)+(RdsonDRT+RdsonDRT2)*Fsw*Qg_Q1*Vdd/(RdsonDRT+2*Rgate1+RdsonDRT2)+(RdsonDRB+RdsonDRB2)*Fsw*Qg_Q2*Vdd/(RdsonDRB+2*Rgate2+RdsonDRB2)</f>
        <v>0.0522</v>
      </c>
      <c r="BA137" s="488" t="n">
        <f aca="false">SUM(AX137:AY137)</f>
        <v>0.1152</v>
      </c>
      <c r="BB137" s="488" t="n">
        <f aca="false">SUM(T137,W137,Z137,AE137,AI137,AN137,AR137, AT137,AU137,BA137,AV137,AW137)</f>
        <v>2.79286427042145</v>
      </c>
      <c r="BC137" s="419" t="n">
        <f aca="false">Vout*K137</f>
        <v>72</v>
      </c>
      <c r="BD137" s="589" t="n">
        <f aca="false">BC137/(BC137+BB137)</f>
        <v>0.962658680107188</v>
      </c>
      <c r="BE137" s="590" t="n">
        <f aca="false">IF(H137&gt;Vout,ThetaJA_Q1*(AE137+AU137),ThetaJA_Q4*(AN137+AU137))</f>
        <v>46.7997314172782</v>
      </c>
      <c r="BF137" s="590" t="n">
        <f aca="false">IF(H137&gt;Vout, AI137*ThetaJA_Q2, ThetaJA_Q3*AR137)</f>
        <v>14.7205204805807</v>
      </c>
      <c r="BG137" s="536"/>
      <c r="BH137" s="385" t="n">
        <f aca="false">BD137*100</f>
        <v>96.2658680107188</v>
      </c>
      <c r="BI137" s="488" t="n">
        <f aca="false">T137</f>
        <v>0.994763533965787</v>
      </c>
      <c r="BJ137" s="488" t="n">
        <f aca="false">AE137+AI137+AN137+AR137+AU137</f>
        <v>1.30476579229744</v>
      </c>
      <c r="BK137" s="488" t="n">
        <f aca="false">AI137+AU137*0.33</f>
        <v>0.507253024211614</v>
      </c>
      <c r="BL137" s="488" t="n">
        <f aca="false">AV137</f>
        <v>0.19936339738247</v>
      </c>
    </row>
    <row r="138" customFormat="false" ht="12.75" hidden="false" customHeight="false" outlineLevel="0" collapsed="false">
      <c r="G138" s="0" t="n">
        <v>129</v>
      </c>
      <c r="H138" s="586" t="n">
        <f aca="false">VIN_min+(VIN_max-VIN_min)*(G138/200)</f>
        <v>34.38</v>
      </c>
      <c r="I138" s="385" t="str">
        <f aca="false">IF(H138&gt;VIN_BB_to_buck, "BUCK", IF(H138&lt;VIN_boost_to_BB,"BOOST","BUCK-BST"))</f>
        <v>BUCK</v>
      </c>
      <c r="J138" s="419" t="n">
        <f aca="false">IF(I138="BOOST",2, IF(I138="BUCK", 1,3))</f>
        <v>1</v>
      </c>
      <c r="K138" s="0" t="n">
        <f aca="false">Iout</f>
        <v>6</v>
      </c>
      <c r="L138" s="385" t="n">
        <f aca="false">Vout*K138/(H138*Efficiency)</f>
        <v>2.32693426410704</v>
      </c>
      <c r="M138" s="385" t="n">
        <f aca="false">Iout/(1-O138)</f>
        <v>6</v>
      </c>
      <c r="N138" s="488" t="n">
        <f aca="false">CHOOSE(J138,(Vout+(Rdson2+Rs+Rdcr)*K138)/(H138+(Rs+Rdson2-Rdson1)*K138),1,IF(H138&lt;Vout,D_max_buck_BB,Vout/H138*(1-D_min_boost_exitBB_to_buck)))</f>
        <v>0.351524921575462</v>
      </c>
      <c r="O138" s="488" t="n">
        <f aca="false">CHOOSE(J138,0,(Vout+(Rdson3+Rdcr)*L138-H138)/(Vout+(Rdson3-Rdson4-Rs)*L138),IF(H138&gt;Vout,D_min_boost_exitBB_to_buck, (Vout-H138*D_max_buck_BB)/Vout))</f>
        <v>0</v>
      </c>
      <c r="P138" s="385" t="n">
        <f aca="false">MAX(0, CHOOSE(J138, (H138-(Rdson1+Rdcr)*K138-Vout)*N138/(Fsw*Lf), (H138-(Rdson4+Rdcr+Rs)*L138)*O138/(Fsw*Lf), IF(H138&lt;Vout, (H138-(Rdson4+Rdcr+Rs)*L138)*O138/(0.5*Fsw*Lf),(H138-(Rdson1+Rdcr)*K138-Vout)*N138/(0.5*Fsw*Lf))))</f>
        <v>5.56598577419666</v>
      </c>
      <c r="Q138" s="488" t="n">
        <f aca="false">CHOOSE(J138, SQRT(K138^2+(P138^2)/12), SQRT(L138^2+(P138^2)/12), SQRT(M138^2+(P138^2)/12))</f>
        <v>6.21141555014206</v>
      </c>
      <c r="R138" s="488" t="n">
        <f aca="false">(Q138^2*Rdcr*(1+Ltc*Ta-Ltc*25))/(1-Q138^2*Rdcr*Ltc*ThetaCa)</f>
        <v>0.130599018130129</v>
      </c>
      <c r="S138" s="488" t="n">
        <f aca="false">7.759*10^-3*Fsw^0.9458*(0.00787*P138)^2.304</f>
        <v>0.871207886029539</v>
      </c>
      <c r="T138" s="488" t="n">
        <f aca="false">R138+S138</f>
        <v>1.00180690415967</v>
      </c>
      <c r="U138" s="385" t="n">
        <f aca="false">IF(H138&gt;Vout, P138/SQRT(12), SQRT(O138/(1-O138))*SQRT(K138^2+(P138^2)/12))</f>
        <v>1.60676169251903</v>
      </c>
      <c r="V138" s="488" t="n">
        <f aca="false">RCoutEsr*U138^2</f>
        <v>0.0129084156827332</v>
      </c>
      <c r="W138" s="488" t="n">
        <f aca="false">V138</f>
        <v>0.0129084156827332</v>
      </c>
      <c r="X138" s="488" t="n">
        <f aca="false">IF(H138&gt;Vout, SQRT(N138*(1-N138))*SQRT(K138^2+(P138^2)/12), P138/SQRT(12))</f>
        <v>2.96561855412586</v>
      </c>
      <c r="Y138" s="587" t="n">
        <f aca="false">RCinEsr*X138^2</f>
        <v>0.0175897868171512</v>
      </c>
      <c r="Z138" s="588" t="n">
        <f aca="false">Y138</f>
        <v>0.0175897868171512</v>
      </c>
      <c r="AA138" s="488" t="n">
        <f aca="false">CHOOSE(J138, SQRT(N138)*SQRT(K138^2+(P138^2)/12), SQRT(L138^2+(P138^2)/12), SQRT(N138)*SQRT(M138^2+(P138^2)/12))</f>
        <v>3.68271953029604</v>
      </c>
      <c r="AB138" s="488" t="n">
        <f aca="false">Rdson1*AA138^2</f>
        <v>0.0773058118912961</v>
      </c>
      <c r="AC138" s="488" t="n">
        <f aca="false">CHOOSE(J138, (H138*K138/2)*(Fsw)*(Tr_buck+Tf_buck), 0, (H138*M138/2)*(Fsw/2)*(Tr_buck+Tf_buck))</f>
        <v>0.210068212338594</v>
      </c>
      <c r="AD138" s="0" t="n">
        <f aca="false">IF(H138&gt;Vout, IF(K138&gt;P138/2,0,ABS(K138-P138/2)*Vsd_Q1*Deadtime*Fsw),0)</f>
        <v>0</v>
      </c>
      <c r="AE138" s="488" t="n">
        <f aca="false">(AD138+AC138+AB138*(1+RdsonTopTc*Ta-RdsonTopTc*25))/(1-AB138*RdsonTopTc*ThetaJA_Q1)</f>
        <v>0.291886935536309</v>
      </c>
      <c r="AF138" s="488" t="n">
        <f aca="false">CHOOSE(J138, SQRT((1-N138))*SQRT(K138^2+(P138^2)/12), 0, SQRT((1-N138))*SQRT(M138^2+(P138^2)/12))</f>
        <v>5.00192562896758</v>
      </c>
      <c r="AG138" s="488" t="n">
        <f aca="false">Rdson2*AF138^2</f>
        <v>0.14260978198702</v>
      </c>
      <c r="AH138" s="488" t="n">
        <f aca="false">CHOOSE(J138, IF(K138&lt;P138/2,Deadtime*Fsw*IF(VfdSky_Q2&gt;0,0,Vsd_Q2)*(K138+P138/2),2*Deadtime*Fsw*IF(VfdSky_Q2&gt;0,0,Vsd_Q2)*K138),0, IF(K138&lt;P138/2,Deadtime*Fsw/2*IF(VfdSky_Q2&gt;0,0,Vsd_Q2)*(K138+P138/2),2*Deadtime*Fsw/2*IF(VfdSky_Q2&gt;0,0,Vsd_Q2)*K138))</f>
        <v>0.144</v>
      </c>
      <c r="AI138" s="488" t="n">
        <f aca="false">(AH138+AG138*(1+RdsonBotTc*Ta-RdsonBotTc*25))/(1-AG138*RdsonBotTc*ThetaJA_Q2)</f>
        <v>0.295024456676515</v>
      </c>
      <c r="AJ138" s="488" t="n">
        <f aca="false">CHOOSE(J138, 0, SQRT(O138)*SQRT(L138^2+(P138^2)/12), SQRT(O138)*SQRT(M138^2+(P138^2)/12))</f>
        <v>0</v>
      </c>
      <c r="AK138" s="488" t="n">
        <f aca="false">Rdson4*AJ138^2</f>
        <v>0</v>
      </c>
      <c r="AL138" s="488" t="n">
        <f aca="false">CHOOSE(J138, 0, (Vout*L138/2)*(Fsw)*(Tr_boost+Tf_boost), (Vout*Iout/2)*(Fsw/2)*(Tr_boost+Tf_boost))</f>
        <v>0</v>
      </c>
      <c r="AM138" s="0" t="n">
        <f aca="false">IF(H138&gt;Vout, 0, IF(L138&gt;P138/2,0,ABS(L138-P138/2)*Vsd_Q4*Deadtime*Fsw))</f>
        <v>0</v>
      </c>
      <c r="AN138" s="488" t="n">
        <f aca="false">(AM138+AL138+AK138*(1+RdsonTopTc*Ta-RdsonTopTc*25))/(1-AK138*RdsonTopTc*ThetaJA_Q4)</f>
        <v>0</v>
      </c>
      <c r="AO138" s="488" t="n">
        <f aca="false">CHOOSE(J138, SQRT(Iout^2+(P138^2)/12), SQRT(1-O138)*SQRT(L138^2+(P138^2)/12), SQRT(1-O138)*SQRT(M138^2+(P138^2)/12))</f>
        <v>6.21141555014206</v>
      </c>
      <c r="AP138" s="488" t="n">
        <f aca="false">Rdson3*AO138^2</f>
        <v>0.0733051979594386</v>
      </c>
      <c r="AQ138" s="488" t="n">
        <f aca="false">CHOOSE(J138, 0, IF(L138&lt;P138/2,Deadtime*Fsw*IF(VfdSky_Q3&gt;0,0,Vsd_Q3)*(L138+P138/2), 2*Deadtime*Fsw*IF(VfdSky_Q3&gt;0,0,Vsd_Q3)*L138), IF(L138&lt;P138/2,Deadtime*Fsw/2*IF(VfdSky_Q3&gt;0,0,Vsd_Q3)*(L138+P138/2), 2*Deadtime*Fsw/2*IF(VfdSky_Q3&gt;0,0,Vsd_Q3)*L138))</f>
        <v>0</v>
      </c>
      <c r="AR138" s="488" t="n">
        <f aca="false">(AQ138+AP138*(1+RdsonBotTc*Ta-RdsonBotTc*25))/(1-AP138*RdsonBotTc*ThetaJA_Q3)</f>
        <v>0.0743959194804159</v>
      </c>
      <c r="AS138" s="488" t="n">
        <f aca="false">CHOOSE(J138, Rdson3*Q138^2, Rdson1*Q138^2, 0)</f>
        <v>0.0733051979594386</v>
      </c>
      <c r="AT138" s="488" t="n">
        <f aca="false">CHOOSE(J138, 2*Deadtime*Fsw*IF(VfdSky_Q2&gt;0,VfdSky_Q2,0)*K138, 2*Deadtime*Fsw*IF(VfdSky_Q3&gt;0,VfdSky_Q3,0)*L138, 2*Deadtime*Fsw/2*IF(VfdSky_Q2&gt;0,VfdSky_Q2,0)*K138+2*Deadtime*Fsw/2*IF(VfdSky_Q3&gt;0,VfdSky_Q3,0)*L138)</f>
        <v>0</v>
      </c>
      <c r="AU138" s="488" t="n">
        <f aca="false">CHOOSE(J138, IF(QrrSky_Q2&gt;0,QrrSky_Q2,Qrr_Q2)*Fsw*(H138-K138*Rdson1), IF(QrrSky_Q3&gt;0,QrrSky_Q3,Qrr_Q3)*Fsw*Vout,  IF(QrrSky_Q2&gt;0,QrrSky_Q2,Qrr_Q2)*Fsw/2*(H138-K138*Rdson1)+IF(QrrSky_Q3&gt;0,QrrSky_Q3,Qrr_Q3)*Fsw/2*Vout)</f>
        <v>0.64913562</v>
      </c>
      <c r="AV138" s="488" t="n">
        <f aca="false">CHOOSE(J138, Rs*AF138^2, Rs*AJ138^2, Rs*(AF138^2+AJ138^2))</f>
        <v>0.200154079981782</v>
      </c>
      <c r="AW138" s="488" t="n">
        <f aca="false">Rshunt_std/1000*Iout^2</f>
        <v>0.14832</v>
      </c>
      <c r="AX138" s="488" t="n">
        <f aca="false">IF(Vout&gt;8, Iq*Vout, Iq*H138)</f>
        <v>0.036</v>
      </c>
      <c r="AY138" s="488" t="n">
        <f aca="false">CHOOSE(J138, (Qg_Q1+Qg_Q2)*Fsw, (Qg_Q3+Qg_Q4)*Fsw, (Qg_Q1+Qg_Q2+Qg_Q3+Qg_Q4)*Fsw/2)*IF(Vout&gt;8, Vout, H138)</f>
        <v>0.0792</v>
      </c>
      <c r="AZ138" s="488" t="n">
        <f aca="false">(Vin-Vdd)*Fsw*(Qg_Q1+Qg_Q2)+(RdsonDRT+RdsonDRT2)*Fsw*Qg_Q1*Vdd/(RdsonDRT+2*Rgate1+RdsonDRT2)+(RdsonDRB+RdsonDRB2)*Fsw*Qg_Q2*Vdd/(RdsonDRB+2*Rgate2+RdsonDRB2)</f>
        <v>0.0522</v>
      </c>
      <c r="BA138" s="488" t="n">
        <f aca="false">SUM(AX138:AY138)</f>
        <v>0.1152</v>
      </c>
      <c r="BB138" s="488" t="n">
        <f aca="false">SUM(T138,W138,Z138,AE138,AI138,AN138,AR138, AT138,AU138,BA138,AV138,AW138)</f>
        <v>2.80642211833458</v>
      </c>
      <c r="BC138" s="419" t="n">
        <f aca="false">Vout*K138</f>
        <v>72</v>
      </c>
      <c r="BD138" s="589" t="n">
        <f aca="false">BC138/(BC138+BB138)</f>
        <v>0.962484208723482</v>
      </c>
      <c r="BE138" s="590" t="n">
        <f aca="false">IF(H138&gt;Vout,ThetaJA_Q1*(AE138+AU138),ThetaJA_Q4*(AN138+AU138))</f>
        <v>47.0511277768155</v>
      </c>
      <c r="BF138" s="590" t="n">
        <f aca="false">IF(H138&gt;Vout, AI138*ThetaJA_Q2, ThetaJA_Q3*AR138)</f>
        <v>14.7512228338258</v>
      </c>
      <c r="BG138" s="536"/>
      <c r="BH138" s="385" t="n">
        <f aca="false">BD138*100</f>
        <v>96.2484208723482</v>
      </c>
      <c r="BI138" s="488" t="n">
        <f aca="false">T138</f>
        <v>1.00180690415967</v>
      </c>
      <c r="BJ138" s="488" t="n">
        <f aca="false">AE138+AI138+AN138+AR138+AU138</f>
        <v>1.31044293169324</v>
      </c>
      <c r="BK138" s="488" t="n">
        <f aca="false">AI138+AU138*0.33</f>
        <v>0.509239211276515</v>
      </c>
      <c r="BL138" s="488" t="n">
        <f aca="false">AV138</f>
        <v>0.200154079981782</v>
      </c>
    </row>
    <row r="139" customFormat="false" ht="12.75" hidden="false" customHeight="false" outlineLevel="0" collapsed="false">
      <c r="G139" s="0" t="n">
        <v>130</v>
      </c>
      <c r="H139" s="586" t="n">
        <f aca="false">VIN_min+(VIN_max-VIN_min)*(G139/200)</f>
        <v>34.6</v>
      </c>
      <c r="I139" s="385" t="str">
        <f aca="false">IF(H139&gt;VIN_BB_to_buck, "BUCK", IF(H139&lt;VIN_boost_to_BB,"BOOST","BUCK-BST"))</f>
        <v>BUCK</v>
      </c>
      <c r="J139" s="419" t="n">
        <f aca="false">IF(I139="BOOST",2, IF(I139="BUCK", 1,3))</f>
        <v>1</v>
      </c>
      <c r="K139" s="0" t="n">
        <f aca="false">Iout</f>
        <v>6</v>
      </c>
      <c r="L139" s="385" t="n">
        <f aca="false">Vout*K139/(H139*Efficiency)</f>
        <v>2.3121387283237</v>
      </c>
      <c r="M139" s="385" t="n">
        <f aca="false">Iout/(1-O139)</f>
        <v>6</v>
      </c>
      <c r="N139" s="488" t="n">
        <f aca="false">CHOOSE(J139,(Vout+(Rdson2+Rs+Rdcr)*K139)/(H139+(Rs+Rdson2-Rdson1)*K139),1,IF(H139&lt;Vout,D_max_buck_BB,Vout/H139*(1-D_min_boost_exitBB_to_buck)))</f>
        <v>0.349292888478411</v>
      </c>
      <c r="O139" s="488" t="n">
        <f aca="false">CHOOSE(J139,0,(Vout+(Rdson3+Rdcr)*L139-H139)/(Vout+(Rdson3-Rdson4-Rs)*L139),IF(H139&gt;Vout,D_min_boost_exitBB_to_buck, (Vout-H139*D_max_buck_BB)/Vout))</f>
        <v>0</v>
      </c>
      <c r="P139" s="385" t="n">
        <f aca="false">MAX(0, CHOOSE(J139, (H139-(Rdson1+Rdcr)*K139-Vout)*N139/(Fsw*Lf), (H139-(Rdson4+Rdcr+Rs)*L139)*O139/(Fsw*Lf), IF(H139&lt;Vout, (H139-(Rdson4+Rdcr+Rs)*L139)*O139/(0.5*Fsw*Lf),(H139-(Rdson1+Rdcr)*K139-Vout)*N139/(0.5*Fsw*Lf))))</f>
        <v>5.58514374167924</v>
      </c>
      <c r="Q139" s="488" t="n">
        <f aca="false">CHOOSE(J139, SQRT(K139^2+(P139^2)/12), SQRT(L139^2+(P139^2)/12), SQRT(M139^2+(P139^2)/12))</f>
        <v>6.21284845176523</v>
      </c>
      <c r="R139" s="488" t="n">
        <f aca="false">(Q139^2*Rdcr*(1+Ltc*Ta-Ltc*25))/(1-Q139^2*Rdcr*Ltc*ThetaCa)</f>
        <v>0.130659910351313</v>
      </c>
      <c r="S139" s="488" t="n">
        <f aca="false">7.759*10^-3*Fsw^0.9458*(0.00787*P139)^2.304</f>
        <v>0.8781323392916</v>
      </c>
      <c r="T139" s="488" t="n">
        <f aca="false">R139+S139</f>
        <v>1.00879224964291</v>
      </c>
      <c r="U139" s="385" t="n">
        <f aca="false">IF(H139&gt;Vout, P139/SQRT(12), SQRT(O139/(1-O139))*SQRT(K139^2+(P139^2)/12))</f>
        <v>1.61229212136063</v>
      </c>
      <c r="V139" s="488" t="n">
        <f aca="false">RCoutEsr*U139^2</f>
        <v>0.0129974294230078</v>
      </c>
      <c r="W139" s="488" t="n">
        <f aca="false">V139</f>
        <v>0.0129974294230078</v>
      </c>
      <c r="X139" s="488" t="n">
        <f aca="false">IF(H139&gt;Vout, SQRT(N139*(1-N139))*SQRT(K139^2+(P139^2)/12), P139/SQRT(12))</f>
        <v>2.96195467493786</v>
      </c>
      <c r="Y139" s="587" t="n">
        <f aca="false">RCinEsr*X139^2</f>
        <v>0.0175463509927724</v>
      </c>
      <c r="Z139" s="588" t="n">
        <f aca="false">Y139</f>
        <v>0.0175463509927724</v>
      </c>
      <c r="AA139" s="488" t="n">
        <f aca="false">CHOOSE(J139, SQRT(N139)*SQRT(K139^2+(P139^2)/12), SQRT(L139^2+(P139^2)/12), SQRT(N139)*SQRT(M139^2+(P139^2)/12))</f>
        <v>3.67185592288343</v>
      </c>
      <c r="AB139" s="488" t="n">
        <f aca="false">Rdson1*AA139^2</f>
        <v>0.0768503977349606</v>
      </c>
      <c r="AC139" s="488" t="n">
        <f aca="false">CHOOSE(J139, (H139*K139/2)*(Fsw)*(Tr_buck+Tf_buck), 0, (H139*M139/2)*(Fsw/2)*(Tr_buck+Tf_buck))</f>
        <v>0.211412453371593</v>
      </c>
      <c r="AD139" s="0" t="n">
        <f aca="false">IF(H139&gt;Vout, IF(K139&gt;P139/2,0,ABS(K139-P139/2)*Vsd_Q1*Deadtime*Fsw),0)</f>
        <v>0</v>
      </c>
      <c r="AE139" s="488" t="n">
        <f aca="false">(AD139+AC139+AB139*(1+RdsonTopTc*Ta-RdsonTopTc*25))/(1-AB139*RdsonTopTc*ThetaJA_Q1)</f>
        <v>0.292762636111981</v>
      </c>
      <c r="AF139" s="488" t="n">
        <f aca="false">CHOOSE(J139, SQRT((1-N139))*SQRT(K139^2+(P139^2)/12), 0, SQRT((1-N139))*SQRT(M139^2+(P139^2)/12))</f>
        <v>5.01168234889118</v>
      </c>
      <c r="AG139" s="488" t="n">
        <f aca="false">Rdson2*AF139^2</f>
        <v>0.143166671807268</v>
      </c>
      <c r="AH139" s="488" t="n">
        <f aca="false">CHOOSE(J139, IF(K139&lt;P139/2,Deadtime*Fsw*IF(VfdSky_Q2&gt;0,0,Vsd_Q2)*(K139+P139/2),2*Deadtime*Fsw*IF(VfdSky_Q2&gt;0,0,Vsd_Q2)*K139),0, IF(K139&lt;P139/2,Deadtime*Fsw/2*IF(VfdSky_Q2&gt;0,0,Vsd_Q2)*(K139+P139/2),2*Deadtime*Fsw/2*IF(VfdSky_Q2&gt;0,0,Vsd_Q2)*K139))</f>
        <v>0.144</v>
      </c>
      <c r="AI139" s="488" t="n">
        <f aca="false">(AH139+AG139*(1+RdsonBotTc*Ta-RdsonBotTc*25))/(1-AG139*RdsonBotTc*ThetaJA_Q2)</f>
        <v>0.295631589970708</v>
      </c>
      <c r="AJ139" s="488" t="n">
        <f aca="false">CHOOSE(J139, 0, SQRT(O139)*SQRT(L139^2+(P139^2)/12), SQRT(O139)*SQRT(M139^2+(P139^2)/12))</f>
        <v>0</v>
      </c>
      <c r="AK139" s="488" t="n">
        <f aca="false">Rdson4*AJ139^2</f>
        <v>0</v>
      </c>
      <c r="AL139" s="488" t="n">
        <f aca="false">CHOOSE(J139, 0, (Vout*L139/2)*(Fsw)*(Tr_boost+Tf_boost), (Vout*Iout/2)*(Fsw/2)*(Tr_boost+Tf_boost))</f>
        <v>0</v>
      </c>
      <c r="AM139" s="0" t="n">
        <f aca="false">IF(H139&gt;Vout, 0, IF(L139&gt;P139/2,0,ABS(L139-P139/2)*Vsd_Q4*Deadtime*Fsw))</f>
        <v>0</v>
      </c>
      <c r="AN139" s="488" t="n">
        <f aca="false">(AM139+AL139+AK139*(1+RdsonTopTc*Ta-RdsonTopTc*25))/(1-AK139*RdsonTopTc*ThetaJA_Q4)</f>
        <v>0</v>
      </c>
      <c r="AO139" s="488" t="n">
        <f aca="false">CHOOSE(J139, SQRT(Iout^2+(P139^2)/12), SQRT(1-O139)*SQRT(L139^2+(P139^2)/12), SQRT(1-O139)*SQRT(M139^2+(P139^2)/12))</f>
        <v>6.21284845176523</v>
      </c>
      <c r="AP139" s="488" t="n">
        <f aca="false">Rdson3*AO139^2</f>
        <v>0.073339023180743</v>
      </c>
      <c r="AQ139" s="488" t="n">
        <f aca="false">CHOOSE(J139, 0, IF(L139&lt;P139/2,Deadtime*Fsw*IF(VfdSky_Q3&gt;0,0,Vsd_Q3)*(L139+P139/2), 2*Deadtime*Fsw*IF(VfdSky_Q3&gt;0,0,Vsd_Q3)*L139), IF(L139&lt;P139/2,Deadtime*Fsw/2*IF(VfdSky_Q3&gt;0,0,Vsd_Q3)*(L139+P139/2), 2*Deadtime*Fsw/2*IF(VfdSky_Q3&gt;0,0,Vsd_Q3)*L139))</f>
        <v>0</v>
      </c>
      <c r="AR139" s="488" t="n">
        <f aca="false">(AQ139+AP139*(1+RdsonBotTc*Ta-RdsonBotTc*25))/(1-AP139*RdsonBotTc*ThetaJA_Q3)</f>
        <v>0.0744307590128639</v>
      </c>
      <c r="AS139" s="488" t="n">
        <f aca="false">CHOOSE(J139, Rdson3*Q139^2, Rdson1*Q139^2, 0)</f>
        <v>0.073339023180743</v>
      </c>
      <c r="AT139" s="488" t="n">
        <f aca="false">CHOOSE(J139, 2*Deadtime*Fsw*IF(VfdSky_Q2&gt;0,VfdSky_Q2,0)*K139, 2*Deadtime*Fsw*IF(VfdSky_Q3&gt;0,VfdSky_Q3,0)*L139, 2*Deadtime*Fsw/2*IF(VfdSky_Q2&gt;0,VfdSky_Q2,0)*K139+2*Deadtime*Fsw/2*IF(VfdSky_Q3&gt;0,VfdSky_Q3,0)*L139)</f>
        <v>0</v>
      </c>
      <c r="AU139" s="488" t="n">
        <f aca="false">CHOOSE(J139, IF(QrrSky_Q2&gt;0,QrrSky_Q2,Qrr_Q2)*Fsw*(H139-K139*Rdson1), IF(QrrSky_Q3&gt;0,QrrSky_Q3,Qrr_Q3)*Fsw*Vout,  IF(QrrSky_Q2&gt;0,QrrSky_Q2,Qrr_Q2)*Fsw/2*(H139-K139*Rdson1)+IF(QrrSky_Q3&gt;0,QrrSky_Q3,Qrr_Q3)*Fsw/2*Vout)</f>
        <v>0.65329362</v>
      </c>
      <c r="AV139" s="488" t="n">
        <f aca="false">CHOOSE(J139, Rs*AF139^2, Rs*AJ139^2, Rs*(AF139^2+AJ139^2))</f>
        <v>0.200935679729499</v>
      </c>
      <c r="AW139" s="488" t="n">
        <f aca="false">Rshunt_std/1000*Iout^2</f>
        <v>0.14832</v>
      </c>
      <c r="AX139" s="488" t="n">
        <f aca="false">IF(Vout&gt;8, Iq*Vout, Iq*H139)</f>
        <v>0.036</v>
      </c>
      <c r="AY139" s="488" t="n">
        <f aca="false">CHOOSE(J139, (Qg_Q1+Qg_Q2)*Fsw, (Qg_Q3+Qg_Q4)*Fsw, (Qg_Q1+Qg_Q2+Qg_Q3+Qg_Q4)*Fsw/2)*IF(Vout&gt;8, Vout, H139)</f>
        <v>0.0792</v>
      </c>
      <c r="AZ139" s="488" t="n">
        <f aca="false">(Vin-Vdd)*Fsw*(Qg_Q1+Qg_Q2)+(RdsonDRT+RdsonDRT2)*Fsw*Qg_Q1*Vdd/(RdsonDRT+2*Rgate1+RdsonDRT2)+(RdsonDRB+RdsonDRB2)*Fsw*Qg_Q2*Vdd/(RdsonDRB+2*Rgate2+RdsonDRB2)</f>
        <v>0.0522</v>
      </c>
      <c r="BA139" s="488" t="n">
        <f aca="false">SUM(AX139:AY139)</f>
        <v>0.1152</v>
      </c>
      <c r="BB139" s="488" t="n">
        <f aca="false">SUM(T139,W139,Z139,AE139,AI139,AN139,AR139, AT139,AU139,BA139,AV139,AW139)</f>
        <v>2.81991031488375</v>
      </c>
      <c r="BC139" s="419" t="n">
        <f aca="false">Vout*K139</f>
        <v>72</v>
      </c>
      <c r="BD139" s="589" t="n">
        <f aca="false">BC139/(BC139+BB139)</f>
        <v>0.962310696403992</v>
      </c>
      <c r="BE139" s="590" t="n">
        <f aca="false">IF(H139&gt;Vout,ThetaJA_Q1*(AE139+AU139),ThetaJA_Q4*(AN139+AU139))</f>
        <v>47.3028128055991</v>
      </c>
      <c r="BF139" s="590" t="n">
        <f aca="false">IF(H139&gt;Vout, AI139*ThetaJA_Q2, ThetaJA_Q3*AR139)</f>
        <v>14.7815794985354</v>
      </c>
      <c r="BG139" s="536"/>
      <c r="BH139" s="385" t="n">
        <f aca="false">BD139*100</f>
        <v>96.2310696403992</v>
      </c>
      <c r="BI139" s="488" t="n">
        <f aca="false">T139</f>
        <v>1.00879224964291</v>
      </c>
      <c r="BJ139" s="488" t="n">
        <f aca="false">AE139+AI139+AN139+AR139+AU139</f>
        <v>1.31611860509555</v>
      </c>
      <c r="BK139" s="488" t="n">
        <f aca="false">AI139+AU139*0.33</f>
        <v>0.511218484570708</v>
      </c>
      <c r="BL139" s="488" t="n">
        <f aca="false">AV139</f>
        <v>0.200935679729499</v>
      </c>
    </row>
    <row r="140" customFormat="false" ht="12.75" hidden="false" customHeight="false" outlineLevel="0" collapsed="false">
      <c r="G140" s="0" t="n">
        <v>131</v>
      </c>
      <c r="H140" s="586" t="n">
        <f aca="false">VIN_min+(VIN_max-VIN_min)*(G140/200)</f>
        <v>34.82</v>
      </c>
      <c r="I140" s="385" t="str">
        <f aca="false">IF(H140&gt;VIN_BB_to_buck, "BUCK", IF(H140&lt;VIN_boost_to_BB,"BOOST","BUCK-BST"))</f>
        <v>BUCK</v>
      </c>
      <c r="J140" s="419" t="n">
        <f aca="false">IF(I140="BOOST",2, IF(I140="BUCK", 1,3))</f>
        <v>1</v>
      </c>
      <c r="K140" s="0" t="n">
        <f aca="false">Iout</f>
        <v>6</v>
      </c>
      <c r="L140" s="385" t="n">
        <f aca="false">Vout*K140/(H140*Efficiency)</f>
        <v>2.29753015508329</v>
      </c>
      <c r="M140" s="385" t="n">
        <f aca="false">Iout/(1-O140)</f>
        <v>6</v>
      </c>
      <c r="N140" s="488" t="n">
        <f aca="false">CHOOSE(J140,(Vout+(Rdson2+Rs+Rdcr)*K140)/(H140+(Rs+Rdson2-Rdson1)*K140),1,IF(H140&lt;Vout,D_max_buck_BB,Vout/H140*(1-D_min_boost_exitBB_to_buck)))</f>
        <v>0.347089021452335</v>
      </c>
      <c r="O140" s="488" t="n">
        <f aca="false">CHOOSE(J140,0,(Vout+(Rdson3+Rdcr)*L140-H140)/(Vout+(Rdson3-Rdson4-Rs)*L140),IF(H140&gt;Vout,D_min_boost_exitBB_to_buck, (Vout-H140*D_max_buck_BB)/Vout))</f>
        <v>0</v>
      </c>
      <c r="P140" s="385" t="n">
        <f aca="false">MAX(0, CHOOSE(J140, (H140-(Rdson1+Rdcr)*K140-Vout)*N140/(Fsw*Lf), (H140-(Rdson4+Rdcr+Rs)*L140)*O140/(Fsw*Lf), IF(H140&lt;Vout, (H140-(Rdson4+Rdcr+Rs)*L140)*O140/(0.5*Fsw*Lf),(H140-(Rdson1+Rdcr)*K140-Vout)*N140/(0.5*Fsw*Lf))))</f>
        <v>5.60405995438114</v>
      </c>
      <c r="Q140" s="488" t="n">
        <f aca="false">CHOOSE(J140, SQRT(K140^2+(P140^2)/12), SQRT(L140^2+(P140^2)/12), SQRT(M140^2+(P140^2)/12))</f>
        <v>6.21426777647146</v>
      </c>
      <c r="R140" s="488" t="n">
        <f aca="false">(Q140^2*Rdcr*(1+Ltc*Ta-Ltc*25))/(1-Q140^2*Rdcr*Ltc*ThetaCa)</f>
        <v>0.130720240036827</v>
      </c>
      <c r="S140" s="488" t="n">
        <f aca="false">7.759*10^-3*Fsw^0.9458*(0.00787*P140)^2.304</f>
        <v>0.884999869524479</v>
      </c>
      <c r="T140" s="488" t="n">
        <f aca="false">R140+S140</f>
        <v>1.01572010956131</v>
      </c>
      <c r="U140" s="385" t="n">
        <f aca="false">IF(H140&gt;Vout, P140/SQRT(12), SQRT(O140/(1-O140))*SQRT(K140^2+(P140^2)/12))</f>
        <v>1.61775276160838</v>
      </c>
      <c r="V140" s="488" t="n">
        <f aca="false">RCoutEsr*U140^2</f>
        <v>0.0130856199884577</v>
      </c>
      <c r="W140" s="488" t="n">
        <f aca="false">V140</f>
        <v>0.0130856199884577</v>
      </c>
      <c r="X140" s="488" t="n">
        <f aca="false">IF(H140&gt;Vout, SQRT(N140*(1-N140))*SQRT(K140^2+(P140^2)/12), P140/SQRT(12))</f>
        <v>2.95826712620429</v>
      </c>
      <c r="Y140" s="587" t="n">
        <f aca="false">RCinEsr*X140^2</f>
        <v>0.0175026887799619</v>
      </c>
      <c r="Z140" s="588" t="n">
        <f aca="false">Y140</f>
        <v>0.0175026887799619</v>
      </c>
      <c r="AA140" s="488" t="n">
        <f aca="false">CHOOSE(J140, SQRT(N140)*SQRT(K140^2+(P140^2)/12), SQRT(L140^2+(P140^2)/12), SQRT(N140)*SQRT(M140^2+(P140^2)/12))</f>
        <v>3.66108997153337</v>
      </c>
      <c r="AB140" s="488" t="n">
        <f aca="false">Rdson1*AA140^2</f>
        <v>0.0764004047440746</v>
      </c>
      <c r="AC140" s="488" t="n">
        <f aca="false">CHOOSE(J140, (H140*K140/2)*(Fsw)*(Tr_buck+Tf_buck), 0, (H140*M140/2)*(Fsw/2)*(Tr_buck+Tf_buck))</f>
        <v>0.212756694404591</v>
      </c>
      <c r="AD140" s="0" t="n">
        <f aca="false">IF(H140&gt;Vout, IF(K140&gt;P140/2,0,ABS(K140-P140/2)*Vsd_Q1*Deadtime*Fsw),0)</f>
        <v>0</v>
      </c>
      <c r="AE140" s="488" t="n">
        <f aca="false">(AD140+AC140+AB140*(1+RdsonTopTc*Ta-RdsonTopTc*25))/(1-AB140*RdsonTopTc*ThetaJA_Q1)</f>
        <v>0.293644003289057</v>
      </c>
      <c r="AF140" s="488" t="n">
        <f aca="false">CHOOSE(J140, SQRT((1-N140))*SQRT(K140^2+(P140^2)/12), 0, SQRT((1-N140))*SQRT(M140^2+(P140^2)/12))</f>
        <v>5.02130901439349</v>
      </c>
      <c r="AG140" s="488" t="n">
        <f aca="false">Rdson2*AF140^2</f>
        <v>0.143717202042767</v>
      </c>
      <c r="AH140" s="488" t="n">
        <f aca="false">CHOOSE(J140, IF(K140&lt;P140/2,Deadtime*Fsw*IF(VfdSky_Q2&gt;0,0,Vsd_Q2)*(K140+P140/2),2*Deadtime*Fsw*IF(VfdSky_Q2&gt;0,0,Vsd_Q2)*K140),0, IF(K140&lt;P140/2,Deadtime*Fsw/2*IF(VfdSky_Q2&gt;0,0,Vsd_Q2)*(K140+P140/2),2*Deadtime*Fsw/2*IF(VfdSky_Q2&gt;0,0,Vsd_Q2)*K140))</f>
        <v>0.144</v>
      </c>
      <c r="AI140" s="488" t="n">
        <f aca="false">(AH140+AG140*(1+RdsonBotTc*Ta-RdsonBotTc*25))/(1-AG140*RdsonBotTc*ThetaJA_Q2)</f>
        <v>0.296231926777198</v>
      </c>
      <c r="AJ140" s="488" t="n">
        <f aca="false">CHOOSE(J140, 0, SQRT(O140)*SQRT(L140^2+(P140^2)/12), SQRT(O140)*SQRT(M140^2+(P140^2)/12))</f>
        <v>0</v>
      </c>
      <c r="AK140" s="488" t="n">
        <f aca="false">Rdson4*AJ140^2</f>
        <v>0</v>
      </c>
      <c r="AL140" s="488" t="n">
        <f aca="false">CHOOSE(J140, 0, (Vout*L140/2)*(Fsw)*(Tr_boost+Tf_boost), (Vout*Iout/2)*(Fsw/2)*(Tr_boost+Tf_boost))</f>
        <v>0</v>
      </c>
      <c r="AM140" s="0" t="n">
        <f aca="false">IF(H140&gt;Vout, 0, IF(L140&gt;P140/2,0,ABS(L140-P140/2)*Vsd_Q4*Deadtime*Fsw))</f>
        <v>0</v>
      </c>
      <c r="AN140" s="488" t="n">
        <f aca="false">(AM140+AL140+AK140*(1+RdsonTopTc*Ta-RdsonTopTc*25))/(1-AK140*RdsonTopTc*ThetaJA_Q4)</f>
        <v>0</v>
      </c>
      <c r="AO140" s="488" t="n">
        <f aca="false">CHOOSE(J140, SQRT(Iout^2+(P140^2)/12), SQRT(1-O140)*SQRT(L140^2+(P140^2)/12), SQRT(1-O140)*SQRT(M140^2+(P140^2)/12))</f>
        <v>6.21426777647146</v>
      </c>
      <c r="AP140" s="488" t="n">
        <f aca="false">Rdson3*AO140^2</f>
        <v>0.0733725355956139</v>
      </c>
      <c r="AQ140" s="488" t="n">
        <f aca="false">CHOOSE(J140, 0, IF(L140&lt;P140/2,Deadtime*Fsw*IF(VfdSky_Q3&gt;0,0,Vsd_Q3)*(L140+P140/2), 2*Deadtime*Fsw*IF(VfdSky_Q3&gt;0,0,Vsd_Q3)*L140), IF(L140&lt;P140/2,Deadtime*Fsw/2*IF(VfdSky_Q3&gt;0,0,Vsd_Q3)*(L140+P140/2), 2*Deadtime*Fsw/2*IF(VfdSky_Q3&gt;0,0,Vsd_Q3)*L140))</f>
        <v>0</v>
      </c>
      <c r="AR140" s="488" t="n">
        <f aca="false">(AQ140+AP140*(1+RdsonBotTc*Ta-RdsonBotTc*25))/(1-AP140*RdsonBotTc*ThetaJA_Q3)</f>
        <v>0.0744652768305919</v>
      </c>
      <c r="AS140" s="488" t="n">
        <f aca="false">CHOOSE(J140, Rdson3*Q140^2, Rdson1*Q140^2, 0)</f>
        <v>0.0733725355956139</v>
      </c>
      <c r="AT140" s="488" t="n">
        <f aca="false">CHOOSE(J140, 2*Deadtime*Fsw*IF(VfdSky_Q2&gt;0,VfdSky_Q2,0)*K140, 2*Deadtime*Fsw*IF(VfdSky_Q3&gt;0,VfdSky_Q3,0)*L140, 2*Deadtime*Fsw/2*IF(VfdSky_Q2&gt;0,VfdSky_Q2,0)*K140+2*Deadtime*Fsw/2*IF(VfdSky_Q3&gt;0,VfdSky_Q3,0)*L140)</f>
        <v>0</v>
      </c>
      <c r="AU140" s="488" t="n">
        <f aca="false">CHOOSE(J140, IF(QrrSky_Q2&gt;0,QrrSky_Q2,Qrr_Q2)*Fsw*(H140-K140*Rdson1), IF(QrrSky_Q3&gt;0,QrrSky_Q3,Qrr_Q3)*Fsw*Vout,  IF(QrrSky_Q2&gt;0,QrrSky_Q2,Qrr_Q2)*Fsw/2*(H140-K140*Rdson1)+IF(QrrSky_Q3&gt;0,QrrSky_Q3,Qrr_Q3)*Fsw/2*Vout)</f>
        <v>0.65745162</v>
      </c>
      <c r="AV140" s="488" t="n">
        <f aca="false">CHOOSE(J140, Rs*AF140^2, Rs*AJ140^2, Rs*(AF140^2+AJ140^2))</f>
        <v>0.201708353744235</v>
      </c>
      <c r="AW140" s="488" t="n">
        <f aca="false">Rshunt_std/1000*Iout^2</f>
        <v>0.14832</v>
      </c>
      <c r="AX140" s="488" t="n">
        <f aca="false">IF(Vout&gt;8, Iq*Vout, Iq*H140)</f>
        <v>0.036</v>
      </c>
      <c r="AY140" s="488" t="n">
        <f aca="false">CHOOSE(J140, (Qg_Q1+Qg_Q2)*Fsw, (Qg_Q3+Qg_Q4)*Fsw, (Qg_Q1+Qg_Q2+Qg_Q3+Qg_Q4)*Fsw/2)*IF(Vout&gt;8, Vout, H140)</f>
        <v>0.0792</v>
      </c>
      <c r="AZ140" s="488" t="n">
        <f aca="false">(Vin-Vdd)*Fsw*(Qg_Q1+Qg_Q2)+(RdsonDRT+RdsonDRT2)*Fsw*Qg_Q1*Vdd/(RdsonDRT+2*Rgate1+RdsonDRT2)+(RdsonDRB+RdsonDRB2)*Fsw*Qg_Q2*Vdd/(RdsonDRB+2*Rgate2+RdsonDRB2)</f>
        <v>0.0522</v>
      </c>
      <c r="BA140" s="488" t="n">
        <f aca="false">SUM(AX140:AY140)</f>
        <v>0.1152</v>
      </c>
      <c r="BB140" s="488" t="n">
        <f aca="false">SUM(T140,W140,Z140,AE140,AI140,AN140,AR140, AT140,AU140,BA140,AV140,AW140)</f>
        <v>2.83332959897081</v>
      </c>
      <c r="BC140" s="419" t="n">
        <f aca="false">Vout*K140</f>
        <v>72</v>
      </c>
      <c r="BD140" s="589" t="n">
        <f aca="false">BC140/(BC140+BB140)</f>
        <v>0.962138132645513</v>
      </c>
      <c r="BE140" s="590" t="n">
        <f aca="false">IF(H140&gt;Vout,ThetaJA_Q1*(AE140+AU140),ThetaJA_Q4*(AN140+AU140))</f>
        <v>47.5547811644528</v>
      </c>
      <c r="BF140" s="590" t="n">
        <f aca="false">IF(H140&gt;Vout, AI140*ThetaJA_Q2, ThetaJA_Q3*AR140)</f>
        <v>14.8115963388599</v>
      </c>
      <c r="BG140" s="536"/>
      <c r="BH140" s="385" t="n">
        <f aca="false">BD140*100</f>
        <v>96.2138132645513</v>
      </c>
      <c r="BI140" s="488" t="n">
        <f aca="false">T140</f>
        <v>1.01572010956131</v>
      </c>
      <c r="BJ140" s="488" t="n">
        <f aca="false">AE140+AI140+AN140+AR140+AU140</f>
        <v>1.32179282689685</v>
      </c>
      <c r="BK140" s="488" t="n">
        <f aca="false">AI140+AU140*0.33</f>
        <v>0.513190961377198</v>
      </c>
      <c r="BL140" s="488" t="n">
        <f aca="false">AV140</f>
        <v>0.201708353744235</v>
      </c>
    </row>
    <row r="141" customFormat="false" ht="12.75" hidden="false" customHeight="false" outlineLevel="0" collapsed="false">
      <c r="G141" s="0" t="n">
        <v>132</v>
      </c>
      <c r="H141" s="586" t="n">
        <f aca="false">VIN_min+(VIN_max-VIN_min)*(G141/200)</f>
        <v>35.04</v>
      </c>
      <c r="I141" s="385" t="str">
        <f aca="false">IF(H141&gt;VIN_BB_to_buck, "BUCK", IF(H141&lt;VIN_boost_to_BB,"BOOST","BUCK-BST"))</f>
        <v>BUCK</v>
      </c>
      <c r="J141" s="419" t="n">
        <f aca="false">IF(I141="BOOST",2, IF(I141="BUCK", 1,3))</f>
        <v>1</v>
      </c>
      <c r="K141" s="0" t="n">
        <f aca="false">Iout</f>
        <v>6</v>
      </c>
      <c r="L141" s="385" t="n">
        <f aca="false">Vout*K141/(H141*Efficiency)</f>
        <v>2.28310502283105</v>
      </c>
      <c r="M141" s="385" t="n">
        <f aca="false">Iout/(1-O141)</f>
        <v>6</v>
      </c>
      <c r="N141" s="488" t="n">
        <f aca="false">CHOOSE(J141,(Vout+(Rdson2+Rs+Rdcr)*K141)/(H141+(Rs+Rdson2-Rdson1)*K141),1,IF(H141&lt;Vout,D_max_buck_BB,Vout/H141*(1-D_min_boost_exitBB_to_buck)))</f>
        <v>0.344912790697674</v>
      </c>
      <c r="O141" s="488" t="n">
        <f aca="false">CHOOSE(J141,0,(Vout+(Rdson3+Rdcr)*L141-H141)/(Vout+(Rdson3-Rdson4-Rs)*L141),IF(H141&gt;Vout,D_min_boost_exitBB_to_buck, (Vout-H141*D_max_buck_BB)/Vout))</f>
        <v>0</v>
      </c>
      <c r="P141" s="385" t="n">
        <f aca="false">MAX(0, CHOOSE(J141, (H141-(Rdson1+Rdcr)*K141-Vout)*N141/(Fsw*Lf), (H141-(Rdson4+Rdcr+Rs)*L141)*O141/(Fsw*Lf), IF(H141&lt;Vout, (H141-(Rdson4+Rdcr+Rs)*L141)*O141/(0.5*Fsw*Lf),(H141-(Rdson1+Rdcr)*K141-Vout)*N141/(0.5*Fsw*Lf))))</f>
        <v>5.62273895967343</v>
      </c>
      <c r="Q141" s="488" t="n">
        <f aca="false">CHOOSE(J141, SQRT(K141^2+(P141^2)/12), SQRT(L141^2+(P141^2)/12), SQRT(M141^2+(P141^2)/12))</f>
        <v>6.2156736924262</v>
      </c>
      <c r="R141" s="488" t="n">
        <f aca="false">(Q141^2*Rdcr*(1+Ltc*Ta-Ltc*25))/(1-Q141^2*Rdcr*Ltc*ThetaCa)</f>
        <v>0.130780013925628</v>
      </c>
      <c r="S141" s="488" t="n">
        <f aca="false">7.759*10^-3*Fsw^0.9458*(0.00787*P141)^2.304</f>
        <v>0.891811008689181</v>
      </c>
      <c r="T141" s="488" t="n">
        <f aca="false">R141+S141</f>
        <v>1.02259102261481</v>
      </c>
      <c r="U141" s="385" t="n">
        <f aca="false">IF(H141&gt;Vout, P141/SQRT(12), SQRT(O141/(1-O141))*SQRT(K141^2+(P141^2)/12))</f>
        <v>1.62314492597523</v>
      </c>
      <c r="V141" s="488" t="n">
        <f aca="false">RCoutEsr*U141^2</f>
        <v>0.0131729972535956</v>
      </c>
      <c r="W141" s="488" t="n">
        <f aca="false">V141</f>
        <v>0.0131729972535956</v>
      </c>
      <c r="X141" s="488" t="n">
        <f aca="false">IF(H141&gt;Vout, SQRT(N141*(1-N141))*SQRT(K141^2+(P141^2)/12), P141/SQRT(12))</f>
        <v>2.95455729934935</v>
      </c>
      <c r="Y141" s="587" t="n">
        <f aca="false">RCinEsr*X141^2</f>
        <v>0.017458817670277</v>
      </c>
      <c r="Z141" s="588" t="n">
        <f aca="false">Y141</f>
        <v>0.017458817670277</v>
      </c>
      <c r="AA141" s="488" t="n">
        <f aca="false">CHOOSE(J141, SQRT(N141)*SQRT(K141^2+(P141^2)/12), SQRT(L141^2+(P141^2)/12), SQRT(N141)*SQRT(M141^2+(P141^2)/12))</f>
        <v>3.6504201832165</v>
      </c>
      <c r="AB141" s="488" t="n">
        <f aca="false">Rdson1*AA141^2</f>
        <v>0.0759557348299959</v>
      </c>
      <c r="AC141" s="488" t="n">
        <f aca="false">CHOOSE(J141, (H141*K141/2)*(Fsw)*(Tr_buck+Tf_buck), 0, (H141*M141/2)*(Fsw/2)*(Tr_buck+Tf_buck))</f>
        <v>0.21410093543759</v>
      </c>
      <c r="AD141" s="0" t="n">
        <f aca="false">IF(H141&gt;Vout, IF(K141&gt;P141/2,0,ABS(K141-P141/2)*Vsd_Q1*Deadtime*Fsw),0)</f>
        <v>0</v>
      </c>
      <c r="AE141" s="488" t="n">
        <f aca="false">(AD141+AC141+AB141*(1+RdsonTopTc*Ta-RdsonTopTc*25))/(1-AB141*RdsonTopTc*ThetaJA_Q1)</f>
        <v>0.294530932956155</v>
      </c>
      <c r="AF141" s="488" t="n">
        <f aca="false">CHOOSE(J141, SQRT((1-N141))*SQRT(K141^2+(P141^2)/12), 0, SQRT((1-N141))*SQRT(M141^2+(P141^2)/12))</f>
        <v>5.03080827866505</v>
      </c>
      <c r="AG141" s="488" t="n">
        <f aca="false">Rdson2*AF141^2</f>
        <v>0.144261482039103</v>
      </c>
      <c r="AH141" s="488" t="n">
        <f aca="false">CHOOSE(J141, IF(K141&lt;P141/2,Deadtime*Fsw*IF(VfdSky_Q2&gt;0,0,Vsd_Q2)*(K141+P141/2),2*Deadtime*Fsw*IF(VfdSky_Q2&gt;0,0,Vsd_Q2)*K141),0, IF(K141&lt;P141/2,Deadtime*Fsw/2*IF(VfdSky_Q2&gt;0,0,Vsd_Q2)*(K141+P141/2),2*Deadtime*Fsw/2*IF(VfdSky_Q2&gt;0,0,Vsd_Q2)*K141))</f>
        <v>0.144</v>
      </c>
      <c r="AI141" s="488" t="n">
        <f aca="false">(AH141+AG141*(1+RdsonBotTc*Ta-RdsonBotTc*25))/(1-AG141*RdsonBotTc*ThetaJA_Q2)</f>
        <v>0.296825581703846</v>
      </c>
      <c r="AJ141" s="488" t="n">
        <f aca="false">CHOOSE(J141, 0, SQRT(O141)*SQRT(L141^2+(P141^2)/12), SQRT(O141)*SQRT(M141^2+(P141^2)/12))</f>
        <v>0</v>
      </c>
      <c r="AK141" s="488" t="n">
        <f aca="false">Rdson4*AJ141^2</f>
        <v>0</v>
      </c>
      <c r="AL141" s="488" t="n">
        <f aca="false">CHOOSE(J141, 0, (Vout*L141/2)*(Fsw)*(Tr_boost+Tf_boost), (Vout*Iout/2)*(Fsw/2)*(Tr_boost+Tf_boost))</f>
        <v>0</v>
      </c>
      <c r="AM141" s="0" t="n">
        <f aca="false">IF(H141&gt;Vout, 0, IF(L141&gt;P141/2,0,ABS(L141-P141/2)*Vsd_Q4*Deadtime*Fsw))</f>
        <v>0</v>
      </c>
      <c r="AN141" s="488" t="n">
        <f aca="false">(AM141+AL141+AK141*(1+RdsonTopTc*Ta-RdsonTopTc*25))/(1-AK141*RdsonTopTc*ThetaJA_Q4)</f>
        <v>0</v>
      </c>
      <c r="AO141" s="488" t="n">
        <f aca="false">CHOOSE(J141, SQRT(Iout^2+(P141^2)/12), SQRT(1-O141)*SQRT(L141^2+(P141^2)/12), SQRT(1-O141)*SQRT(M141^2+(P141^2)/12))</f>
        <v>6.2156736924262</v>
      </c>
      <c r="AP141" s="488" t="n">
        <f aca="false">Rdson3*AO141^2</f>
        <v>0.0734057389563663</v>
      </c>
      <c r="AQ141" s="488" t="n">
        <f aca="false">CHOOSE(J141, 0, IF(L141&lt;P141/2,Deadtime*Fsw*IF(VfdSky_Q3&gt;0,0,Vsd_Q3)*(L141+P141/2), 2*Deadtime*Fsw*IF(VfdSky_Q3&gt;0,0,Vsd_Q3)*L141), IF(L141&lt;P141/2,Deadtime*Fsw/2*IF(VfdSky_Q3&gt;0,0,Vsd_Q3)*(L141+P141/2), 2*Deadtime*Fsw/2*IF(VfdSky_Q3&gt;0,0,Vsd_Q3)*L141))</f>
        <v>0</v>
      </c>
      <c r="AR141" s="488" t="n">
        <f aca="false">(AQ141+AP141*(1+RdsonBotTc*Ta-RdsonBotTc*25))/(1-AP141*RdsonBotTc*ThetaJA_Q3)</f>
        <v>0.0744994767854257</v>
      </c>
      <c r="AS141" s="488" t="n">
        <f aca="false">CHOOSE(J141, Rdson3*Q141^2, Rdson1*Q141^2, 0)</f>
        <v>0.0734057389563663</v>
      </c>
      <c r="AT141" s="488" t="n">
        <f aca="false">CHOOSE(J141, 2*Deadtime*Fsw*IF(VfdSky_Q2&gt;0,VfdSky_Q2,0)*K141, 2*Deadtime*Fsw*IF(VfdSky_Q3&gt;0,VfdSky_Q3,0)*L141, 2*Deadtime*Fsw/2*IF(VfdSky_Q2&gt;0,VfdSky_Q2,0)*K141+2*Deadtime*Fsw/2*IF(VfdSky_Q3&gt;0,VfdSky_Q3,0)*L141)</f>
        <v>0</v>
      </c>
      <c r="AU141" s="488" t="n">
        <f aca="false">CHOOSE(J141, IF(QrrSky_Q2&gt;0,QrrSky_Q2,Qrr_Q2)*Fsw*(H141-K141*Rdson1), IF(QrrSky_Q3&gt;0,QrrSky_Q3,Qrr_Q3)*Fsw*Vout,  IF(QrrSky_Q2&gt;0,QrrSky_Q2,Qrr_Q2)*Fsw/2*(H141-K141*Rdson1)+IF(QrrSky_Q3&gt;0,QrrSky_Q3,Qrr_Q3)*Fsw/2*Vout)</f>
        <v>0.66160962</v>
      </c>
      <c r="AV141" s="488" t="n">
        <f aca="false">CHOOSE(J141, Rs*AF141^2, Rs*AJ141^2, Rs*(AF141^2+AJ141^2))</f>
        <v>0.202472255493478</v>
      </c>
      <c r="AW141" s="488" t="n">
        <f aca="false">Rshunt_std/1000*Iout^2</f>
        <v>0.14832</v>
      </c>
      <c r="AX141" s="488" t="n">
        <f aca="false">IF(Vout&gt;8, Iq*Vout, Iq*H141)</f>
        <v>0.036</v>
      </c>
      <c r="AY141" s="488" t="n">
        <f aca="false">CHOOSE(J141, (Qg_Q1+Qg_Q2)*Fsw, (Qg_Q3+Qg_Q4)*Fsw, (Qg_Q1+Qg_Q2+Qg_Q3+Qg_Q4)*Fsw/2)*IF(Vout&gt;8, Vout, H141)</f>
        <v>0.0792</v>
      </c>
      <c r="AZ141" s="488" t="n">
        <f aca="false">(Vin-Vdd)*Fsw*(Qg_Q1+Qg_Q2)+(RdsonDRT+RdsonDRT2)*Fsw*Qg_Q1*Vdd/(RdsonDRT+2*Rgate1+RdsonDRT2)+(RdsonDRB+RdsonDRB2)*Fsw*Qg_Q2*Vdd/(RdsonDRB+2*Rgate2+RdsonDRB2)</f>
        <v>0.0522</v>
      </c>
      <c r="BA141" s="488" t="n">
        <f aca="false">SUM(AX141:AY141)</f>
        <v>0.1152</v>
      </c>
      <c r="BB141" s="488" t="n">
        <f aca="false">SUM(T141,W141,Z141,AE141,AI141,AN141,AR141, AT141,AU141,BA141,AV141,AW141)</f>
        <v>2.84668070447759</v>
      </c>
      <c r="BC141" s="419" t="n">
        <f aca="false">Vout*K141</f>
        <v>72</v>
      </c>
      <c r="BD141" s="589" t="n">
        <f aca="false">BC141/(BC141+BB141)</f>
        <v>0.961966507028985</v>
      </c>
      <c r="BE141" s="590" t="n">
        <f aca="false">IF(H141&gt;Vout,ThetaJA_Q1*(AE141+AU141),ThetaJA_Q4*(AN141+AU141))</f>
        <v>47.8070276478078</v>
      </c>
      <c r="BF141" s="590" t="n">
        <f aca="false">IF(H141&gt;Vout, AI141*ThetaJA_Q2, ThetaJA_Q3*AR141)</f>
        <v>14.8412790851923</v>
      </c>
      <c r="BG141" s="536"/>
      <c r="BH141" s="385" t="n">
        <f aca="false">BD141*100</f>
        <v>96.1966507028984</v>
      </c>
      <c r="BI141" s="488" t="n">
        <f aca="false">T141</f>
        <v>1.02259102261481</v>
      </c>
      <c r="BJ141" s="488" t="n">
        <f aca="false">AE141+AI141+AN141+AR141+AU141</f>
        <v>1.32746561144543</v>
      </c>
      <c r="BK141" s="488" t="n">
        <f aca="false">AI141+AU141*0.33</f>
        <v>0.515156756303846</v>
      </c>
      <c r="BL141" s="488" t="n">
        <f aca="false">AV141</f>
        <v>0.202472255493478</v>
      </c>
    </row>
    <row r="142" customFormat="false" ht="12.75" hidden="false" customHeight="false" outlineLevel="0" collapsed="false">
      <c r="G142" s="0" t="n">
        <v>133</v>
      </c>
      <c r="H142" s="586" t="n">
        <f aca="false">VIN_min+(VIN_max-VIN_min)*(G142/200)</f>
        <v>35.26</v>
      </c>
      <c r="I142" s="385" t="str">
        <f aca="false">IF(H142&gt;VIN_BB_to_buck, "BUCK", IF(H142&lt;VIN_boost_to_BB,"BOOST","BUCK-BST"))</f>
        <v>BUCK</v>
      </c>
      <c r="J142" s="419" t="n">
        <f aca="false">IF(I142="BOOST",2, IF(I142="BUCK", 1,3))</f>
        <v>1</v>
      </c>
      <c r="K142" s="0" t="n">
        <f aca="false">Iout</f>
        <v>6</v>
      </c>
      <c r="L142" s="385" t="n">
        <f aca="false">Vout*K142/(H142*Efficiency)</f>
        <v>2.2688598979013</v>
      </c>
      <c r="M142" s="385" t="n">
        <f aca="false">Iout/(1-O142)</f>
        <v>6</v>
      </c>
      <c r="N142" s="488" t="n">
        <f aca="false">CHOOSE(J142,(Vout+(Rdson2+Rs+Rdcr)*K142)/(H142+(Rs+Rdson2-Rdson1)*K142),1,IF(H142&lt;Vout,D_max_buck_BB,Vout/H142*(1-D_min_boost_exitBB_to_buck)))</f>
        <v>0.34276367961935</v>
      </c>
      <c r="O142" s="488" t="n">
        <f aca="false">CHOOSE(J142,0,(Vout+(Rdson3+Rdcr)*L142-H142)/(Vout+(Rdson3-Rdson4-Rs)*L142),IF(H142&gt;Vout,D_min_boost_exitBB_to_buck, (Vout-H142*D_max_buck_BB)/Vout))</f>
        <v>0</v>
      </c>
      <c r="P142" s="385" t="n">
        <f aca="false">MAX(0, CHOOSE(J142, (H142-(Rdson1+Rdcr)*K142-Vout)*N142/(Fsw*Lf), (H142-(Rdson4+Rdcr+Rs)*L142)*O142/(Fsw*Lf), IF(H142&lt;Vout, (H142-(Rdson4+Rdcr+Rs)*L142)*O142/(0.5*Fsw*Lf),(H142-(Rdson1+Rdcr)*K142-Vout)*N142/(0.5*Fsw*Lf))))</f>
        <v>5.6411851915906</v>
      </c>
      <c r="Q142" s="488" t="n">
        <f aca="false">CHOOSE(J142, SQRT(K142^2+(P142^2)/12), SQRT(L142^2+(P142^2)/12), SQRT(M142^2+(P142^2)/12))</f>
        <v>6.21706636583138</v>
      </c>
      <c r="R142" s="488" t="n">
        <f aca="false">(Q142^2*Rdcr*(1+Ltc*Ta-Ltc*25))/(1-Q142^2*Rdcr*Ltc*ThetaCa)</f>
        <v>0.130839238683755</v>
      </c>
      <c r="S142" s="488" t="n">
        <f aca="false">7.759*10^-3*Fsw^0.9458*(0.00787*P142)^2.304</f>
        <v>0.898566288011937</v>
      </c>
      <c r="T142" s="488" t="n">
        <f aca="false">R142+S142</f>
        <v>1.02940552669569</v>
      </c>
      <c r="U142" s="385" t="n">
        <f aca="false">IF(H142&gt;Vout, P142/SQRT(12), SQRT(O142/(1-O142))*SQRT(K142^2+(P142^2)/12))</f>
        <v>1.62846989445668</v>
      </c>
      <c r="V142" s="488" t="n">
        <f aca="false">RCoutEsr*U142^2</f>
        <v>0.0132595709857588</v>
      </c>
      <c r="W142" s="488" t="n">
        <f aca="false">V142</f>
        <v>0.0132595709857588</v>
      </c>
      <c r="X142" s="488" t="n">
        <f aca="false">IF(H142&gt;Vout, SQRT(N142*(1-N142))*SQRT(K142^2+(P142^2)/12), P142/SQRT(12))</f>
        <v>2.95082652960532</v>
      </c>
      <c r="Y142" s="587" t="n">
        <f aca="false">RCinEsr*X142^2</f>
        <v>0.0174147544156452</v>
      </c>
      <c r="Z142" s="588" t="n">
        <f aca="false">Y142</f>
        <v>0.0174147544156452</v>
      </c>
      <c r="AA142" s="488" t="n">
        <f aca="false">CHOOSE(J142, SQRT(N142)*SQRT(K142^2+(P142^2)/12), SQRT(L142^2+(P142^2)/12), SQRT(N142)*SQRT(M142^2+(P142^2)/12))</f>
        <v>3.63984509760335</v>
      </c>
      <c r="AB142" s="488" t="n">
        <f aca="false">Rdson1*AA142^2</f>
        <v>0.0755162923069186</v>
      </c>
      <c r="AC142" s="488" t="n">
        <f aca="false">CHOOSE(J142, (H142*K142/2)*(Fsw)*(Tr_buck+Tf_buck), 0, (H142*M142/2)*(Fsw/2)*(Tr_buck+Tf_buck))</f>
        <v>0.215445176470588</v>
      </c>
      <c r="AD142" s="0" t="n">
        <f aca="false">IF(H142&gt;Vout, IF(K142&gt;P142/2,0,ABS(K142-P142/2)*Vsd_Q1*Deadtime*Fsw),0)</f>
        <v>0</v>
      </c>
      <c r="AE142" s="488" t="n">
        <f aca="false">(AD142+AC142+AB142*(1+RdsonTopTc*Ta-RdsonTopTc*25))/(1-AB142*RdsonTopTc*ThetaJA_Q1)</f>
        <v>0.295423323589195</v>
      </c>
      <c r="AF142" s="488" t="n">
        <f aca="false">CHOOSE(J142, SQRT((1-N142))*SQRT(K142^2+(P142^2)/12), 0, SQRT((1-N142))*SQRT(M142^2+(P142^2)/12))</f>
        <v>5.04018272115254</v>
      </c>
      <c r="AG142" s="488" t="n">
        <f aca="false">Rdson2*AF142^2</f>
        <v>0.144799618616846</v>
      </c>
      <c r="AH142" s="488" t="n">
        <f aca="false">CHOOSE(J142, IF(K142&lt;P142/2,Deadtime*Fsw*IF(VfdSky_Q2&gt;0,0,Vsd_Q2)*(K142+P142/2),2*Deadtime*Fsw*IF(VfdSky_Q2&gt;0,0,Vsd_Q2)*K142),0, IF(K142&lt;P142/2,Deadtime*Fsw/2*IF(VfdSky_Q2&gt;0,0,Vsd_Q2)*(K142+P142/2),2*Deadtime*Fsw/2*IF(VfdSky_Q2&gt;0,0,Vsd_Q2)*K142))</f>
        <v>0.144</v>
      </c>
      <c r="AI142" s="488" t="n">
        <f aca="false">(AH142+AG142*(1+RdsonBotTc*Ta-RdsonBotTc*25))/(1-AG142*RdsonBotTc*ThetaJA_Q2)</f>
        <v>0.297412666760597</v>
      </c>
      <c r="AJ142" s="488" t="n">
        <f aca="false">CHOOSE(J142, 0, SQRT(O142)*SQRT(L142^2+(P142^2)/12), SQRT(O142)*SQRT(M142^2+(P142^2)/12))</f>
        <v>0</v>
      </c>
      <c r="AK142" s="488" t="n">
        <f aca="false">Rdson4*AJ142^2</f>
        <v>0</v>
      </c>
      <c r="AL142" s="488" t="n">
        <f aca="false">CHOOSE(J142, 0, (Vout*L142/2)*(Fsw)*(Tr_boost+Tf_boost), (Vout*Iout/2)*(Fsw/2)*(Tr_boost+Tf_boost))</f>
        <v>0</v>
      </c>
      <c r="AM142" s="0" t="n">
        <f aca="false">IF(H142&gt;Vout, 0, IF(L142&gt;P142/2,0,ABS(L142-P142/2)*Vsd_Q4*Deadtime*Fsw))</f>
        <v>0</v>
      </c>
      <c r="AN142" s="488" t="n">
        <f aca="false">(AM142+AL142+AK142*(1+RdsonTopTc*Ta-RdsonTopTc*25))/(1-AK142*RdsonTopTc*ThetaJA_Q4)</f>
        <v>0</v>
      </c>
      <c r="AO142" s="488" t="n">
        <f aca="false">CHOOSE(J142, SQRT(Iout^2+(P142^2)/12), SQRT(1-O142)*SQRT(L142^2+(P142^2)/12), SQRT(1-O142)*SQRT(M142^2+(P142^2)/12))</f>
        <v>6.21706636583138</v>
      </c>
      <c r="AP142" s="488" t="n">
        <f aca="false">Rdson3*AO142^2</f>
        <v>0.0734386369745883</v>
      </c>
      <c r="AQ142" s="488" t="n">
        <f aca="false">CHOOSE(J142, 0, IF(L142&lt;P142/2,Deadtime*Fsw*IF(VfdSky_Q3&gt;0,0,Vsd_Q3)*(L142+P142/2), 2*Deadtime*Fsw*IF(VfdSky_Q3&gt;0,0,Vsd_Q3)*L142), IF(L142&lt;P142/2,Deadtime*Fsw/2*IF(VfdSky_Q3&gt;0,0,Vsd_Q3)*(L142+P142/2), 2*Deadtime*Fsw/2*IF(VfdSky_Q3&gt;0,0,Vsd_Q3)*L142))</f>
        <v>0</v>
      </c>
      <c r="AR142" s="488" t="n">
        <f aca="false">(AQ142+AP142*(1+RdsonBotTc*Ta-RdsonBotTc*25))/(1-AP142*RdsonBotTc*ThetaJA_Q3)</f>
        <v>0.0745333626875699</v>
      </c>
      <c r="AS142" s="488" t="n">
        <f aca="false">CHOOSE(J142, Rdson3*Q142^2, Rdson1*Q142^2, 0)</f>
        <v>0.0734386369745883</v>
      </c>
      <c r="AT142" s="488" t="n">
        <f aca="false">CHOOSE(J142, 2*Deadtime*Fsw*IF(VfdSky_Q2&gt;0,VfdSky_Q2,0)*K142, 2*Deadtime*Fsw*IF(VfdSky_Q3&gt;0,VfdSky_Q3,0)*L142, 2*Deadtime*Fsw/2*IF(VfdSky_Q2&gt;0,VfdSky_Q2,0)*K142+2*Deadtime*Fsw/2*IF(VfdSky_Q3&gt;0,VfdSky_Q3,0)*L142)</f>
        <v>0</v>
      </c>
      <c r="AU142" s="488" t="n">
        <f aca="false">CHOOSE(J142, IF(QrrSky_Q2&gt;0,QrrSky_Q2,Qrr_Q2)*Fsw*(H142-K142*Rdson1), IF(QrrSky_Q3&gt;0,QrrSky_Q3,Qrr_Q3)*Fsw*Vout,  IF(QrrSky_Q2&gt;0,QrrSky_Q2,Qrr_Q2)*Fsw/2*(H142-K142*Rdson1)+IF(QrrSky_Q3&gt;0,QrrSky_Q3,Qrr_Q3)*Fsw/2*Vout)</f>
        <v>0.66576762</v>
      </c>
      <c r="AV142" s="488" t="n">
        <f aca="false">CHOOSE(J142, Rs*AF142^2, Rs*AJ142^2, Rs*(AF142^2+AJ142^2))</f>
        <v>0.203227534900837</v>
      </c>
      <c r="AW142" s="488" t="n">
        <f aca="false">Rshunt_std/1000*Iout^2</f>
        <v>0.14832</v>
      </c>
      <c r="AX142" s="488" t="n">
        <f aca="false">IF(Vout&gt;8, Iq*Vout, Iq*H142)</f>
        <v>0.036</v>
      </c>
      <c r="AY142" s="488" t="n">
        <f aca="false">CHOOSE(J142, (Qg_Q1+Qg_Q2)*Fsw, (Qg_Q3+Qg_Q4)*Fsw, (Qg_Q1+Qg_Q2+Qg_Q3+Qg_Q4)*Fsw/2)*IF(Vout&gt;8, Vout, H142)</f>
        <v>0.0792</v>
      </c>
      <c r="AZ142" s="488" t="n">
        <f aca="false">(Vin-Vdd)*Fsw*(Qg_Q1+Qg_Q2)+(RdsonDRT+RdsonDRT2)*Fsw*Qg_Q1*Vdd/(RdsonDRT+2*Rgate1+RdsonDRT2)+(RdsonDRB+RdsonDRB2)*Fsw*Qg_Q2*Vdd/(RdsonDRB+2*Rgate2+RdsonDRB2)</f>
        <v>0.0522</v>
      </c>
      <c r="BA142" s="488" t="n">
        <f aca="false">SUM(AX142:AY142)</f>
        <v>0.1152</v>
      </c>
      <c r="BB142" s="488" t="n">
        <f aca="false">SUM(T142,W142,Z142,AE142,AI142,AN142,AR142, AT142,AU142,BA142,AV142,AW142)</f>
        <v>2.8599643600353</v>
      </c>
      <c r="BC142" s="419" t="n">
        <f aca="false">Vout*K142</f>
        <v>72</v>
      </c>
      <c r="BD142" s="589" t="n">
        <f aca="false">BC142/(BC142+BB142)</f>
        <v>0.961795809222131</v>
      </c>
      <c r="BE142" s="590" t="n">
        <f aca="false">IF(H142&gt;Vout,ThetaJA_Q1*(AE142+AU142),ThetaJA_Q4*(AN142+AU142))</f>
        <v>48.0595471794598</v>
      </c>
      <c r="BF142" s="590" t="n">
        <f aca="false">IF(H142&gt;Vout, AI142*ThetaJA_Q2, ThetaJA_Q3*AR142)</f>
        <v>14.8706333380299</v>
      </c>
      <c r="BG142" s="536"/>
      <c r="BH142" s="385" t="n">
        <f aca="false">BD142*100</f>
        <v>96.1795809222131</v>
      </c>
      <c r="BI142" s="488" t="n">
        <f aca="false">T142</f>
        <v>1.02940552669569</v>
      </c>
      <c r="BJ142" s="488" t="n">
        <f aca="false">AE142+AI142+AN142+AR142+AU142</f>
        <v>1.33313697303736</v>
      </c>
      <c r="BK142" s="488" t="n">
        <f aca="false">AI142+AU142*0.33</f>
        <v>0.517115981360597</v>
      </c>
      <c r="BL142" s="488" t="n">
        <f aca="false">AV142</f>
        <v>0.203227534900837</v>
      </c>
    </row>
    <row r="143" customFormat="false" ht="12.75" hidden="false" customHeight="false" outlineLevel="0" collapsed="false">
      <c r="G143" s="0" t="n">
        <v>134</v>
      </c>
      <c r="H143" s="586" t="n">
        <f aca="false">VIN_min+(VIN_max-VIN_min)*(G143/200)</f>
        <v>35.48</v>
      </c>
      <c r="I143" s="385" t="str">
        <f aca="false">IF(H143&gt;VIN_BB_to_buck, "BUCK", IF(H143&lt;VIN_boost_to_BB,"BOOST","BUCK-BST"))</f>
        <v>BUCK</v>
      </c>
      <c r="J143" s="419" t="n">
        <f aca="false">IF(I143="BOOST",2, IF(I143="BUCK", 1,3))</f>
        <v>1</v>
      </c>
      <c r="K143" s="0" t="n">
        <f aca="false">Iout</f>
        <v>6</v>
      </c>
      <c r="L143" s="385" t="n">
        <f aca="false">Vout*K143/(H143*Efficiency)</f>
        <v>2.25479143179256</v>
      </c>
      <c r="M143" s="385" t="n">
        <f aca="false">Iout/(1-O143)</f>
        <v>6</v>
      </c>
      <c r="N143" s="488" t="n">
        <f aca="false">CHOOSE(J143,(Vout+(Rdson2+Rs+Rdcr)*K143)/(H143+(Rs+Rdson2-Rdson1)*K143),1,IF(H143&lt;Vout,D_max_buck_BB,Vout/H143*(1-D_min_boost_exitBB_to_buck)))</f>
        <v>0.340641184417924</v>
      </c>
      <c r="O143" s="488" t="n">
        <f aca="false">CHOOSE(J143,0,(Vout+(Rdson3+Rdcr)*L143-H143)/(Vout+(Rdson3-Rdson4-Rs)*L143),IF(H143&gt;Vout,D_min_boost_exitBB_to_buck, (Vout-H143*D_max_buck_BB)/Vout))</f>
        <v>0</v>
      </c>
      <c r="P143" s="385" t="n">
        <f aca="false">MAX(0, CHOOSE(J143, (H143-(Rdson1+Rdcr)*K143-Vout)*N143/(Fsw*Lf), (H143-(Rdson4+Rdcr+Rs)*L143)*O143/(Fsw*Lf), IF(H143&lt;Vout, (H143-(Rdson4+Rdcr+Rs)*L143)*O143/(0.5*Fsw*Lf),(H143-(Rdson1+Rdcr)*K143-Vout)*N143/(0.5*Fsw*Lf))))</f>
        <v>5.65940297433969</v>
      </c>
      <c r="Q143" s="488" t="n">
        <f aca="false">CHOOSE(J143, SQRT(K143^2+(P143^2)/12), SQRT(L143^2+(P143^2)/12), SQRT(M143^2+(P143^2)/12))</f>
        <v>6.21844596091583</v>
      </c>
      <c r="R143" s="488" t="n">
        <f aca="false">(Q143^2*Rdcr*(1+Ltc*Ta-Ltc*25))/(1-Q143^2*Rdcr*Ltc*ThetaCa)</f>
        <v>0.130897920903667</v>
      </c>
      <c r="S143" s="488" t="n">
        <f aca="false">7.759*10^-3*Fsw^0.9458*(0.00787*P143)^2.304</f>
        <v>0.905266237649144</v>
      </c>
      <c r="T143" s="488" t="n">
        <f aca="false">R143+S143</f>
        <v>1.03616415855281</v>
      </c>
      <c r="U143" s="385" t="n">
        <f aca="false">IF(H143&gt;Vout, P143/SQRT(12), SQRT(O143/(1-O143))*SQRT(K143^2+(P143^2)/12))</f>
        <v>1.63372891534379</v>
      </c>
      <c r="V143" s="488" t="n">
        <f aca="false">RCoutEsr*U143^2</f>
        <v>0.0133453508441521</v>
      </c>
      <c r="W143" s="488" t="n">
        <f aca="false">V143</f>
        <v>0.0133453508441521</v>
      </c>
      <c r="X143" s="488" t="n">
        <f aca="false">IF(H143&gt;Vout, SQRT(N143*(1-N143))*SQRT(K143^2+(P143^2)/12), P143/SQRT(12))</f>
        <v>2.94707609844657</v>
      </c>
      <c r="Y143" s="587" t="n">
        <f aca="false">RCinEsr*X143^2</f>
        <v>0.0173705150600701</v>
      </c>
      <c r="Z143" s="588" t="n">
        <f aca="false">Y143</f>
        <v>0.0173705150600701</v>
      </c>
      <c r="AA143" s="488" t="n">
        <f aca="false">CHOOSE(J143, SQRT(N143)*SQRT(K143^2+(P143^2)/12), SQRT(L143^2+(P143^2)/12), SQRT(N143)*SQRT(M143^2+(P143^2)/12))</f>
        <v>3.62936328612199</v>
      </c>
      <c r="AB143" s="488" t="n">
        <f aca="false">Rdson1*AA143^2</f>
        <v>0.0750819838171061</v>
      </c>
      <c r="AC143" s="488" t="n">
        <f aca="false">CHOOSE(J143, (H143*K143/2)*(Fsw)*(Tr_buck+Tf_buck), 0, (H143*M143/2)*(Fsw/2)*(Tr_buck+Tf_buck))</f>
        <v>0.216789417503587</v>
      </c>
      <c r="AD143" s="0" t="n">
        <f aca="false">IF(H143&gt;Vout, IF(K143&gt;P143/2,0,ABS(K143-P143/2)*Vsd_Q1*Deadtime*Fsw),0)</f>
        <v>0</v>
      </c>
      <c r="AE143" s="488" t="n">
        <f aca="false">(AD143+AC143+AB143*(1+RdsonTopTc*Ta-RdsonTopTc*25))/(1-AB143*RdsonTopTc*ThetaJA_Q1)</f>
        <v>0.296321076169823</v>
      </c>
      <c r="AF143" s="488" t="n">
        <f aca="false">CHOOSE(J143, SQRT((1-N143))*SQRT(K143^2+(P143^2)/12), 0, SQRT((1-N143))*SQRT(M143^2+(P143^2)/12))</f>
        <v>5.04943485017682</v>
      </c>
      <c r="AG143" s="488" t="n">
        <f aca="false">Rdson2*AF143^2</f>
        <v>0.145331716145227</v>
      </c>
      <c r="AH143" s="488" t="n">
        <f aca="false">CHOOSE(J143, IF(K143&lt;P143/2,Deadtime*Fsw*IF(VfdSky_Q2&gt;0,0,Vsd_Q2)*(K143+P143/2),2*Deadtime*Fsw*IF(VfdSky_Q2&gt;0,0,Vsd_Q2)*K143),0, IF(K143&lt;P143/2,Deadtime*Fsw/2*IF(VfdSky_Q2&gt;0,0,Vsd_Q2)*(K143+P143/2),2*Deadtime*Fsw/2*IF(VfdSky_Q2&gt;0,0,Vsd_Q2)*K143))</f>
        <v>0.144</v>
      </c>
      <c r="AI143" s="488" t="n">
        <f aca="false">(AH143+AG143*(1+RdsonBotTc*Ta-RdsonBotTc*25))/(1-AG143*RdsonBotTc*ThetaJA_Q2)</f>
        <v>0.297993291434001</v>
      </c>
      <c r="AJ143" s="488" t="n">
        <f aca="false">CHOOSE(J143, 0, SQRT(O143)*SQRT(L143^2+(P143^2)/12), SQRT(O143)*SQRT(M143^2+(P143^2)/12))</f>
        <v>0</v>
      </c>
      <c r="AK143" s="488" t="n">
        <f aca="false">Rdson4*AJ143^2</f>
        <v>0</v>
      </c>
      <c r="AL143" s="488" t="n">
        <f aca="false">CHOOSE(J143, 0, (Vout*L143/2)*(Fsw)*(Tr_boost+Tf_boost), (Vout*Iout/2)*(Fsw/2)*(Tr_boost+Tf_boost))</f>
        <v>0</v>
      </c>
      <c r="AM143" s="0" t="n">
        <f aca="false">IF(H143&gt;Vout, 0, IF(L143&gt;P143/2,0,ABS(L143-P143/2)*Vsd_Q4*Deadtime*Fsw))</f>
        <v>0</v>
      </c>
      <c r="AN143" s="488" t="n">
        <f aca="false">(AM143+AL143+AK143*(1+RdsonTopTc*Ta-RdsonTopTc*25))/(1-AK143*RdsonTopTc*ThetaJA_Q4)</f>
        <v>0</v>
      </c>
      <c r="AO143" s="488" t="n">
        <f aca="false">CHOOSE(J143, SQRT(Iout^2+(P143^2)/12), SQRT(1-O143)*SQRT(L143^2+(P143^2)/12), SQRT(1-O143)*SQRT(M143^2+(P143^2)/12))</f>
        <v>6.21844596091583</v>
      </c>
      <c r="AP143" s="488" t="n">
        <f aca="false">Rdson3*AO143^2</f>
        <v>0.0734712333207778</v>
      </c>
      <c r="AQ143" s="488" t="n">
        <f aca="false">CHOOSE(J143, 0, IF(L143&lt;P143/2,Deadtime*Fsw*IF(VfdSky_Q3&gt;0,0,Vsd_Q3)*(L143+P143/2), 2*Deadtime*Fsw*IF(VfdSky_Q3&gt;0,0,Vsd_Q3)*L143), IF(L143&lt;P143/2,Deadtime*Fsw/2*IF(VfdSky_Q3&gt;0,0,Vsd_Q3)*(L143+P143/2), 2*Deadtime*Fsw/2*IF(VfdSky_Q3&gt;0,0,Vsd_Q3)*L143))</f>
        <v>0</v>
      </c>
      <c r="AR143" s="488" t="n">
        <f aca="false">(AQ143+AP143*(1+RdsonBotTc*Ta-RdsonBotTc*25))/(1-AP143*RdsonBotTc*ThetaJA_Q3)</f>
        <v>0.0745669383052256</v>
      </c>
      <c r="AS143" s="488" t="n">
        <f aca="false">CHOOSE(J143, Rdson3*Q143^2, Rdson1*Q143^2, 0)</f>
        <v>0.0734712333207778</v>
      </c>
      <c r="AT143" s="488" t="n">
        <f aca="false">CHOOSE(J143, 2*Deadtime*Fsw*IF(VfdSky_Q2&gt;0,VfdSky_Q2,0)*K143, 2*Deadtime*Fsw*IF(VfdSky_Q3&gt;0,VfdSky_Q3,0)*L143, 2*Deadtime*Fsw/2*IF(VfdSky_Q2&gt;0,VfdSky_Q2,0)*K143+2*Deadtime*Fsw/2*IF(VfdSky_Q3&gt;0,VfdSky_Q3,0)*L143)</f>
        <v>0</v>
      </c>
      <c r="AU143" s="488" t="n">
        <f aca="false">CHOOSE(J143, IF(QrrSky_Q2&gt;0,QrrSky_Q2,Qrr_Q2)*Fsw*(H143-K143*Rdson1), IF(QrrSky_Q3&gt;0,QrrSky_Q3,Qrr_Q3)*Fsw*Vout,  IF(QrrSky_Q2&gt;0,QrrSky_Q2,Qrr_Q2)*Fsw/2*(H143-K143*Rdson1)+IF(QrrSky_Q3&gt;0,QrrSky_Q3,Qrr_Q3)*Fsw/2*Vout)</f>
        <v>0.66992562</v>
      </c>
      <c r="AV143" s="488" t="n">
        <f aca="false">CHOOSE(J143, Rs*AF143^2, Rs*AJ143^2, Rs*(AF143^2+AJ143^2))</f>
        <v>0.203974338449442</v>
      </c>
      <c r="AW143" s="488" t="n">
        <f aca="false">Rshunt_std/1000*Iout^2</f>
        <v>0.14832</v>
      </c>
      <c r="AX143" s="488" t="n">
        <f aca="false">IF(Vout&gt;8, Iq*Vout, Iq*H143)</f>
        <v>0.036</v>
      </c>
      <c r="AY143" s="488" t="n">
        <f aca="false">CHOOSE(J143, (Qg_Q1+Qg_Q2)*Fsw, (Qg_Q3+Qg_Q4)*Fsw, (Qg_Q1+Qg_Q2+Qg_Q3+Qg_Q4)*Fsw/2)*IF(Vout&gt;8, Vout, H143)</f>
        <v>0.0792</v>
      </c>
      <c r="AZ143" s="488" t="n">
        <f aca="false">(Vin-Vdd)*Fsw*(Qg_Q1+Qg_Q2)+(RdsonDRT+RdsonDRT2)*Fsw*Qg_Q1*Vdd/(RdsonDRT+2*Rgate1+RdsonDRT2)+(RdsonDRB+RdsonDRB2)*Fsw*Qg_Q2*Vdd/(RdsonDRB+2*Rgate2+RdsonDRB2)</f>
        <v>0.0522</v>
      </c>
      <c r="BA143" s="488" t="n">
        <f aca="false">SUM(AX143:AY143)</f>
        <v>0.1152</v>
      </c>
      <c r="BB143" s="488" t="n">
        <f aca="false">SUM(T143,W143,Z143,AE143,AI143,AN143,AR143, AT143,AU143,BA143,AV143,AW143)</f>
        <v>2.87318128881552</v>
      </c>
      <c r="BC143" s="419" t="n">
        <f aca="false">Vout*K143</f>
        <v>72</v>
      </c>
      <c r="BD143" s="589" t="n">
        <f aca="false">BC143/(BC143+BB143)</f>
        <v>0.961626028981826</v>
      </c>
      <c r="BE143" s="590" t="n">
        <f aca="false">IF(H143&gt;Vout,ThetaJA_Q1*(AE143+AU143),ThetaJA_Q4*(AN143+AU143))</f>
        <v>48.3123348084912</v>
      </c>
      <c r="BF143" s="590" t="n">
        <f aca="false">IF(H143&gt;Vout, AI143*ThetaJA_Q2, ThetaJA_Q3*AR143)</f>
        <v>14.8996645717</v>
      </c>
      <c r="BG143" s="536"/>
      <c r="BH143" s="385" t="n">
        <f aca="false">BD143*100</f>
        <v>96.1626028981825</v>
      </c>
      <c r="BI143" s="488" t="n">
        <f aca="false">T143</f>
        <v>1.03616415855281</v>
      </c>
      <c r="BJ143" s="488" t="n">
        <f aca="false">AE143+AI143+AN143+AR143+AU143</f>
        <v>1.33880692590905</v>
      </c>
      <c r="BK143" s="488" t="n">
        <f aca="false">AI143+AU143*0.33</f>
        <v>0.519068746034001</v>
      </c>
      <c r="BL143" s="488" t="n">
        <f aca="false">AV143</f>
        <v>0.203974338449442</v>
      </c>
    </row>
    <row r="144" customFormat="false" ht="12.75" hidden="false" customHeight="false" outlineLevel="0" collapsed="false">
      <c r="G144" s="0" t="n">
        <v>135</v>
      </c>
      <c r="H144" s="586" t="n">
        <f aca="false">VIN_min+(VIN_max-VIN_min)*(G144/200)</f>
        <v>35.7</v>
      </c>
      <c r="I144" s="385" t="str">
        <f aca="false">IF(H144&gt;VIN_BB_to_buck, "BUCK", IF(H144&lt;VIN_boost_to_BB,"BOOST","BUCK-BST"))</f>
        <v>BUCK</v>
      </c>
      <c r="J144" s="419" t="n">
        <f aca="false">IF(I144="BOOST",2, IF(I144="BUCK", 1,3))</f>
        <v>1</v>
      </c>
      <c r="K144" s="0" t="n">
        <f aca="false">Iout</f>
        <v>6</v>
      </c>
      <c r="L144" s="385" t="n">
        <f aca="false">Vout*K144/(H144*Efficiency)</f>
        <v>2.24089635854342</v>
      </c>
      <c r="M144" s="385" t="n">
        <f aca="false">Iout/(1-O144)</f>
        <v>6</v>
      </c>
      <c r="N144" s="488" t="n">
        <f aca="false">CHOOSE(J144,(Vout+(Rdson2+Rs+Rdcr)*K144)/(H144+(Rs+Rdson2-Rdson1)*K144),1,IF(H144&lt;Vout,D_max_buck_BB,Vout/H144*(1-D_min_boost_exitBB_to_buck)))</f>
        <v>0.338544813695871</v>
      </c>
      <c r="O144" s="488" t="n">
        <f aca="false">CHOOSE(J144,0,(Vout+(Rdson3+Rdcr)*L144-H144)/(Vout+(Rdson3-Rdson4-Rs)*L144),IF(H144&gt;Vout,D_min_boost_exitBB_to_buck, (Vout-H144*D_max_buck_BB)/Vout))</f>
        <v>0</v>
      </c>
      <c r="P144" s="385" t="n">
        <f aca="false">MAX(0, CHOOSE(J144, (H144-(Rdson1+Rdcr)*K144-Vout)*N144/(Fsw*Lf), (H144-(Rdson4+Rdcr+Rs)*L144)*O144/(Fsw*Lf), IF(H144&lt;Vout, (H144-(Rdson4+Rdcr+Rs)*L144)*O144/(0.5*Fsw*Lf),(H144-(Rdson1+Rdcr)*K144-Vout)*N144/(0.5*Fsw*Lf))))</f>
        <v>5.67739652567976</v>
      </c>
      <c r="Q144" s="488" t="n">
        <f aca="false">CHOOSE(J144, SQRT(K144^2+(P144^2)/12), SQRT(L144^2+(P144^2)/12), SQRT(M144^2+(P144^2)/12))</f>
        <v>6.21981263992869</v>
      </c>
      <c r="R144" s="488" t="n">
        <f aca="false">(Q144^2*Rdcr*(1+Ltc*Ta-Ltc*25))/(1-Q144^2*Rdcr*Ltc*ThetaCa)</f>
        <v>0.130956067103715</v>
      </c>
      <c r="S144" s="488" t="n">
        <f aca="false">7.759*10^-3*Fsw^0.9458*(0.00787*P144)^2.304</f>
        <v>0.911911386376701</v>
      </c>
      <c r="T144" s="488" t="n">
        <f aca="false">R144+S144</f>
        <v>1.04286745348042</v>
      </c>
      <c r="U144" s="385" t="n">
        <f aca="false">IF(H144&gt;Vout, P144/SQRT(12), SQRT(O144/(1-O144))*SQRT(K144^2+(P144^2)/12))</f>
        <v>1.63892320619873</v>
      </c>
      <c r="V144" s="488" t="n">
        <f aca="false">RCoutEsr*U144^2</f>
        <v>0.0134303463790836</v>
      </c>
      <c r="W144" s="488" t="n">
        <f aca="false">V144</f>
        <v>0.0134303463790836</v>
      </c>
      <c r="X144" s="488" t="n">
        <f aca="false">IF(H144&gt;Vout, SQRT(N144*(1-N144))*SQRT(K144^2+(P144^2)/12), P144/SQRT(12))</f>
        <v>2.94330723590454</v>
      </c>
      <c r="Y144" s="587" t="n">
        <f aca="false">RCinEsr*X144^2</f>
        <v>0.017326114969856</v>
      </c>
      <c r="Z144" s="588" t="n">
        <f aca="false">Y144</f>
        <v>0.017326114969856</v>
      </c>
      <c r="AA144" s="488" t="n">
        <f aca="false">CHOOSE(J144, SQRT(N144)*SQRT(K144^2+(P144^2)/12), SQRT(L144^2+(P144^2)/12), SQRT(N144)*SQRT(M144^2+(P144^2)/12))</f>
        <v>3.61897335104957</v>
      </c>
      <c r="AB144" s="488" t="n">
        <f aca="false">Rdson1*AA144^2</f>
        <v>0.0746527182589595</v>
      </c>
      <c r="AC144" s="488" t="n">
        <f aca="false">CHOOSE(J144, (H144*K144/2)*(Fsw)*(Tr_buck+Tf_buck), 0, (H144*M144/2)*(Fsw/2)*(Tr_buck+Tf_buck))</f>
        <v>0.218133658536585</v>
      </c>
      <c r="AD144" s="0" t="n">
        <f aca="false">IF(H144&gt;Vout, IF(K144&gt;P144/2,0,ABS(K144-P144/2)*Vsd_Q1*Deadtime*Fsw),0)</f>
        <v>0</v>
      </c>
      <c r="AE144" s="488" t="n">
        <f aca="false">(AD144+AC144+AB144*(1+RdsonTopTc*Ta-RdsonTopTc*25))/(1-AB144*RdsonTopTc*ThetaJA_Q1)</f>
        <v>0.297224094106973</v>
      </c>
      <c r="AF144" s="488" t="n">
        <f aca="false">CHOOSE(J144, SQRT((1-N144))*SQRT(K144^2+(P144^2)/12), 0, SQRT((1-N144))*SQRT(M144^2+(P144^2)/12))</f>
        <v>5.05856710543705</v>
      </c>
      <c r="AG144" s="488" t="n">
        <f aca="false">Rdson2*AF144^2</f>
        <v>0.145857876613196</v>
      </c>
      <c r="AH144" s="488" t="n">
        <f aca="false">CHOOSE(J144, IF(K144&lt;P144/2,Deadtime*Fsw*IF(VfdSky_Q2&gt;0,0,Vsd_Q2)*(K144+P144/2),2*Deadtime*Fsw*IF(VfdSky_Q2&gt;0,0,Vsd_Q2)*K144),0, IF(K144&lt;P144/2,Deadtime*Fsw/2*IF(VfdSky_Q2&gt;0,0,Vsd_Q2)*(K144+P144/2),2*Deadtime*Fsw/2*IF(VfdSky_Q2&gt;0,0,Vsd_Q2)*K144))</f>
        <v>0.144</v>
      </c>
      <c r="AI144" s="488" t="n">
        <f aca="false">(AH144+AG144*(1+RdsonBotTc*Ta-RdsonBotTc*25))/(1-AG144*RdsonBotTc*ThetaJA_Q2)</f>
        <v>0.29856756275912</v>
      </c>
      <c r="AJ144" s="488" t="n">
        <f aca="false">CHOOSE(J144, 0, SQRT(O144)*SQRT(L144^2+(P144^2)/12), SQRT(O144)*SQRT(M144^2+(P144^2)/12))</f>
        <v>0</v>
      </c>
      <c r="AK144" s="488" t="n">
        <f aca="false">Rdson4*AJ144^2</f>
        <v>0</v>
      </c>
      <c r="AL144" s="488" t="n">
        <f aca="false">CHOOSE(J144, 0, (Vout*L144/2)*(Fsw)*(Tr_boost+Tf_boost), (Vout*Iout/2)*(Fsw/2)*(Tr_boost+Tf_boost))</f>
        <v>0</v>
      </c>
      <c r="AM144" s="0" t="n">
        <f aca="false">IF(H144&gt;Vout, 0, IF(L144&gt;P144/2,0,ABS(L144-P144/2)*Vsd_Q4*Deadtime*Fsw))</f>
        <v>0</v>
      </c>
      <c r="AN144" s="488" t="n">
        <f aca="false">(AM144+AL144+AK144*(1+RdsonTopTc*Ta-RdsonTopTc*25))/(1-AK144*RdsonTopTc*ThetaJA_Q4)</f>
        <v>0</v>
      </c>
      <c r="AO144" s="488" t="n">
        <f aca="false">CHOOSE(J144, SQRT(Iout^2+(P144^2)/12), SQRT(1-O144)*SQRT(L144^2+(P144^2)/12), SQRT(1-O144)*SQRT(M144^2+(P144^2)/12))</f>
        <v>6.21981263992869</v>
      </c>
      <c r="AP144" s="488" t="n">
        <f aca="false">Rdson3*AO144^2</f>
        <v>0.0735035316240518</v>
      </c>
      <c r="AQ144" s="488" t="n">
        <f aca="false">CHOOSE(J144, 0, IF(L144&lt;P144/2,Deadtime*Fsw*IF(VfdSky_Q3&gt;0,0,Vsd_Q3)*(L144+P144/2), 2*Deadtime*Fsw*IF(VfdSky_Q3&gt;0,0,Vsd_Q3)*L144), IF(L144&lt;P144/2,Deadtime*Fsw/2*IF(VfdSky_Q3&gt;0,0,Vsd_Q3)*(L144+P144/2), 2*Deadtime*Fsw/2*IF(VfdSky_Q3&gt;0,0,Vsd_Q3)*L144))</f>
        <v>0</v>
      </c>
      <c r="AR144" s="488" t="n">
        <f aca="false">(AQ144+AP144*(1+RdsonBotTc*Ta-RdsonBotTc*25))/(1-AP144*RdsonBotTc*ThetaJA_Q3)</f>
        <v>0.0746002073642841</v>
      </c>
      <c r="AS144" s="488" t="n">
        <f aca="false">CHOOSE(J144, Rdson3*Q144^2, Rdson1*Q144^2, 0)</f>
        <v>0.0735035316240518</v>
      </c>
      <c r="AT144" s="488" t="n">
        <f aca="false">CHOOSE(J144, 2*Deadtime*Fsw*IF(VfdSky_Q2&gt;0,VfdSky_Q2,0)*K144, 2*Deadtime*Fsw*IF(VfdSky_Q3&gt;0,VfdSky_Q3,0)*L144, 2*Deadtime*Fsw/2*IF(VfdSky_Q2&gt;0,VfdSky_Q2,0)*K144+2*Deadtime*Fsw/2*IF(VfdSky_Q3&gt;0,VfdSky_Q3,0)*L144)</f>
        <v>0</v>
      </c>
      <c r="AU144" s="488" t="n">
        <f aca="false">CHOOSE(J144, IF(QrrSky_Q2&gt;0,QrrSky_Q2,Qrr_Q2)*Fsw*(H144-K144*Rdson1), IF(QrrSky_Q3&gt;0,QrrSky_Q3,Qrr_Q3)*Fsw*Vout,  IF(QrrSky_Q2&gt;0,QrrSky_Q2,Qrr_Q2)*Fsw/2*(H144-K144*Rdson1)+IF(QrrSky_Q3&gt;0,QrrSky_Q3,Qrr_Q3)*Fsw/2*Vout)</f>
        <v>0.67408362</v>
      </c>
      <c r="AV144" s="488" t="n">
        <f aca="false">CHOOSE(J144, Rs*AF144^2, Rs*AJ144^2, Rs*(AF144^2+AJ144^2))</f>
        <v>0.204712809281678</v>
      </c>
      <c r="AW144" s="488" t="n">
        <f aca="false">Rshunt_std/1000*Iout^2</f>
        <v>0.14832</v>
      </c>
      <c r="AX144" s="488" t="n">
        <f aca="false">IF(Vout&gt;8, Iq*Vout, Iq*H144)</f>
        <v>0.036</v>
      </c>
      <c r="AY144" s="488" t="n">
        <f aca="false">CHOOSE(J144, (Qg_Q1+Qg_Q2)*Fsw, (Qg_Q3+Qg_Q4)*Fsw, (Qg_Q1+Qg_Q2+Qg_Q3+Qg_Q4)*Fsw/2)*IF(Vout&gt;8, Vout, H144)</f>
        <v>0.0792</v>
      </c>
      <c r="AZ144" s="488" t="n">
        <f aca="false">(Vin-Vdd)*Fsw*(Qg_Q1+Qg_Q2)+(RdsonDRT+RdsonDRT2)*Fsw*Qg_Q1*Vdd/(RdsonDRT+2*Rgate1+RdsonDRT2)+(RdsonDRB+RdsonDRB2)*Fsw*Qg_Q2*Vdd/(RdsonDRB+2*Rgate2+RdsonDRB2)</f>
        <v>0.0522</v>
      </c>
      <c r="BA144" s="488" t="n">
        <f aca="false">SUM(AX144:AY144)</f>
        <v>0.1152</v>
      </c>
      <c r="BB144" s="488" t="n">
        <f aca="false">SUM(T144,W144,Z144,AE144,AI144,AN144,AR144, AT144,AU144,BA144,AV144,AW144)</f>
        <v>2.88633220834141</v>
      </c>
      <c r="BC144" s="419" t="n">
        <f aca="false">Vout*K144</f>
        <v>72</v>
      </c>
      <c r="BD144" s="589" t="n">
        <f aca="false">BC144/(BC144+BB144)</f>
        <v>0.961457156156195</v>
      </c>
      <c r="BE144" s="590" t="n">
        <f aca="false">IF(H144&gt;Vout,ThetaJA_Q1*(AE144+AU144),ThetaJA_Q4*(AN144+AU144))</f>
        <v>48.5653857053487</v>
      </c>
      <c r="BF144" s="590" t="n">
        <f aca="false">IF(H144&gt;Vout, AI144*ThetaJA_Q2, ThetaJA_Q3*AR144)</f>
        <v>14.928378137956</v>
      </c>
      <c r="BG144" s="536"/>
      <c r="BH144" s="385" t="n">
        <f aca="false">BD144*100</f>
        <v>96.1457156156195</v>
      </c>
      <c r="BI144" s="488" t="n">
        <f aca="false">T144</f>
        <v>1.04286745348042</v>
      </c>
      <c r="BJ144" s="488" t="n">
        <f aca="false">AE144+AI144+AN144+AR144+AU144</f>
        <v>1.34447548423038</v>
      </c>
      <c r="BK144" s="488" t="n">
        <f aca="false">AI144+AU144*0.33</f>
        <v>0.52101515735912</v>
      </c>
      <c r="BL144" s="488" t="n">
        <f aca="false">AV144</f>
        <v>0.204712809281678</v>
      </c>
    </row>
    <row r="145" customFormat="false" ht="12.75" hidden="false" customHeight="false" outlineLevel="0" collapsed="false">
      <c r="G145" s="0" t="n">
        <v>136</v>
      </c>
      <c r="H145" s="586" t="n">
        <f aca="false">VIN_min+(VIN_max-VIN_min)*(G145/200)</f>
        <v>35.92</v>
      </c>
      <c r="I145" s="385" t="str">
        <f aca="false">IF(H145&gt;VIN_BB_to_buck, "BUCK", IF(H145&lt;VIN_boost_to_BB,"BOOST","BUCK-BST"))</f>
        <v>BUCK</v>
      </c>
      <c r="J145" s="419" t="n">
        <f aca="false">IF(I145="BOOST",2, IF(I145="BUCK", 1,3))</f>
        <v>1</v>
      </c>
      <c r="K145" s="0" t="n">
        <f aca="false">Iout</f>
        <v>6</v>
      </c>
      <c r="L145" s="385" t="n">
        <f aca="false">Vout*K145/(H145*Efficiency)</f>
        <v>2.2271714922049</v>
      </c>
      <c r="M145" s="385" t="n">
        <f aca="false">Iout/(1-O145)</f>
        <v>6</v>
      </c>
      <c r="N145" s="488" t="n">
        <f aca="false">CHOOSE(J145,(Vout+(Rdson2+Rs+Rdcr)*K145)/(H145+(Rs+Rdson2-Rdson1)*K145),1,IF(H145&lt;Vout,D_max_buck_BB,Vout/H145*(1-D_min_boost_exitBB_to_buck)))</f>
        <v>0.336474088078292</v>
      </c>
      <c r="O145" s="488" t="n">
        <f aca="false">CHOOSE(J145,0,(Vout+(Rdson3+Rdcr)*L145-H145)/(Vout+(Rdson3-Rdson4-Rs)*L145),IF(H145&gt;Vout,D_min_boost_exitBB_to_buck, (Vout-H145*D_max_buck_BB)/Vout))</f>
        <v>0</v>
      </c>
      <c r="P145" s="385" t="n">
        <f aca="false">MAX(0, CHOOSE(J145, (H145-(Rdson1+Rdcr)*K145-Vout)*N145/(Fsw*Lf), (H145-(Rdson4+Rdcr+Rs)*L145)*O145/(Fsw*Lf), IF(H145&lt;Vout, (H145-(Rdson4+Rdcr+Rs)*L145)*O145/(0.5*Fsw*Lf),(H145-(Rdson1+Rdcr)*K145-Vout)*N145/(0.5*Fsw*Lf))))</f>
        <v>5.69516996017737</v>
      </c>
      <c r="Q145" s="488" t="n">
        <f aca="false">CHOOSE(J145, SQRT(K145^2+(P145^2)/12), SQRT(L145^2+(P145^2)/12), SQRT(M145^2+(P145^2)/12))</f>
        <v>6.22116656313553</v>
      </c>
      <c r="R145" s="488" t="n">
        <f aca="false">(Q145^2*Rdcr*(1+Ltc*Ta-Ltc*25))/(1-Q145^2*Rdcr*Ltc*ThetaCa)</f>
        <v>0.131013683727725</v>
      </c>
      <c r="S145" s="488" t="n">
        <f aca="false">7.759*10^-3*Fsw^0.9458*(0.00787*P145)^2.304</f>
        <v>0.918502261302233</v>
      </c>
      <c r="T145" s="488" t="n">
        <f aca="false">R145+S145</f>
        <v>1.04951594502996</v>
      </c>
      <c r="U145" s="385" t="n">
        <f aca="false">IF(H145&gt;Vout, P145/SQRT(12), SQRT(O145/(1-O145))*SQRT(K145^2+(P145^2)/12))</f>
        <v>1.64405395479454</v>
      </c>
      <c r="V145" s="488" t="n">
        <f aca="false">RCoutEsr*U145^2</f>
        <v>0.0135145670313778</v>
      </c>
      <c r="W145" s="488" t="n">
        <f aca="false">V145</f>
        <v>0.0135145670313778</v>
      </c>
      <c r="X145" s="488" t="n">
        <f aca="false">IF(H145&gt;Vout, SQRT(N145*(1-N145))*SQRT(K145^2+(P145^2)/12), P145/SQRT(12))</f>
        <v>2.93952112277049</v>
      </c>
      <c r="Y145" s="587" t="n">
        <f aca="false">RCinEsr*X145^2</f>
        <v>0.0172815688624278</v>
      </c>
      <c r="Z145" s="588" t="n">
        <f aca="false">Y145</f>
        <v>0.0172815688624278</v>
      </c>
      <c r="AA145" s="488" t="n">
        <f aca="false">CHOOSE(J145, SQRT(N145)*SQRT(K145^2+(P145^2)/12), SQRT(L145^2+(P145^2)/12), SQRT(N145)*SQRT(M145^2+(P145^2)/12))</f>
        <v>3.60867392463626</v>
      </c>
      <c r="AB145" s="488" t="n">
        <f aca="false">Rdson1*AA145^2</f>
        <v>0.0742284067177931</v>
      </c>
      <c r="AC145" s="488" t="n">
        <f aca="false">CHOOSE(J145, (H145*K145/2)*(Fsw)*(Tr_buck+Tf_buck), 0, (H145*M145/2)*(Fsw/2)*(Tr_buck+Tf_buck))</f>
        <v>0.219477899569584</v>
      </c>
      <c r="AD145" s="0" t="n">
        <f aca="false">IF(H145&gt;Vout, IF(K145&gt;P145/2,0,ABS(K145-P145/2)*Vsd_Q1*Deadtime*Fsw),0)</f>
        <v>0</v>
      </c>
      <c r="AE145" s="488" t="n">
        <f aca="false">(AD145+AC145+AB145*(1+RdsonTopTc*Ta-RdsonTopTc*25))/(1-AB145*RdsonTopTc*ThetaJA_Q1)</f>
        <v>0.298132283161419</v>
      </c>
      <c r="AF145" s="488" t="n">
        <f aca="false">CHOOSE(J145, SQRT((1-N145))*SQRT(K145^2+(P145^2)/12), 0, SQRT((1-N145))*SQRT(M145^2+(P145^2)/12))</f>
        <v>5.06758186040698</v>
      </c>
      <c r="AG145" s="488" t="n">
        <f aca="false">Rdson2*AF145^2</f>
        <v>0.146378199697978</v>
      </c>
      <c r="AH145" s="488" t="n">
        <f aca="false">CHOOSE(J145, IF(K145&lt;P145/2,Deadtime*Fsw*IF(VfdSky_Q2&gt;0,0,Vsd_Q2)*(K145+P145/2),2*Deadtime*Fsw*IF(VfdSky_Q2&gt;0,0,Vsd_Q2)*K145),0, IF(K145&lt;P145/2,Deadtime*Fsw/2*IF(VfdSky_Q2&gt;0,0,Vsd_Q2)*(K145+P145/2),2*Deadtime*Fsw/2*IF(VfdSky_Q2&gt;0,0,Vsd_Q2)*K145))</f>
        <v>0.144</v>
      </c>
      <c r="AI145" s="488" t="n">
        <f aca="false">(AH145+AG145*(1+RdsonBotTc*Ta-RdsonBotTc*25))/(1-AG145*RdsonBotTc*ThetaJA_Q2)</f>
        <v>0.299135585388944</v>
      </c>
      <c r="AJ145" s="488" t="n">
        <f aca="false">CHOOSE(J145, 0, SQRT(O145)*SQRT(L145^2+(P145^2)/12), SQRT(O145)*SQRT(M145^2+(P145^2)/12))</f>
        <v>0</v>
      </c>
      <c r="AK145" s="488" t="n">
        <f aca="false">Rdson4*AJ145^2</f>
        <v>0</v>
      </c>
      <c r="AL145" s="488" t="n">
        <f aca="false">CHOOSE(J145, 0, (Vout*L145/2)*(Fsw)*(Tr_boost+Tf_boost), (Vout*Iout/2)*(Fsw/2)*(Tr_boost+Tf_boost))</f>
        <v>0</v>
      </c>
      <c r="AM145" s="0" t="n">
        <f aca="false">IF(H145&gt;Vout, 0, IF(L145&gt;P145/2,0,ABS(L145-P145/2)*Vsd_Q4*Deadtime*Fsw))</f>
        <v>0</v>
      </c>
      <c r="AN145" s="488" t="n">
        <f aca="false">(AM145+AL145+AK145*(1+RdsonTopTc*Ta-RdsonTopTc*25))/(1-AK145*RdsonTopTc*ThetaJA_Q4)</f>
        <v>0</v>
      </c>
      <c r="AO145" s="488" t="n">
        <f aca="false">CHOOSE(J145, SQRT(Iout^2+(P145^2)/12), SQRT(1-O145)*SQRT(L145^2+(P145^2)/12), SQRT(1-O145)*SQRT(M145^2+(P145^2)/12))</f>
        <v>6.22116656313553</v>
      </c>
      <c r="AP145" s="488" t="n">
        <f aca="false">Rdson3*AO145^2</f>
        <v>0.0735355354719236</v>
      </c>
      <c r="AQ145" s="488" t="n">
        <f aca="false">CHOOSE(J145, 0, IF(L145&lt;P145/2,Deadtime*Fsw*IF(VfdSky_Q3&gt;0,0,Vsd_Q3)*(L145+P145/2), 2*Deadtime*Fsw*IF(VfdSky_Q3&gt;0,0,Vsd_Q3)*L145), IF(L145&lt;P145/2,Deadtime*Fsw/2*IF(VfdSky_Q3&gt;0,0,Vsd_Q3)*(L145+P145/2), 2*Deadtime*Fsw/2*IF(VfdSky_Q3&gt;0,0,Vsd_Q3)*L145))</f>
        <v>0</v>
      </c>
      <c r="AR145" s="488" t="n">
        <f aca="false">(AQ145+AP145*(1+RdsonBotTc*Ta-RdsonBotTc*25))/(1-AP145*RdsonBotTc*ThetaJA_Q3)</f>
        <v>0.0746331735480891</v>
      </c>
      <c r="AS145" s="488" t="n">
        <f aca="false">CHOOSE(J145, Rdson3*Q145^2, Rdson1*Q145^2, 0)</f>
        <v>0.0735355354719236</v>
      </c>
      <c r="AT145" s="488" t="n">
        <f aca="false">CHOOSE(J145, 2*Deadtime*Fsw*IF(VfdSky_Q2&gt;0,VfdSky_Q2,0)*K145, 2*Deadtime*Fsw*IF(VfdSky_Q3&gt;0,VfdSky_Q3,0)*L145, 2*Deadtime*Fsw/2*IF(VfdSky_Q2&gt;0,VfdSky_Q2,0)*K145+2*Deadtime*Fsw/2*IF(VfdSky_Q3&gt;0,VfdSky_Q3,0)*L145)</f>
        <v>0</v>
      </c>
      <c r="AU145" s="488" t="n">
        <f aca="false">CHOOSE(J145, IF(QrrSky_Q2&gt;0,QrrSky_Q2,Qrr_Q2)*Fsw*(H145-K145*Rdson1), IF(QrrSky_Q3&gt;0,QrrSky_Q3,Qrr_Q3)*Fsw*Vout,  IF(QrrSky_Q2&gt;0,QrrSky_Q2,Qrr_Q2)*Fsw/2*(H145-K145*Rdson1)+IF(QrrSky_Q3&gt;0,QrrSky_Q3,Qrr_Q3)*Fsw/2*Vout)</f>
        <v>0.67824162</v>
      </c>
      <c r="AV145" s="488" t="n">
        <f aca="false">CHOOSE(J145, Rs*AF145^2, Rs*AJ145^2, Rs*(AF145^2+AJ145^2))</f>
        <v>0.205443087295407</v>
      </c>
      <c r="AW145" s="488" t="n">
        <f aca="false">Rshunt_std/1000*Iout^2</f>
        <v>0.14832</v>
      </c>
      <c r="AX145" s="488" t="n">
        <f aca="false">IF(Vout&gt;8, Iq*Vout, Iq*H145)</f>
        <v>0.036</v>
      </c>
      <c r="AY145" s="488" t="n">
        <f aca="false">CHOOSE(J145, (Qg_Q1+Qg_Q2)*Fsw, (Qg_Q3+Qg_Q4)*Fsw, (Qg_Q1+Qg_Q2+Qg_Q3+Qg_Q4)*Fsw/2)*IF(Vout&gt;8, Vout, H145)</f>
        <v>0.0792</v>
      </c>
      <c r="AZ145" s="488" t="n">
        <f aca="false">(Vin-Vdd)*Fsw*(Qg_Q1+Qg_Q2)+(RdsonDRT+RdsonDRT2)*Fsw*Qg_Q1*Vdd/(RdsonDRT+2*Rgate1+RdsonDRT2)+(RdsonDRB+RdsonDRB2)*Fsw*Qg_Q2*Vdd/(RdsonDRB+2*Rgate2+RdsonDRB2)</f>
        <v>0.0522</v>
      </c>
      <c r="BA145" s="488" t="n">
        <f aca="false">SUM(AX145:AY145)</f>
        <v>0.1152</v>
      </c>
      <c r="BB145" s="488" t="n">
        <f aca="false">SUM(T145,W145,Z145,AE145,AI145,AN145,AR145, AT145,AU145,BA145,AV145,AW145)</f>
        <v>2.89941783031762</v>
      </c>
      <c r="BC145" s="419" t="n">
        <f aca="false">Vout*K145</f>
        <v>72</v>
      </c>
      <c r="BD145" s="589" t="n">
        <f aca="false">BC145/(BC145+BB145)</f>
        <v>0.961289180686475</v>
      </c>
      <c r="BE145" s="590" t="n">
        <f aca="false">IF(H145&gt;Vout,ThetaJA_Q1*(AE145+AU145),ThetaJA_Q4*(AN145+AU145))</f>
        <v>48.818695158071</v>
      </c>
      <c r="BF145" s="590" t="n">
        <f aca="false">IF(H145&gt;Vout, AI145*ThetaJA_Q2, ThetaJA_Q3*AR145)</f>
        <v>14.9567792694472</v>
      </c>
      <c r="BG145" s="536"/>
      <c r="BH145" s="385" t="n">
        <f aca="false">BD145*100</f>
        <v>96.1289180686475</v>
      </c>
      <c r="BI145" s="488" t="n">
        <f aca="false">T145</f>
        <v>1.04951594502996</v>
      </c>
      <c r="BJ145" s="488" t="n">
        <f aca="false">AE145+AI145+AN145+AR145+AU145</f>
        <v>1.35014266209845</v>
      </c>
      <c r="BK145" s="488" t="n">
        <f aca="false">AI145+AU145*0.33</f>
        <v>0.522955319988945</v>
      </c>
      <c r="BL145" s="488" t="n">
        <f aca="false">AV145</f>
        <v>0.205443087295407</v>
      </c>
    </row>
    <row r="146" customFormat="false" ht="12.75" hidden="false" customHeight="false" outlineLevel="0" collapsed="false">
      <c r="G146" s="0" t="n">
        <v>137</v>
      </c>
      <c r="H146" s="586" t="n">
        <f aca="false">VIN_min+(VIN_max-VIN_min)*(G146/200)</f>
        <v>36.14</v>
      </c>
      <c r="I146" s="385" t="str">
        <f aca="false">IF(H146&gt;VIN_BB_to_buck, "BUCK", IF(H146&lt;VIN_boost_to_BB,"BOOST","BUCK-BST"))</f>
        <v>BUCK</v>
      </c>
      <c r="J146" s="419" t="n">
        <f aca="false">IF(I146="BOOST",2, IF(I146="BUCK", 1,3))</f>
        <v>1</v>
      </c>
      <c r="K146" s="0" t="n">
        <f aca="false">Iout</f>
        <v>6</v>
      </c>
      <c r="L146" s="385" t="n">
        <f aca="false">Vout*K146/(H146*Efficiency)</f>
        <v>2.21361372440509</v>
      </c>
      <c r="M146" s="385" t="n">
        <f aca="false">Iout/(1-O146)</f>
        <v>6</v>
      </c>
      <c r="N146" s="488" t="n">
        <f aca="false">CHOOSE(J146,(Vout+(Rdson2+Rs+Rdcr)*K146)/(H146+(Rs+Rdson2-Rdson1)*K146),1,IF(H146&lt;Vout,D_max_buck_BB,Vout/H146*(1-D_min_boost_exitBB_to_buck)))</f>
        <v>0.334428539847463</v>
      </c>
      <c r="O146" s="488" t="n">
        <f aca="false">CHOOSE(J146,0,(Vout+(Rdson3+Rdcr)*L146-H146)/(Vout+(Rdson3-Rdson4-Rs)*L146),IF(H146&gt;Vout,D_min_boost_exitBB_to_buck, (Vout-H146*D_max_buck_BB)/Vout))</f>
        <v>0</v>
      </c>
      <c r="P146" s="385" t="n">
        <f aca="false">MAX(0, CHOOSE(J146, (H146-(Rdson1+Rdcr)*K146-Vout)*N146/(Fsw*Lf), (H146-(Rdson4+Rdcr+Rs)*L146)*O146/(Fsw*Lf), IF(H146&lt;Vout, (H146-(Rdson4+Rdcr+Rs)*L146)*O146/(0.5*Fsw*Lf),(H146-(Rdson1+Rdcr)*K146-Vout)*N146/(0.5*Fsw*Lf))))</f>
        <v>5.7127272923433</v>
      </c>
      <c r="Q146" s="488" t="n">
        <f aca="false">CHOOSE(J146, SQRT(K146^2+(P146^2)/12), SQRT(L146^2+(P146^2)/12), SQRT(M146^2+(P146^2)/12))</f>
        <v>6.22250788881704</v>
      </c>
      <c r="R146" s="488" t="n">
        <f aca="false">(Q146^2*Rdcr*(1+Ltc*Ta-Ltc*25))/(1-Q146^2*Rdcr*Ltc*ThetaCa)</f>
        <v>0.131070777144706</v>
      </c>
      <c r="S146" s="488" t="n">
        <f aca="false">7.759*10^-3*Fsw^0.9458*(0.00787*P146)^2.304</f>
        <v>0.925039387598789</v>
      </c>
      <c r="T146" s="488" t="n">
        <f aca="false">R146+S146</f>
        <v>1.0561101647435</v>
      </c>
      <c r="U146" s="385" t="n">
        <f aca="false">IF(H146&gt;Vout, P146/SQRT(12), SQRT(O146/(1-O146))*SQRT(K146^2+(P146^2)/12))</f>
        <v>1.64912232002066</v>
      </c>
      <c r="V146" s="488" t="n">
        <f aca="false">RCoutEsr*U146^2</f>
        <v>0.0135980221319517</v>
      </c>
      <c r="W146" s="488" t="n">
        <f aca="false">V146</f>
        <v>0.0135980221319517</v>
      </c>
      <c r="X146" s="488" t="n">
        <f aca="false">IF(H146&gt;Vout, SQRT(N146*(1-N146))*SQRT(K146^2+(P146^2)/12), P146/SQRT(12))</f>
        <v>2.93571889269194</v>
      </c>
      <c r="Y146" s="587" t="n">
        <f aca="false">RCinEsr*X146^2</f>
        <v>0.0172368908338168</v>
      </c>
      <c r="Z146" s="588" t="n">
        <f aca="false">Y146</f>
        <v>0.0172368908338168</v>
      </c>
      <c r="AA146" s="488" t="n">
        <f aca="false">CHOOSE(J146, SQRT(N146)*SQRT(K146^2+(P146^2)/12), SQRT(L146^2+(P146^2)/12), SQRT(N146)*SQRT(M146^2+(P146^2)/12))</f>
        <v>3.59846366826026</v>
      </c>
      <c r="AB146" s="488" t="n">
        <f aca="false">Rdson1*AA146^2</f>
        <v>0.0738089623991979</v>
      </c>
      <c r="AC146" s="488" t="n">
        <f aca="false">CHOOSE(J146, (H146*K146/2)*(Fsw)*(Tr_buck+Tf_buck), 0, (H146*M146/2)*(Fsw/2)*(Tr_buck+Tf_buck))</f>
        <v>0.220822140602582</v>
      </c>
      <c r="AD146" s="0" t="n">
        <f aca="false">IF(H146&gt;Vout, IF(K146&gt;P146/2,0,ABS(K146-P146/2)*Vsd_Q1*Deadtime*Fsw),0)</f>
        <v>0</v>
      </c>
      <c r="AE146" s="488" t="n">
        <f aca="false">(AD146+AC146+AB146*(1+RdsonTopTc*Ta-RdsonTopTc*25))/(1-AB146*RdsonTopTc*ThetaJA_Q1)</f>
        <v>0.29904555137317</v>
      </c>
      <c r="AF146" s="488" t="n">
        <f aca="false">CHOOSE(J146, SQRT((1-N146))*SQRT(K146^2+(P146^2)/12), 0, SQRT((1-N146))*SQRT(M146^2+(P146^2)/12))</f>
        <v>5.0764814246288</v>
      </c>
      <c r="AG146" s="488" t="n">
        <f aca="false">Rdson2*AF146^2</f>
        <v>0.146892782831227</v>
      </c>
      <c r="AH146" s="488" t="n">
        <f aca="false">CHOOSE(J146, IF(K146&lt;P146/2,Deadtime*Fsw*IF(VfdSky_Q2&gt;0,0,Vsd_Q2)*(K146+P146/2),2*Deadtime*Fsw*IF(VfdSky_Q2&gt;0,0,Vsd_Q2)*K146),0, IF(K146&lt;P146/2,Deadtime*Fsw/2*IF(VfdSky_Q2&gt;0,0,Vsd_Q2)*(K146+P146/2),2*Deadtime*Fsw/2*IF(VfdSky_Q2&gt;0,0,Vsd_Q2)*K146))</f>
        <v>0.144</v>
      </c>
      <c r="AI146" s="488" t="n">
        <f aca="false">(AH146+AG146*(1+RdsonBotTc*Ta-RdsonBotTc*25))/(1-AG146*RdsonBotTc*ThetaJA_Q2)</f>
        <v>0.299697461661407</v>
      </c>
      <c r="AJ146" s="488" t="n">
        <f aca="false">CHOOSE(J146, 0, SQRT(O146)*SQRT(L146^2+(P146^2)/12), SQRT(O146)*SQRT(M146^2+(P146^2)/12))</f>
        <v>0</v>
      </c>
      <c r="AK146" s="488" t="n">
        <f aca="false">Rdson4*AJ146^2</f>
        <v>0</v>
      </c>
      <c r="AL146" s="488" t="n">
        <f aca="false">CHOOSE(J146, 0, (Vout*L146/2)*(Fsw)*(Tr_boost+Tf_boost), (Vout*Iout/2)*(Fsw/2)*(Tr_boost+Tf_boost))</f>
        <v>0</v>
      </c>
      <c r="AM146" s="0" t="n">
        <f aca="false">IF(H146&gt;Vout, 0, IF(L146&gt;P146/2,0,ABS(L146-P146/2)*Vsd_Q4*Deadtime*Fsw))</f>
        <v>0</v>
      </c>
      <c r="AN146" s="488" t="n">
        <f aca="false">(AM146+AL146+AK146*(1+RdsonTopTc*Ta-RdsonTopTc*25))/(1-AK146*RdsonTopTc*ThetaJA_Q4)</f>
        <v>0</v>
      </c>
      <c r="AO146" s="488" t="n">
        <f aca="false">CHOOSE(J146, SQRT(Iout^2+(P146^2)/12), SQRT(1-O146)*SQRT(L146^2+(P146^2)/12), SQRT(1-O146)*SQRT(M146^2+(P146^2)/12))</f>
        <v>6.22250788881704</v>
      </c>
      <c r="AP146" s="488" t="n">
        <f aca="false">Rdson3*AO146^2</f>
        <v>0.0735672484101416</v>
      </c>
      <c r="AQ146" s="488" t="n">
        <f aca="false">CHOOSE(J146, 0, IF(L146&lt;P146/2,Deadtime*Fsw*IF(VfdSky_Q3&gt;0,0,Vsd_Q3)*(L146+P146/2), 2*Deadtime*Fsw*IF(VfdSky_Q3&gt;0,0,Vsd_Q3)*L146), IF(L146&lt;P146/2,Deadtime*Fsw/2*IF(VfdSky_Q3&gt;0,0,Vsd_Q3)*(L146+P146/2), 2*Deadtime*Fsw/2*IF(VfdSky_Q3&gt;0,0,Vsd_Q3)*L146))</f>
        <v>0</v>
      </c>
      <c r="AR146" s="488" t="n">
        <f aca="false">(AQ146+AP146*(1+RdsonBotTc*Ta-RdsonBotTc*25))/(1-AP146*RdsonBotTc*ThetaJA_Q3)</f>
        <v>0.0746658404972645</v>
      </c>
      <c r="AS146" s="488" t="n">
        <f aca="false">CHOOSE(J146, Rdson3*Q146^2, Rdson1*Q146^2, 0)</f>
        <v>0.0735672484101416</v>
      </c>
      <c r="AT146" s="488" t="n">
        <f aca="false">CHOOSE(J146, 2*Deadtime*Fsw*IF(VfdSky_Q2&gt;0,VfdSky_Q2,0)*K146, 2*Deadtime*Fsw*IF(VfdSky_Q3&gt;0,VfdSky_Q3,0)*L146, 2*Deadtime*Fsw/2*IF(VfdSky_Q2&gt;0,VfdSky_Q2,0)*K146+2*Deadtime*Fsw/2*IF(VfdSky_Q3&gt;0,VfdSky_Q3,0)*L146)</f>
        <v>0</v>
      </c>
      <c r="AU146" s="488" t="n">
        <f aca="false">CHOOSE(J146, IF(QrrSky_Q2&gt;0,QrrSky_Q2,Qrr_Q2)*Fsw*(H146-K146*Rdson1), IF(QrrSky_Q3&gt;0,QrrSky_Q3,Qrr_Q3)*Fsw*Vout,  IF(QrrSky_Q2&gt;0,QrrSky_Q2,Qrr_Q2)*Fsw/2*(H146-K146*Rdson1)+IF(QrrSky_Q3&gt;0,QrrSky_Q3,Qrr_Q3)*Fsw/2*Vout)</f>
        <v>0.68239962</v>
      </c>
      <c r="AV146" s="488" t="n">
        <f aca="false">CHOOSE(J146, Rs*AF146^2, Rs*AJ146^2, Rs*(AF146^2+AJ146^2))</f>
        <v>0.20616530923681</v>
      </c>
      <c r="AW146" s="488" t="n">
        <f aca="false">Rshunt_std/1000*Iout^2</f>
        <v>0.14832</v>
      </c>
      <c r="AX146" s="488" t="n">
        <f aca="false">IF(Vout&gt;8, Iq*Vout, Iq*H146)</f>
        <v>0.036</v>
      </c>
      <c r="AY146" s="488" t="n">
        <f aca="false">CHOOSE(J146, (Qg_Q1+Qg_Q2)*Fsw, (Qg_Q3+Qg_Q4)*Fsw, (Qg_Q1+Qg_Q2+Qg_Q3+Qg_Q4)*Fsw/2)*IF(Vout&gt;8, Vout, H146)</f>
        <v>0.0792</v>
      </c>
      <c r="AZ146" s="488" t="n">
        <f aca="false">(Vin-Vdd)*Fsw*(Qg_Q1+Qg_Q2)+(RdsonDRT+RdsonDRT2)*Fsw*Qg_Q1*Vdd/(RdsonDRT+2*Rgate1+RdsonDRT2)+(RdsonDRB+RdsonDRB2)*Fsw*Qg_Q2*Vdd/(RdsonDRB+2*Rgate2+RdsonDRB2)</f>
        <v>0.0522</v>
      </c>
      <c r="BA146" s="488" t="n">
        <f aca="false">SUM(AX146:AY146)</f>
        <v>0.1152</v>
      </c>
      <c r="BB146" s="488" t="n">
        <f aca="false">SUM(T146,W146,Z146,AE146,AI146,AN146,AR146, AT146,AU146,BA146,AV146,AW146)</f>
        <v>2.91243886047792</v>
      </c>
      <c r="BC146" s="419" t="n">
        <f aca="false">Vout*K146</f>
        <v>72</v>
      </c>
      <c r="BD146" s="589" t="n">
        <f aca="false">BC146/(BC146+BB146)</f>
        <v>0.961122092608649</v>
      </c>
      <c r="BE146" s="590" t="n">
        <f aca="false">IF(H146&gt;Vout,ThetaJA_Q1*(AE146+AU146),ThetaJA_Q4*(AN146+AU146))</f>
        <v>49.0722585686585</v>
      </c>
      <c r="BF146" s="590" t="n">
        <f aca="false">IF(H146&gt;Vout, AI146*ThetaJA_Q2, ThetaJA_Q3*AR146)</f>
        <v>14.9848730830704</v>
      </c>
      <c r="BG146" s="536"/>
      <c r="BH146" s="385" t="n">
        <f aca="false">BD146*100</f>
        <v>96.1122092608649</v>
      </c>
      <c r="BI146" s="488" t="n">
        <f aca="false">T146</f>
        <v>1.0561101647435</v>
      </c>
      <c r="BJ146" s="488" t="n">
        <f aca="false">AE146+AI146+AN146+AR146+AU146</f>
        <v>1.35580847353184</v>
      </c>
      <c r="BK146" s="488" t="n">
        <f aca="false">AI146+AU146*0.33</f>
        <v>0.524889336261407</v>
      </c>
      <c r="BL146" s="488" t="n">
        <f aca="false">AV146</f>
        <v>0.20616530923681</v>
      </c>
    </row>
    <row r="147" customFormat="false" ht="12.75" hidden="false" customHeight="false" outlineLevel="0" collapsed="false">
      <c r="G147" s="0" t="n">
        <v>138</v>
      </c>
      <c r="H147" s="586" t="n">
        <f aca="false">VIN_min+(VIN_max-VIN_min)*(G147/200)</f>
        <v>36.36</v>
      </c>
      <c r="I147" s="385" t="str">
        <f aca="false">IF(H147&gt;VIN_BB_to_buck, "BUCK", IF(H147&lt;VIN_boost_to_BB,"BOOST","BUCK-BST"))</f>
        <v>BUCK</v>
      </c>
      <c r="J147" s="419" t="n">
        <f aca="false">IF(I147="BOOST",2, IF(I147="BUCK", 1,3))</f>
        <v>1</v>
      </c>
      <c r="K147" s="0" t="n">
        <f aca="false">Iout</f>
        <v>6</v>
      </c>
      <c r="L147" s="385" t="n">
        <f aca="false">Vout*K147/(H147*Efficiency)</f>
        <v>2.2002200220022</v>
      </c>
      <c r="M147" s="385" t="n">
        <f aca="false">Iout/(1-O147)</f>
        <v>6</v>
      </c>
      <c r="N147" s="488" t="n">
        <f aca="false">CHOOSE(J147,(Vout+(Rdson2+Rs+Rdcr)*K147)/(H147+(Rs+Rdson2-Rdson1)*K147),1,IF(H147&lt;Vout,D_max_buck_BB,Vout/H147*(1-D_min_boost_exitBB_to_buck)))</f>
        <v>0.332407712590639</v>
      </c>
      <c r="O147" s="488" t="n">
        <f aca="false">CHOOSE(J147,0,(Vout+(Rdson3+Rdcr)*L147-H147)/(Vout+(Rdson3-Rdson4-Rs)*L147),IF(H147&gt;Vout,D_min_boost_exitBB_to_buck, (Vout-H147*D_max_buck_BB)/Vout))</f>
        <v>0</v>
      </c>
      <c r="P147" s="385" t="n">
        <f aca="false">MAX(0, CHOOSE(J147, (H147-(Rdson1+Rdcr)*K147-Vout)*N147/(Fsw*Lf), (H147-(Rdson4+Rdcr+Rs)*L147)*O147/(Fsw*Lf), IF(H147&lt;Vout, (H147-(Rdson4+Rdcr+Rs)*L147)*O147/(0.5*Fsw*Lf),(H147-(Rdson1+Rdcr)*K147-Vout)*N147/(0.5*Fsw*Lf))))</f>
        <v>5.73007243965554</v>
      </c>
      <c r="Q147" s="488" t="n">
        <f aca="false">CHOOSE(J147, SQRT(K147^2+(P147^2)/12), SQRT(L147^2+(P147^2)/12), SQRT(M147^2+(P147^2)/12))</f>
        <v>6.22383677327003</v>
      </c>
      <c r="R147" s="488" t="n">
        <f aca="false">(Q147^2*Rdcr*(1+Ltc*Ta-Ltc*25))/(1-Q147^2*Rdcr*Ltc*ThetaCa)</f>
        <v>0.131127353648646</v>
      </c>
      <c r="S147" s="488" t="n">
        <f aca="false">7.759*10^-3*Fsw^0.9458*(0.00787*P147)^2.304</f>
        <v>0.931523288258703</v>
      </c>
      <c r="T147" s="488" t="n">
        <f aca="false">R147+S147</f>
        <v>1.06265064190735</v>
      </c>
      <c r="U147" s="385" t="n">
        <f aca="false">IF(H147&gt;Vout, P147/SQRT(12), SQRT(O147/(1-O147))*SQRT(K147^2+(P147^2)/12))</f>
        <v>1.65412943275559</v>
      </c>
      <c r="V147" s="488" t="n">
        <f aca="false">RCoutEsr*U147^2</f>
        <v>0.0136807209015416</v>
      </c>
      <c r="W147" s="488" t="n">
        <f aca="false">V147</f>
        <v>0.0136807209015416</v>
      </c>
      <c r="X147" s="488" t="n">
        <f aca="false">IF(H147&gt;Vout, SQRT(N147*(1-N147))*SQRT(K147^2+(P147^2)/12), P147/SQRT(12))</f>
        <v>2.93190163416878</v>
      </c>
      <c r="Y147" s="587" t="n">
        <f aca="false">RCinEsr*X147^2</f>
        <v>0.0171920943848831</v>
      </c>
      <c r="Z147" s="588" t="n">
        <f aca="false">Y147</f>
        <v>0.0171920943848831</v>
      </c>
      <c r="AA147" s="488" t="n">
        <f aca="false">CHOOSE(J147, SQRT(N147)*SQRT(K147^2+(P147^2)/12), SQRT(L147^2+(P147^2)/12), SQRT(N147)*SQRT(M147^2+(P147^2)/12))</f>
        <v>3.58834127161248</v>
      </c>
      <c r="AB147" s="488" t="n">
        <f aca="false">Rdson1*AA147^2</f>
        <v>0.0733943005648778</v>
      </c>
      <c r="AC147" s="488" t="n">
        <f aca="false">CHOOSE(J147, (H147*K147/2)*(Fsw)*(Tr_buck+Tf_buck), 0, (H147*M147/2)*(Fsw/2)*(Tr_buck+Tf_buck))</f>
        <v>0.222166381635581</v>
      </c>
      <c r="AD147" s="0" t="n">
        <f aca="false">IF(H147&gt;Vout, IF(K147&gt;P147/2,0,ABS(K147-P147/2)*Vsd_Q1*Deadtime*Fsw),0)</f>
        <v>0</v>
      </c>
      <c r="AE147" s="488" t="n">
        <f aca="false">(AD147+AC147+AB147*(1+RdsonTopTc*Ta-RdsonTopTc*25))/(1-AB147*RdsonTopTc*ThetaJA_Q1)</f>
        <v>0.299963808991602</v>
      </c>
      <c r="AF147" s="488" t="n">
        <f aca="false">CHOOSE(J147, SQRT((1-N147))*SQRT(K147^2+(P147^2)/12), 0, SQRT((1-N147))*SQRT(M147^2+(P147^2)/12))</f>
        <v>5.08526804590976</v>
      </c>
      <c r="AG147" s="488" t="n">
        <f aca="false">Rdson2*AF147^2</f>
        <v>0.14740172126288</v>
      </c>
      <c r="AH147" s="488" t="n">
        <f aca="false">CHOOSE(J147, IF(K147&lt;P147/2,Deadtime*Fsw*IF(VfdSky_Q2&gt;0,0,Vsd_Q2)*(K147+P147/2),2*Deadtime*Fsw*IF(VfdSky_Q2&gt;0,0,Vsd_Q2)*K147),0, IF(K147&lt;P147/2,Deadtime*Fsw/2*IF(VfdSky_Q2&gt;0,0,Vsd_Q2)*(K147+P147/2),2*Deadtime*Fsw/2*IF(VfdSky_Q2&gt;0,0,Vsd_Q2)*K147))</f>
        <v>0.144</v>
      </c>
      <c r="AI147" s="488" t="n">
        <f aca="false">(AH147+AG147*(1+RdsonBotTc*Ta-RdsonBotTc*25))/(1-AG147*RdsonBotTc*ThetaJA_Q2)</f>
        <v>0.300253291664107</v>
      </c>
      <c r="AJ147" s="488" t="n">
        <f aca="false">CHOOSE(J147, 0, SQRT(O147)*SQRT(L147^2+(P147^2)/12), SQRT(O147)*SQRT(M147^2+(P147^2)/12))</f>
        <v>0</v>
      </c>
      <c r="AK147" s="488" t="n">
        <f aca="false">Rdson4*AJ147^2</f>
        <v>0</v>
      </c>
      <c r="AL147" s="488" t="n">
        <f aca="false">CHOOSE(J147, 0, (Vout*L147/2)*(Fsw)*(Tr_boost+Tf_boost), (Vout*Iout/2)*(Fsw/2)*(Tr_boost+Tf_boost))</f>
        <v>0</v>
      </c>
      <c r="AM147" s="0" t="n">
        <f aca="false">IF(H147&gt;Vout, 0, IF(L147&gt;P147/2,0,ABS(L147-P147/2)*Vsd_Q4*Deadtime*Fsw))</f>
        <v>0</v>
      </c>
      <c r="AN147" s="488" t="n">
        <f aca="false">(AM147+AL147+AK147*(1+RdsonTopTc*Ta-RdsonTopTc*25))/(1-AK147*RdsonTopTc*ThetaJA_Q4)</f>
        <v>0</v>
      </c>
      <c r="AO147" s="488" t="n">
        <f aca="false">CHOOSE(J147, SQRT(Iout^2+(P147^2)/12), SQRT(1-O147)*SQRT(L147^2+(P147^2)/12), SQRT(1-O147)*SQRT(M147^2+(P147^2)/12))</f>
        <v>6.22383677327003</v>
      </c>
      <c r="AP147" s="488" t="n">
        <f aca="false">Rdson3*AO147^2</f>
        <v>0.0735986739425858</v>
      </c>
      <c r="AQ147" s="488" t="n">
        <f aca="false">CHOOSE(J147, 0, IF(L147&lt;P147/2,Deadtime*Fsw*IF(VfdSky_Q3&gt;0,0,Vsd_Q3)*(L147+P147/2), 2*Deadtime*Fsw*IF(VfdSky_Q3&gt;0,0,Vsd_Q3)*L147), IF(L147&lt;P147/2,Deadtime*Fsw/2*IF(VfdSky_Q3&gt;0,0,Vsd_Q3)*(L147+P147/2), 2*Deadtime*Fsw/2*IF(VfdSky_Q3&gt;0,0,Vsd_Q3)*L147))</f>
        <v>0</v>
      </c>
      <c r="AR147" s="488" t="n">
        <f aca="false">(AQ147+AP147*(1+RdsonBotTc*Ta-RdsonBotTc*25))/(1-AP147*RdsonBotTc*ThetaJA_Q3)</f>
        <v>0.0746982118095996</v>
      </c>
      <c r="AS147" s="488" t="n">
        <f aca="false">CHOOSE(J147, Rdson3*Q147^2, Rdson1*Q147^2, 0)</f>
        <v>0.0735986739425858</v>
      </c>
      <c r="AT147" s="488" t="n">
        <f aca="false">CHOOSE(J147, 2*Deadtime*Fsw*IF(VfdSky_Q2&gt;0,VfdSky_Q2,0)*K147, 2*Deadtime*Fsw*IF(VfdSky_Q3&gt;0,VfdSky_Q3,0)*L147, 2*Deadtime*Fsw/2*IF(VfdSky_Q2&gt;0,VfdSky_Q2,0)*K147+2*Deadtime*Fsw/2*IF(VfdSky_Q3&gt;0,VfdSky_Q3,0)*L147)</f>
        <v>0</v>
      </c>
      <c r="AU147" s="488" t="n">
        <f aca="false">CHOOSE(J147, IF(QrrSky_Q2&gt;0,QrrSky_Q2,Qrr_Q2)*Fsw*(H147-K147*Rdson1), IF(QrrSky_Q3&gt;0,QrrSky_Q3,Qrr_Q3)*Fsw*Vout,  IF(QrrSky_Q2&gt;0,QrrSky_Q2,Qrr_Q2)*Fsw/2*(H147-K147*Rdson1)+IF(QrrSky_Q3&gt;0,QrrSky_Q3,Qrr_Q3)*Fsw/2*Vout)</f>
        <v>0.68655762</v>
      </c>
      <c r="AV147" s="488" t="n">
        <f aca="false">CHOOSE(J147, Rs*AF147^2, Rs*AJ147^2, Rs*(AF147^2+AJ147^2))</f>
        <v>0.206879608790007</v>
      </c>
      <c r="AW147" s="488" t="n">
        <f aca="false">Rshunt_std/1000*Iout^2</f>
        <v>0.14832</v>
      </c>
      <c r="AX147" s="488" t="n">
        <f aca="false">IF(Vout&gt;8, Iq*Vout, Iq*H147)</f>
        <v>0.036</v>
      </c>
      <c r="AY147" s="488" t="n">
        <f aca="false">CHOOSE(J147, (Qg_Q1+Qg_Q2)*Fsw, (Qg_Q3+Qg_Q4)*Fsw, (Qg_Q1+Qg_Q2+Qg_Q3+Qg_Q4)*Fsw/2)*IF(Vout&gt;8, Vout, H147)</f>
        <v>0.0792</v>
      </c>
      <c r="AZ147" s="488" t="n">
        <f aca="false">(Vin-Vdd)*Fsw*(Qg_Q1+Qg_Q2)+(RdsonDRT+RdsonDRT2)*Fsw*Qg_Q1*Vdd/(RdsonDRT+2*Rgate1+RdsonDRT2)+(RdsonDRB+RdsonDRB2)*Fsw*Qg_Q2*Vdd/(RdsonDRB+2*Rgate2+RdsonDRB2)</f>
        <v>0.0522</v>
      </c>
      <c r="BA147" s="488" t="n">
        <f aca="false">SUM(AX147:AY147)</f>
        <v>0.1152</v>
      </c>
      <c r="BB147" s="488" t="n">
        <f aca="false">SUM(T147,W147,Z147,AE147,AI147,AN147,AR147, AT147,AU147,BA147,AV147,AW147)</f>
        <v>2.92539599844909</v>
      </c>
      <c r="BC147" s="419" t="n">
        <f aca="false">Vout*K147</f>
        <v>72</v>
      </c>
      <c r="BD147" s="589" t="n">
        <f aca="false">BC147/(BC147+BB147)</f>
        <v>0.960955882054869</v>
      </c>
      <c r="BE147" s="590" t="n">
        <f aca="false">IF(H147&gt;Vout,ThetaJA_Q1*(AE147+AU147),ThetaJA_Q4*(AN147+AU147))</f>
        <v>49.3260714495801</v>
      </c>
      <c r="BF147" s="590" t="n">
        <f aca="false">IF(H147&gt;Vout, AI147*ThetaJA_Q2, ThetaJA_Q3*AR147)</f>
        <v>15.0126645832053</v>
      </c>
      <c r="BG147" s="536"/>
      <c r="BH147" s="385" t="n">
        <f aca="false">BD147*100</f>
        <v>96.0955882054869</v>
      </c>
      <c r="BI147" s="488" t="n">
        <f aca="false">T147</f>
        <v>1.06265064190735</v>
      </c>
      <c r="BJ147" s="488" t="n">
        <f aca="false">AE147+AI147+AN147+AR147+AU147</f>
        <v>1.36147293246531</v>
      </c>
      <c r="BK147" s="488" t="n">
        <f aca="false">AI147+AU147*0.33</f>
        <v>0.526817306264107</v>
      </c>
      <c r="BL147" s="488" t="n">
        <f aca="false">AV147</f>
        <v>0.206879608790007</v>
      </c>
    </row>
    <row r="148" customFormat="false" ht="12.75" hidden="false" customHeight="false" outlineLevel="0" collapsed="false">
      <c r="G148" s="0" t="n">
        <v>139</v>
      </c>
      <c r="H148" s="586" t="n">
        <f aca="false">VIN_min+(VIN_max-VIN_min)*(G148/200)</f>
        <v>36.58</v>
      </c>
      <c r="I148" s="385" t="str">
        <f aca="false">IF(H148&gt;VIN_BB_to_buck, "BUCK", IF(H148&lt;VIN_boost_to_BB,"BOOST","BUCK-BST"))</f>
        <v>BUCK</v>
      </c>
      <c r="J148" s="419" t="n">
        <f aca="false">IF(I148="BOOST",2, IF(I148="BUCK", 1,3))</f>
        <v>1</v>
      </c>
      <c r="K148" s="0" t="n">
        <f aca="false">Iout</f>
        <v>6</v>
      </c>
      <c r="L148" s="385" t="n">
        <f aca="false">Vout*K148/(H148*Efficiency)</f>
        <v>2.18698742482231</v>
      </c>
      <c r="M148" s="385" t="n">
        <f aca="false">Iout/(1-O148)</f>
        <v>6</v>
      </c>
      <c r="N148" s="488" t="n">
        <f aca="false">CHOOSE(J148,(Vout+(Rdson2+Rs+Rdcr)*K148)/(H148+(Rs+Rdson2-Rdson1)*K148),1,IF(H148&lt;Vout,D_max_buck_BB,Vout/H148*(1-D_min_boost_exitBB_to_buck)))</f>
        <v>0.330411160860544</v>
      </c>
      <c r="O148" s="488" t="n">
        <f aca="false">CHOOSE(J148,0,(Vout+(Rdson3+Rdcr)*L148-H148)/(Vout+(Rdson3-Rdson4-Rs)*L148),IF(H148&gt;Vout,D_min_boost_exitBB_to_buck, (Vout-H148*D_max_buck_BB)/Vout))</f>
        <v>0</v>
      </c>
      <c r="P148" s="385" t="n">
        <f aca="false">MAX(0, CHOOSE(J148, (H148-(Rdson1+Rdcr)*K148-Vout)*N148/(Fsw*Lf), (H148-(Rdson4+Rdcr+Rs)*L148)*O148/(Fsw*Lf), IF(H148&lt;Vout, (H148-(Rdson4+Rdcr+Rs)*L148)*O148/(0.5*Fsw*Lf),(H148-(Rdson1+Rdcr)*K148-Vout)*N148/(0.5*Fsw*Lf))))</f>
        <v>5.74720922547336</v>
      </c>
      <c r="Q148" s="488" t="n">
        <f aca="false">CHOOSE(J148, SQRT(K148^2+(P148^2)/12), SQRT(L148^2+(P148^2)/12), SQRT(M148^2+(P148^2)/12))</f>
        <v>6.22515337081054</v>
      </c>
      <c r="R148" s="488" t="n">
        <f aca="false">(Q148^2*Rdcr*(1+Ltc*Ta-Ltc*25))/(1-Q148^2*Rdcr*Ltc*ThetaCa)</f>
        <v>0.131183419458423</v>
      </c>
      <c r="S148" s="488" t="n">
        <f aca="false">7.759*10^-3*Fsw^0.9458*(0.00787*P148)^2.304</f>
        <v>0.937954483866356</v>
      </c>
      <c r="T148" s="488" t="n">
        <f aca="false">R148+S148</f>
        <v>1.06913790332478</v>
      </c>
      <c r="U148" s="385" t="n">
        <f aca="false">IF(H148&gt;Vout, P148/SQRT(12), SQRT(O148/(1-O148))*SQRT(K148^2+(P148^2)/12))</f>
        <v>1.65907639670807</v>
      </c>
      <c r="V148" s="488" t="n">
        <f aca="false">RCoutEsr*U148^2</f>
        <v>0.0137626724505692</v>
      </c>
      <c r="W148" s="488" t="n">
        <f aca="false">V148</f>
        <v>0.0137626724505692</v>
      </c>
      <c r="X148" s="488" t="n">
        <f aca="false">IF(H148&gt;Vout, SQRT(N148*(1-N148))*SQRT(K148^2+(P148^2)/12), P148/SQRT(12))</f>
        <v>2.9280703924544</v>
      </c>
      <c r="Y148" s="587" t="n">
        <f aca="false">RCinEsr*X148^2</f>
        <v>0.0171471924463362</v>
      </c>
      <c r="Z148" s="588" t="n">
        <f aca="false">Y148</f>
        <v>0.0171471924463362</v>
      </c>
      <c r="AA148" s="488" t="n">
        <f aca="false">CHOOSE(J148, SQRT(N148)*SQRT(K148^2+(P148^2)/12), SQRT(L148^2+(P148^2)/12), SQRT(N148)*SQRT(M148^2+(P148^2)/12))</f>
        <v>3.57830545190971</v>
      </c>
      <c r="AB148" s="488" t="n">
        <f aca="false">Rdson1*AA148^2</f>
        <v>0.0729843384708507</v>
      </c>
      <c r="AC148" s="488" t="n">
        <f aca="false">CHOOSE(J148, (H148*K148/2)*(Fsw)*(Tr_buck+Tf_buck), 0, (H148*M148/2)*(Fsw/2)*(Tr_buck+Tf_buck))</f>
        <v>0.22351062266858</v>
      </c>
      <c r="AD148" s="0" t="n">
        <f aca="false">IF(H148&gt;Vout, IF(K148&gt;P148/2,0,ABS(K148-P148/2)*Vsd_Q1*Deadtime*Fsw),0)</f>
        <v>0</v>
      </c>
      <c r="AE148" s="488" t="n">
        <f aca="false">(AD148+AC148+AB148*(1+RdsonTopTc*Ta-RdsonTopTc*25))/(1-AB148*RdsonTopTc*ThetaJA_Q1)</f>
        <v>0.300886968408184</v>
      </c>
      <c r="AF148" s="488" t="n">
        <f aca="false">CHOOSE(J148, SQRT((1-N148))*SQRT(K148^2+(P148^2)/12), 0, SQRT((1-N148))*SQRT(M148^2+(P148^2)/12))</f>
        <v>5.09394391242651</v>
      </c>
      <c r="AG148" s="488" t="n">
        <f aca="false">Rdson2*AF148^2</f>
        <v>0.147905108122798</v>
      </c>
      <c r="AH148" s="488" t="n">
        <f aca="false">CHOOSE(J148, IF(K148&lt;P148/2,Deadtime*Fsw*IF(VfdSky_Q2&gt;0,0,Vsd_Q2)*(K148+P148/2),2*Deadtime*Fsw*IF(VfdSky_Q2&gt;0,0,Vsd_Q2)*K148),0, IF(K148&lt;P148/2,Deadtime*Fsw/2*IF(VfdSky_Q2&gt;0,0,Vsd_Q2)*(K148+P148/2),2*Deadtime*Fsw/2*IF(VfdSky_Q2&gt;0,0,Vsd_Q2)*K148))</f>
        <v>0.144</v>
      </c>
      <c r="AI148" s="488" t="n">
        <f aca="false">(AH148+AG148*(1+RdsonBotTc*Ta-RdsonBotTc*25))/(1-AG148*RdsonBotTc*ThetaJA_Q2)</f>
        <v>0.300803173296828</v>
      </c>
      <c r="AJ148" s="488" t="n">
        <f aca="false">CHOOSE(J148, 0, SQRT(O148)*SQRT(L148^2+(P148^2)/12), SQRT(O148)*SQRT(M148^2+(P148^2)/12))</f>
        <v>0</v>
      </c>
      <c r="AK148" s="488" t="n">
        <f aca="false">Rdson4*AJ148^2</f>
        <v>0</v>
      </c>
      <c r="AL148" s="488" t="n">
        <f aca="false">CHOOSE(J148, 0, (Vout*L148/2)*(Fsw)*(Tr_boost+Tf_boost), (Vout*Iout/2)*(Fsw/2)*(Tr_boost+Tf_boost))</f>
        <v>0</v>
      </c>
      <c r="AM148" s="0" t="n">
        <f aca="false">IF(H148&gt;Vout, 0, IF(L148&gt;P148/2,0,ABS(L148-P148/2)*Vsd_Q4*Deadtime*Fsw))</f>
        <v>0</v>
      </c>
      <c r="AN148" s="488" t="n">
        <f aca="false">(AM148+AL148+AK148*(1+RdsonTopTc*Ta-RdsonTopTc*25))/(1-AK148*RdsonTopTc*ThetaJA_Q4)</f>
        <v>0</v>
      </c>
      <c r="AO148" s="488" t="n">
        <f aca="false">CHOOSE(J148, SQRT(Iout^2+(P148^2)/12), SQRT(1-O148)*SQRT(L148^2+(P148^2)/12), SQRT(1-O148)*SQRT(M148^2+(P148^2)/12))</f>
        <v>6.22515337081054</v>
      </c>
      <c r="AP148" s="488" t="n">
        <f aca="false">Rdson3*AO148^2</f>
        <v>0.0736298155312163</v>
      </c>
      <c r="AQ148" s="488" t="n">
        <f aca="false">CHOOSE(J148, 0, IF(L148&lt;P148/2,Deadtime*Fsw*IF(VfdSky_Q3&gt;0,0,Vsd_Q3)*(L148+P148/2), 2*Deadtime*Fsw*IF(VfdSky_Q3&gt;0,0,Vsd_Q3)*L148), IF(L148&lt;P148/2,Deadtime*Fsw/2*IF(VfdSky_Q3&gt;0,0,Vsd_Q3)*(L148+P148/2), 2*Deadtime*Fsw/2*IF(VfdSky_Q3&gt;0,0,Vsd_Q3)*L148))</f>
        <v>0</v>
      </c>
      <c r="AR148" s="488" t="n">
        <f aca="false">(AQ148+AP148*(1+RdsonBotTc*Ta-RdsonBotTc*25))/(1-AP148*RdsonBotTc*ThetaJA_Q3)</f>
        <v>0.07473029103999</v>
      </c>
      <c r="AS148" s="488" t="n">
        <f aca="false">CHOOSE(J148, Rdson3*Q148^2, Rdson1*Q148^2, 0)</f>
        <v>0.0736298155312163</v>
      </c>
      <c r="AT148" s="488" t="n">
        <f aca="false">CHOOSE(J148, 2*Deadtime*Fsw*IF(VfdSky_Q2&gt;0,VfdSky_Q2,0)*K148, 2*Deadtime*Fsw*IF(VfdSky_Q3&gt;0,VfdSky_Q3,0)*L148, 2*Deadtime*Fsw/2*IF(VfdSky_Q2&gt;0,VfdSky_Q2,0)*K148+2*Deadtime*Fsw/2*IF(VfdSky_Q3&gt;0,VfdSky_Q3,0)*L148)</f>
        <v>0</v>
      </c>
      <c r="AU148" s="488" t="n">
        <f aca="false">CHOOSE(J148, IF(QrrSky_Q2&gt;0,QrrSky_Q2,Qrr_Q2)*Fsw*(H148-K148*Rdson1), IF(QrrSky_Q3&gt;0,QrrSky_Q3,Qrr_Q3)*Fsw*Vout,  IF(QrrSky_Q2&gt;0,QrrSky_Q2,Qrr_Q2)*Fsw/2*(H148-K148*Rdson1)+IF(QrrSky_Q3&gt;0,QrrSky_Q3,Qrr_Q3)*Fsw/2*Vout)</f>
        <v>0.69071562</v>
      </c>
      <c r="AV148" s="488" t="n">
        <f aca="false">CHOOSE(J148, Rs*AF148^2, Rs*AJ148^2, Rs*(AF148^2+AJ148^2))</f>
        <v>0.207586116663577</v>
      </c>
      <c r="AW148" s="488" t="n">
        <f aca="false">Rshunt_std/1000*Iout^2</f>
        <v>0.14832</v>
      </c>
      <c r="AX148" s="488" t="n">
        <f aca="false">IF(Vout&gt;8, Iq*Vout, Iq*H148)</f>
        <v>0.036</v>
      </c>
      <c r="AY148" s="488" t="n">
        <f aca="false">CHOOSE(J148, (Qg_Q1+Qg_Q2)*Fsw, (Qg_Q3+Qg_Q4)*Fsw, (Qg_Q1+Qg_Q2+Qg_Q3+Qg_Q4)*Fsw/2)*IF(Vout&gt;8, Vout, H148)</f>
        <v>0.0792</v>
      </c>
      <c r="AZ148" s="488" t="n">
        <f aca="false">(Vin-Vdd)*Fsw*(Qg_Q1+Qg_Q2)+(RdsonDRT+RdsonDRT2)*Fsw*Qg_Q1*Vdd/(RdsonDRT+2*Rgate1+RdsonDRT2)+(RdsonDRB+RdsonDRB2)*Fsw*Qg_Q2*Vdd/(RdsonDRB+2*Rgate2+RdsonDRB2)</f>
        <v>0.0522</v>
      </c>
      <c r="BA148" s="488" t="n">
        <f aca="false">SUM(AX148:AY148)</f>
        <v>0.1152</v>
      </c>
      <c r="BB148" s="488" t="n">
        <f aca="false">SUM(T148,W148,Z148,AE148,AI148,AN148,AR148, AT148,AU148,BA148,AV148,AW148)</f>
        <v>2.93828993763026</v>
      </c>
      <c r="BC148" s="419" t="n">
        <f aca="false">Vout*K148</f>
        <v>72</v>
      </c>
      <c r="BD148" s="589" t="n">
        <f aca="false">BC148/(BC148+BB148)</f>
        <v>0.960790539254689</v>
      </c>
      <c r="BE148" s="590" t="n">
        <f aca="false">IF(H148&gt;Vout,ThetaJA_Q1*(AE148+AU148),ThetaJA_Q4*(AN148+AU148))</f>
        <v>49.5801294204092</v>
      </c>
      <c r="BF148" s="590" t="n">
        <f aca="false">IF(H148&gt;Vout, AI148*ThetaJA_Q2, ThetaJA_Q3*AR148)</f>
        <v>15.0401586648414</v>
      </c>
      <c r="BG148" s="536"/>
      <c r="BH148" s="385" t="n">
        <f aca="false">BD148*100</f>
        <v>96.0790539254689</v>
      </c>
      <c r="BI148" s="488" t="n">
        <f aca="false">T148</f>
        <v>1.06913790332478</v>
      </c>
      <c r="BJ148" s="488" t="n">
        <f aca="false">AE148+AI148+AN148+AR148+AU148</f>
        <v>1.367136052745</v>
      </c>
      <c r="BK148" s="488" t="n">
        <f aca="false">AI148+AU148*0.33</f>
        <v>0.528739327896828</v>
      </c>
      <c r="BL148" s="488" t="n">
        <f aca="false">AV148</f>
        <v>0.207586116663577</v>
      </c>
    </row>
    <row r="149" customFormat="false" ht="12.75" hidden="false" customHeight="false" outlineLevel="0" collapsed="false">
      <c r="G149" s="0" t="n">
        <v>140</v>
      </c>
      <c r="H149" s="586" t="n">
        <f aca="false">VIN_min+(VIN_max-VIN_min)*(G149/200)</f>
        <v>36.8</v>
      </c>
      <c r="I149" s="385" t="str">
        <f aca="false">IF(H149&gt;VIN_BB_to_buck, "BUCK", IF(H149&lt;VIN_boost_to_BB,"BOOST","BUCK-BST"))</f>
        <v>BUCK</v>
      </c>
      <c r="J149" s="419" t="n">
        <f aca="false">IF(I149="BOOST",2, IF(I149="BUCK", 1,3))</f>
        <v>1</v>
      </c>
      <c r="K149" s="0" t="n">
        <f aca="false">Iout</f>
        <v>6</v>
      </c>
      <c r="L149" s="385" t="n">
        <f aca="false">Vout*K149/(H149*Efficiency)</f>
        <v>2.17391304347826</v>
      </c>
      <c r="M149" s="385" t="n">
        <f aca="false">Iout/(1-O149)</f>
        <v>6</v>
      </c>
      <c r="N149" s="488" t="n">
        <f aca="false">CHOOSE(J149,(Vout+(Rdson2+Rs+Rdcr)*K149)/(H149+(Rs+Rdson2-Rdson1)*K149),1,IF(H149&lt;Vout,D_max_buck_BB,Vout/H149*(1-D_min_boost_exitBB_to_buck)))</f>
        <v>0.328438449848024</v>
      </c>
      <c r="O149" s="488" t="n">
        <f aca="false">CHOOSE(J149,0,(Vout+(Rdson3+Rdcr)*L149-H149)/(Vout+(Rdson3-Rdson4-Rs)*L149),IF(H149&gt;Vout,D_min_boost_exitBB_to_buck, (Vout-H149*D_max_buck_BB)/Vout))</f>
        <v>0</v>
      </c>
      <c r="P149" s="385" t="n">
        <f aca="false">MAX(0, CHOOSE(J149, (H149-(Rdson1+Rdcr)*K149-Vout)*N149/(Fsw*Lf), (H149-(Rdson4+Rdcr+Rs)*L149)*O149/(Fsw*Lf), IF(H149&lt;Vout, (H149-(Rdson4+Rdcr+Rs)*L149)*O149/(0.5*Fsw*Lf),(H149-(Rdson1+Rdcr)*K149-Vout)*N149/(0.5*Fsw*Lf))))</f>
        <v>5.76414138184699</v>
      </c>
      <c r="Q149" s="488" t="n">
        <f aca="false">CHOOSE(J149, SQRT(K149^2+(P149^2)/12), SQRT(L149^2+(P149^2)/12), SQRT(M149^2+(P149^2)/12))</f>
        <v>6.22645783377891</v>
      </c>
      <c r="R149" s="488" t="n">
        <f aca="false">(Q149^2*Rdcr*(1+Ltc*Ta-Ltc*25))/(1-Q149^2*Rdcr*Ltc*ThetaCa)</f>
        <v>0.131238980717778</v>
      </c>
      <c r="S149" s="488" t="n">
        <f aca="false">7.759*10^-3*Fsw^0.9458*(0.00787*P149)^2.304</f>
        <v>0.944333492388687</v>
      </c>
      <c r="T149" s="488" t="n">
        <f aca="false">R149+S149</f>
        <v>1.07557247310646</v>
      </c>
      <c r="U149" s="385" t="n">
        <f aca="false">IF(H149&gt;Vout, P149/SQRT(12), SQRT(O149/(1-O149))*SQRT(K149^2+(P149^2)/12))</f>
        <v>1.66396428922821</v>
      </c>
      <c r="V149" s="488" t="n">
        <f aca="false">RCoutEsr*U149^2</f>
        <v>0.0138438857791337</v>
      </c>
      <c r="W149" s="488" t="n">
        <f aca="false">V149</f>
        <v>0.0138438857791337</v>
      </c>
      <c r="X149" s="488" t="n">
        <f aca="false">IF(H149&gt;Vout, SQRT(N149*(1-N149))*SQRT(K149^2+(P149^2)/12), P149/SQRT(12))</f>
        <v>2.92422617136698</v>
      </c>
      <c r="Y149" s="587" t="n">
        <f aca="false">RCinEsr*X149^2</f>
        <v>0.0171021974026152</v>
      </c>
      <c r="Z149" s="588" t="n">
        <f aca="false">Y149</f>
        <v>0.0171021974026152</v>
      </c>
      <c r="AA149" s="488" t="n">
        <f aca="false">CHOOSE(J149, SQRT(N149)*SQRT(K149^2+(P149^2)/12), SQRT(L149^2+(P149^2)/12), SQRT(N149)*SQRT(M149^2+(P149^2)/12))</f>
        <v>3.56835495313502</v>
      </c>
      <c r="AB149" s="488" t="n">
        <f aca="false">Rdson1*AA149^2</f>
        <v>0.0725789953079104</v>
      </c>
      <c r="AC149" s="488" t="n">
        <f aca="false">CHOOSE(J149, (H149*K149/2)*(Fsw)*(Tr_buck+Tf_buck), 0, (H149*M149/2)*(Fsw/2)*(Tr_buck+Tf_buck))</f>
        <v>0.224854863701578</v>
      </c>
      <c r="AD149" s="0" t="n">
        <f aca="false">IF(H149&gt;Vout, IF(K149&gt;P149/2,0,ABS(K149-P149/2)*Vsd_Q1*Deadtime*Fsw),0)</f>
        <v>0</v>
      </c>
      <c r="AE149" s="488" t="n">
        <f aca="false">(AD149+AC149+AB149*(1+RdsonTopTc*Ta-RdsonTopTc*25))/(1-AB149*RdsonTopTc*ThetaJA_Q1)</f>
        <v>0.301814944091706</v>
      </c>
      <c r="AF149" s="488" t="n">
        <f aca="false">CHOOSE(J149, SQRT((1-N149))*SQRT(K149^2+(P149^2)/12), 0, SQRT((1-N149))*SQRT(M149^2+(P149^2)/12))</f>
        <v>5.1025111547417</v>
      </c>
      <c r="AG149" s="488" t="n">
        <f aca="false">Rdson2*AF149^2</f>
        <v>0.148403034480302</v>
      </c>
      <c r="AH149" s="488" t="n">
        <f aca="false">CHOOSE(J149, IF(K149&lt;P149/2,Deadtime*Fsw*IF(VfdSky_Q2&gt;0,0,Vsd_Q2)*(K149+P149/2),2*Deadtime*Fsw*IF(VfdSky_Q2&gt;0,0,Vsd_Q2)*K149),0, IF(K149&lt;P149/2,Deadtime*Fsw/2*IF(VfdSky_Q2&gt;0,0,Vsd_Q2)*(K149+P149/2),2*Deadtime*Fsw/2*IF(VfdSky_Q2&gt;0,0,Vsd_Q2)*K149))</f>
        <v>0.144</v>
      </c>
      <c r="AI149" s="488" t="n">
        <f aca="false">(AH149+AG149*(1+RdsonBotTc*Ta-RdsonBotTc*25))/(1-AG149*RdsonBotTc*ThetaJA_Q2)</f>
        <v>0.301347202331944</v>
      </c>
      <c r="AJ149" s="488" t="n">
        <f aca="false">CHOOSE(J149, 0, SQRT(O149)*SQRT(L149^2+(P149^2)/12), SQRT(O149)*SQRT(M149^2+(P149^2)/12))</f>
        <v>0</v>
      </c>
      <c r="AK149" s="488" t="n">
        <f aca="false">Rdson4*AJ149^2</f>
        <v>0</v>
      </c>
      <c r="AL149" s="488" t="n">
        <f aca="false">CHOOSE(J149, 0, (Vout*L149/2)*(Fsw)*(Tr_boost+Tf_boost), (Vout*Iout/2)*(Fsw/2)*(Tr_boost+Tf_boost))</f>
        <v>0</v>
      </c>
      <c r="AM149" s="0" t="n">
        <f aca="false">IF(H149&gt;Vout, 0, IF(L149&gt;P149/2,0,ABS(L149-P149/2)*Vsd_Q4*Deadtime*Fsw))</f>
        <v>0</v>
      </c>
      <c r="AN149" s="488" t="n">
        <f aca="false">(AM149+AL149+AK149*(1+RdsonTopTc*Ta-RdsonTopTc*25))/(1-AK149*RdsonTopTc*ThetaJA_Q4)</f>
        <v>0</v>
      </c>
      <c r="AO149" s="488" t="n">
        <f aca="false">CHOOSE(J149, SQRT(Iout^2+(P149^2)/12), SQRT(1-O149)*SQRT(L149^2+(P149^2)/12), SQRT(1-O149)*SQRT(M149^2+(P149^2)/12))</f>
        <v>6.22645783377891</v>
      </c>
      <c r="AP149" s="488" t="n">
        <f aca="false">Rdson3*AO149^2</f>
        <v>0.0736606765960708</v>
      </c>
      <c r="AQ149" s="488" t="n">
        <f aca="false">CHOOSE(J149, 0, IF(L149&lt;P149/2,Deadtime*Fsw*IF(VfdSky_Q3&gt;0,0,Vsd_Q3)*(L149+P149/2), 2*Deadtime*Fsw*IF(VfdSky_Q3&gt;0,0,Vsd_Q3)*L149), IF(L149&lt;P149/2,Deadtime*Fsw/2*IF(VfdSky_Q3&gt;0,0,Vsd_Q3)*(L149+P149/2), 2*Deadtime*Fsw/2*IF(VfdSky_Q3&gt;0,0,Vsd_Q3)*L149))</f>
        <v>0</v>
      </c>
      <c r="AR149" s="488" t="n">
        <f aca="false">(AQ149+AP149*(1+RdsonBotTc*Ta-RdsonBotTc*25))/(1-AP149*RdsonBotTc*ThetaJA_Q3)</f>
        <v>0.0747620817004277</v>
      </c>
      <c r="AS149" s="488" t="n">
        <f aca="false">CHOOSE(J149, Rdson3*Q149^2, Rdson1*Q149^2, 0)</f>
        <v>0.0736606765960708</v>
      </c>
      <c r="AT149" s="488" t="n">
        <f aca="false">CHOOSE(J149, 2*Deadtime*Fsw*IF(VfdSky_Q2&gt;0,VfdSky_Q2,0)*K149, 2*Deadtime*Fsw*IF(VfdSky_Q3&gt;0,VfdSky_Q3,0)*L149, 2*Deadtime*Fsw/2*IF(VfdSky_Q2&gt;0,VfdSky_Q2,0)*K149+2*Deadtime*Fsw/2*IF(VfdSky_Q3&gt;0,VfdSky_Q3,0)*L149)</f>
        <v>0</v>
      </c>
      <c r="AU149" s="488" t="n">
        <f aca="false">CHOOSE(J149, IF(QrrSky_Q2&gt;0,QrrSky_Q2,Qrr_Q2)*Fsw*(H149-K149*Rdson1), IF(QrrSky_Q3&gt;0,QrrSky_Q3,Qrr_Q3)*Fsw*Vout,  IF(QrrSky_Q2&gt;0,QrrSky_Q2,Qrr_Q2)*Fsw/2*(H149-K149*Rdson1)+IF(QrrSky_Q3&gt;0,QrrSky_Q3,Qrr_Q3)*Fsw/2*Vout)</f>
        <v>0.69487362</v>
      </c>
      <c r="AV149" s="488" t="n">
        <f aca="false">CHOOSE(J149, Rs*AF149^2, Rs*AJ149^2, Rs*(AF149^2+AJ149^2))</f>
        <v>0.208284960674108</v>
      </c>
      <c r="AW149" s="488" t="n">
        <f aca="false">Rshunt_std/1000*Iout^2</f>
        <v>0.14832</v>
      </c>
      <c r="AX149" s="488" t="n">
        <f aca="false">IF(Vout&gt;8, Iq*Vout, Iq*H149)</f>
        <v>0.036</v>
      </c>
      <c r="AY149" s="488" t="n">
        <f aca="false">CHOOSE(J149, (Qg_Q1+Qg_Q2)*Fsw, (Qg_Q3+Qg_Q4)*Fsw, (Qg_Q1+Qg_Q2+Qg_Q3+Qg_Q4)*Fsw/2)*IF(Vout&gt;8, Vout, H149)</f>
        <v>0.0792</v>
      </c>
      <c r="AZ149" s="488" t="n">
        <f aca="false">(Vin-Vdd)*Fsw*(Qg_Q1+Qg_Q2)+(RdsonDRT+RdsonDRT2)*Fsw*Qg_Q1*Vdd/(RdsonDRT+2*Rgate1+RdsonDRT2)+(RdsonDRB+RdsonDRB2)*Fsw*Qg_Q2*Vdd/(RdsonDRB+2*Rgate2+RdsonDRB2)</f>
        <v>0.0522</v>
      </c>
      <c r="BA149" s="488" t="n">
        <f aca="false">SUM(AX149:AY149)</f>
        <v>0.1152</v>
      </c>
      <c r="BB149" s="488" t="n">
        <f aca="false">SUM(T149,W149,Z149,AE149,AI149,AN149,AR149, AT149,AU149,BA149,AV149,AW149)</f>
        <v>2.9511213650864</v>
      </c>
      <c r="BC149" s="419" t="n">
        <f aca="false">Vout*K149</f>
        <v>72</v>
      </c>
      <c r="BD149" s="589" t="n">
        <f aca="false">BC149/(BC149+BB149)</f>
        <v>0.960626054536109</v>
      </c>
      <c r="BE149" s="590" t="n">
        <f aca="false">IF(H149&gt;Vout,ThetaJA_Q1*(AE149+AU149),ThetaJA_Q4*(AN149+AU149))</f>
        <v>49.8344282045853</v>
      </c>
      <c r="BF149" s="590" t="n">
        <f aca="false">IF(H149&gt;Vout, AI149*ThetaJA_Q2, ThetaJA_Q3*AR149)</f>
        <v>15.0673601165972</v>
      </c>
      <c r="BG149" s="536"/>
      <c r="BH149" s="385" t="n">
        <f aca="false">BD149*100</f>
        <v>96.0626054536109</v>
      </c>
      <c r="BI149" s="488" t="n">
        <f aca="false">T149</f>
        <v>1.07557247310646</v>
      </c>
      <c r="BJ149" s="488" t="n">
        <f aca="false">AE149+AI149+AN149+AR149+AU149</f>
        <v>1.37279784812408</v>
      </c>
      <c r="BK149" s="488" t="n">
        <f aca="false">AI149+AU149*0.33</f>
        <v>0.530655496931944</v>
      </c>
      <c r="BL149" s="488" t="n">
        <f aca="false">AV149</f>
        <v>0.208284960674108</v>
      </c>
    </row>
    <row r="150" customFormat="false" ht="12.75" hidden="false" customHeight="false" outlineLevel="0" collapsed="false">
      <c r="G150" s="0" t="n">
        <v>141</v>
      </c>
      <c r="H150" s="586" t="n">
        <f aca="false">VIN_min+(VIN_max-VIN_min)*(G150/200)</f>
        <v>37.02</v>
      </c>
      <c r="I150" s="385" t="str">
        <f aca="false">IF(H150&gt;VIN_BB_to_buck, "BUCK", IF(H150&lt;VIN_boost_to_BB,"BOOST","BUCK-BST"))</f>
        <v>BUCK</v>
      </c>
      <c r="J150" s="419" t="n">
        <f aca="false">IF(I150="BOOST",2, IF(I150="BUCK", 1,3))</f>
        <v>1</v>
      </c>
      <c r="K150" s="0" t="n">
        <f aca="false">Iout</f>
        <v>6</v>
      </c>
      <c r="L150" s="385" t="n">
        <f aca="false">Vout*K150/(H150*Efficiency)</f>
        <v>2.16099405726634</v>
      </c>
      <c r="M150" s="385" t="n">
        <f aca="false">Iout/(1-O150)</f>
        <v>6</v>
      </c>
      <c r="N150" s="488" t="n">
        <f aca="false">CHOOSE(J150,(Vout+(Rdson2+Rs+Rdcr)*K150)/(H150+(Rs+Rdson2-Rdson1)*K150),1,IF(H150&lt;Vout,D_max_buck_BB,Vout/H150*(1-D_min_boost_exitBB_to_buck)))</f>
        <v>0.326489155066365</v>
      </c>
      <c r="O150" s="488" t="n">
        <f aca="false">CHOOSE(J150,0,(Vout+(Rdson3+Rdcr)*L150-H150)/(Vout+(Rdson3-Rdson4-Rs)*L150),IF(H150&gt;Vout,D_min_boost_exitBB_to_buck, (Vout-H150*D_max_buck_BB)/Vout))</f>
        <v>0</v>
      </c>
      <c r="P150" s="385" t="n">
        <f aca="false">MAX(0, CHOOSE(J150, (H150-(Rdson1+Rdcr)*K150-Vout)*N150/(Fsw*Lf), (H150-(Rdson4+Rdcr+Rs)*L150)*O150/(Fsw*Lf), IF(H150&lt;Vout, (H150-(Rdson4+Rdcr+Rs)*L150)*O150/(0.5*Fsw*Lf),(H150-(Rdson1+Rdcr)*K150-Vout)*N150/(0.5*Fsw*Lf))))</f>
        <v>5.78087255222719</v>
      </c>
      <c r="Q150" s="488" t="n">
        <f aca="false">CHOOSE(J150, SQRT(K150^2+(P150^2)/12), SQRT(L150^2+(P150^2)/12), SQRT(M150^2+(P150^2)/12))</f>
        <v>6.22775031254662</v>
      </c>
      <c r="R150" s="488" t="n">
        <f aca="false">(Q150^2*Rdcr*(1+Ltc*Ta-Ltc*25))/(1-Q150^2*Rdcr*Ltc*ThetaCa)</f>
        <v>0.131294043495394</v>
      </c>
      <c r="S150" s="488" t="n">
        <f aca="false">7.759*10^-3*Fsw^0.9458*(0.00787*P150)^2.304</f>
        <v>0.950660828982347</v>
      </c>
      <c r="T150" s="488" t="n">
        <f aca="false">R150+S150</f>
        <v>1.08195487247774</v>
      </c>
      <c r="U150" s="385" t="n">
        <f aca="false">IF(H150&gt;Vout, P150/SQRT(12), SQRT(O150/(1-O150))*SQRT(K150^2+(P150^2)/12))</f>
        <v>1.66879416208964</v>
      </c>
      <c r="V150" s="488" t="n">
        <f aca="false">RCoutEsr*U150^2</f>
        <v>0.0139243697771224</v>
      </c>
      <c r="W150" s="488" t="n">
        <f aca="false">V150</f>
        <v>0.0139243697771224</v>
      </c>
      <c r="X150" s="488" t="n">
        <f aca="false">IF(H150&gt;Vout, SQRT(N150*(1-N150))*SQRT(K150^2+(P150^2)/12), P150/SQRT(12))</f>
        <v>2.92036993501569</v>
      </c>
      <c r="Y150" s="587" t="n">
        <f aca="false">RCinEsr*X150^2</f>
        <v>0.0170571211146871</v>
      </c>
      <c r="Z150" s="588" t="n">
        <f aca="false">Y150</f>
        <v>0.0170571211146871</v>
      </c>
      <c r="AA150" s="488" t="n">
        <f aca="false">CHOOSE(J150, SQRT(N150)*SQRT(K150^2+(P150^2)/12), SQRT(L150^2+(P150^2)/12), SQRT(N150)*SQRT(M150^2+(P150^2)/12))</f>
        <v>3.55848854530431</v>
      </c>
      <c r="AB150" s="488" t="n">
        <f aca="false">Rdson1*AA150^2</f>
        <v>0.0721781921442533</v>
      </c>
      <c r="AC150" s="488" t="n">
        <f aca="false">CHOOSE(J150, (H150*K150/2)*(Fsw)*(Tr_buck+Tf_buck), 0, (H150*M150/2)*(Fsw/2)*(Tr_buck+Tf_buck))</f>
        <v>0.226199104734577</v>
      </c>
      <c r="AD150" s="0" t="n">
        <f aca="false">IF(H150&gt;Vout, IF(K150&gt;P150/2,0,ABS(K150-P150/2)*Vsd_Q1*Deadtime*Fsw),0)</f>
        <v>0</v>
      </c>
      <c r="AE150" s="488" t="n">
        <f aca="false">(AD150+AC150+AB150*(1+RdsonTopTc*Ta-RdsonTopTc*25))/(1-AB150*RdsonTopTc*ThetaJA_Q1)</f>
        <v>0.302747652525877</v>
      </c>
      <c r="AF150" s="488" t="n">
        <f aca="false">CHOOSE(J150, SQRT((1-N150))*SQRT(K150^2+(P150^2)/12), 0, SQRT((1-N150))*SQRT(M150^2+(P150^2)/12))</f>
        <v>5.11097184773723</v>
      </c>
      <c r="AG150" s="488" t="n">
        <f aca="false">Rdson2*AF150^2</f>
        <v>0.148895589401666</v>
      </c>
      <c r="AH150" s="488" t="n">
        <f aca="false">CHOOSE(J150, IF(K150&lt;P150/2,Deadtime*Fsw*IF(VfdSky_Q2&gt;0,0,Vsd_Q2)*(K150+P150/2),2*Deadtime*Fsw*IF(VfdSky_Q2&gt;0,0,Vsd_Q2)*K150),0, IF(K150&lt;P150/2,Deadtime*Fsw/2*IF(VfdSky_Q2&gt;0,0,Vsd_Q2)*(K150+P150/2),2*Deadtime*Fsw/2*IF(VfdSky_Q2&gt;0,0,Vsd_Q2)*K150))</f>
        <v>0.144</v>
      </c>
      <c r="AI150" s="488" t="n">
        <f aca="false">(AH150+AG150*(1+RdsonBotTc*Ta-RdsonBotTc*25))/(1-AG150*RdsonBotTc*ThetaJA_Q2)</f>
        <v>0.301885472472794</v>
      </c>
      <c r="AJ150" s="488" t="n">
        <f aca="false">CHOOSE(J150, 0, SQRT(O150)*SQRT(L150^2+(P150^2)/12), SQRT(O150)*SQRT(M150^2+(P150^2)/12))</f>
        <v>0</v>
      </c>
      <c r="AK150" s="488" t="n">
        <f aca="false">Rdson4*AJ150^2</f>
        <v>0</v>
      </c>
      <c r="AL150" s="488" t="n">
        <f aca="false">CHOOSE(J150, 0, (Vout*L150/2)*(Fsw)*(Tr_boost+Tf_boost), (Vout*Iout/2)*(Fsw/2)*(Tr_boost+Tf_boost))</f>
        <v>0</v>
      </c>
      <c r="AM150" s="0" t="n">
        <f aca="false">IF(H150&gt;Vout, 0, IF(L150&gt;P150/2,0,ABS(L150-P150/2)*Vsd_Q4*Deadtime*Fsw))</f>
        <v>0</v>
      </c>
      <c r="AN150" s="488" t="n">
        <f aca="false">(AM150+AL150+AK150*(1+RdsonTopTc*Ta-RdsonTopTc*25))/(1-AK150*RdsonTopTc*ThetaJA_Q4)</f>
        <v>0</v>
      </c>
      <c r="AO150" s="488" t="n">
        <f aca="false">CHOOSE(J150, SQRT(Iout^2+(P150^2)/12), SQRT(1-O150)*SQRT(L150^2+(P150^2)/12), SQRT(1-O150)*SQRT(M150^2+(P150^2)/12))</f>
        <v>6.22775031254662</v>
      </c>
      <c r="AP150" s="488" t="n">
        <f aca="false">Rdson3*AO150^2</f>
        <v>0.0736912605153065</v>
      </c>
      <c r="AQ150" s="488" t="n">
        <f aca="false">CHOOSE(J150, 0, IF(L150&lt;P150/2,Deadtime*Fsw*IF(VfdSky_Q3&gt;0,0,Vsd_Q3)*(L150+P150/2), 2*Deadtime*Fsw*IF(VfdSky_Q3&gt;0,0,Vsd_Q3)*L150), IF(L150&lt;P150/2,Deadtime*Fsw/2*IF(VfdSky_Q3&gt;0,0,Vsd_Q3)*(L150+P150/2), 2*Deadtime*Fsw/2*IF(VfdSky_Q3&gt;0,0,Vsd_Q3)*L150))</f>
        <v>0</v>
      </c>
      <c r="AR150" s="488" t="n">
        <f aca="false">(AQ150+AP150*(1+RdsonBotTc*Ta-RdsonBotTc*25))/(1-AP150*RdsonBotTc*ThetaJA_Q3)</f>
        <v>0.0747935872600372</v>
      </c>
      <c r="AS150" s="488" t="n">
        <f aca="false">CHOOSE(J150, Rdson3*Q150^2, Rdson1*Q150^2, 0)</f>
        <v>0.0736912605153065</v>
      </c>
      <c r="AT150" s="488" t="n">
        <f aca="false">CHOOSE(J150, 2*Deadtime*Fsw*IF(VfdSky_Q2&gt;0,VfdSky_Q2,0)*K150, 2*Deadtime*Fsw*IF(VfdSky_Q3&gt;0,VfdSky_Q3,0)*L150, 2*Deadtime*Fsw/2*IF(VfdSky_Q2&gt;0,VfdSky_Q2,0)*K150+2*Deadtime*Fsw/2*IF(VfdSky_Q3&gt;0,VfdSky_Q3,0)*L150)</f>
        <v>0</v>
      </c>
      <c r="AU150" s="488" t="n">
        <f aca="false">CHOOSE(J150, IF(QrrSky_Q2&gt;0,QrrSky_Q2,Qrr_Q2)*Fsw*(H150-K150*Rdson1), IF(QrrSky_Q3&gt;0,QrrSky_Q3,Qrr_Q3)*Fsw*Vout,  IF(QrrSky_Q2&gt;0,QrrSky_Q2,Qrr_Q2)*Fsw/2*(H150-K150*Rdson1)+IF(QrrSky_Q3&gt;0,QrrSky_Q3,Qrr_Q3)*Fsw/2*Vout)</f>
        <v>0.69903162</v>
      </c>
      <c r="AV150" s="488" t="n">
        <f aca="false">CHOOSE(J150, Rs*AF150^2, Rs*AJ150^2, Rs*(AF150^2+AJ150^2))</f>
        <v>0.2089762658269</v>
      </c>
      <c r="AW150" s="488" t="n">
        <f aca="false">Rshunt_std/1000*Iout^2</f>
        <v>0.14832</v>
      </c>
      <c r="AX150" s="488" t="n">
        <f aca="false">IF(Vout&gt;8, Iq*Vout, Iq*H150)</f>
        <v>0.036</v>
      </c>
      <c r="AY150" s="488" t="n">
        <f aca="false">CHOOSE(J150, (Qg_Q1+Qg_Q2)*Fsw, (Qg_Q3+Qg_Q4)*Fsw, (Qg_Q1+Qg_Q2+Qg_Q3+Qg_Q4)*Fsw/2)*IF(Vout&gt;8, Vout, H150)</f>
        <v>0.0792</v>
      </c>
      <c r="AZ150" s="488" t="n">
        <f aca="false">(Vin-Vdd)*Fsw*(Qg_Q1+Qg_Q2)+(RdsonDRT+RdsonDRT2)*Fsw*Qg_Q1*Vdd/(RdsonDRT+2*Rgate1+RdsonDRT2)+(RdsonDRB+RdsonDRB2)*Fsw*Qg_Q2*Vdd/(RdsonDRB+2*Rgate2+RdsonDRB2)</f>
        <v>0.0522</v>
      </c>
      <c r="BA150" s="488" t="n">
        <f aca="false">SUM(AX150:AY150)</f>
        <v>0.1152</v>
      </c>
      <c r="BB150" s="488" t="n">
        <f aca="false">SUM(T150,W150,Z150,AE150,AI150,AN150,AR150, AT150,AU150,BA150,AV150,AW150)</f>
        <v>2.96389096145516</v>
      </c>
      <c r="BC150" s="419" t="n">
        <f aca="false">Vout*K150</f>
        <v>72</v>
      </c>
      <c r="BD150" s="589" t="n">
        <f aca="false">BC150/(BC150+BB150)</f>
        <v>0.960462418326456</v>
      </c>
      <c r="BE150" s="590" t="n">
        <f aca="false">IF(H150&gt;Vout,ThetaJA_Q1*(AE150+AU150),ThetaJA_Q4*(AN150+AU150))</f>
        <v>50.0889636262938</v>
      </c>
      <c r="BF150" s="590" t="n">
        <f aca="false">IF(H150&gt;Vout, AI150*ThetaJA_Q2, ThetaJA_Q3*AR150)</f>
        <v>15.0942736236397</v>
      </c>
      <c r="BG150" s="536"/>
      <c r="BH150" s="385" t="n">
        <f aca="false">BD150*100</f>
        <v>96.0462418326456</v>
      </c>
      <c r="BI150" s="488" t="n">
        <f aca="false">T150</f>
        <v>1.08195487247774</v>
      </c>
      <c r="BJ150" s="488" t="n">
        <f aca="false">AE150+AI150+AN150+AR150+AU150</f>
        <v>1.37845833225871</v>
      </c>
      <c r="BK150" s="488" t="n">
        <f aca="false">AI150+AU150*0.33</f>
        <v>0.532565907072794</v>
      </c>
      <c r="BL150" s="488" t="n">
        <f aca="false">AV150</f>
        <v>0.2089762658269</v>
      </c>
    </row>
    <row r="151" customFormat="false" ht="12.75" hidden="false" customHeight="false" outlineLevel="0" collapsed="false">
      <c r="G151" s="0" t="n">
        <v>142</v>
      </c>
      <c r="H151" s="586" t="n">
        <f aca="false">VIN_min+(VIN_max-VIN_min)*(G151/200)</f>
        <v>37.24</v>
      </c>
      <c r="I151" s="385" t="str">
        <f aca="false">IF(H151&gt;VIN_BB_to_buck, "BUCK", IF(H151&lt;VIN_boost_to_BB,"BOOST","BUCK-BST"))</f>
        <v>BUCK</v>
      </c>
      <c r="J151" s="419" t="n">
        <f aca="false">IF(I151="BOOST",2, IF(I151="BUCK", 1,3))</f>
        <v>1</v>
      </c>
      <c r="K151" s="0" t="n">
        <f aca="false">Iout</f>
        <v>6</v>
      </c>
      <c r="L151" s="385" t="n">
        <f aca="false">Vout*K151/(H151*Efficiency)</f>
        <v>2.14822771213749</v>
      </c>
      <c r="M151" s="385" t="n">
        <f aca="false">Iout/(1-O151)</f>
        <v>6</v>
      </c>
      <c r="N151" s="488" t="n">
        <f aca="false">CHOOSE(J151,(Vout+(Rdson2+Rs+Rdcr)*K151)/(H151+(Rs+Rdson2-Rdson1)*K151),1,IF(H151&lt;Vout,D_max_buck_BB,Vout/H151*(1-D_min_boost_exitBB_to_buck)))</f>
        <v>0.324562862046771</v>
      </c>
      <c r="O151" s="488" t="n">
        <f aca="false">CHOOSE(J151,0,(Vout+(Rdson3+Rdcr)*L151-H151)/(Vout+(Rdson3-Rdson4-Rs)*L151),IF(H151&gt;Vout,D_min_boost_exitBB_to_buck, (Vout-H151*D_max_buck_BB)/Vout))</f>
        <v>0</v>
      </c>
      <c r="P151" s="385" t="n">
        <f aca="false">MAX(0, CHOOSE(J151, (H151-(Rdson1+Rdcr)*K151-Vout)*N151/(Fsw*Lf), (H151-(Rdson4+Rdcr+Rs)*L151)*O151/(Fsw*Lf), IF(H151&lt;Vout, (H151-(Rdson4+Rdcr+Rs)*L151)*O151/(0.5*Fsw*Lf),(H151-(Rdson1+Rdcr)*K151-Vout)*N151/(0.5*Fsw*Lf))))</f>
        <v>5.79740629407898</v>
      </c>
      <c r="Q151" s="488" t="n">
        <f aca="false">CHOOSE(J151, SQRT(K151^2+(P151^2)/12), SQRT(L151^2+(P151^2)/12), SQRT(M151^2+(P151^2)/12))</f>
        <v>6.22903095552475</v>
      </c>
      <c r="R151" s="488" t="n">
        <f aca="false">(Q151^2*Rdcr*(1+Ltc*Ta-Ltc*25))/(1-Q151^2*Rdcr*Ltc*ThetaCa)</f>
        <v>0.13134861378503</v>
      </c>
      <c r="S151" s="488" t="n">
        <f aca="false">7.759*10^-3*Fsw^0.9458*(0.00787*P151)^2.304</f>
        <v>0.956937005816471</v>
      </c>
      <c r="T151" s="488" t="n">
        <f aca="false">R151+S151</f>
        <v>1.0882856196015</v>
      </c>
      <c r="U151" s="385" t="n">
        <f aca="false">IF(H151&gt;Vout, P151/SQRT(12), SQRT(O151/(1-O151))*SQRT(K151^2+(P151^2)/12))</f>
        <v>1.67356704224407</v>
      </c>
      <c r="V151" s="488" t="n">
        <f aca="false">RCoutEsr*U151^2</f>
        <v>0.0140041332244277</v>
      </c>
      <c r="W151" s="488" t="n">
        <f aca="false">V151</f>
        <v>0.0140041332244277</v>
      </c>
      <c r="X151" s="488" t="n">
        <f aca="false">IF(H151&gt;Vout, SQRT(N151*(1-N151))*SQRT(K151^2+(P151^2)/12), P151/SQRT(12))</f>
        <v>2.91650260944639</v>
      </c>
      <c r="Y151" s="587" t="n">
        <f aca="false">RCinEsr*X151^2</f>
        <v>0.0170119749418152</v>
      </c>
      <c r="Z151" s="588" t="n">
        <f aca="false">Y151</f>
        <v>0.0170119749418152</v>
      </c>
      <c r="AA151" s="488" t="n">
        <f aca="false">CHOOSE(J151, SQRT(N151)*SQRT(K151^2+(P151^2)/12), SQRT(L151^2+(P151^2)/12), SQRT(N151)*SQRT(M151^2+(P151^2)/12))</f>
        <v>3.54870502375792</v>
      </c>
      <c r="AB151" s="488" t="n">
        <f aca="false">Rdson1*AA151^2</f>
        <v>0.0717818518701746</v>
      </c>
      <c r="AC151" s="488" t="n">
        <f aca="false">CHOOSE(J151, (H151*K151/2)*(Fsw)*(Tr_buck+Tf_buck), 0, (H151*M151/2)*(Fsw/2)*(Tr_buck+Tf_buck))</f>
        <v>0.227543345767575</v>
      </c>
      <c r="AD151" s="0" t="n">
        <f aca="false">IF(H151&gt;Vout, IF(K151&gt;P151/2,0,ABS(K151-P151/2)*Vsd_Q1*Deadtime*Fsw),0)</f>
        <v>0</v>
      </c>
      <c r="AE151" s="488" t="n">
        <f aca="false">(AD151+AC151+AB151*(1+RdsonTopTc*Ta-RdsonTopTc*25))/(1-AB151*RdsonTopTc*ThetaJA_Q1)</f>
        <v>0.303685012149207</v>
      </c>
      <c r="AF151" s="488" t="n">
        <f aca="false">CHOOSE(J151, SQRT((1-N151))*SQRT(K151^2+(P151^2)/12), 0, SQRT((1-N151))*SQRT(M151^2+(P151^2)/12))</f>
        <v>5.11932801246813</v>
      </c>
      <c r="AG151" s="488" t="n">
        <f aca="false">Rdson2*AF151^2</f>
        <v>0.149382860005673</v>
      </c>
      <c r="AH151" s="488" t="n">
        <f aca="false">CHOOSE(J151, IF(K151&lt;P151/2,Deadtime*Fsw*IF(VfdSky_Q2&gt;0,0,Vsd_Q2)*(K151+P151/2),2*Deadtime*Fsw*IF(VfdSky_Q2&gt;0,0,Vsd_Q2)*K151),0, IF(K151&lt;P151/2,Deadtime*Fsw/2*IF(VfdSky_Q2&gt;0,0,Vsd_Q2)*(K151+P151/2),2*Deadtime*Fsw/2*IF(VfdSky_Q2&gt;0,0,Vsd_Q2)*K151))</f>
        <v>0.144</v>
      </c>
      <c r="AI151" s="488" t="n">
        <f aca="false">(AH151+AG151*(1+RdsonBotTc*Ta-RdsonBotTc*25))/(1-AG151*RdsonBotTc*ThetaJA_Q2)</f>
        <v>0.302418075410108</v>
      </c>
      <c r="AJ151" s="488" t="n">
        <f aca="false">CHOOSE(J151, 0, SQRT(O151)*SQRT(L151^2+(P151^2)/12), SQRT(O151)*SQRT(M151^2+(P151^2)/12))</f>
        <v>0</v>
      </c>
      <c r="AK151" s="488" t="n">
        <f aca="false">Rdson4*AJ151^2</f>
        <v>0</v>
      </c>
      <c r="AL151" s="488" t="n">
        <f aca="false">CHOOSE(J151, 0, (Vout*L151/2)*(Fsw)*(Tr_boost+Tf_boost), (Vout*Iout/2)*(Fsw/2)*(Tr_boost+Tf_boost))</f>
        <v>0</v>
      </c>
      <c r="AM151" s="0" t="n">
        <f aca="false">IF(H151&gt;Vout, 0, IF(L151&gt;P151/2,0,ABS(L151-P151/2)*Vsd_Q4*Deadtime*Fsw))</f>
        <v>0</v>
      </c>
      <c r="AN151" s="488" t="n">
        <f aca="false">(AM151+AL151+AK151*(1+RdsonTopTc*Ta-RdsonTopTc*25))/(1-AK151*RdsonTopTc*ThetaJA_Q4)</f>
        <v>0</v>
      </c>
      <c r="AO151" s="488" t="n">
        <f aca="false">CHOOSE(J151, SQRT(Iout^2+(P151^2)/12), SQRT(1-O151)*SQRT(L151^2+(P151^2)/12), SQRT(1-O151)*SQRT(M151^2+(P151^2)/12))</f>
        <v>6.22903095552475</v>
      </c>
      <c r="AP151" s="488" t="n">
        <f aca="false">Rdson3*AO151^2</f>
        <v>0.0737215706252825</v>
      </c>
      <c r="AQ151" s="488" t="n">
        <f aca="false">CHOOSE(J151, 0, IF(L151&lt;P151/2,Deadtime*Fsw*IF(VfdSky_Q3&gt;0,0,Vsd_Q3)*(L151+P151/2), 2*Deadtime*Fsw*IF(VfdSky_Q3&gt;0,0,Vsd_Q3)*L151), IF(L151&lt;P151/2,Deadtime*Fsw/2*IF(VfdSky_Q3&gt;0,0,Vsd_Q3)*(L151+P151/2), 2*Deadtime*Fsw/2*IF(VfdSky_Q3&gt;0,0,Vsd_Q3)*L151))</f>
        <v>0</v>
      </c>
      <c r="AR151" s="488" t="n">
        <f aca="false">(AQ151+AP151*(1+RdsonBotTc*Ta-RdsonBotTc*25))/(1-AP151*RdsonBotTc*ThetaJA_Q3)</f>
        <v>0.0748248111451547</v>
      </c>
      <c r="AS151" s="488" t="n">
        <f aca="false">CHOOSE(J151, Rdson3*Q151^2, Rdson1*Q151^2, 0)</f>
        <v>0.0737215706252825</v>
      </c>
      <c r="AT151" s="488" t="n">
        <f aca="false">CHOOSE(J151, 2*Deadtime*Fsw*IF(VfdSky_Q2&gt;0,VfdSky_Q2,0)*K151, 2*Deadtime*Fsw*IF(VfdSky_Q3&gt;0,VfdSky_Q3,0)*L151, 2*Deadtime*Fsw/2*IF(VfdSky_Q2&gt;0,VfdSky_Q2,0)*K151+2*Deadtime*Fsw/2*IF(VfdSky_Q3&gt;0,VfdSky_Q3,0)*L151)</f>
        <v>0</v>
      </c>
      <c r="AU151" s="488" t="n">
        <f aca="false">CHOOSE(J151, IF(QrrSky_Q2&gt;0,QrrSky_Q2,Qrr_Q2)*Fsw*(H151-K151*Rdson1), IF(QrrSky_Q3&gt;0,QrrSky_Q3,Qrr_Q3)*Fsw*Vout,  IF(QrrSky_Q2&gt;0,QrrSky_Q2,Qrr_Q2)*Fsw/2*(H151-K151*Rdson1)+IF(QrrSky_Q3&gt;0,QrrSky_Q3,Qrr_Q3)*Fsw/2*Vout)</f>
        <v>0.70318962</v>
      </c>
      <c r="AV151" s="488" t="n">
        <f aca="false">CHOOSE(J151, Rs*AF151^2, Rs*AJ151^2, Rs*(AF151^2+AJ151^2))</f>
        <v>0.209660154393927</v>
      </c>
      <c r="AW151" s="488" t="n">
        <f aca="false">Rshunt_std/1000*Iout^2</f>
        <v>0.14832</v>
      </c>
      <c r="AX151" s="488" t="n">
        <f aca="false">IF(Vout&gt;8, Iq*Vout, Iq*H151)</f>
        <v>0.036</v>
      </c>
      <c r="AY151" s="488" t="n">
        <f aca="false">CHOOSE(J151, (Qg_Q1+Qg_Q2)*Fsw, (Qg_Q3+Qg_Q4)*Fsw, (Qg_Q1+Qg_Q2+Qg_Q3+Qg_Q4)*Fsw/2)*IF(Vout&gt;8, Vout, H151)</f>
        <v>0.0792</v>
      </c>
      <c r="AZ151" s="488" t="n">
        <f aca="false">(Vin-Vdd)*Fsw*(Qg_Q1+Qg_Q2)+(RdsonDRT+RdsonDRT2)*Fsw*Qg_Q1*Vdd/(RdsonDRT+2*Rgate1+RdsonDRT2)+(RdsonDRB+RdsonDRB2)*Fsw*Qg_Q2*Vdd/(RdsonDRB+2*Rgate2+RdsonDRB2)</f>
        <v>0.0522</v>
      </c>
      <c r="BA151" s="488" t="n">
        <f aca="false">SUM(AX151:AY151)</f>
        <v>0.1152</v>
      </c>
      <c r="BB151" s="488" t="n">
        <f aca="false">SUM(T151,W151,Z151,AE151,AI151,AN151,AR151, AT151,AU151,BA151,AV151,AW151)</f>
        <v>2.97659940086614</v>
      </c>
      <c r="BC151" s="419" t="n">
        <f aca="false">Vout*K151</f>
        <v>72</v>
      </c>
      <c r="BD151" s="589" t="n">
        <f aca="false">BC151/(BC151+BB151)</f>
        <v>0.960299621153107</v>
      </c>
      <c r="BE151" s="590" t="n">
        <f aca="false">IF(H151&gt;Vout,ThetaJA_Q1*(AE151+AU151),ThetaJA_Q4*(AN151+AU151))</f>
        <v>50.3437316074604</v>
      </c>
      <c r="BF151" s="590" t="n">
        <f aca="false">IF(H151&gt;Vout, AI151*ThetaJA_Q2, ThetaJA_Q3*AR151)</f>
        <v>15.1209037705054</v>
      </c>
      <c r="BG151" s="536"/>
      <c r="BH151" s="385" t="n">
        <f aca="false">BD151*100</f>
        <v>96.0299621153107</v>
      </c>
      <c r="BI151" s="488" t="n">
        <f aca="false">T151</f>
        <v>1.0882856196015</v>
      </c>
      <c r="BJ151" s="488" t="n">
        <f aca="false">AE151+AI151+AN151+AR151+AU151</f>
        <v>1.38411751870447</v>
      </c>
      <c r="BK151" s="488" t="n">
        <f aca="false">AI151+AU151*0.33</f>
        <v>0.534470650010108</v>
      </c>
      <c r="BL151" s="488" t="n">
        <f aca="false">AV151</f>
        <v>0.209660154393927</v>
      </c>
    </row>
    <row r="152" customFormat="false" ht="12.75" hidden="false" customHeight="false" outlineLevel="0" collapsed="false">
      <c r="G152" s="0" t="n">
        <v>143</v>
      </c>
      <c r="H152" s="586" t="n">
        <f aca="false">VIN_min+(VIN_max-VIN_min)*(G152/200)</f>
        <v>37.46</v>
      </c>
      <c r="I152" s="385" t="str">
        <f aca="false">IF(H152&gt;VIN_BB_to_buck, "BUCK", IF(H152&lt;VIN_boost_to_BB,"BOOST","BUCK-BST"))</f>
        <v>BUCK</v>
      </c>
      <c r="J152" s="419" t="n">
        <f aca="false">IF(I152="BOOST",2, IF(I152="BUCK", 1,3))</f>
        <v>1</v>
      </c>
      <c r="K152" s="0" t="n">
        <f aca="false">Iout</f>
        <v>6</v>
      </c>
      <c r="L152" s="385" t="n">
        <f aca="false">Vout*K152/(H152*Efficiency)</f>
        <v>2.13561131873999</v>
      </c>
      <c r="M152" s="385" t="n">
        <f aca="false">Iout/(1-O152)</f>
        <v>6</v>
      </c>
      <c r="N152" s="488" t="n">
        <f aca="false">CHOOSE(J152,(Vout+(Rdson2+Rs+Rdcr)*K152)/(H152+(Rs+Rdson2-Rdson1)*K152),1,IF(H152&lt;Vout,D_max_buck_BB,Vout/H152*(1-D_min_boost_exitBB_to_buck)))</f>
        <v>0.322659166044577</v>
      </c>
      <c r="O152" s="488" t="n">
        <f aca="false">CHOOSE(J152,0,(Vout+(Rdson3+Rdcr)*L152-H152)/(Vout+(Rdson3-Rdson4-Rs)*L152),IF(H152&gt;Vout,D_min_boost_exitBB_to_buck, (Vout-H152*D_max_buck_BB)/Vout))</f>
        <v>0</v>
      </c>
      <c r="P152" s="385" t="n">
        <f aca="false">MAX(0, CHOOSE(J152, (H152-(Rdson1+Rdcr)*K152-Vout)*N152/(Fsw*Lf), (H152-(Rdson4+Rdcr+Rs)*L152)*O152/(Fsw*Lf), IF(H152&lt;Vout, (H152-(Rdson4+Rdcr+Rs)*L152)*O152/(0.5*Fsw*Lf),(H152-(Rdson1+Rdcr)*K152-Vout)*N152/(0.5*Fsw*Lf))))</f>
        <v>5.81374608140334</v>
      </c>
      <c r="Q152" s="488" t="n">
        <f aca="false">CHOOSE(J152, SQRT(K152^2+(P152^2)/12), SQRT(L152^2+(P152^2)/12), SQRT(M152^2+(P152^2)/12))</f>
        <v>6.23029990917393</v>
      </c>
      <c r="R152" s="488" t="n">
        <f aca="false">(Q152^2*Rdcr*(1+Ltc*Ta-Ltc*25))/(1-Q152^2*Rdcr*Ltc*ThetaCa)</f>
        <v>0.13140269750573</v>
      </c>
      <c r="S152" s="488" t="n">
        <f aca="false">7.759*10^-3*Fsw^0.9458*(0.00787*P152)^2.304</f>
        <v>0.963162531910098</v>
      </c>
      <c r="T152" s="488" t="n">
        <f aca="false">R152+S152</f>
        <v>1.09456522941583</v>
      </c>
      <c r="U152" s="385" t="n">
        <f aca="false">IF(H152&gt;Vout, P152/SQRT(12), SQRT(O152/(1-O152))*SQRT(K152^2+(P152^2)/12))</f>
        <v>1.67828393254918</v>
      </c>
      <c r="V152" s="488" t="n">
        <f aca="false">RCoutEsr*U152^2</f>
        <v>0.0140831847912636</v>
      </c>
      <c r="W152" s="488" t="n">
        <f aca="false">V152</f>
        <v>0.0140831847912636</v>
      </c>
      <c r="X152" s="488" t="n">
        <f aca="false">IF(H152&gt;Vout, SQRT(N152*(1-N152))*SQRT(K152^2+(P152^2)/12), P152/SQRT(12))</f>
        <v>2.91262508421097</v>
      </c>
      <c r="Y152" s="587" t="n">
        <f aca="false">RCinEsr*X152^2</f>
        <v>0.0169667697623499</v>
      </c>
      <c r="Z152" s="588" t="n">
        <f aca="false">Y152</f>
        <v>0.0169667697623499</v>
      </c>
      <c r="AA152" s="488" t="n">
        <f aca="false">CHOOSE(J152, SQRT(N152)*SQRT(K152^2+(P152^2)/12), SQRT(L152^2+(P152^2)/12), SQRT(N152)*SQRT(M152^2+(P152^2)/12))</f>
        <v>3.53900320847621</v>
      </c>
      <c r="AB152" s="488" t="n">
        <f aca="false">Rdson1*AA152^2</f>
        <v>0.0713898991447482</v>
      </c>
      <c r="AC152" s="488" t="n">
        <f aca="false">CHOOSE(J152, (H152*K152/2)*(Fsw)*(Tr_buck+Tf_buck), 0, (H152*M152/2)*(Fsw/2)*(Tr_buck+Tf_buck))</f>
        <v>0.228887586800574</v>
      </c>
      <c r="AD152" s="0" t="n">
        <f aca="false">IF(H152&gt;Vout, IF(K152&gt;P152/2,0,ABS(K152-P152/2)*Vsd_Q1*Deadtime*Fsw),0)</f>
        <v>0</v>
      </c>
      <c r="AE152" s="488" t="n">
        <f aca="false">(AD152+AC152+AB152*(1+RdsonTopTc*Ta-RdsonTopTc*25))/(1-AB152*RdsonTopTc*ThetaJA_Q1)</f>
        <v>0.304626943297072</v>
      </c>
      <c r="AF152" s="488" t="n">
        <f aca="false">CHOOSE(J152, SQRT((1-N152))*SQRT(K152^2+(P152^2)/12), 0, SQRT((1-N152))*SQRT(M152^2+(P152^2)/12))</f>
        <v>5.12758161794113</v>
      </c>
      <c r="AG152" s="488" t="n">
        <f aca="false">Rdson2*AF152^2</f>
        <v>0.149864931517292</v>
      </c>
      <c r="AH152" s="488" t="n">
        <f aca="false">CHOOSE(J152, IF(K152&lt;P152/2,Deadtime*Fsw*IF(VfdSky_Q2&gt;0,0,Vsd_Q2)*(K152+P152/2),2*Deadtime*Fsw*IF(VfdSky_Q2&gt;0,0,Vsd_Q2)*K152),0, IF(K152&lt;P152/2,Deadtime*Fsw/2*IF(VfdSky_Q2&gt;0,0,Vsd_Q2)*(K152+P152/2),2*Deadtime*Fsw/2*IF(VfdSky_Q2&gt;0,0,Vsd_Q2)*K152))</f>
        <v>0.144</v>
      </c>
      <c r="AI152" s="488" t="n">
        <f aca="false">(AH152+AG152*(1+RdsonBotTc*Ta-RdsonBotTc*25))/(1-AG152*RdsonBotTc*ThetaJA_Q2)</f>
        <v>0.302945100876566</v>
      </c>
      <c r="AJ152" s="488" t="n">
        <f aca="false">CHOOSE(J152, 0, SQRT(O152)*SQRT(L152^2+(P152^2)/12), SQRT(O152)*SQRT(M152^2+(P152^2)/12))</f>
        <v>0</v>
      </c>
      <c r="AK152" s="488" t="n">
        <f aca="false">Rdson4*AJ152^2</f>
        <v>0</v>
      </c>
      <c r="AL152" s="488" t="n">
        <f aca="false">CHOOSE(J152, 0, (Vout*L152/2)*(Fsw)*(Tr_boost+Tf_boost), (Vout*Iout/2)*(Fsw/2)*(Tr_boost+Tf_boost))</f>
        <v>0</v>
      </c>
      <c r="AM152" s="0" t="n">
        <f aca="false">IF(H152&gt;Vout, 0, IF(L152&gt;P152/2,0,ABS(L152-P152/2)*Vsd_Q4*Deadtime*Fsw))</f>
        <v>0</v>
      </c>
      <c r="AN152" s="488" t="n">
        <f aca="false">(AM152+AL152+AK152*(1+RdsonTopTc*Ta-RdsonTopTc*25))/(1-AK152*RdsonTopTc*ThetaJA_Q4)</f>
        <v>0</v>
      </c>
      <c r="AO152" s="488" t="n">
        <f aca="false">CHOOSE(J152, SQRT(Iout^2+(P152^2)/12), SQRT(1-O152)*SQRT(L152^2+(P152^2)/12), SQRT(1-O152)*SQRT(M152^2+(P152^2)/12))</f>
        <v>6.23029990917393</v>
      </c>
      <c r="AP152" s="488" t="n">
        <f aca="false">Rdson3*AO152^2</f>
        <v>0.0737516102206802</v>
      </c>
      <c r="AQ152" s="488" t="n">
        <f aca="false">CHOOSE(J152, 0, IF(L152&lt;P152/2,Deadtime*Fsw*IF(VfdSky_Q3&gt;0,0,Vsd_Q3)*(L152+P152/2), 2*Deadtime*Fsw*IF(VfdSky_Q3&gt;0,0,Vsd_Q3)*L152), IF(L152&lt;P152/2,Deadtime*Fsw/2*IF(VfdSky_Q3&gt;0,0,Vsd_Q3)*(L152+P152/2), 2*Deadtime*Fsw/2*IF(VfdSky_Q3&gt;0,0,Vsd_Q3)*L152))</f>
        <v>0</v>
      </c>
      <c r="AR152" s="488" t="n">
        <f aca="false">(AQ152+AP152*(1+RdsonBotTc*Ta-RdsonBotTc*25))/(1-AP152*RdsonBotTc*ThetaJA_Q3)</f>
        <v>0.0748557567394445</v>
      </c>
      <c r="AS152" s="488" t="n">
        <f aca="false">CHOOSE(J152, Rdson3*Q152^2, Rdson1*Q152^2, 0)</f>
        <v>0.0737516102206802</v>
      </c>
      <c r="AT152" s="488" t="n">
        <f aca="false">CHOOSE(J152, 2*Deadtime*Fsw*IF(VfdSky_Q2&gt;0,VfdSky_Q2,0)*K152, 2*Deadtime*Fsw*IF(VfdSky_Q3&gt;0,VfdSky_Q3,0)*L152, 2*Deadtime*Fsw/2*IF(VfdSky_Q2&gt;0,VfdSky_Q2,0)*K152+2*Deadtime*Fsw/2*IF(VfdSky_Q3&gt;0,VfdSky_Q3,0)*L152)</f>
        <v>0</v>
      </c>
      <c r="AU152" s="488" t="n">
        <f aca="false">CHOOSE(J152, IF(QrrSky_Q2&gt;0,QrrSky_Q2,Qrr_Q2)*Fsw*(H152-K152*Rdson1), IF(QrrSky_Q3&gt;0,QrrSky_Q3,Qrr_Q3)*Fsw*Vout,  IF(QrrSky_Q2&gt;0,QrrSky_Q2,Qrr_Q2)*Fsw/2*(H152-K152*Rdson1)+IF(QrrSky_Q3&gt;0,QrrSky_Q3,Qrr_Q3)*Fsw/2*Vout)</f>
        <v>0.70734762</v>
      </c>
      <c r="AV152" s="488" t="n">
        <f aca="false">CHOOSE(J152, Rs*AF152^2, Rs*AJ152^2, Rs*(AF152^2+AJ152^2))</f>
        <v>0.210336745989182</v>
      </c>
      <c r="AW152" s="488" t="n">
        <f aca="false">Rshunt_std/1000*Iout^2</f>
        <v>0.14832</v>
      </c>
      <c r="AX152" s="488" t="n">
        <f aca="false">IF(Vout&gt;8, Iq*Vout, Iq*H152)</f>
        <v>0.036</v>
      </c>
      <c r="AY152" s="488" t="n">
        <f aca="false">CHOOSE(J152, (Qg_Q1+Qg_Q2)*Fsw, (Qg_Q3+Qg_Q4)*Fsw, (Qg_Q1+Qg_Q2+Qg_Q3+Qg_Q4)*Fsw/2)*IF(Vout&gt;8, Vout, H152)</f>
        <v>0.0792</v>
      </c>
      <c r="AZ152" s="488" t="n">
        <f aca="false">(Vin-Vdd)*Fsw*(Qg_Q1+Qg_Q2)+(RdsonDRT+RdsonDRT2)*Fsw*Qg_Q1*Vdd/(RdsonDRT+2*Rgate1+RdsonDRT2)+(RdsonDRB+RdsonDRB2)*Fsw*Qg_Q2*Vdd/(RdsonDRB+2*Rgate2+RdsonDRB2)</f>
        <v>0.0522</v>
      </c>
      <c r="BA152" s="488" t="n">
        <f aca="false">SUM(AX152:AY152)</f>
        <v>0.1152</v>
      </c>
      <c r="BB152" s="488" t="n">
        <f aca="false">SUM(T152,W152,Z152,AE152,AI152,AN152,AR152, AT152,AU152,BA152,AV152,AW152)</f>
        <v>2.98924735087171</v>
      </c>
      <c r="BC152" s="419" t="n">
        <f aca="false">Vout*K152</f>
        <v>72</v>
      </c>
      <c r="BD152" s="589" t="n">
        <f aca="false">BC152/(BC152+BB152)</f>
        <v>0.96013765364406</v>
      </c>
      <c r="BE152" s="590" t="n">
        <f aca="false">IF(H152&gt;Vout,ThetaJA_Q1*(AE152+AU152),ThetaJA_Q4*(AN152+AU152))</f>
        <v>50.5987281648536</v>
      </c>
      <c r="BF152" s="590" t="n">
        <f aca="false">IF(H152&gt;Vout, AI152*ThetaJA_Q2, ThetaJA_Q3*AR152)</f>
        <v>15.1472550438283</v>
      </c>
      <c r="BG152" s="536"/>
      <c r="BH152" s="385" t="n">
        <f aca="false">BD152*100</f>
        <v>96.013765364406</v>
      </c>
      <c r="BI152" s="488" t="n">
        <f aca="false">T152</f>
        <v>1.09456522941583</v>
      </c>
      <c r="BJ152" s="488" t="n">
        <f aca="false">AE152+AI152+AN152+AR152+AU152</f>
        <v>1.38977542091308</v>
      </c>
      <c r="BK152" s="488" t="n">
        <f aca="false">AI152+AU152*0.33</f>
        <v>0.536369815476566</v>
      </c>
      <c r="BL152" s="488" t="n">
        <f aca="false">AV152</f>
        <v>0.210336745989182</v>
      </c>
    </row>
    <row r="153" customFormat="false" ht="12.75" hidden="false" customHeight="false" outlineLevel="0" collapsed="false">
      <c r="G153" s="0" t="n">
        <v>144</v>
      </c>
      <c r="H153" s="586" t="n">
        <f aca="false">VIN_min+(VIN_max-VIN_min)*(G153/200)</f>
        <v>37.68</v>
      </c>
      <c r="I153" s="385" t="str">
        <f aca="false">IF(H153&gt;VIN_BB_to_buck, "BUCK", IF(H153&lt;VIN_boost_to_BB,"BOOST","BUCK-BST"))</f>
        <v>BUCK</v>
      </c>
      <c r="J153" s="419" t="n">
        <f aca="false">IF(I153="BOOST",2, IF(I153="BUCK", 1,3))</f>
        <v>1</v>
      </c>
      <c r="K153" s="0" t="n">
        <f aca="false">Iout</f>
        <v>6</v>
      </c>
      <c r="L153" s="385" t="n">
        <f aca="false">Vout*K153/(H153*Efficiency)</f>
        <v>2.12314225053079</v>
      </c>
      <c r="M153" s="385" t="n">
        <f aca="false">Iout/(1-O153)</f>
        <v>6</v>
      </c>
      <c r="N153" s="488" t="n">
        <f aca="false">CHOOSE(J153,(Vout+(Rdson2+Rs+Rdcr)*K153)/(H153+(Rs+Rdson2-Rdson1)*K153),1,IF(H153&lt;Vout,D_max_buck_BB,Vout/H153*(1-D_min_boost_exitBB_to_buck)))</f>
        <v>0.320777671755725</v>
      </c>
      <c r="O153" s="488" t="n">
        <f aca="false">CHOOSE(J153,0,(Vout+(Rdson3+Rdcr)*L153-H153)/(Vout+(Rdson3-Rdson4-Rs)*L153),IF(H153&gt;Vout,D_min_boost_exitBB_to_buck, (Vout-H153*D_max_buck_BB)/Vout))</f>
        <v>0</v>
      </c>
      <c r="P153" s="385" t="n">
        <f aca="false">MAX(0, CHOOSE(J153, (H153-(Rdson1+Rdcr)*K153-Vout)*N153/(Fsw*Lf), (H153-(Rdson4+Rdcr+Rs)*L153)*O153/(Fsw*Lf), IF(H153&lt;Vout, (H153-(Rdson4+Rdcr+Rs)*L153)*O153/(0.5*Fsw*Lf),(H153-(Rdson1+Rdcr)*K153-Vout)*N153/(0.5*Fsw*Lf))))</f>
        <v>5.8298953071707</v>
      </c>
      <c r="Q153" s="488" t="n">
        <f aca="false">CHOOSE(J153, SQRT(K153^2+(P153^2)/12), SQRT(L153^2+(P153^2)/12), SQRT(M153^2+(P153^2)/12))</f>
        <v>6.23155731801564</v>
      </c>
      <c r="R153" s="488" t="n">
        <f aca="false">(Q153^2*Rdcr*(1+Ltc*Ta-Ltc*25))/(1-Q153^2*Rdcr*Ltc*ThetaCa)</f>
        <v>0.131456300502095</v>
      </c>
      <c r="S153" s="488" t="n">
        <f aca="false">7.759*10^-3*Fsw^0.9458*(0.00787*P153)^2.304</f>
        <v>0.969337912983332</v>
      </c>
      <c r="T153" s="488" t="n">
        <f aca="false">R153+S153</f>
        <v>1.10079421348543</v>
      </c>
      <c r="U153" s="385" t="n">
        <f aca="false">IF(H153&gt;Vout, P153/SQRT(12), SQRT(O153/(1-O153))*SQRT(K153^2+(P153^2)/12))</f>
        <v>1.68294581247117</v>
      </c>
      <c r="V153" s="488" t="n">
        <f aca="false">RCoutEsr*U153^2</f>
        <v>0.0141615330385712</v>
      </c>
      <c r="W153" s="488" t="n">
        <f aca="false">V153</f>
        <v>0.0141615330385712</v>
      </c>
      <c r="X153" s="488" t="n">
        <f aca="false">IF(H153&gt;Vout, SQRT(N153*(1-N153))*SQRT(K153^2+(P153^2)/12), P153/SQRT(12))</f>
        <v>2.90873821386441</v>
      </c>
      <c r="Y153" s="587" t="n">
        <f aca="false">RCinEsr*X153^2</f>
        <v>0.0169215159935903</v>
      </c>
      <c r="Z153" s="588" t="n">
        <f aca="false">Y153</f>
        <v>0.0169215159935903</v>
      </c>
      <c r="AA153" s="488" t="n">
        <f aca="false">CHOOSE(J153, SQRT(N153)*SQRT(K153^2+(P153^2)/12), SQRT(L153^2+(P153^2)/12), SQRT(N153)*SQRT(M153^2+(P153^2)/12))</f>
        <v>3.52938194341829</v>
      </c>
      <c r="AB153" s="488" t="n">
        <f aca="false">Rdson1*AA153^2</f>
        <v>0.0710022603444041</v>
      </c>
      <c r="AC153" s="488" t="n">
        <f aca="false">CHOOSE(J153, (H153*K153/2)*(Fsw)*(Tr_buck+Tf_buck), 0, (H153*M153/2)*(Fsw/2)*(Tr_buck+Tf_buck))</f>
        <v>0.230231827833572</v>
      </c>
      <c r="AD153" s="0" t="n">
        <f aca="false">IF(H153&gt;Vout, IF(K153&gt;P153/2,0,ABS(K153-P153/2)*Vsd_Q1*Deadtime*Fsw),0)</f>
        <v>0</v>
      </c>
      <c r="AE153" s="488" t="n">
        <f aca="false">(AD153+AC153+AB153*(1+RdsonTopTc*Ta-RdsonTopTc*25))/(1-AB153*RdsonTopTc*ThetaJA_Q1)</f>
        <v>0.305573368145858</v>
      </c>
      <c r="AF153" s="488" t="n">
        <f aca="false">CHOOSE(J153, SQRT((1-N153))*SQRT(K153^2+(P153^2)/12), 0, SQRT((1-N153))*SQRT(M153^2+(P153^2)/12))</f>
        <v>5.13573458282135</v>
      </c>
      <c r="AG153" s="488" t="n">
        <f aca="false">Rdson2*AF153^2</f>
        <v>0.150341887319567</v>
      </c>
      <c r="AH153" s="488" t="n">
        <f aca="false">CHOOSE(J153, IF(K153&lt;P153/2,Deadtime*Fsw*IF(VfdSky_Q2&gt;0,0,Vsd_Q2)*(K153+P153/2),2*Deadtime*Fsw*IF(VfdSky_Q2&gt;0,0,Vsd_Q2)*K153),0, IF(K153&lt;P153/2,Deadtime*Fsw/2*IF(VfdSky_Q2&gt;0,0,Vsd_Q2)*(K153+P153/2),2*Deadtime*Fsw/2*IF(VfdSky_Q2&gt;0,0,Vsd_Q2)*K153))</f>
        <v>0.144</v>
      </c>
      <c r="AI153" s="488" t="n">
        <f aca="false">(AH153+AG153*(1+RdsonBotTc*Ta-RdsonBotTc*25))/(1-AG153*RdsonBotTc*ThetaJA_Q2)</f>
        <v>0.303466636699554</v>
      </c>
      <c r="AJ153" s="488" t="n">
        <f aca="false">CHOOSE(J153, 0, SQRT(O153)*SQRT(L153^2+(P153^2)/12), SQRT(O153)*SQRT(M153^2+(P153^2)/12))</f>
        <v>0</v>
      </c>
      <c r="AK153" s="488" t="n">
        <f aca="false">Rdson4*AJ153^2</f>
        <v>0</v>
      </c>
      <c r="AL153" s="488" t="n">
        <f aca="false">CHOOSE(J153, 0, (Vout*L153/2)*(Fsw)*(Tr_boost+Tf_boost), (Vout*Iout/2)*(Fsw/2)*(Tr_boost+Tf_boost))</f>
        <v>0</v>
      </c>
      <c r="AM153" s="0" t="n">
        <f aca="false">IF(H153&gt;Vout, 0, IF(L153&gt;P153/2,0,ABS(L153-P153/2)*Vsd_Q4*Deadtime*Fsw))</f>
        <v>0</v>
      </c>
      <c r="AN153" s="488" t="n">
        <f aca="false">(AM153+AL153+AK153*(1+RdsonTopTc*Ta-RdsonTopTc*25))/(1-AK153*RdsonTopTc*ThetaJA_Q4)</f>
        <v>0</v>
      </c>
      <c r="AO153" s="488" t="n">
        <f aca="false">CHOOSE(J153, SQRT(Iout^2+(P153^2)/12), SQRT(1-O153)*SQRT(L153^2+(P153^2)/12), SQRT(1-O153)*SQRT(M153^2+(P153^2)/12))</f>
        <v>6.23155731801564</v>
      </c>
      <c r="AP153" s="488" t="n">
        <f aca="false">Rdson3*AO153^2</f>
        <v>0.0737813825546571</v>
      </c>
      <c r="AQ153" s="488" t="n">
        <f aca="false">CHOOSE(J153, 0, IF(L153&lt;P153/2,Deadtime*Fsw*IF(VfdSky_Q3&gt;0,0,Vsd_Q3)*(L153+P153/2), 2*Deadtime*Fsw*IF(VfdSky_Q3&gt;0,0,Vsd_Q3)*L153), IF(L153&lt;P153/2,Deadtime*Fsw/2*IF(VfdSky_Q3&gt;0,0,Vsd_Q3)*(L153+P153/2), 2*Deadtime*Fsw/2*IF(VfdSky_Q3&gt;0,0,Vsd_Q3)*L153))</f>
        <v>0</v>
      </c>
      <c r="AR153" s="488" t="n">
        <f aca="false">(AQ153+AP153*(1+RdsonBotTc*Ta-RdsonBotTc*25))/(1-AP153*RdsonBotTc*ThetaJA_Q3)</f>
        <v>0.0748864273840519</v>
      </c>
      <c r="AS153" s="488" t="n">
        <f aca="false">CHOOSE(J153, Rdson3*Q153^2, Rdson1*Q153^2, 0)</f>
        <v>0.0737813825546571</v>
      </c>
      <c r="AT153" s="488" t="n">
        <f aca="false">CHOOSE(J153, 2*Deadtime*Fsw*IF(VfdSky_Q2&gt;0,VfdSky_Q2,0)*K153, 2*Deadtime*Fsw*IF(VfdSky_Q3&gt;0,VfdSky_Q3,0)*L153, 2*Deadtime*Fsw/2*IF(VfdSky_Q2&gt;0,VfdSky_Q2,0)*K153+2*Deadtime*Fsw/2*IF(VfdSky_Q3&gt;0,VfdSky_Q3,0)*L153)</f>
        <v>0</v>
      </c>
      <c r="AU153" s="488" t="n">
        <f aca="false">CHOOSE(J153, IF(QrrSky_Q2&gt;0,QrrSky_Q2,Qrr_Q2)*Fsw*(H153-K153*Rdson1), IF(QrrSky_Q3&gt;0,QrrSky_Q3,Qrr_Q3)*Fsw*Vout,  IF(QrrSky_Q2&gt;0,QrrSky_Q2,Qrr_Q2)*Fsw/2*(H153-K153*Rdson1)+IF(QrrSky_Q3&gt;0,QrrSky_Q3,Qrr_Q3)*Fsw/2*Vout)</f>
        <v>0.71150562</v>
      </c>
      <c r="AV153" s="488" t="n">
        <f aca="false">CHOOSE(J153, Rs*AF153^2, Rs*AJ153^2, Rs*(AF153^2+AJ153^2))</f>
        <v>0.211006157641498</v>
      </c>
      <c r="AW153" s="488" t="n">
        <f aca="false">Rshunt_std/1000*Iout^2</f>
        <v>0.14832</v>
      </c>
      <c r="AX153" s="488" t="n">
        <f aca="false">IF(Vout&gt;8, Iq*Vout, Iq*H153)</f>
        <v>0.036</v>
      </c>
      <c r="AY153" s="488" t="n">
        <f aca="false">CHOOSE(J153, (Qg_Q1+Qg_Q2)*Fsw, (Qg_Q3+Qg_Q4)*Fsw, (Qg_Q1+Qg_Q2+Qg_Q3+Qg_Q4)*Fsw/2)*IF(Vout&gt;8, Vout, H153)</f>
        <v>0.0792</v>
      </c>
      <c r="AZ153" s="488" t="n">
        <f aca="false">(Vin-Vdd)*Fsw*(Qg_Q1+Qg_Q2)+(RdsonDRT+RdsonDRT2)*Fsw*Qg_Q1*Vdd/(RdsonDRT+2*Rgate1+RdsonDRT2)+(RdsonDRB+RdsonDRB2)*Fsw*Qg_Q2*Vdd/(RdsonDRB+2*Rgate2+RdsonDRB2)</f>
        <v>0.0522</v>
      </c>
      <c r="BA153" s="488" t="n">
        <f aca="false">SUM(AX153:AY153)</f>
        <v>0.1152</v>
      </c>
      <c r="BB153" s="488" t="n">
        <f aca="false">SUM(T153,W153,Z153,AE153,AI153,AN153,AR153, AT153,AU153,BA153,AV153,AW153)</f>
        <v>3.00183547238855</v>
      </c>
      <c r="BC153" s="419" t="n">
        <f aca="false">Vout*K153</f>
        <v>72</v>
      </c>
      <c r="BD153" s="589" t="n">
        <f aca="false">BC153/(BC153+BB153)</f>
        <v>0.959976506528382</v>
      </c>
      <c r="BE153" s="590" t="n">
        <f aca="false">IF(H153&gt;Vout,ThetaJA_Q1*(AE153+AU153),ThetaJA_Q4*(AN153+AU153))</f>
        <v>50.8539494072929</v>
      </c>
      <c r="BF153" s="590" t="n">
        <f aca="false">IF(H153&gt;Vout, AI153*ThetaJA_Q2, ThetaJA_Q3*AR153)</f>
        <v>15.1733318349777</v>
      </c>
      <c r="BG153" s="536"/>
      <c r="BH153" s="385" t="n">
        <f aca="false">BD153*100</f>
        <v>95.9976506528382</v>
      </c>
      <c r="BI153" s="488" t="n">
        <f aca="false">T153</f>
        <v>1.10079421348543</v>
      </c>
      <c r="BJ153" s="488" t="n">
        <f aca="false">AE153+AI153+AN153+AR153+AU153</f>
        <v>1.39543205222946</v>
      </c>
      <c r="BK153" s="488" t="n">
        <f aca="false">AI153+AU153*0.33</f>
        <v>0.538263491299554</v>
      </c>
      <c r="BL153" s="488" t="n">
        <f aca="false">AV153</f>
        <v>0.211006157641498</v>
      </c>
    </row>
    <row r="154" customFormat="false" ht="12.75" hidden="false" customHeight="false" outlineLevel="0" collapsed="false">
      <c r="G154" s="0" t="n">
        <v>145</v>
      </c>
      <c r="H154" s="586" t="n">
        <f aca="false">VIN_min+(VIN_max-VIN_min)*(G154/200)</f>
        <v>37.9</v>
      </c>
      <c r="I154" s="385" t="str">
        <f aca="false">IF(H154&gt;VIN_BB_to_buck, "BUCK", IF(H154&lt;VIN_boost_to_BB,"BOOST","BUCK-BST"))</f>
        <v>BUCK</v>
      </c>
      <c r="J154" s="419" t="n">
        <f aca="false">IF(I154="BOOST",2, IF(I154="BUCK", 1,3))</f>
        <v>1</v>
      </c>
      <c r="K154" s="0" t="n">
        <f aca="false">Iout</f>
        <v>6</v>
      </c>
      <c r="L154" s="385" t="n">
        <f aca="false">Vout*K154/(H154*Efficiency)</f>
        <v>2.11081794195251</v>
      </c>
      <c r="M154" s="385" t="n">
        <f aca="false">Iout/(1-O154)</f>
        <v>6</v>
      </c>
      <c r="N154" s="488" t="n">
        <f aca="false">CHOOSE(J154,(Vout+(Rdson2+Rs+Rdcr)*K154)/(H154+(Rs+Rdson2-Rdson1)*K154),1,IF(H154&lt;Vout,D_max_buck_BB,Vout/H154*(1-D_min_boost_exitBB_to_buck)))</f>
        <v>0.318917993043112</v>
      </c>
      <c r="O154" s="488" t="n">
        <f aca="false">CHOOSE(J154,0,(Vout+(Rdson3+Rdcr)*L154-H154)/(Vout+(Rdson3-Rdson4-Rs)*L154),IF(H154&gt;Vout,D_min_boost_exitBB_to_buck, (Vout-H154*D_max_buck_BB)/Vout))</f>
        <v>0</v>
      </c>
      <c r="P154" s="385" t="n">
        <f aca="false">MAX(0, CHOOSE(J154, (H154-(Rdson1+Rdcr)*K154-Vout)*N154/(Fsw*Lf), (H154-(Rdson4+Rdcr+Rs)*L154)*O154/(Fsw*Lf), IF(H154&lt;Vout, (H154-(Rdson4+Rdcr+Rs)*L154)*O154/(0.5*Fsw*Lf),(H154-(Rdson1+Rdcr)*K154-Vout)*N154/(0.5*Fsw*Lf))))</f>
        <v>5.84585728566975</v>
      </c>
      <c r="Q154" s="488" t="n">
        <f aca="false">CHOOSE(J154, SQRT(K154^2+(P154^2)/12), SQRT(L154^2+(P154^2)/12), SQRT(M154^2+(P154^2)/12))</f>
        <v>6.23280332464466</v>
      </c>
      <c r="R154" s="488" t="n">
        <f aca="false">(Q154^2*Rdcr*(1+Ltc*Ta-Ltc*25))/(1-Q154^2*Rdcr*Ltc*ThetaCa)</f>
        <v>0.131509428544608</v>
      </c>
      <c r="S154" s="488" t="n">
        <f aca="false">7.759*10^-3*Fsw^0.9458*(0.00787*P154)^2.304</f>
        <v>0.97546365132139</v>
      </c>
      <c r="T154" s="488" t="n">
        <f aca="false">R154+S154</f>
        <v>1.106973079866</v>
      </c>
      <c r="U154" s="385" t="n">
        <f aca="false">IF(H154&gt;Vout, P154/SQRT(12), SQRT(O154/(1-O154))*SQRT(K154^2+(P154^2)/12))</f>
        <v>1.68755363876278</v>
      </c>
      <c r="V154" s="488" t="n">
        <f aca="false">RCoutEsr*U154^2</f>
        <v>0.0142391864185076</v>
      </c>
      <c r="W154" s="488" t="n">
        <f aca="false">V154</f>
        <v>0.0142391864185076</v>
      </c>
      <c r="X154" s="488" t="n">
        <f aca="false">IF(H154&gt;Vout, SQRT(N154*(1-N154))*SQRT(K154^2+(P154^2)/12), P154/SQRT(12))</f>
        <v>2.90484281939329</v>
      </c>
      <c r="Y154" s="587" t="n">
        <f aca="false">RCinEsr*X154^2</f>
        <v>0.0168762236107616</v>
      </c>
      <c r="Z154" s="588" t="n">
        <f aca="false">Y154</f>
        <v>0.0168762236107616</v>
      </c>
      <c r="AA154" s="488" t="n">
        <f aca="false">CHOOSE(J154, SQRT(N154)*SQRT(K154^2+(P154^2)/12), SQRT(L154^2+(P154^2)/12), SQRT(N154)*SQRT(M154^2+(P154^2)/12))</f>
        <v>3.51984009588269</v>
      </c>
      <c r="AB154" s="488" t="n">
        <f aca="false">Rdson1*AA154^2</f>
        <v>0.0706188635133257</v>
      </c>
      <c r="AC154" s="488" t="n">
        <f aca="false">CHOOSE(J154, (H154*K154/2)*(Fsw)*(Tr_buck+Tf_buck), 0, (H154*M154/2)*(Fsw/2)*(Tr_buck+Tf_buck))</f>
        <v>0.231576068866571</v>
      </c>
      <c r="AD154" s="0" t="n">
        <f aca="false">IF(H154&gt;Vout, IF(K154&gt;P154/2,0,ABS(K154-P154/2)*Vsd_Q1*Deadtime*Fsw),0)</f>
        <v>0</v>
      </c>
      <c r="AE154" s="488" t="n">
        <f aca="false">(AD154+AC154+AB154*(1+RdsonTopTc*Ta-RdsonTopTc*25))/(1-AB154*RdsonTopTc*ThetaJA_Q1)</f>
        <v>0.30652421065911</v>
      </c>
      <c r="AF154" s="488" t="n">
        <f aca="false">CHOOSE(J154, SQRT((1-N154))*SQRT(K154^2+(P154^2)/12), 0, SQRT((1-N154))*SQRT(M154^2+(P154^2)/12))</f>
        <v>5.14378877707066</v>
      </c>
      <c r="AG154" s="488" t="n">
        <f aca="false">Rdson2*AF154^2</f>
        <v>0.150813809003773</v>
      </c>
      <c r="AH154" s="488" t="n">
        <f aca="false">CHOOSE(J154, IF(K154&lt;P154/2,Deadtime*Fsw*IF(VfdSky_Q2&gt;0,0,Vsd_Q2)*(K154+P154/2),2*Deadtime*Fsw*IF(VfdSky_Q2&gt;0,0,Vsd_Q2)*K154),0, IF(K154&lt;P154/2,Deadtime*Fsw/2*IF(VfdSky_Q2&gt;0,0,Vsd_Q2)*(K154+P154/2),2*Deadtime*Fsw/2*IF(VfdSky_Q2&gt;0,0,Vsd_Q2)*K154))</f>
        <v>0.144</v>
      </c>
      <c r="AI154" s="488" t="n">
        <f aca="false">(AH154+AG154*(1+RdsonBotTc*Ta-RdsonBotTc*25))/(1-AG154*RdsonBotTc*ThetaJA_Q2)</f>
        <v>0.303982768852196</v>
      </c>
      <c r="AJ154" s="488" t="n">
        <f aca="false">CHOOSE(J154, 0, SQRT(O154)*SQRT(L154^2+(P154^2)/12), SQRT(O154)*SQRT(M154^2+(P154^2)/12))</f>
        <v>0</v>
      </c>
      <c r="AK154" s="488" t="n">
        <f aca="false">Rdson4*AJ154^2</f>
        <v>0</v>
      </c>
      <c r="AL154" s="488" t="n">
        <f aca="false">CHOOSE(J154, 0, (Vout*L154/2)*(Fsw)*(Tr_boost+Tf_boost), (Vout*Iout/2)*(Fsw/2)*(Tr_boost+Tf_boost))</f>
        <v>0</v>
      </c>
      <c r="AM154" s="0" t="n">
        <f aca="false">IF(H154&gt;Vout, 0, IF(L154&gt;P154/2,0,ABS(L154-P154/2)*Vsd_Q4*Deadtime*Fsw))</f>
        <v>0</v>
      </c>
      <c r="AN154" s="488" t="n">
        <f aca="false">(AM154+AL154+AK154*(1+RdsonTopTc*Ta-RdsonTopTc*25))/(1-AK154*RdsonTopTc*ThetaJA_Q4)</f>
        <v>0</v>
      </c>
      <c r="AO154" s="488" t="n">
        <f aca="false">CHOOSE(J154, SQRT(Iout^2+(P154^2)/12), SQRT(1-O154)*SQRT(L154^2+(P154^2)/12), SQRT(1-O154)*SQRT(M154^2+(P154^2)/12))</f>
        <v>6.23280332464466</v>
      </c>
      <c r="AP154" s="488" t="n">
        <f aca="false">Rdson3*AO154^2</f>
        <v>0.0738108908390329</v>
      </c>
      <c r="AQ154" s="488" t="n">
        <f aca="false">CHOOSE(J154, 0, IF(L154&lt;P154/2,Deadtime*Fsw*IF(VfdSky_Q3&gt;0,0,Vsd_Q3)*(L154+P154/2), 2*Deadtime*Fsw*IF(VfdSky_Q3&gt;0,0,Vsd_Q3)*L154), IF(L154&lt;P154/2,Deadtime*Fsw/2*IF(VfdSky_Q3&gt;0,0,Vsd_Q3)*(L154+P154/2), 2*Deadtime*Fsw/2*IF(VfdSky_Q3&gt;0,0,Vsd_Q3)*L154))</f>
        <v>0</v>
      </c>
      <c r="AR154" s="488" t="n">
        <f aca="false">(AQ154+AP154*(1+RdsonBotTc*Ta-RdsonBotTc*25))/(1-AP154*RdsonBotTc*ThetaJA_Q3)</f>
        <v>0.0749168263777884</v>
      </c>
      <c r="AS154" s="488" t="n">
        <f aca="false">CHOOSE(J154, Rdson3*Q154^2, Rdson1*Q154^2, 0)</f>
        <v>0.0738108908390329</v>
      </c>
      <c r="AT154" s="488" t="n">
        <f aca="false">CHOOSE(J154, 2*Deadtime*Fsw*IF(VfdSky_Q2&gt;0,VfdSky_Q2,0)*K154, 2*Deadtime*Fsw*IF(VfdSky_Q3&gt;0,VfdSky_Q3,0)*L154, 2*Deadtime*Fsw/2*IF(VfdSky_Q2&gt;0,VfdSky_Q2,0)*K154+2*Deadtime*Fsw/2*IF(VfdSky_Q3&gt;0,VfdSky_Q3,0)*L154)</f>
        <v>0</v>
      </c>
      <c r="AU154" s="488" t="n">
        <f aca="false">CHOOSE(J154, IF(QrrSky_Q2&gt;0,QrrSky_Q2,Qrr_Q2)*Fsw*(H154-K154*Rdson1), IF(QrrSky_Q3&gt;0,QrrSky_Q3,Qrr_Q3)*Fsw*Vout,  IF(QrrSky_Q2&gt;0,QrrSky_Q2,Qrr_Q2)*Fsw/2*(H154-K154*Rdson1)+IF(QrrSky_Q3&gt;0,QrrSky_Q3,Qrr_Q3)*Fsw/2*Vout)</f>
        <v>0.71566362</v>
      </c>
      <c r="AV154" s="488" t="n">
        <f aca="false">CHOOSE(J154, Rs*AF154^2, Rs*AJ154^2, Rs*(AF154^2+AJ154^2))</f>
        <v>0.211668503864944</v>
      </c>
      <c r="AW154" s="488" t="n">
        <f aca="false">Rshunt_std/1000*Iout^2</f>
        <v>0.14832</v>
      </c>
      <c r="AX154" s="488" t="n">
        <f aca="false">IF(Vout&gt;8, Iq*Vout, Iq*H154)</f>
        <v>0.036</v>
      </c>
      <c r="AY154" s="488" t="n">
        <f aca="false">CHOOSE(J154, (Qg_Q1+Qg_Q2)*Fsw, (Qg_Q3+Qg_Q4)*Fsw, (Qg_Q1+Qg_Q2+Qg_Q3+Qg_Q4)*Fsw/2)*IF(Vout&gt;8, Vout, H154)</f>
        <v>0.0792</v>
      </c>
      <c r="AZ154" s="488" t="n">
        <f aca="false">(Vin-Vdd)*Fsw*(Qg_Q1+Qg_Q2)+(RdsonDRT+RdsonDRT2)*Fsw*Qg_Q1*Vdd/(RdsonDRT+2*Rgate1+RdsonDRT2)+(RdsonDRB+RdsonDRB2)*Fsw*Qg_Q2*Vdd/(RdsonDRB+2*Rgate2+RdsonDRB2)</f>
        <v>0.0522</v>
      </c>
      <c r="BA154" s="488" t="n">
        <f aca="false">SUM(AX154:AY154)</f>
        <v>0.1152</v>
      </c>
      <c r="BB154" s="488" t="n">
        <f aca="false">SUM(T154,W154,Z154,AE154,AI154,AN154,AR154, AT154,AU154,BA154,AV154,AW154)</f>
        <v>3.01436441964931</v>
      </c>
      <c r="BC154" s="419" t="n">
        <f aca="false">Vout*K154</f>
        <v>72</v>
      </c>
      <c r="BD154" s="589" t="n">
        <f aca="false">BC154/(BC154+BB154)</f>
        <v>0.959816170636517</v>
      </c>
      <c r="BE154" s="590" t="n">
        <f aca="false">IF(H154&gt;Vout,ThetaJA_Q1*(AE154+AU154),ThetaJA_Q4*(AN154+AU154))</f>
        <v>51.1093915329555</v>
      </c>
      <c r="BF154" s="590" t="n">
        <f aca="false">IF(H154&gt;Vout, AI154*ThetaJA_Q2, ThetaJA_Q3*AR154)</f>
        <v>15.1991384426098</v>
      </c>
      <c r="BG154" s="536"/>
      <c r="BH154" s="385" t="n">
        <f aca="false">BD154*100</f>
        <v>95.9816170636517</v>
      </c>
      <c r="BI154" s="488" t="n">
        <f aca="false">T154</f>
        <v>1.106973079866</v>
      </c>
      <c r="BJ154" s="488" t="n">
        <f aca="false">AE154+AI154+AN154+AR154+AU154</f>
        <v>1.40108742588909</v>
      </c>
      <c r="BK154" s="488" t="n">
        <f aca="false">AI154+AU154*0.33</f>
        <v>0.540151763452196</v>
      </c>
      <c r="BL154" s="488" t="n">
        <f aca="false">AV154</f>
        <v>0.211668503864944</v>
      </c>
    </row>
    <row r="155" customFormat="false" ht="12.75" hidden="false" customHeight="false" outlineLevel="0" collapsed="false">
      <c r="G155" s="0" t="n">
        <v>146</v>
      </c>
      <c r="H155" s="586" t="n">
        <f aca="false">VIN_min+(VIN_max-VIN_min)*(G155/200)</f>
        <v>38.12</v>
      </c>
      <c r="I155" s="385" t="str">
        <f aca="false">IF(H155&gt;VIN_BB_to_buck, "BUCK", IF(H155&lt;VIN_boost_to_BB,"BOOST","BUCK-BST"))</f>
        <v>BUCK</v>
      </c>
      <c r="J155" s="419" t="n">
        <f aca="false">IF(I155="BOOST",2, IF(I155="BUCK", 1,3))</f>
        <v>1</v>
      </c>
      <c r="K155" s="0" t="n">
        <f aca="false">Iout</f>
        <v>6</v>
      </c>
      <c r="L155" s="385" t="n">
        <f aca="false">Vout*K155/(H155*Efficiency)</f>
        <v>2.09863588667366</v>
      </c>
      <c r="M155" s="385" t="n">
        <f aca="false">Iout/(1-O155)</f>
        <v>6</v>
      </c>
      <c r="N155" s="488" t="n">
        <f aca="false">CHOOSE(J155,(Vout+(Rdson2+Rs+Rdcr)*K155)/(H155+(Rs+Rdson2-Rdson1)*K155),1,IF(H155&lt;Vout,D_max_buck_BB,Vout/H155*(1-D_min_boost_exitBB_to_buck)))</f>
        <v>0.317079752672396</v>
      </c>
      <c r="O155" s="488" t="n">
        <f aca="false">CHOOSE(J155,0,(Vout+(Rdson3+Rdcr)*L155-H155)/(Vout+(Rdson3-Rdson4-Rs)*L155),IF(H155&gt;Vout,D_min_boost_exitBB_to_buck, (Vout-H155*D_max_buck_BB)/Vout))</f>
        <v>0</v>
      </c>
      <c r="P155" s="385" t="n">
        <f aca="false">MAX(0, CHOOSE(J155, (H155-(Rdson1+Rdcr)*K155-Vout)*N155/(Fsw*Lf), (H155-(Rdson4+Rdcr+Rs)*L155)*O155/(Fsw*Lf), IF(H155&lt;Vout, (H155-(Rdson4+Rdcr+Rs)*L155)*O155/(0.5*Fsw*Lf),(H155-(Rdson1+Rdcr)*K155-Vout)*N155/(0.5*Fsw*Lf))))</f>
        <v>5.86163525477508</v>
      </c>
      <c r="Q155" s="488" t="n">
        <f aca="false">CHOOSE(J155, SQRT(K155^2+(P155^2)/12), SQRT(L155^2+(P155^2)/12), SQRT(M155^2+(P155^2)/12))</f>
        <v>6.23403806974274</v>
      </c>
      <c r="R155" s="488" t="n">
        <f aca="false">(Q155^2*Rdcr*(1+Ltc*Ta-Ltc*25))/(1-Q155^2*Rdcr*Ltc*ThetaCa)</f>
        <v>0.131562087330013</v>
      </c>
      <c r="S155" s="488" t="n">
        <f aca="false">7.759*10^-3*Fsw^0.9458*(0.00787*P155)^2.304</f>
        <v>0.981540245650735</v>
      </c>
      <c r="T155" s="488" t="n">
        <f aca="false">R155+S155</f>
        <v>1.11310233298075</v>
      </c>
      <c r="U155" s="385" t="n">
        <f aca="false">IF(H155&gt;Vout, P155/SQRT(12), SQRT(O155/(1-O155))*SQRT(K155^2+(P155^2)/12))</f>
        <v>1.6921083461179</v>
      </c>
      <c r="V155" s="488" t="n">
        <f aca="false">RCoutEsr*U155^2</f>
        <v>0.0143161532750092</v>
      </c>
      <c r="W155" s="488" t="n">
        <f aca="false">V155</f>
        <v>0.0143161532750092</v>
      </c>
      <c r="X155" s="488" t="n">
        <f aca="false">IF(H155&gt;Vout, SQRT(N155*(1-N155))*SQRT(K155^2+(P155^2)/12), P155/SQRT(12))</f>
        <v>2.90093968957921</v>
      </c>
      <c r="Y155" s="587" t="n">
        <f aca="false">RCinEsr*X155^2</f>
        <v>0.0168309021651519</v>
      </c>
      <c r="Z155" s="588" t="n">
        <f aca="false">Y155</f>
        <v>0.0168309021651519</v>
      </c>
      <c r="AA155" s="488" t="n">
        <f aca="false">CHOOSE(J155, SQRT(N155)*SQRT(K155^2+(P155^2)/12), SQRT(L155^2+(P155^2)/12), SQRT(N155)*SQRT(M155^2+(P155^2)/12))</f>
        <v>3.51037655588945</v>
      </c>
      <c r="AB155" s="488" t="n">
        <f aca="false">Rdson1*AA155^2</f>
        <v>0.070239638315588</v>
      </c>
      <c r="AC155" s="488" t="n">
        <f aca="false">CHOOSE(J155, (H155*K155/2)*(Fsw)*(Tr_buck+Tf_buck), 0, (H155*M155/2)*(Fsw/2)*(Tr_buck+Tf_buck))</f>
        <v>0.23292030989957</v>
      </c>
      <c r="AD155" s="0" t="n">
        <f aca="false">IF(H155&gt;Vout, IF(K155&gt;P155/2,0,ABS(K155-P155/2)*Vsd_Q1*Deadtime*Fsw),0)</f>
        <v>0</v>
      </c>
      <c r="AE155" s="488" t="n">
        <f aca="false">(AD155+AC155+AB155*(1+RdsonTopTc*Ta-RdsonTopTc*25))/(1-AB155*RdsonTopTc*ThetaJA_Q1)</f>
        <v>0.307479396535589</v>
      </c>
      <c r="AF155" s="488" t="n">
        <f aca="false">CHOOSE(J155, SQRT((1-N155))*SQRT(K155^2+(P155^2)/12), 0, SQRT((1-N155))*SQRT(M155^2+(P155^2)/12))</f>
        <v>5.15174602352092</v>
      </c>
      <c r="AG155" s="488" t="n">
        <f aca="false">Rdson2*AF155^2</f>
        <v>0.151280776417922</v>
      </c>
      <c r="AH155" s="488" t="n">
        <f aca="false">CHOOSE(J155, IF(K155&lt;P155/2,Deadtime*Fsw*IF(VfdSky_Q2&gt;0,0,Vsd_Q2)*(K155+P155/2),2*Deadtime*Fsw*IF(VfdSky_Q2&gt;0,0,Vsd_Q2)*K155),0, IF(K155&lt;P155/2,Deadtime*Fsw/2*IF(VfdSky_Q2&gt;0,0,Vsd_Q2)*(K155+P155/2),2*Deadtime*Fsw/2*IF(VfdSky_Q2&gt;0,0,Vsd_Q2)*K155))</f>
        <v>0.144</v>
      </c>
      <c r="AI155" s="488" t="n">
        <f aca="false">(AH155+AG155*(1+RdsonBotTc*Ta-RdsonBotTc*25))/(1-AG155*RdsonBotTc*ThetaJA_Q2)</f>
        <v>0.304493581502724</v>
      </c>
      <c r="AJ155" s="488" t="n">
        <f aca="false">CHOOSE(J155, 0, SQRT(O155)*SQRT(L155^2+(P155^2)/12), SQRT(O155)*SQRT(M155^2+(P155^2)/12))</f>
        <v>0</v>
      </c>
      <c r="AK155" s="488" t="n">
        <f aca="false">Rdson4*AJ155^2</f>
        <v>0</v>
      </c>
      <c r="AL155" s="488" t="n">
        <f aca="false">CHOOSE(J155, 0, (Vout*L155/2)*(Fsw)*(Tr_boost+Tf_boost), (Vout*Iout/2)*(Fsw/2)*(Tr_boost+Tf_boost))</f>
        <v>0</v>
      </c>
      <c r="AM155" s="0" t="n">
        <f aca="false">IF(H155&gt;Vout, 0, IF(L155&gt;P155/2,0,ABS(L155-P155/2)*Vsd_Q4*Deadtime*Fsw))</f>
        <v>0</v>
      </c>
      <c r="AN155" s="488" t="n">
        <f aca="false">(AM155+AL155+AK155*(1+RdsonTopTc*Ta-RdsonTopTc*25))/(1-AK155*RdsonTopTc*ThetaJA_Q4)</f>
        <v>0</v>
      </c>
      <c r="AO155" s="488" t="n">
        <f aca="false">CHOOSE(J155, SQRT(Iout^2+(P155^2)/12), SQRT(1-O155)*SQRT(L155^2+(P155^2)/12), SQRT(1-O155)*SQRT(M155^2+(P155^2)/12))</f>
        <v>6.23403806974274</v>
      </c>
      <c r="AP155" s="488" t="n">
        <f aca="false">Rdson3*AO155^2</f>
        <v>0.0738401382445035</v>
      </c>
      <c r="AQ155" s="488" t="n">
        <f aca="false">CHOOSE(J155, 0, IF(L155&lt;P155/2,Deadtime*Fsw*IF(VfdSky_Q3&gt;0,0,Vsd_Q3)*(L155+P155/2), 2*Deadtime*Fsw*IF(VfdSky_Q3&gt;0,0,Vsd_Q3)*L155), IF(L155&lt;P155/2,Deadtime*Fsw/2*IF(VfdSky_Q3&gt;0,0,Vsd_Q3)*(L155+P155/2), 2*Deadtime*Fsw/2*IF(VfdSky_Q3&gt;0,0,Vsd_Q3)*L155))</f>
        <v>0</v>
      </c>
      <c r="AR155" s="488" t="n">
        <f aca="false">(AQ155+AP155*(1+RdsonBotTc*Ta-RdsonBotTc*25))/(1-AP155*RdsonBotTc*ThetaJA_Q3)</f>
        <v>0.0749469569773459</v>
      </c>
      <c r="AS155" s="488" t="n">
        <f aca="false">CHOOSE(J155, Rdson3*Q155^2, Rdson1*Q155^2, 0)</f>
        <v>0.0738401382445035</v>
      </c>
      <c r="AT155" s="488" t="n">
        <f aca="false">CHOOSE(J155, 2*Deadtime*Fsw*IF(VfdSky_Q2&gt;0,VfdSky_Q2,0)*K155, 2*Deadtime*Fsw*IF(VfdSky_Q3&gt;0,VfdSky_Q3,0)*L155, 2*Deadtime*Fsw/2*IF(VfdSky_Q2&gt;0,VfdSky_Q2,0)*K155+2*Deadtime*Fsw/2*IF(VfdSky_Q3&gt;0,VfdSky_Q3,0)*L155)</f>
        <v>0</v>
      </c>
      <c r="AU155" s="488" t="n">
        <f aca="false">CHOOSE(J155, IF(QrrSky_Q2&gt;0,QrrSky_Q2,Qrr_Q2)*Fsw*(H155-K155*Rdson1), IF(QrrSky_Q3&gt;0,QrrSky_Q3,Qrr_Q3)*Fsw*Vout,  IF(QrrSky_Q2&gt;0,QrrSky_Q2,Qrr_Q2)*Fsw/2*(H155-K155*Rdson1)+IF(QrrSky_Q3&gt;0,QrrSky_Q3,Qrr_Q3)*Fsw/2*Vout)</f>
        <v>0.71982162</v>
      </c>
      <c r="AV155" s="488" t="n">
        <f aca="false">CHOOSE(J155, Rs*AF155^2, Rs*AJ155^2, Rs*(AF155^2+AJ155^2))</f>
        <v>0.212323896726909</v>
      </c>
      <c r="AW155" s="488" t="n">
        <f aca="false">Rshunt_std/1000*Iout^2</f>
        <v>0.14832</v>
      </c>
      <c r="AX155" s="488" t="n">
        <f aca="false">IF(Vout&gt;8, Iq*Vout, Iq*H155)</f>
        <v>0.036</v>
      </c>
      <c r="AY155" s="488" t="n">
        <f aca="false">CHOOSE(J155, (Qg_Q1+Qg_Q2)*Fsw, (Qg_Q3+Qg_Q4)*Fsw, (Qg_Q1+Qg_Q2+Qg_Q3+Qg_Q4)*Fsw/2)*IF(Vout&gt;8, Vout, H155)</f>
        <v>0.0792</v>
      </c>
      <c r="AZ155" s="488" t="n">
        <f aca="false">(Vin-Vdd)*Fsw*(Qg_Q1+Qg_Q2)+(RdsonDRT+RdsonDRT2)*Fsw*Qg_Q1*Vdd/(RdsonDRT+2*Rgate1+RdsonDRT2)+(RdsonDRB+RdsonDRB2)*Fsw*Qg_Q2*Vdd/(RdsonDRB+2*Rgate2+RdsonDRB2)</f>
        <v>0.0522</v>
      </c>
      <c r="BA155" s="488" t="n">
        <f aca="false">SUM(AX155:AY155)</f>
        <v>0.1152</v>
      </c>
      <c r="BB155" s="488" t="n">
        <f aca="false">SUM(T155,W155,Z155,AE155,AI155,AN155,AR155, AT155,AU155,BA155,AV155,AW155)</f>
        <v>3.02683484016348</v>
      </c>
      <c r="BC155" s="419" t="n">
        <f aca="false">Vout*K155</f>
        <v>72</v>
      </c>
      <c r="BD155" s="589" t="n">
        <f aca="false">BC155/(BC155+BB155)</f>
        <v>0.959656636900493</v>
      </c>
      <c r="BE155" s="590" t="n">
        <f aca="false">IF(H155&gt;Vout,ThetaJA_Q1*(AE155+AU155),ThetaJA_Q4*(AN155+AU155))</f>
        <v>51.3650508267794</v>
      </c>
      <c r="BF155" s="590" t="n">
        <f aca="false">IF(H155&gt;Vout, AI155*ThetaJA_Q2, ThetaJA_Q3*AR155)</f>
        <v>15.2246790751362</v>
      </c>
      <c r="BG155" s="536"/>
      <c r="BH155" s="385" t="n">
        <f aca="false">BD155*100</f>
        <v>95.9656636900493</v>
      </c>
      <c r="BI155" s="488" t="n">
        <f aca="false">T155</f>
        <v>1.11310233298075</v>
      </c>
      <c r="BJ155" s="488" t="n">
        <f aca="false">AE155+AI155+AN155+AR155+AU155</f>
        <v>1.40674155501566</v>
      </c>
      <c r="BK155" s="488" t="n">
        <f aca="false">AI155+AU155*0.33</f>
        <v>0.542034716102724</v>
      </c>
      <c r="BL155" s="488" t="n">
        <f aca="false">AV155</f>
        <v>0.212323896726909</v>
      </c>
    </row>
    <row r="156" customFormat="false" ht="12.75" hidden="false" customHeight="false" outlineLevel="0" collapsed="false">
      <c r="G156" s="0" t="n">
        <v>147</v>
      </c>
      <c r="H156" s="586" t="n">
        <f aca="false">VIN_min+(VIN_max-VIN_min)*(G156/200)</f>
        <v>38.34</v>
      </c>
      <c r="I156" s="385" t="str">
        <f aca="false">IF(H156&gt;VIN_BB_to_buck, "BUCK", IF(H156&lt;VIN_boost_to_BB,"BOOST","BUCK-BST"))</f>
        <v>BUCK</v>
      </c>
      <c r="J156" s="419" t="n">
        <f aca="false">IF(I156="BOOST",2, IF(I156="BUCK", 1,3))</f>
        <v>1</v>
      </c>
      <c r="K156" s="0" t="n">
        <f aca="false">Iout</f>
        <v>6</v>
      </c>
      <c r="L156" s="385" t="n">
        <f aca="false">Vout*K156/(H156*Efficiency)</f>
        <v>2.08659363588941</v>
      </c>
      <c r="M156" s="385" t="n">
        <f aca="false">Iout/(1-O156)</f>
        <v>6</v>
      </c>
      <c r="N156" s="488" t="n">
        <f aca="false">CHOOSE(J156,(Vout+(Rdson2+Rs+Rdcr)*K156)/(H156+(Rs+Rdson2-Rdson1)*K156),1,IF(H156&lt;Vout,D_max_buck_BB,Vout/H156*(1-D_min_boost_exitBB_to_buck)))</f>
        <v>0.315262582056893</v>
      </c>
      <c r="O156" s="488" t="n">
        <f aca="false">CHOOSE(J156,0,(Vout+(Rdson3+Rdcr)*L156-H156)/(Vout+(Rdson3-Rdson4-Rs)*L156),IF(H156&gt;Vout,D_min_boost_exitBB_to_buck, (Vout-H156*D_max_buck_BB)/Vout))</f>
        <v>0</v>
      </c>
      <c r="P156" s="385" t="n">
        <f aca="false">MAX(0, CHOOSE(J156, (H156-(Rdson1+Rdcr)*K156-Vout)*N156/(Fsw*Lf), (H156-(Rdson4+Rdcr+Rs)*L156)*O156/(Fsw*Lf), IF(H156&lt;Vout, (H156-(Rdson4+Rdcr+Rs)*L156)*O156/(0.5*Fsw*Lf),(H156-(Rdson1+Rdcr)*K156-Vout)*N156/(0.5*Fsw*Lf))))</f>
        <v>5.87723237813679</v>
      </c>
      <c r="Q156" s="488" t="n">
        <f aca="false">CHOOSE(J156, SQRT(K156^2+(P156^2)/12), SQRT(L156^2+(P156^2)/12), SQRT(M156^2+(P156^2)/12))</f>
        <v>6.2352616920932</v>
      </c>
      <c r="R156" s="488" t="n">
        <f aca="false">(Q156^2*Rdcr*(1+Ltc*Ta-Ltc*25))/(1-Q156^2*Rdcr*Ltc*ThetaCa)</f>
        <v>0.131614282481738</v>
      </c>
      <c r="S156" s="488" t="n">
        <f aca="false">7.759*10^-3*Fsw^0.9458*(0.00787*P156)^2.304</f>
        <v>0.98756819102654</v>
      </c>
      <c r="T156" s="488" t="n">
        <f aca="false">R156+S156</f>
        <v>1.11918247350828</v>
      </c>
      <c r="U156" s="385" t="n">
        <f aca="false">IF(H156&gt;Vout, P156/SQRT(12), SQRT(O156/(1-O156))*SQRT(K156^2+(P156^2)/12))</f>
        <v>1.69661084780363</v>
      </c>
      <c r="V156" s="488" t="n">
        <f aca="false">RCoutEsr*U156^2</f>
        <v>0.0143924418444247</v>
      </c>
      <c r="W156" s="488" t="n">
        <f aca="false">V156</f>
        <v>0.0143924418444247</v>
      </c>
      <c r="X156" s="488" t="n">
        <f aca="false">IF(H156&gt;Vout, SQRT(N156*(1-N156))*SQRT(K156^2+(P156^2)/12), P156/SQRT(12))</f>
        <v>2.89702958230059</v>
      </c>
      <c r="Y156" s="587" t="n">
        <f aca="false">RCinEsr*X156^2</f>
        <v>0.0167855608014495</v>
      </c>
      <c r="Z156" s="588" t="n">
        <f aca="false">Y156</f>
        <v>0.0167855608014495</v>
      </c>
      <c r="AA156" s="488" t="n">
        <f aca="false">CHOOSE(J156, SQRT(N156)*SQRT(K156^2+(P156^2)/12), SQRT(L156^2+(P156^2)/12), SQRT(N156)*SQRT(M156^2+(P156^2)/12))</f>
        <v>3.50099023558243</v>
      </c>
      <c r="AB156" s="488" t="n">
        <f aca="false">Rdson1*AA156^2</f>
        <v>0.0698645159889682</v>
      </c>
      <c r="AC156" s="488" t="n">
        <f aca="false">CHOOSE(J156, (H156*K156/2)*(Fsw)*(Tr_buck+Tf_buck), 0, (H156*M156/2)*(Fsw/2)*(Tr_buck+Tf_buck))</f>
        <v>0.234264550932568</v>
      </c>
      <c r="AD156" s="0" t="n">
        <f aca="false">IF(H156&gt;Vout, IF(K156&gt;P156/2,0,ABS(K156-P156/2)*Vsd_Q1*Deadtime*Fsw),0)</f>
        <v>0</v>
      </c>
      <c r="AE156" s="488" t="n">
        <f aca="false">(AD156+AC156+AB156*(1+RdsonTopTc*Ta-RdsonTopTc*25))/(1-AB156*RdsonTopTc*ThetaJA_Q1)</f>
        <v>0.308438853159168</v>
      </c>
      <c r="AF156" s="488" t="n">
        <f aca="false">CHOOSE(J156, SQRT((1-N156))*SQRT(K156^2+(P156^2)/12), 0, SQRT((1-N156))*SQRT(M156^2+(P156^2)/12))</f>
        <v>5.1596080993852</v>
      </c>
      <c r="AG156" s="488" t="n">
        <f aca="false">Rdson2*AF156^2</f>
        <v>0.151742867713676</v>
      </c>
      <c r="AH156" s="488" t="n">
        <f aca="false">CHOOSE(J156, IF(K156&lt;P156/2,Deadtime*Fsw*IF(VfdSky_Q2&gt;0,0,Vsd_Q2)*(K156+P156/2),2*Deadtime*Fsw*IF(VfdSky_Q2&gt;0,0,Vsd_Q2)*K156),0, IF(K156&lt;P156/2,Deadtime*Fsw/2*IF(VfdSky_Q2&gt;0,0,Vsd_Q2)*(K156+P156/2),2*Deadtime*Fsw/2*IF(VfdSky_Q2&gt;0,0,Vsd_Q2)*K156))</f>
        <v>0.144</v>
      </c>
      <c r="AI156" s="488" t="n">
        <f aca="false">(AH156+AG156*(1+RdsonBotTc*Ta-RdsonBotTc*25))/(1-AG156*RdsonBotTc*ThetaJA_Q2)</f>
        <v>0.304999157062252</v>
      </c>
      <c r="AJ156" s="488" t="n">
        <f aca="false">CHOOSE(J156, 0, SQRT(O156)*SQRT(L156^2+(P156^2)/12), SQRT(O156)*SQRT(M156^2+(P156^2)/12))</f>
        <v>0</v>
      </c>
      <c r="AK156" s="488" t="n">
        <f aca="false">Rdson4*AJ156^2</f>
        <v>0</v>
      </c>
      <c r="AL156" s="488" t="n">
        <f aca="false">CHOOSE(J156, 0, (Vout*L156/2)*(Fsw)*(Tr_boost+Tf_boost), (Vout*Iout/2)*(Fsw/2)*(Tr_boost+Tf_boost))</f>
        <v>0</v>
      </c>
      <c r="AM156" s="0" t="n">
        <f aca="false">IF(H156&gt;Vout, 0, IF(L156&gt;P156/2,0,ABS(L156-P156/2)*Vsd_Q4*Deadtime*Fsw))</f>
        <v>0</v>
      </c>
      <c r="AN156" s="488" t="n">
        <f aca="false">(AM156+AL156+AK156*(1+RdsonTopTc*Ta-RdsonTopTc*25))/(1-AK156*RdsonTopTc*ThetaJA_Q4)</f>
        <v>0</v>
      </c>
      <c r="AO156" s="488" t="n">
        <f aca="false">CHOOSE(J156, SQRT(Iout^2+(P156^2)/12), SQRT(1-O156)*SQRT(L156^2+(P156^2)/12), SQRT(1-O156)*SQRT(M156^2+(P156^2)/12))</f>
        <v>6.2352616920932</v>
      </c>
      <c r="AP156" s="488" t="n">
        <f aca="false">Rdson3*AO156^2</f>
        <v>0.0738691279008814</v>
      </c>
      <c r="AQ156" s="488" t="n">
        <f aca="false">CHOOSE(J156, 0, IF(L156&lt;P156/2,Deadtime*Fsw*IF(VfdSky_Q3&gt;0,0,Vsd_Q3)*(L156+P156/2), 2*Deadtime*Fsw*IF(VfdSky_Q3&gt;0,0,Vsd_Q3)*L156), IF(L156&lt;P156/2,Deadtime*Fsw/2*IF(VfdSky_Q3&gt;0,0,Vsd_Q3)*(L156+P156/2), 2*Deadtime*Fsw/2*IF(VfdSky_Q3&gt;0,0,Vsd_Q3)*L156))</f>
        <v>0</v>
      </c>
      <c r="AR156" s="488" t="n">
        <f aca="false">(AQ156+AP156*(1+RdsonBotTc*Ta-RdsonBotTc*25))/(1-AP156*RdsonBotTc*ThetaJA_Q3)</f>
        <v>0.0749768223975385</v>
      </c>
      <c r="AS156" s="488" t="n">
        <f aca="false">CHOOSE(J156, Rdson3*Q156^2, Rdson1*Q156^2, 0)</f>
        <v>0.0738691279008814</v>
      </c>
      <c r="AT156" s="488" t="n">
        <f aca="false">CHOOSE(J156, 2*Deadtime*Fsw*IF(VfdSky_Q2&gt;0,VfdSky_Q2,0)*K156, 2*Deadtime*Fsw*IF(VfdSky_Q3&gt;0,VfdSky_Q3,0)*L156, 2*Deadtime*Fsw/2*IF(VfdSky_Q2&gt;0,VfdSky_Q2,0)*K156+2*Deadtime*Fsw/2*IF(VfdSky_Q3&gt;0,VfdSky_Q3,0)*L156)</f>
        <v>0</v>
      </c>
      <c r="AU156" s="488" t="n">
        <f aca="false">CHOOSE(J156, IF(QrrSky_Q2&gt;0,QrrSky_Q2,Qrr_Q2)*Fsw*(H156-K156*Rdson1), IF(QrrSky_Q3&gt;0,QrrSky_Q3,Qrr_Q3)*Fsw*Vout,  IF(QrrSky_Q2&gt;0,QrrSky_Q2,Qrr_Q2)*Fsw/2*(H156-K156*Rdson1)+IF(QrrSky_Q3&gt;0,QrrSky_Q3,Qrr_Q3)*Fsw/2*Vout)</f>
        <v>0.72397962</v>
      </c>
      <c r="AV156" s="488" t="n">
        <f aca="false">CHOOSE(J156, Rs*AF156^2, Rs*AJ156^2, Rs*(AF156^2+AJ156^2))</f>
        <v>0.212972445913931</v>
      </c>
      <c r="AW156" s="488" t="n">
        <f aca="false">Rshunt_std/1000*Iout^2</f>
        <v>0.14832</v>
      </c>
      <c r="AX156" s="488" t="n">
        <f aca="false">IF(Vout&gt;8, Iq*Vout, Iq*H156)</f>
        <v>0.036</v>
      </c>
      <c r="AY156" s="488" t="n">
        <f aca="false">CHOOSE(J156, (Qg_Q1+Qg_Q2)*Fsw, (Qg_Q3+Qg_Q4)*Fsw, (Qg_Q1+Qg_Q2+Qg_Q3+Qg_Q4)*Fsw/2)*IF(Vout&gt;8, Vout, H156)</f>
        <v>0.0792</v>
      </c>
      <c r="AZ156" s="488" t="n">
        <f aca="false">(Vin-Vdd)*Fsw*(Qg_Q1+Qg_Q2)+(RdsonDRT+RdsonDRT2)*Fsw*Qg_Q1*Vdd/(RdsonDRT+2*Rgate1+RdsonDRT2)+(RdsonDRB+RdsonDRB2)*Fsw*Qg_Q2*Vdd/(RdsonDRB+2*Rgate2+RdsonDRB2)</f>
        <v>0.0522</v>
      </c>
      <c r="BA156" s="488" t="n">
        <f aca="false">SUM(AX156:AY156)</f>
        <v>0.1152</v>
      </c>
      <c r="BB156" s="488" t="n">
        <f aca="false">SUM(T156,W156,Z156,AE156,AI156,AN156,AR156, AT156,AU156,BA156,AV156,AW156)</f>
        <v>3.03924737468704</v>
      </c>
      <c r="BC156" s="419" t="n">
        <f aca="false">Vout*K156</f>
        <v>72</v>
      </c>
      <c r="BD156" s="589" t="n">
        <f aca="false">BC156/(BC156+BB156)</f>
        <v>0.959497896354005</v>
      </c>
      <c r="BE156" s="590" t="n">
        <f aca="false">IF(H156&gt;Vout,ThetaJA_Q1*(AE156+AU156),ThetaJA_Q4*(AN156+AU156))</f>
        <v>51.6209236579584</v>
      </c>
      <c r="BF156" s="590" t="n">
        <f aca="false">IF(H156&gt;Vout, AI156*ThetaJA_Q2, ThetaJA_Q3*AR156)</f>
        <v>15.2499578531126</v>
      </c>
      <c r="BG156" s="536"/>
      <c r="BH156" s="385" t="n">
        <f aca="false">BD156*100</f>
        <v>95.9497896354005</v>
      </c>
      <c r="BI156" s="488" t="n">
        <f aca="false">T156</f>
        <v>1.11918247350828</v>
      </c>
      <c r="BJ156" s="488" t="n">
        <f aca="false">AE156+AI156+AN156+AR156+AU156</f>
        <v>1.41239445261896</v>
      </c>
      <c r="BK156" s="488" t="n">
        <f aca="false">AI156+AU156*0.33</f>
        <v>0.543912431662252</v>
      </c>
      <c r="BL156" s="488" t="n">
        <f aca="false">AV156</f>
        <v>0.212972445913931</v>
      </c>
    </row>
    <row r="157" customFormat="false" ht="12.75" hidden="false" customHeight="false" outlineLevel="0" collapsed="false">
      <c r="G157" s="0" t="n">
        <v>148</v>
      </c>
      <c r="H157" s="586" t="n">
        <f aca="false">VIN_min+(VIN_max-VIN_min)*(G157/200)</f>
        <v>38.56</v>
      </c>
      <c r="I157" s="385" t="str">
        <f aca="false">IF(H157&gt;VIN_BB_to_buck, "BUCK", IF(H157&lt;VIN_boost_to_BB,"BOOST","BUCK-BST"))</f>
        <v>BUCK</v>
      </c>
      <c r="J157" s="419" t="n">
        <f aca="false">IF(I157="BOOST",2, IF(I157="BUCK", 1,3))</f>
        <v>1</v>
      </c>
      <c r="K157" s="0" t="n">
        <f aca="false">Iout</f>
        <v>6</v>
      </c>
      <c r="L157" s="385" t="n">
        <f aca="false">Vout*K157/(H157*Efficiency)</f>
        <v>2.0746887966805</v>
      </c>
      <c r="M157" s="385" t="n">
        <f aca="false">Iout/(1-O157)</f>
        <v>6</v>
      </c>
      <c r="N157" s="488" t="n">
        <f aca="false">CHOOSE(J157,(Vout+(Rdson2+Rs+Rdcr)*K157)/(H157+(Rs+Rdson2-Rdson1)*K157),1,IF(H157&lt;Vout,D_max_buck_BB,Vout/H157*(1-D_min_boost_exitBB_to_buck)))</f>
        <v>0.313466121011189</v>
      </c>
      <c r="O157" s="488" t="n">
        <f aca="false">CHOOSE(J157,0,(Vout+(Rdson3+Rdcr)*L157-H157)/(Vout+(Rdson3-Rdson4-Rs)*L157),IF(H157&gt;Vout,D_min_boost_exitBB_to_buck, (Vout-H157*D_max_buck_BB)/Vout))</f>
        <v>0</v>
      </c>
      <c r="P157" s="385" t="n">
        <f aca="false">MAX(0, CHOOSE(J157, (H157-(Rdson1+Rdcr)*K157-Vout)*N157/(Fsw*Lf), (H157-(Rdson4+Rdcr+Rs)*L157)*O157/(Fsw*Lf), IF(H157&lt;Vout, (H157-(Rdson4+Rdcr+Rs)*L157)*O157/(0.5*Fsw*Lf),(H157-(Rdson1+Rdcr)*K157-Vout)*N157/(0.5*Fsw*Lf))))</f>
        <v>5.89265174729524</v>
      </c>
      <c r="Q157" s="488" t="n">
        <f aca="false">CHOOSE(J157, SQRT(K157^2+(P157^2)/12), SQRT(L157^2+(P157^2)/12), SQRT(M157^2+(P157^2)/12))</f>
        <v>6.23647432859639</v>
      </c>
      <c r="R157" s="488" t="n">
        <f aca="false">(Q157^2*Rdcr*(1+Ltc*Ta-Ltc*25))/(1-Q157^2*Rdcr*Ltc*ThetaCa)</f>
        <v>0.131666019550366</v>
      </c>
      <c r="S157" s="488" t="n">
        <f aca="false">7.759*10^-3*Fsw^0.9458*(0.00787*P157)^2.304</f>
        <v>0.993547978730773</v>
      </c>
      <c r="T157" s="488" t="n">
        <f aca="false">R157+S157</f>
        <v>1.12521399828114</v>
      </c>
      <c r="U157" s="385" t="n">
        <f aca="false">IF(H157&gt;Vout, P157/SQRT(12), SQRT(O157/(1-O157))*SQRT(K157^2+(P157^2)/12))</f>
        <v>1.70106203627081</v>
      </c>
      <c r="V157" s="488" t="n">
        <f aca="false">RCoutEsr*U157^2</f>
        <v>0.014468060256209</v>
      </c>
      <c r="W157" s="488" t="n">
        <f aca="false">V157</f>
        <v>0.014468060256209</v>
      </c>
      <c r="X157" s="488" t="n">
        <f aca="false">IF(H157&gt;Vout, SQRT(N157*(1-N157))*SQRT(K157^2+(P157^2)/12), P157/SQRT(12))</f>
        <v>2.89311322577588</v>
      </c>
      <c r="Y157" s="587" t="n">
        <f aca="false">RCinEsr*X157^2</f>
        <v>0.0167402082743186</v>
      </c>
      <c r="Z157" s="588" t="n">
        <f aca="false">Y157</f>
        <v>0.0167402082743186</v>
      </c>
      <c r="AA157" s="488" t="n">
        <f aca="false">CHOOSE(J157, SQRT(N157)*SQRT(K157^2+(P157^2)/12), SQRT(L157^2+(P157^2)/12), SQRT(N157)*SQRT(M157^2+(P157^2)/12))</f>
        <v>3.49168006865131</v>
      </c>
      <c r="AB157" s="488" t="n">
        <f aca="false">Rdson1*AA157^2</f>
        <v>0.0694934293003559</v>
      </c>
      <c r="AC157" s="488" t="n">
        <f aca="false">CHOOSE(J157, (H157*K157/2)*(Fsw)*(Tr_buck+Tf_buck), 0, (H157*M157/2)*(Fsw/2)*(Tr_buck+Tf_buck))</f>
        <v>0.235608791965567</v>
      </c>
      <c r="AD157" s="0" t="n">
        <f aca="false">IF(H157&gt;Vout, IF(K157&gt;P157/2,0,ABS(K157-P157/2)*Vsd_Q1*Deadtime*Fsw),0)</f>
        <v>0</v>
      </c>
      <c r="AE157" s="488" t="n">
        <f aca="false">(AD157+AC157+AB157*(1+RdsonTopTc*Ta-RdsonTopTc*25))/(1-AB157*RdsonTopTc*ThetaJA_Q1)</f>
        <v>0.309402509550482</v>
      </c>
      <c r="AF157" s="488" t="n">
        <f aca="false">CHOOSE(J157, SQRT((1-N157))*SQRT(K157^2+(P157^2)/12), 0, SQRT((1-N157))*SQRT(M157^2+(P157^2)/12))</f>
        <v>5.16737673770986</v>
      </c>
      <c r="AG157" s="488" t="n">
        <f aca="false">Rdson2*AF157^2</f>
        <v>0.152200159391722</v>
      </c>
      <c r="AH157" s="488" t="n">
        <f aca="false">CHOOSE(J157, IF(K157&lt;P157/2,Deadtime*Fsw*IF(VfdSky_Q2&gt;0,0,Vsd_Q2)*(K157+P157/2),2*Deadtime*Fsw*IF(VfdSky_Q2&gt;0,0,Vsd_Q2)*K157),0, IF(K157&lt;P157/2,Deadtime*Fsw/2*IF(VfdSky_Q2&gt;0,0,Vsd_Q2)*(K157+P157/2),2*Deadtime*Fsw/2*IF(VfdSky_Q2&gt;0,0,Vsd_Q2)*K157))</f>
        <v>0.144</v>
      </c>
      <c r="AI157" s="488" t="n">
        <f aca="false">(AH157+AG157*(1+RdsonBotTc*Ta-RdsonBotTc*25))/(1-AG157*RdsonBotTc*ThetaJA_Q2)</f>
        <v>0.305499576231015</v>
      </c>
      <c r="AJ157" s="488" t="n">
        <f aca="false">CHOOSE(J157, 0, SQRT(O157)*SQRT(L157^2+(P157^2)/12), SQRT(O157)*SQRT(M157^2+(P157^2)/12))</f>
        <v>0</v>
      </c>
      <c r="AK157" s="488" t="n">
        <f aca="false">Rdson4*AJ157^2</f>
        <v>0</v>
      </c>
      <c r="AL157" s="488" t="n">
        <f aca="false">CHOOSE(J157, 0, (Vout*L157/2)*(Fsw)*(Tr_boost+Tf_boost), (Vout*Iout/2)*(Fsw/2)*(Tr_boost+Tf_boost))</f>
        <v>0</v>
      </c>
      <c r="AM157" s="0" t="n">
        <f aca="false">IF(H157&gt;Vout, 0, IF(L157&gt;P157/2,0,ABS(L157-P157/2)*Vsd_Q4*Deadtime*Fsw))</f>
        <v>0</v>
      </c>
      <c r="AN157" s="488" t="n">
        <f aca="false">(AM157+AL157+AK157*(1+RdsonTopTc*Ta-RdsonTopTc*25))/(1-AK157*RdsonTopTc*ThetaJA_Q4)</f>
        <v>0</v>
      </c>
      <c r="AO157" s="488" t="n">
        <f aca="false">CHOOSE(J157, SQRT(Iout^2+(P157^2)/12), SQRT(1-O157)*SQRT(L157^2+(P157^2)/12), SQRT(1-O157)*SQRT(M157^2+(P157^2)/12))</f>
        <v>6.23647432859639</v>
      </c>
      <c r="AP157" s="488" t="n">
        <f aca="false">Rdson3*AO157^2</f>
        <v>0.0738978628973594</v>
      </c>
      <c r="AQ157" s="488" t="n">
        <f aca="false">CHOOSE(J157, 0, IF(L157&lt;P157/2,Deadtime*Fsw*IF(VfdSky_Q3&gt;0,0,Vsd_Q3)*(L157+P157/2), 2*Deadtime*Fsw*IF(VfdSky_Q3&gt;0,0,Vsd_Q3)*L157), IF(L157&lt;P157/2,Deadtime*Fsw/2*IF(VfdSky_Q3&gt;0,0,Vsd_Q3)*(L157+P157/2), 2*Deadtime*Fsw/2*IF(VfdSky_Q3&gt;0,0,Vsd_Q3)*L157))</f>
        <v>0</v>
      </c>
      <c r="AR157" s="488" t="n">
        <f aca="false">(AQ157+AP157*(1+RdsonBotTc*Ta-RdsonBotTc*25))/(1-AP157*RdsonBotTc*ThetaJA_Q3)</f>
        <v>0.0750064258115683</v>
      </c>
      <c r="AS157" s="488" t="n">
        <f aca="false">CHOOSE(J157, Rdson3*Q157^2, Rdson1*Q157^2, 0)</f>
        <v>0.0738978628973594</v>
      </c>
      <c r="AT157" s="488" t="n">
        <f aca="false">CHOOSE(J157, 2*Deadtime*Fsw*IF(VfdSky_Q2&gt;0,VfdSky_Q2,0)*K157, 2*Deadtime*Fsw*IF(VfdSky_Q3&gt;0,VfdSky_Q3,0)*L157, 2*Deadtime*Fsw/2*IF(VfdSky_Q2&gt;0,VfdSky_Q2,0)*K157+2*Deadtime*Fsw/2*IF(VfdSky_Q3&gt;0,VfdSky_Q3,0)*L157)</f>
        <v>0</v>
      </c>
      <c r="AU157" s="488" t="n">
        <f aca="false">CHOOSE(J157, IF(QrrSky_Q2&gt;0,QrrSky_Q2,Qrr_Q2)*Fsw*(H157-K157*Rdson1), IF(QrrSky_Q3&gt;0,QrrSky_Q3,Qrr_Q3)*Fsw*Vout,  IF(QrrSky_Q2&gt;0,QrrSky_Q2,Qrr_Q2)*Fsw/2*(H157-K157*Rdson1)+IF(QrrSky_Q3&gt;0,QrrSky_Q3,Qrr_Q3)*Fsw/2*Vout)</f>
        <v>0.72813762</v>
      </c>
      <c r="AV157" s="488" t="n">
        <f aca="false">CHOOSE(J157, Rs*AF157^2, Rs*AJ157^2, Rs*(AF157^2+AJ157^2))</f>
        <v>0.2136142587954</v>
      </c>
      <c r="AW157" s="488" t="n">
        <f aca="false">Rshunt_std/1000*Iout^2</f>
        <v>0.14832</v>
      </c>
      <c r="AX157" s="488" t="n">
        <f aca="false">IF(Vout&gt;8, Iq*Vout, Iq*H157)</f>
        <v>0.036</v>
      </c>
      <c r="AY157" s="488" t="n">
        <f aca="false">CHOOSE(J157, (Qg_Q1+Qg_Q2)*Fsw, (Qg_Q3+Qg_Q4)*Fsw, (Qg_Q1+Qg_Q2+Qg_Q3+Qg_Q4)*Fsw/2)*IF(Vout&gt;8, Vout, H157)</f>
        <v>0.0792</v>
      </c>
      <c r="AZ157" s="488" t="n">
        <f aca="false">(Vin-Vdd)*Fsw*(Qg_Q1+Qg_Q2)+(RdsonDRT+RdsonDRT2)*Fsw*Qg_Q1*Vdd/(RdsonDRT+2*Rgate1+RdsonDRT2)+(RdsonDRB+RdsonDRB2)*Fsw*Qg_Q2*Vdd/(RdsonDRB+2*Rgate2+RdsonDRB2)</f>
        <v>0.0522</v>
      </c>
      <c r="BA157" s="488" t="n">
        <f aca="false">SUM(AX157:AY157)</f>
        <v>0.1152</v>
      </c>
      <c r="BB157" s="488" t="n">
        <f aca="false">SUM(T157,W157,Z157,AE157,AI157,AN157,AR157, AT157,AU157,BA157,AV157,AW157)</f>
        <v>3.05160265720013</v>
      </c>
      <c r="BC157" s="419" t="n">
        <f aca="false">Vout*K157</f>
        <v>72</v>
      </c>
      <c r="BD157" s="589" t="n">
        <f aca="false">BC157/(BC157+BB157)</f>
        <v>0.959339940132413</v>
      </c>
      <c r="BE157" s="590" t="n">
        <f aca="false">IF(H157&gt;Vout,ThetaJA_Q1*(AE157+AU157),ThetaJA_Q4*(AN157+AU157))</f>
        <v>51.8770064775241</v>
      </c>
      <c r="BF157" s="590" t="n">
        <f aca="false">IF(H157&gt;Vout, AI157*ThetaJA_Q2, ThetaJA_Q3*AR157)</f>
        <v>15.2749788115508</v>
      </c>
      <c r="BG157" s="536"/>
      <c r="BH157" s="385" t="n">
        <f aca="false">BD157*100</f>
        <v>95.9339940132413</v>
      </c>
      <c r="BI157" s="488" t="n">
        <f aca="false">T157</f>
        <v>1.12521399828114</v>
      </c>
      <c r="BJ157" s="488" t="n">
        <f aca="false">AE157+AI157+AN157+AR157+AU157</f>
        <v>1.41804613159307</v>
      </c>
      <c r="BK157" s="488" t="n">
        <f aca="false">AI157+AU157*0.33</f>
        <v>0.545784990831015</v>
      </c>
      <c r="BL157" s="488" t="n">
        <f aca="false">AV157</f>
        <v>0.2136142587954</v>
      </c>
    </row>
    <row r="158" customFormat="false" ht="12.75" hidden="false" customHeight="false" outlineLevel="0" collapsed="false">
      <c r="G158" s="0" t="n">
        <v>149</v>
      </c>
      <c r="H158" s="586" t="n">
        <f aca="false">VIN_min+(VIN_max-VIN_min)*(G158/200)</f>
        <v>38.78</v>
      </c>
      <c r="I158" s="385" t="str">
        <f aca="false">IF(H158&gt;VIN_BB_to_buck, "BUCK", IF(H158&lt;VIN_boost_to_BB,"BOOST","BUCK-BST"))</f>
        <v>BUCK</v>
      </c>
      <c r="J158" s="419" t="n">
        <f aca="false">IF(I158="BOOST",2, IF(I158="BUCK", 1,3))</f>
        <v>1</v>
      </c>
      <c r="K158" s="0" t="n">
        <f aca="false">Iout</f>
        <v>6</v>
      </c>
      <c r="L158" s="385" t="n">
        <f aca="false">Vout*K158/(H158*Efficiency)</f>
        <v>2.06291903042806</v>
      </c>
      <c r="M158" s="385" t="n">
        <f aca="false">Iout/(1-O158)</f>
        <v>6</v>
      </c>
      <c r="N158" s="488" t="n">
        <f aca="false">CHOOSE(J158,(Vout+(Rdson2+Rs+Rdcr)*K158)/(H158+(Rs+Rdson2-Rdson1)*K158),1,IF(H158&lt;Vout,D_max_buck_BB,Vout/H158*(1-D_min_boost_exitBB_to_buck)))</f>
        <v>0.311690017513135</v>
      </c>
      <c r="O158" s="488" t="n">
        <f aca="false">CHOOSE(J158,0,(Vout+(Rdson3+Rdcr)*L158-H158)/(Vout+(Rdson3-Rdson4-Rs)*L158),IF(H158&gt;Vout,D_min_boost_exitBB_to_buck, (Vout-H158*D_max_buck_BB)/Vout))</f>
        <v>0</v>
      </c>
      <c r="P158" s="385" t="n">
        <f aca="false">MAX(0, CHOOSE(J158, (H158-(Rdson1+Rdcr)*K158-Vout)*N158/(Fsw*Lf), (H158-(Rdson4+Rdcr+Rs)*L158)*O158/(Fsw*Lf), IF(H158&lt;Vout, (H158-(Rdson4+Rdcr+Rs)*L158)*O158/(0.5*Fsw*Lf),(H158-(Rdson1+Rdcr)*K158-Vout)*N158/(0.5*Fsw*Lf))))</f>
        <v>5.90789638372396</v>
      </c>
      <c r="Q158" s="488" t="n">
        <f aca="false">CHOOSE(J158, SQRT(K158^2+(P158^2)/12), SQRT(L158^2+(P158^2)/12), SQRT(M158^2+(P158^2)/12))</f>
        <v>6.23767611428606</v>
      </c>
      <c r="R158" s="488" t="n">
        <f aca="false">(Q158^2*Rdcr*(1+Ltc*Ta-Ltc*25))/(1-Q158^2*Rdcr*Ltc*ThetaCa)</f>
        <v>0.131717304014141</v>
      </c>
      <c r="S158" s="488" t="n">
        <f aca="false">7.759*10^-3*Fsw^0.9458*(0.00787*P158)^2.304</f>
        <v>0.999480096180234</v>
      </c>
      <c r="T158" s="488" t="n">
        <f aca="false">R158+S158</f>
        <v>1.13119740019437</v>
      </c>
      <c r="U158" s="385" t="n">
        <f aca="false">IF(H158&gt;Vout, P158/SQRT(12), SQRT(O158/(1-O158))*SQRT(K158^2+(P158^2)/12))</f>
        <v>1.70546278374372</v>
      </c>
      <c r="V158" s="488" t="n">
        <f aca="false">RCoutEsr*U158^2</f>
        <v>0.0145430165336744</v>
      </c>
      <c r="W158" s="488" t="n">
        <f aca="false">V158</f>
        <v>0.0145430165336744</v>
      </c>
      <c r="X158" s="488" t="n">
        <f aca="false">IF(H158&gt;Vout, SQRT(N158*(1-N158))*SQRT(K158^2+(P158^2)/12), P158/SQRT(12))</f>
        <v>2.88919131975117</v>
      </c>
      <c r="Y158" s="587" t="n">
        <f aca="false">RCinEsr*X158^2</f>
        <v>0.016694852964251</v>
      </c>
      <c r="Z158" s="588" t="n">
        <f aca="false">Y158</f>
        <v>0.016694852964251</v>
      </c>
      <c r="AA158" s="488" t="n">
        <f aca="false">CHOOSE(J158, SQRT(N158)*SQRT(K158^2+(P158^2)/12), SQRT(L158^2+(P158^2)/12), SQRT(N158)*SQRT(M158^2+(P158^2)/12))</f>
        <v>3.48244500977227</v>
      </c>
      <c r="AB158" s="488" t="n">
        <f aca="false">Rdson1*AA158^2</f>
        <v>0.0691263125027005</v>
      </c>
      <c r="AC158" s="488" t="n">
        <f aca="false">CHOOSE(J158, (H158*K158/2)*(Fsw)*(Tr_buck+Tf_buck), 0, (H158*M158/2)*(Fsw/2)*(Tr_buck+Tf_buck))</f>
        <v>0.236953032998565</v>
      </c>
      <c r="AD158" s="0" t="n">
        <f aca="false">IF(H158&gt;Vout, IF(K158&gt;P158/2,0,ABS(K158-P158/2)*Vsd_Q1*Deadtime*Fsw),0)</f>
        <v>0</v>
      </c>
      <c r="AE158" s="488" t="n">
        <f aca="false">(AD158+AC158+AB158*(1+RdsonTopTc*Ta-RdsonTopTc*25))/(1-AB158*RdsonTopTc*ThetaJA_Q1)</f>
        <v>0.310370296320264</v>
      </c>
      <c r="AF158" s="488" t="n">
        <f aca="false">CHOOSE(J158, SQRT((1-N158))*SQRT(K158^2+(P158^2)/12), 0, SQRT((1-N158))*SQRT(M158^2+(P158^2)/12))</f>
        <v>5.17505362877015</v>
      </c>
      <c r="AG158" s="488" t="n">
        <f aca="false">Rdson2*AF158^2</f>
        <v>0.152652726345688</v>
      </c>
      <c r="AH158" s="488" t="n">
        <f aca="false">CHOOSE(J158, IF(K158&lt;P158/2,Deadtime*Fsw*IF(VfdSky_Q2&gt;0,0,Vsd_Q2)*(K158+P158/2),2*Deadtime*Fsw*IF(VfdSky_Q2&gt;0,0,Vsd_Q2)*K158),0, IF(K158&lt;P158/2,Deadtime*Fsw/2*IF(VfdSky_Q2&gt;0,0,Vsd_Q2)*(K158+P158/2),2*Deadtime*Fsw/2*IF(VfdSky_Q2&gt;0,0,Vsd_Q2)*K158))</f>
        <v>0.144</v>
      </c>
      <c r="AI158" s="488" t="n">
        <f aca="false">(AH158+AG158*(1+RdsonBotTc*Ta-RdsonBotTc*25))/(1-AG158*RdsonBotTc*ThetaJA_Q2)</f>
        <v>0.30599491804313</v>
      </c>
      <c r="AJ158" s="488" t="n">
        <f aca="false">CHOOSE(J158, 0, SQRT(O158)*SQRT(L158^2+(P158^2)/12), SQRT(O158)*SQRT(M158^2+(P158^2)/12))</f>
        <v>0</v>
      </c>
      <c r="AK158" s="488" t="n">
        <f aca="false">Rdson4*AJ158^2</f>
        <v>0</v>
      </c>
      <c r="AL158" s="488" t="n">
        <f aca="false">CHOOSE(J158, 0, (Vout*L158/2)*(Fsw)*(Tr_boost+Tf_boost), (Vout*Iout/2)*(Fsw/2)*(Tr_boost+Tf_boost))</f>
        <v>0</v>
      </c>
      <c r="AM158" s="0" t="n">
        <f aca="false">IF(H158&gt;Vout, 0, IF(L158&gt;P158/2,0,ABS(L158-P158/2)*Vsd_Q4*Deadtime*Fsw))</f>
        <v>0</v>
      </c>
      <c r="AN158" s="488" t="n">
        <f aca="false">(AM158+AL158+AK158*(1+RdsonTopTc*Ta-RdsonTopTc*25))/(1-AK158*RdsonTopTc*ThetaJA_Q4)</f>
        <v>0</v>
      </c>
      <c r="AO158" s="488" t="n">
        <f aca="false">CHOOSE(J158, SQRT(Iout^2+(P158^2)/12), SQRT(1-O158)*SQRT(L158^2+(P158^2)/12), SQRT(1-O158)*SQRT(M158^2+(P158^2)/12))</f>
        <v>6.23767611428606</v>
      </c>
      <c r="AP158" s="488" t="n">
        <f aca="false">Rdson3*AO158^2</f>
        <v>0.0739263462827963</v>
      </c>
      <c r="AQ158" s="488" t="n">
        <f aca="false">CHOOSE(J158, 0, IF(L158&lt;P158/2,Deadtime*Fsw*IF(VfdSky_Q3&gt;0,0,Vsd_Q3)*(L158+P158/2), 2*Deadtime*Fsw*IF(VfdSky_Q3&gt;0,0,Vsd_Q3)*L158), IF(L158&lt;P158/2,Deadtime*Fsw/2*IF(VfdSky_Q3&gt;0,0,Vsd_Q3)*(L158+P158/2), 2*Deadtime*Fsw/2*IF(VfdSky_Q3&gt;0,0,Vsd_Q3)*L158))</f>
        <v>0</v>
      </c>
      <c r="AR158" s="488" t="n">
        <f aca="false">(AQ158+AP158*(1+RdsonBotTc*Ta-RdsonBotTc*25))/(1-AP158*RdsonBotTc*ThetaJA_Q3)</f>
        <v>0.0750357703513138</v>
      </c>
      <c r="AS158" s="488" t="n">
        <f aca="false">CHOOSE(J158, Rdson3*Q158^2, Rdson1*Q158^2, 0)</f>
        <v>0.0739263462827963</v>
      </c>
      <c r="AT158" s="488" t="n">
        <f aca="false">CHOOSE(J158, 2*Deadtime*Fsw*IF(VfdSky_Q2&gt;0,VfdSky_Q2,0)*K158, 2*Deadtime*Fsw*IF(VfdSky_Q3&gt;0,VfdSky_Q3,0)*L158, 2*Deadtime*Fsw/2*IF(VfdSky_Q2&gt;0,VfdSky_Q2,0)*K158+2*Deadtime*Fsw/2*IF(VfdSky_Q3&gt;0,VfdSky_Q3,0)*L158)</f>
        <v>0</v>
      </c>
      <c r="AU158" s="488" t="n">
        <f aca="false">CHOOSE(J158, IF(QrrSky_Q2&gt;0,QrrSky_Q2,Qrr_Q2)*Fsw*(H158-K158*Rdson1), IF(QrrSky_Q3&gt;0,QrrSky_Q3,Qrr_Q3)*Fsw*Vout,  IF(QrrSky_Q2&gt;0,QrrSky_Q2,Qrr_Q2)*Fsw/2*(H158-K158*Rdson1)+IF(QrrSky_Q3&gt;0,QrrSky_Q3,Qrr_Q3)*Fsw/2*Vout)</f>
        <v>0.73229562</v>
      </c>
      <c r="AV158" s="488" t="n">
        <f aca="false">CHOOSE(J158, Rs*AF158^2, Rs*AJ158^2, Rs*(AF158^2+AJ158^2))</f>
        <v>0.214249440485177</v>
      </c>
      <c r="AW158" s="488" t="n">
        <f aca="false">Rshunt_std/1000*Iout^2</f>
        <v>0.14832</v>
      </c>
      <c r="AX158" s="488" t="n">
        <f aca="false">IF(Vout&gt;8, Iq*Vout, Iq*H158)</f>
        <v>0.036</v>
      </c>
      <c r="AY158" s="488" t="n">
        <f aca="false">CHOOSE(J158, (Qg_Q1+Qg_Q2)*Fsw, (Qg_Q3+Qg_Q4)*Fsw, (Qg_Q1+Qg_Q2+Qg_Q3+Qg_Q4)*Fsw/2)*IF(Vout&gt;8, Vout, H158)</f>
        <v>0.0792</v>
      </c>
      <c r="AZ158" s="488" t="n">
        <f aca="false">(Vin-Vdd)*Fsw*(Qg_Q1+Qg_Q2)+(RdsonDRT+RdsonDRT2)*Fsw*Qg_Q1*Vdd/(RdsonDRT+2*Rgate1+RdsonDRT2)+(RdsonDRB+RdsonDRB2)*Fsw*Qg_Q2*Vdd/(RdsonDRB+2*Rgate2+RdsonDRB2)</f>
        <v>0.0522</v>
      </c>
      <c r="BA158" s="488" t="n">
        <f aca="false">SUM(AX158:AY158)</f>
        <v>0.1152</v>
      </c>
      <c r="BB158" s="488" t="n">
        <f aca="false">SUM(T158,W158,Z158,AE158,AI158,AN158,AR158, AT158,AU158,BA158,AV158,AW158)</f>
        <v>3.06390131489218</v>
      </c>
      <c r="BC158" s="419" t="n">
        <f aca="false">Vout*K158</f>
        <v>72</v>
      </c>
      <c r="BD158" s="589" t="n">
        <f aca="false">BC158/(BC158+BB158)</f>
        <v>0.959182759472637</v>
      </c>
      <c r="BE158" s="590" t="n">
        <f aca="false">IF(H158&gt;Vout,ThetaJA_Q1*(AE158+AU158),ThetaJA_Q4*(AN158+AU158))</f>
        <v>52.1332958160132</v>
      </c>
      <c r="BF158" s="590" t="n">
        <f aca="false">IF(H158&gt;Vout, AI158*ThetaJA_Q2, ThetaJA_Q3*AR158)</f>
        <v>15.2997459021565</v>
      </c>
      <c r="BG158" s="536"/>
      <c r="BH158" s="385" t="n">
        <f aca="false">BD158*100</f>
        <v>95.9182759472637</v>
      </c>
      <c r="BI158" s="488" t="n">
        <f aca="false">T158</f>
        <v>1.13119740019437</v>
      </c>
      <c r="BJ158" s="488" t="n">
        <f aca="false">AE158+AI158+AN158+AR158+AU158</f>
        <v>1.42369660471471</v>
      </c>
      <c r="BK158" s="488" t="n">
        <f aca="false">AI158+AU158*0.33</f>
        <v>0.54765247264313</v>
      </c>
      <c r="BL158" s="488" t="n">
        <f aca="false">AV158</f>
        <v>0.214249440485177</v>
      </c>
    </row>
    <row r="159" customFormat="false" ht="12.75" hidden="false" customHeight="false" outlineLevel="0" collapsed="false">
      <c r="G159" s="0" t="n">
        <v>150</v>
      </c>
      <c r="H159" s="586" t="n">
        <f aca="false">VIN_min+(VIN_max-VIN_min)*(G159/200)</f>
        <v>39</v>
      </c>
      <c r="I159" s="385" t="str">
        <f aca="false">IF(H159&gt;VIN_BB_to_buck, "BUCK", IF(H159&lt;VIN_boost_to_BB,"BOOST","BUCK-BST"))</f>
        <v>BUCK</v>
      </c>
      <c r="J159" s="419" t="n">
        <f aca="false">IF(I159="BOOST",2, IF(I159="BUCK", 1,3))</f>
        <v>1</v>
      </c>
      <c r="K159" s="0" t="n">
        <f aca="false">Iout</f>
        <v>6</v>
      </c>
      <c r="L159" s="385" t="n">
        <f aca="false">Vout*K159/(H159*Efficiency)</f>
        <v>2.05128205128205</v>
      </c>
      <c r="M159" s="385" t="n">
        <f aca="false">Iout/(1-O159)</f>
        <v>6</v>
      </c>
      <c r="N159" s="488" t="n">
        <f aca="false">CHOOSE(J159,(Vout+(Rdson2+Rs+Rdcr)*K159)/(H159+(Rs+Rdson2-Rdson1)*K159),1,IF(H159&lt;Vout,D_max_buck_BB,Vout/H159*(1-D_min_boost_exitBB_to_buck)))</f>
        <v>0.309933927473878</v>
      </c>
      <c r="O159" s="488" t="n">
        <f aca="false">CHOOSE(J159,0,(Vout+(Rdson3+Rdcr)*L159-H159)/(Vout+(Rdson3-Rdson4-Rs)*L159),IF(H159&gt;Vout,D_min_boost_exitBB_to_buck, (Vout-H159*D_max_buck_BB)/Vout))</f>
        <v>0</v>
      </c>
      <c r="P159" s="385" t="n">
        <f aca="false">MAX(0, CHOOSE(J159, (H159-(Rdson1+Rdcr)*K159-Vout)*N159/(Fsw*Lf), (H159-(Rdson4+Rdcr+Rs)*L159)*O159/(Fsw*Lf), IF(H159&lt;Vout, (H159-(Rdson4+Rdcr+Rs)*L159)*O159/(0.5*Fsw*Lf),(H159-(Rdson1+Rdcr)*K159-Vout)*N159/(0.5*Fsw*Lf))))</f>
        <v>5.92296924080346</v>
      </c>
      <c r="Q159" s="488" t="n">
        <f aca="false">CHOOSE(J159, SQRT(K159^2+(P159^2)/12), SQRT(L159^2+(P159^2)/12), SQRT(M159^2+(P159^2)/12))</f>
        <v>6.23886718234638</v>
      </c>
      <c r="R159" s="488" t="n">
        <f aca="false">(Q159^2*Rdcr*(1+Ltc*Ta-Ltc*25))/(1-Q159^2*Rdcr*Ltc*ThetaCa)</f>
        <v>0.131768141279509</v>
      </c>
      <c r="S159" s="488" t="n">
        <f aca="false">7.759*10^-3*Fsw^0.9458*(0.00787*P159)^2.304</f>
        <v>1.00536502684393</v>
      </c>
      <c r="T159" s="488" t="n">
        <f aca="false">R159+S159</f>
        <v>1.13713316812344</v>
      </c>
      <c r="U159" s="385" t="n">
        <f aca="false">IF(H159&gt;Vout, P159/SQRT(12), SQRT(O159/(1-O159))*SQRT(K159^2+(P159^2)/12))</f>
        <v>1.70981394278988</v>
      </c>
      <c r="V159" s="488" t="n">
        <f aca="false">RCoutEsr*U159^2</f>
        <v>0.0146173185947933</v>
      </c>
      <c r="W159" s="488" t="n">
        <f aca="false">V159</f>
        <v>0.0146173185947933</v>
      </c>
      <c r="X159" s="488" t="n">
        <f aca="false">IF(H159&gt;Vout, SQRT(N159*(1-N159))*SQRT(K159^2+(P159^2)/12), P159/SQRT(12))</f>
        <v>2.88526453663506</v>
      </c>
      <c r="Y159" s="587" t="n">
        <f aca="false">RCinEsr*X159^2</f>
        <v>0.0166495028927279</v>
      </c>
      <c r="Z159" s="588" t="n">
        <f aca="false">Y159</f>
        <v>0.0166495028927279</v>
      </c>
      <c r="AA159" s="488" t="n">
        <f aca="false">CHOOSE(J159, SQRT(N159)*SQRT(K159^2+(P159^2)/12), SQRT(L159^2+(P159^2)/12), SQRT(N159)*SQRT(M159^2+(P159^2)/12))</f>
        <v>3.47328403406688</v>
      </c>
      <c r="AB159" s="488" t="n">
        <f aca="false">Rdson1*AA159^2</f>
        <v>0.0687631012934321</v>
      </c>
      <c r="AC159" s="488" t="n">
        <f aca="false">CHOOSE(J159, (H159*K159/2)*(Fsw)*(Tr_buck+Tf_buck), 0, (H159*M159/2)*(Fsw/2)*(Tr_buck+Tf_buck))</f>
        <v>0.238297274031564</v>
      </c>
      <c r="AD159" s="0" t="n">
        <f aca="false">IF(H159&gt;Vout, IF(K159&gt;P159/2,0,ABS(K159-P159/2)*Vsd_Q1*Deadtime*Fsw),0)</f>
        <v>0</v>
      </c>
      <c r="AE159" s="488" t="n">
        <f aca="false">(AD159+AC159+AB159*(1+RdsonTopTc*Ta-RdsonTopTc*25))/(1-AB159*RdsonTopTc*ThetaJA_Q1)</f>
        <v>0.311342145624291</v>
      </c>
      <c r="AF159" s="488" t="n">
        <f aca="false">CHOOSE(J159, SQRT((1-N159))*SQRT(K159^2+(P159^2)/12), 0, SQRT((1-N159))*SQRT(M159^2+(P159^2)/12))</f>
        <v>5.18264042141212</v>
      </c>
      <c r="AG159" s="488" t="n">
        <f aca="false">Rdson2*AF159^2</f>
        <v>0.153100641904632</v>
      </c>
      <c r="AH159" s="488" t="n">
        <f aca="false">CHOOSE(J159, IF(K159&lt;P159/2,Deadtime*Fsw*IF(VfdSky_Q2&gt;0,0,Vsd_Q2)*(K159+P159/2),2*Deadtime*Fsw*IF(VfdSky_Q2&gt;0,0,Vsd_Q2)*K159),0, IF(K159&lt;P159/2,Deadtime*Fsw/2*IF(VfdSky_Q2&gt;0,0,Vsd_Q2)*(K159+P159/2),2*Deadtime*Fsw/2*IF(VfdSky_Q2&gt;0,0,Vsd_Q2)*K159))</f>
        <v>0.144</v>
      </c>
      <c r="AI159" s="488" t="n">
        <f aca="false">(AH159+AG159*(1+RdsonBotTc*Ta-RdsonBotTc*25))/(1-AG159*RdsonBotTc*ThetaJA_Q2)</f>
        <v>0.306485259909936</v>
      </c>
      <c r="AJ159" s="488" t="n">
        <f aca="false">CHOOSE(J159, 0, SQRT(O159)*SQRT(L159^2+(P159^2)/12), SQRT(O159)*SQRT(M159^2+(P159^2)/12))</f>
        <v>0</v>
      </c>
      <c r="AK159" s="488" t="n">
        <f aca="false">Rdson4*AJ159^2</f>
        <v>0</v>
      </c>
      <c r="AL159" s="488" t="n">
        <f aca="false">CHOOSE(J159, 0, (Vout*L159/2)*(Fsw)*(Tr_boost+Tf_boost), (Vout*Iout/2)*(Fsw/2)*(Tr_boost+Tf_boost))</f>
        <v>0</v>
      </c>
      <c r="AM159" s="0" t="n">
        <f aca="false">IF(H159&gt;Vout, 0, IF(L159&gt;P159/2,0,ABS(L159-P159/2)*Vsd_Q4*Deadtime*Fsw))</f>
        <v>0</v>
      </c>
      <c r="AN159" s="488" t="n">
        <f aca="false">(AM159+AL159+AK159*(1+RdsonTopTc*Ta-RdsonTopTc*25))/(1-AK159*RdsonTopTc*ThetaJA_Q4)</f>
        <v>0</v>
      </c>
      <c r="AO159" s="488" t="n">
        <f aca="false">CHOOSE(J159, SQRT(Iout^2+(P159^2)/12), SQRT(1-O159)*SQRT(L159^2+(P159^2)/12), SQRT(1-O159)*SQRT(M159^2+(P159^2)/12))</f>
        <v>6.23886718234638</v>
      </c>
      <c r="AP159" s="488" t="n">
        <f aca="false">Rdson3*AO159^2</f>
        <v>0.0739545810660215</v>
      </c>
      <c r="AQ159" s="488" t="n">
        <f aca="false">CHOOSE(J159, 0, IF(L159&lt;P159/2,Deadtime*Fsw*IF(VfdSky_Q3&gt;0,0,Vsd_Q3)*(L159+P159/2), 2*Deadtime*Fsw*IF(VfdSky_Q3&gt;0,0,Vsd_Q3)*L159), IF(L159&lt;P159/2,Deadtime*Fsw/2*IF(VfdSky_Q3&gt;0,0,Vsd_Q3)*(L159+P159/2), 2*Deadtime*Fsw/2*IF(VfdSky_Q3&gt;0,0,Vsd_Q3)*L159))</f>
        <v>0</v>
      </c>
      <c r="AR159" s="488" t="n">
        <f aca="false">(AQ159+AP159*(1+RdsonBotTc*Ta-RdsonBotTc*25))/(1-AP159*RdsonBotTc*ThetaJA_Q3)</f>
        <v>0.0750648591076385</v>
      </c>
      <c r="AS159" s="488" t="n">
        <f aca="false">CHOOSE(J159, Rdson3*Q159^2, Rdson1*Q159^2, 0)</f>
        <v>0.0739545810660215</v>
      </c>
      <c r="AT159" s="488" t="n">
        <f aca="false">CHOOSE(J159, 2*Deadtime*Fsw*IF(VfdSky_Q2&gt;0,VfdSky_Q2,0)*K159, 2*Deadtime*Fsw*IF(VfdSky_Q3&gt;0,VfdSky_Q3,0)*L159, 2*Deadtime*Fsw/2*IF(VfdSky_Q2&gt;0,VfdSky_Q2,0)*K159+2*Deadtime*Fsw/2*IF(VfdSky_Q3&gt;0,VfdSky_Q3,0)*L159)</f>
        <v>0</v>
      </c>
      <c r="AU159" s="488" t="n">
        <f aca="false">CHOOSE(J159, IF(QrrSky_Q2&gt;0,QrrSky_Q2,Qrr_Q2)*Fsw*(H159-K159*Rdson1), IF(QrrSky_Q3&gt;0,QrrSky_Q3,Qrr_Q3)*Fsw*Vout,  IF(QrrSky_Q2&gt;0,QrrSky_Q2,Qrr_Q2)*Fsw/2*(H159-K159*Rdson1)+IF(QrrSky_Q3&gt;0,QrrSky_Q3,Qrr_Q3)*Fsw/2*Vout)</f>
        <v>0.73645362</v>
      </c>
      <c r="AV159" s="488" t="n">
        <f aca="false">CHOOSE(J159, Rs*AF159^2, Rs*AJ159^2, Rs*(AF159^2+AJ159^2))</f>
        <v>0.214878093901238</v>
      </c>
      <c r="AW159" s="488" t="n">
        <f aca="false">Rshunt_std/1000*Iout^2</f>
        <v>0.14832</v>
      </c>
      <c r="AX159" s="488" t="n">
        <f aca="false">IF(Vout&gt;8, Iq*Vout, Iq*H159)</f>
        <v>0.036</v>
      </c>
      <c r="AY159" s="488" t="n">
        <f aca="false">CHOOSE(J159, (Qg_Q1+Qg_Q2)*Fsw, (Qg_Q3+Qg_Q4)*Fsw, (Qg_Q1+Qg_Q2+Qg_Q3+Qg_Q4)*Fsw/2)*IF(Vout&gt;8, Vout, H159)</f>
        <v>0.0792</v>
      </c>
      <c r="AZ159" s="488" t="n">
        <f aca="false">(Vin-Vdd)*Fsw*(Qg_Q1+Qg_Q2)+(RdsonDRT+RdsonDRT2)*Fsw*Qg_Q1*Vdd/(RdsonDRT+2*Rgate1+RdsonDRT2)+(RdsonDRB+RdsonDRB2)*Fsw*Qg_Q2*Vdd/(RdsonDRB+2*Rgate2+RdsonDRB2)</f>
        <v>0.0522</v>
      </c>
      <c r="BA159" s="488" t="n">
        <f aca="false">SUM(AX159:AY159)</f>
        <v>0.1152</v>
      </c>
      <c r="BB159" s="488" t="n">
        <f aca="false">SUM(T159,W159,Z159,AE159,AI159,AN159,AR159, AT159,AU159,BA159,AV159,AW159)</f>
        <v>3.07614396815407</v>
      </c>
      <c r="BC159" s="419" t="n">
        <f aca="false">Vout*K159</f>
        <v>72</v>
      </c>
      <c r="BD159" s="589" t="n">
        <f aca="false">BC159/(BC159+BB159)</f>
        <v>0.959026345712975</v>
      </c>
      <c r="BE159" s="590" t="n">
        <f aca="false">IF(H159&gt;Vout,ThetaJA_Q1*(AE159+AU159),ThetaJA_Q4*(AN159+AU159))</f>
        <v>52.3897882812146</v>
      </c>
      <c r="BF159" s="590" t="n">
        <f aca="false">IF(H159&gt;Vout, AI159*ThetaJA_Q2, ThetaJA_Q3*AR159)</f>
        <v>15.3242629954968</v>
      </c>
      <c r="BG159" s="536"/>
      <c r="BH159" s="385" t="n">
        <f aca="false">BD159*100</f>
        <v>95.9026345712975</v>
      </c>
      <c r="BI159" s="488" t="n">
        <f aca="false">T159</f>
        <v>1.13713316812344</v>
      </c>
      <c r="BJ159" s="488" t="n">
        <f aca="false">AE159+AI159+AN159+AR159+AU159</f>
        <v>1.42934588464187</v>
      </c>
      <c r="BK159" s="488" t="n">
        <f aca="false">AI159+AU159*0.33</f>
        <v>0.549514954509936</v>
      </c>
      <c r="BL159" s="488" t="n">
        <f aca="false">AV159</f>
        <v>0.214878093901238</v>
      </c>
    </row>
    <row r="160" customFormat="false" ht="12.75" hidden="false" customHeight="false" outlineLevel="0" collapsed="false">
      <c r="G160" s="0" t="n">
        <v>151</v>
      </c>
      <c r="H160" s="586" t="n">
        <f aca="false">VIN_min+(VIN_max-VIN_min)*(G160/200)</f>
        <v>39.22</v>
      </c>
      <c r="I160" s="385" t="str">
        <f aca="false">IF(H160&gt;VIN_BB_to_buck, "BUCK", IF(H160&lt;VIN_boost_to_BB,"BOOST","BUCK-BST"))</f>
        <v>BUCK</v>
      </c>
      <c r="J160" s="419" t="n">
        <f aca="false">IF(I160="BOOST",2, IF(I160="BUCK", 1,3))</f>
        <v>1</v>
      </c>
      <c r="K160" s="0" t="n">
        <f aca="false">Iout</f>
        <v>6</v>
      </c>
      <c r="L160" s="385" t="n">
        <f aca="false">Vout*K160/(H160*Efficiency)</f>
        <v>2.03977562468129</v>
      </c>
      <c r="M160" s="385" t="n">
        <f aca="false">Iout/(1-O160)</f>
        <v>6</v>
      </c>
      <c r="N160" s="488" t="n">
        <f aca="false">CHOOSE(J160,(Vout+(Rdson2+Rs+Rdcr)*K160)/(H160+(Rs+Rdson2-Rdson1)*K160),1,IF(H160&lt;Vout,D_max_buck_BB,Vout/H160*(1-D_min_boost_exitBB_to_buck)))</f>
        <v>0.308197514515636</v>
      </c>
      <c r="O160" s="488" t="n">
        <f aca="false">CHOOSE(J160,0,(Vout+(Rdson3+Rdcr)*L160-H160)/(Vout+(Rdson3-Rdson4-Rs)*L160),IF(H160&gt;Vout,D_min_boost_exitBB_to_buck, (Vout-H160*D_max_buck_BB)/Vout))</f>
        <v>0</v>
      </c>
      <c r="P160" s="385" t="n">
        <f aca="false">MAX(0, CHOOSE(J160, (H160-(Rdson1+Rdcr)*K160-Vout)*N160/(Fsw*Lf), (H160-(Rdson4+Rdcr+Rs)*L160)*O160/(Fsw*Lf), IF(H160&lt;Vout, (H160-(Rdson4+Rdcr+Rs)*L160)*O160/(0.5*Fsw*Lf),(H160-(Rdson1+Rdcr)*K160-Vout)*N160/(0.5*Fsw*Lf))))</f>
        <v>5.93787320572867</v>
      </c>
      <c r="Q160" s="488" t="n">
        <f aca="false">CHOOSE(J160, SQRT(K160^2+(P160^2)/12), SQRT(L160^2+(P160^2)/12), SQRT(M160^2+(P160^2)/12))</f>
        <v>6.24004766412959</v>
      </c>
      <c r="R160" s="488" t="n">
        <f aca="false">(Q160^2*Rdcr*(1+Ltc*Ta-Ltc*25))/(1-Q160^2*Rdcr*Ltc*ThetaCa)</f>
        <v>0.131818536681692</v>
      </c>
      <c r="S160" s="488" t="n">
        <f aca="false">7.759*10^-3*Fsw^0.9458*(0.00787*P160)^2.304</f>
        <v>1.01120325016919</v>
      </c>
      <c r="T160" s="488" t="n">
        <f aca="false">R160+S160</f>
        <v>1.14302178685088</v>
      </c>
      <c r="U160" s="385" t="n">
        <f aca="false">IF(H160&gt;Vout, P160/SQRT(12), SQRT(O160/(1-O160))*SQRT(K160^2+(P160^2)/12))</f>
        <v>1.71411634687066</v>
      </c>
      <c r="V160" s="488" t="n">
        <f aca="false">RCoutEsr*U160^2</f>
        <v>0.014690974253046</v>
      </c>
      <c r="W160" s="488" t="n">
        <f aca="false">V160</f>
        <v>0.014690974253046</v>
      </c>
      <c r="X160" s="488" t="n">
        <f aca="false">IF(H160&gt;Vout, SQRT(N160*(1-N160))*SQRT(K160^2+(P160^2)/12), P160/SQRT(12))</f>
        <v>2.88133352258331</v>
      </c>
      <c r="Y160" s="587" t="n">
        <f aca="false">RCinEsr*X160^2</f>
        <v>0.0166041657367247</v>
      </c>
      <c r="Z160" s="588" t="n">
        <f aca="false">Y160</f>
        <v>0.0166041657367247</v>
      </c>
      <c r="AA160" s="488" t="n">
        <f aca="false">CHOOSE(J160, SQRT(N160)*SQRT(K160^2+(P160^2)/12), SQRT(L160^2+(P160^2)/12), SQRT(N160)*SQRT(M160^2+(P160^2)/12))</f>
        <v>3.4641961365782</v>
      </c>
      <c r="AB160" s="488" t="n">
        <f aca="false">Rdson1*AA160^2</f>
        <v>0.0684037327742948</v>
      </c>
      <c r="AC160" s="488" t="n">
        <f aca="false">CHOOSE(J160, (H160*K160/2)*(Fsw)*(Tr_buck+Tf_buck), 0, (H160*M160/2)*(Fsw/2)*(Tr_buck+Tf_buck))</f>
        <v>0.239641515064562</v>
      </c>
      <c r="AD160" s="0" t="n">
        <f aca="false">IF(H160&gt;Vout, IF(K160&gt;P160/2,0,ABS(K160-P160/2)*Vsd_Q1*Deadtime*Fsw),0)</f>
        <v>0</v>
      </c>
      <c r="AE160" s="488" t="n">
        <f aca="false">(AD160+AC160+AB160*(1+RdsonTopTc*Ta-RdsonTopTc*25))/(1-AB160*RdsonTopTc*ThetaJA_Q1)</f>
        <v>0.312317991119891</v>
      </c>
      <c r="AF160" s="488" t="n">
        <f aca="false">CHOOSE(J160, SQRT((1-N160))*SQRT(K160^2+(P160^2)/12), 0, SQRT((1-N160))*SQRT(M160^2+(P160^2)/12))</f>
        <v>5.19013872434311</v>
      </c>
      <c r="AG160" s="488" t="n">
        <f aca="false">Rdson2*AF160^2</f>
        <v>0.153543977874178</v>
      </c>
      <c r="AH160" s="488" t="n">
        <f aca="false">CHOOSE(J160, IF(K160&lt;P160/2,Deadtime*Fsw*IF(VfdSky_Q2&gt;0,0,Vsd_Q2)*(K160+P160/2),2*Deadtime*Fsw*IF(VfdSky_Q2&gt;0,0,Vsd_Q2)*K160),0, IF(K160&lt;P160/2,Deadtime*Fsw/2*IF(VfdSky_Q2&gt;0,0,Vsd_Q2)*(K160+P160/2),2*Deadtime*Fsw/2*IF(VfdSky_Q2&gt;0,0,Vsd_Q2)*K160))</f>
        <v>0.144</v>
      </c>
      <c r="AI160" s="488" t="n">
        <f aca="false">(AH160+AG160*(1+RdsonBotTc*Ta-RdsonBotTc*25))/(1-AG160*RdsonBotTc*ThetaJA_Q2)</f>
        <v>0.306970677661968</v>
      </c>
      <c r="AJ160" s="488" t="n">
        <f aca="false">CHOOSE(J160, 0, SQRT(O160)*SQRT(L160^2+(P160^2)/12), SQRT(O160)*SQRT(M160^2+(P160^2)/12))</f>
        <v>0</v>
      </c>
      <c r="AK160" s="488" t="n">
        <f aca="false">Rdson4*AJ160^2</f>
        <v>0</v>
      </c>
      <c r="AL160" s="488" t="n">
        <f aca="false">CHOOSE(J160, 0, (Vout*L160/2)*(Fsw)*(Tr_boost+Tf_boost), (Vout*Iout/2)*(Fsw/2)*(Tr_boost+Tf_boost))</f>
        <v>0</v>
      </c>
      <c r="AM160" s="0" t="n">
        <f aca="false">IF(H160&gt;Vout, 0, IF(L160&gt;P160/2,0,ABS(L160-P160/2)*Vsd_Q4*Deadtime*Fsw))</f>
        <v>0</v>
      </c>
      <c r="AN160" s="488" t="n">
        <f aca="false">(AM160+AL160+AK160*(1+RdsonTopTc*Ta-RdsonTopTc*25))/(1-AK160*RdsonTopTc*ThetaJA_Q4)</f>
        <v>0</v>
      </c>
      <c r="AO160" s="488" t="n">
        <f aca="false">CHOOSE(J160, SQRT(Iout^2+(P160^2)/12), SQRT(1-O160)*SQRT(L160^2+(P160^2)/12), SQRT(1-O160)*SQRT(M160^2+(P160^2)/12))</f>
        <v>6.24004766412959</v>
      </c>
      <c r="AP160" s="488" t="n">
        <f aca="false">Rdson3*AO160^2</f>
        <v>0.0739825702161575</v>
      </c>
      <c r="AQ160" s="488" t="n">
        <f aca="false">CHOOSE(J160, 0, IF(L160&lt;P160/2,Deadtime*Fsw*IF(VfdSky_Q3&gt;0,0,Vsd_Q3)*(L160+P160/2), 2*Deadtime*Fsw*IF(VfdSky_Q3&gt;0,0,Vsd_Q3)*L160), IF(L160&lt;P160/2,Deadtime*Fsw/2*IF(VfdSky_Q3&gt;0,0,Vsd_Q3)*(L160+P160/2), 2*Deadtime*Fsw/2*IF(VfdSky_Q3&gt;0,0,Vsd_Q3)*L160))</f>
        <v>0</v>
      </c>
      <c r="AR160" s="488" t="n">
        <f aca="false">(AQ160+AP160*(1+RdsonBotTc*Ta-RdsonBotTc*25))/(1-AP160*RdsonBotTc*ThetaJA_Q3)</f>
        <v>0.0750936951307173</v>
      </c>
      <c r="AS160" s="488" t="n">
        <f aca="false">CHOOSE(J160, Rdson3*Q160^2, Rdson1*Q160^2, 0)</f>
        <v>0.0739825702161575</v>
      </c>
      <c r="AT160" s="488" t="n">
        <f aca="false">CHOOSE(J160, 2*Deadtime*Fsw*IF(VfdSky_Q2&gt;0,VfdSky_Q2,0)*K160, 2*Deadtime*Fsw*IF(VfdSky_Q3&gt;0,VfdSky_Q3,0)*L160, 2*Deadtime*Fsw/2*IF(VfdSky_Q2&gt;0,VfdSky_Q2,0)*K160+2*Deadtime*Fsw/2*IF(VfdSky_Q3&gt;0,VfdSky_Q3,0)*L160)</f>
        <v>0</v>
      </c>
      <c r="AU160" s="488" t="n">
        <f aca="false">CHOOSE(J160, IF(QrrSky_Q2&gt;0,QrrSky_Q2,Qrr_Q2)*Fsw*(H160-K160*Rdson1), IF(QrrSky_Q3&gt;0,QrrSky_Q3,Qrr_Q3)*Fsw*Vout,  IF(QrrSky_Q2&gt;0,QrrSky_Q2,Qrr_Q2)*Fsw/2*(H160-K160*Rdson1)+IF(QrrSky_Q3&gt;0,QrrSky_Q3,Qrr_Q3)*Fsw/2*Vout)</f>
        <v>0.74061162</v>
      </c>
      <c r="AV160" s="488" t="n">
        <f aca="false">CHOOSE(J160, Rs*AF160^2, Rs*AJ160^2, Rs*(AF160^2+AJ160^2))</f>
        <v>0.215500319823407</v>
      </c>
      <c r="AW160" s="488" t="n">
        <f aca="false">Rshunt_std/1000*Iout^2</f>
        <v>0.14832</v>
      </c>
      <c r="AX160" s="488" t="n">
        <f aca="false">IF(Vout&gt;8, Iq*Vout, Iq*H160)</f>
        <v>0.036</v>
      </c>
      <c r="AY160" s="488" t="n">
        <f aca="false">CHOOSE(J160, (Qg_Q1+Qg_Q2)*Fsw, (Qg_Q3+Qg_Q4)*Fsw, (Qg_Q1+Qg_Q2+Qg_Q3+Qg_Q4)*Fsw/2)*IF(Vout&gt;8, Vout, H160)</f>
        <v>0.0792</v>
      </c>
      <c r="AZ160" s="488" t="n">
        <f aca="false">(Vin-Vdd)*Fsw*(Qg_Q1+Qg_Q2)+(RdsonDRT+RdsonDRT2)*Fsw*Qg_Q1*Vdd/(RdsonDRT+2*Rgate1+RdsonDRT2)+(RdsonDRB+RdsonDRB2)*Fsw*Qg_Q2*Vdd/(RdsonDRB+2*Rgate2+RdsonDRB2)</f>
        <v>0.0522</v>
      </c>
      <c r="BA160" s="488" t="n">
        <f aca="false">SUM(AX160:AY160)</f>
        <v>0.1152</v>
      </c>
      <c r="BB160" s="488" t="n">
        <f aca="false">SUM(T160,W160,Z160,AE160,AI160,AN160,AR160, AT160,AU160,BA160,AV160,AW160)</f>
        <v>3.08833123057663</v>
      </c>
      <c r="BC160" s="419" t="n">
        <f aca="false">Vout*K160</f>
        <v>72</v>
      </c>
      <c r="BD160" s="589" t="n">
        <f aca="false">BC160/(BC160+BB160)</f>
        <v>0.958870690292834</v>
      </c>
      <c r="BE160" s="590" t="n">
        <f aca="false">IF(H160&gt;Vout,ThetaJA_Q1*(AE160+AU160),ThetaJA_Q4*(AN160+AU160))</f>
        <v>52.6464805559946</v>
      </c>
      <c r="BF160" s="590" t="n">
        <f aca="false">IF(H160&gt;Vout, AI160*ThetaJA_Q2, ThetaJA_Q3*AR160)</f>
        <v>15.3485338830984</v>
      </c>
      <c r="BG160" s="536"/>
      <c r="BH160" s="385" t="n">
        <f aca="false">BD160*100</f>
        <v>95.8870690292834</v>
      </c>
      <c r="BI160" s="488" t="n">
        <f aca="false">T160</f>
        <v>1.14302178685088</v>
      </c>
      <c r="BJ160" s="488" t="n">
        <f aca="false">AE160+AI160+AN160+AR160+AU160</f>
        <v>1.43499398391258</v>
      </c>
      <c r="BK160" s="488" t="n">
        <f aca="false">AI160+AU160*0.33</f>
        <v>0.551372512261968</v>
      </c>
      <c r="BL160" s="488" t="n">
        <f aca="false">AV160</f>
        <v>0.215500319823407</v>
      </c>
    </row>
    <row r="161" customFormat="false" ht="12.75" hidden="false" customHeight="false" outlineLevel="0" collapsed="false">
      <c r="G161" s="0" t="n">
        <v>152</v>
      </c>
      <c r="H161" s="586" t="n">
        <f aca="false">VIN_min+(VIN_max-VIN_min)*(G161/200)</f>
        <v>39.44</v>
      </c>
      <c r="I161" s="385" t="str">
        <f aca="false">IF(H161&gt;VIN_BB_to_buck, "BUCK", IF(H161&lt;VIN_boost_to_BB,"BOOST","BUCK-BST"))</f>
        <v>BUCK</v>
      </c>
      <c r="J161" s="419" t="n">
        <f aca="false">IF(I161="BOOST",2, IF(I161="BUCK", 1,3))</f>
        <v>1</v>
      </c>
      <c r="K161" s="0" t="n">
        <f aca="false">Iout</f>
        <v>6</v>
      </c>
      <c r="L161" s="385" t="n">
        <f aca="false">Vout*K161/(H161*Efficiency)</f>
        <v>2.02839756592292</v>
      </c>
      <c r="M161" s="385" t="n">
        <f aca="false">Iout/(1-O161)</f>
        <v>6</v>
      </c>
      <c r="N161" s="488" t="n">
        <f aca="false">CHOOSE(J161,(Vout+(Rdson2+Rs+Rdcr)*K161)/(H161+(Rs+Rdson2-Rdson1)*K161),1,IF(H161&lt;Vout,D_max_buck_BB,Vout/H161*(1-D_min_boost_exitBB_to_buck)))</f>
        <v>0.306480449756888</v>
      </c>
      <c r="O161" s="488" t="n">
        <f aca="false">CHOOSE(J161,0,(Vout+(Rdson3+Rdcr)*L161-H161)/(Vout+(Rdson3-Rdson4-Rs)*L161),IF(H161&gt;Vout,D_min_boost_exitBB_to_buck, (Vout-H161*D_max_buck_BB)/Vout))</f>
        <v>0</v>
      </c>
      <c r="P161" s="385" t="n">
        <f aca="false">MAX(0, CHOOSE(J161, (H161-(Rdson1+Rdcr)*K161-Vout)*N161/(Fsw*Lf), (H161-(Rdson4+Rdcr+Rs)*L161)*O161/(Fsw*Lf), IF(H161&lt;Vout, (H161-(Rdson4+Rdcr+Rs)*L161)*O161/(0.5*Fsw*Lf),(H161-(Rdson1+Rdcr)*K161-Vout)*N161/(0.5*Fsw*Lf))))</f>
        <v>5.95261110135263</v>
      </c>
      <c r="Q161" s="488" t="n">
        <f aca="false">CHOOSE(J161, SQRT(K161^2+(P161^2)/12), SQRT(L161^2+(P161^2)/12), SQRT(M161^2+(P161^2)/12))</f>
        <v>6.2412176891743</v>
      </c>
      <c r="R161" s="488" t="n">
        <f aca="false">(Q161^2*Rdcr*(1+Ltc*Ta-Ltc*25))/(1-Q161^2*Rdcr*Ltc*ThetaCa)</f>
        <v>0.13186849548529</v>
      </c>
      <c r="S161" s="488" t="n">
        <f aca="false">7.759*10^-3*Fsw^0.9458*(0.00787*P161)^2.304</f>
        <v>1.01699524151594</v>
      </c>
      <c r="T161" s="488" t="n">
        <f aca="false">R161+S161</f>
        <v>1.14886373700123</v>
      </c>
      <c r="U161" s="385" t="n">
        <f aca="false">IF(H161&gt;Vout, P161/SQRT(12), SQRT(O161/(1-O161))*SQRT(K161^2+(P161^2)/12))</f>
        <v>1.71837081087355</v>
      </c>
      <c r="V161" s="488" t="n">
        <f aca="false">RCoutEsr*U161^2</f>
        <v>0.0147639912183111</v>
      </c>
      <c r="W161" s="488" t="n">
        <f aca="false">V161</f>
        <v>0.0147639912183111</v>
      </c>
      <c r="X161" s="488" t="n">
        <f aca="false">IF(H161&gt;Vout, SQRT(N161*(1-N161))*SQRT(K161^2+(P161^2)/12), P161/SQRT(12))</f>
        <v>2.87739889853582</v>
      </c>
      <c r="Y161" s="587" t="n">
        <f aca="false">RCinEsr*X161^2</f>
        <v>0.0165588488425903</v>
      </c>
      <c r="Z161" s="588" t="n">
        <f aca="false">Y161</f>
        <v>0.0165588488425903</v>
      </c>
      <c r="AA161" s="488" t="n">
        <f aca="false">CHOOSE(J161, SQRT(N161)*SQRT(K161^2+(P161^2)/12), SQRT(L161^2+(P161^2)/12), SQRT(N161)*SQRT(M161^2+(P161^2)/12))</f>
        <v>3.45518033176373</v>
      </c>
      <c r="AB161" s="488" t="n">
        <f aca="false">Rdson1*AA161^2</f>
        <v>0.0680481454125395</v>
      </c>
      <c r="AC161" s="488" t="n">
        <f aca="false">CHOOSE(J161, (H161*K161/2)*(Fsw)*(Tr_buck+Tf_buck), 0, (H161*M161/2)*(Fsw/2)*(Tr_buck+Tf_buck))</f>
        <v>0.240985756097561</v>
      </c>
      <c r="AD161" s="0" t="n">
        <f aca="false">IF(H161&gt;Vout, IF(K161&gt;P161/2,0,ABS(K161-P161/2)*Vsd_Q1*Deadtime*Fsw),0)</f>
        <v>0</v>
      </c>
      <c r="AE161" s="488" t="n">
        <f aca="false">(AD161+AC161+AB161*(1+RdsonTopTc*Ta-RdsonTopTc*25))/(1-AB161*RdsonTopTc*ThetaJA_Q1)</f>
        <v>0.313297767923923</v>
      </c>
      <c r="AF161" s="488" t="n">
        <f aca="false">CHOOSE(J161, SQRT((1-N161))*SQRT(K161^2+(P161^2)/12), 0, SQRT((1-N161))*SQRT(M161^2+(P161^2)/12))</f>
        <v>5.19755010737321</v>
      </c>
      <c r="AG161" s="488" t="n">
        <f aca="false">Rdson2*AF161^2</f>
        <v>0.153982804576335</v>
      </c>
      <c r="AH161" s="488" t="n">
        <f aca="false">CHOOSE(J161, IF(K161&lt;P161/2,Deadtime*Fsw*IF(VfdSky_Q2&gt;0,0,Vsd_Q2)*(K161+P161/2),2*Deadtime*Fsw*IF(VfdSky_Q2&gt;0,0,Vsd_Q2)*K161),0, IF(K161&lt;P161/2,Deadtime*Fsw/2*IF(VfdSky_Q2&gt;0,0,Vsd_Q2)*(K161+P161/2),2*Deadtime*Fsw/2*IF(VfdSky_Q2&gt;0,0,Vsd_Q2)*K161))</f>
        <v>0.144</v>
      </c>
      <c r="AI161" s="488" t="n">
        <f aca="false">(AH161+AG161*(1+RdsonBotTc*Ta-RdsonBotTc*25))/(1-AG161*RdsonBotTc*ThetaJA_Q2)</f>
        <v>0.30745124558961</v>
      </c>
      <c r="AJ161" s="488" t="n">
        <f aca="false">CHOOSE(J161, 0, SQRT(O161)*SQRT(L161^2+(P161^2)/12), SQRT(O161)*SQRT(M161^2+(P161^2)/12))</f>
        <v>0</v>
      </c>
      <c r="AK161" s="488" t="n">
        <f aca="false">Rdson4*AJ161^2</f>
        <v>0</v>
      </c>
      <c r="AL161" s="488" t="n">
        <f aca="false">CHOOSE(J161, 0, (Vout*L161/2)*(Fsw)*(Tr_boost+Tf_boost), (Vout*Iout/2)*(Fsw/2)*(Tr_boost+Tf_boost))</f>
        <v>0</v>
      </c>
      <c r="AM161" s="0" t="n">
        <f aca="false">IF(H161&gt;Vout, 0, IF(L161&gt;P161/2,0,ABS(L161-P161/2)*Vsd_Q4*Deadtime*Fsw))</f>
        <v>0</v>
      </c>
      <c r="AN161" s="488" t="n">
        <f aca="false">(AM161+AL161+AK161*(1+RdsonTopTc*Ta-RdsonTopTc*25))/(1-AK161*RdsonTopTc*ThetaJA_Q4)</f>
        <v>0</v>
      </c>
      <c r="AO161" s="488" t="n">
        <f aca="false">CHOOSE(J161, SQRT(Iout^2+(P161^2)/12), SQRT(1-O161)*SQRT(L161^2+(P161^2)/12), SQRT(1-O161)*SQRT(M161^2+(P161^2)/12))</f>
        <v>6.2412176891743</v>
      </c>
      <c r="AP161" s="488" t="n">
        <f aca="false">Rdson3*AO161^2</f>
        <v>0.0740103166629582</v>
      </c>
      <c r="AQ161" s="488" t="n">
        <f aca="false">CHOOSE(J161, 0, IF(L161&lt;P161/2,Deadtime*Fsw*IF(VfdSky_Q3&gt;0,0,Vsd_Q3)*(L161+P161/2), 2*Deadtime*Fsw*IF(VfdSky_Q3&gt;0,0,Vsd_Q3)*L161), IF(L161&lt;P161/2,Deadtime*Fsw/2*IF(VfdSky_Q3&gt;0,0,Vsd_Q3)*(L161+P161/2), 2*Deadtime*Fsw/2*IF(VfdSky_Q3&gt;0,0,Vsd_Q3)*L161))</f>
        <v>0</v>
      </c>
      <c r="AR161" s="488" t="n">
        <f aca="false">(AQ161+AP161*(1+RdsonBotTc*Ta-RdsonBotTc*25))/(1-AP161*RdsonBotTc*ThetaJA_Q3)</f>
        <v>0.0751222814303795</v>
      </c>
      <c r="AS161" s="488" t="n">
        <f aca="false">CHOOSE(J161, Rdson3*Q161^2, Rdson1*Q161^2, 0)</f>
        <v>0.0740103166629582</v>
      </c>
      <c r="AT161" s="488" t="n">
        <f aca="false">CHOOSE(J161, 2*Deadtime*Fsw*IF(VfdSky_Q2&gt;0,VfdSky_Q2,0)*K161, 2*Deadtime*Fsw*IF(VfdSky_Q3&gt;0,VfdSky_Q3,0)*L161, 2*Deadtime*Fsw/2*IF(VfdSky_Q2&gt;0,VfdSky_Q2,0)*K161+2*Deadtime*Fsw/2*IF(VfdSky_Q3&gt;0,VfdSky_Q3,0)*L161)</f>
        <v>0</v>
      </c>
      <c r="AU161" s="488" t="n">
        <f aca="false">CHOOSE(J161, IF(QrrSky_Q2&gt;0,QrrSky_Q2,Qrr_Q2)*Fsw*(H161-K161*Rdson1), IF(QrrSky_Q3&gt;0,QrrSky_Q3,Qrr_Q3)*Fsw*Vout,  IF(QrrSky_Q2&gt;0,QrrSky_Q2,Qrr_Q2)*Fsw/2*(H161-K161*Rdson1)+IF(QrrSky_Q3&gt;0,QrrSky_Q3,Qrr_Q3)*Fsw/2*Vout)</f>
        <v>0.74476962</v>
      </c>
      <c r="AV161" s="488" t="n">
        <f aca="false">CHOOSE(J161, Rs*AF161^2, Rs*AJ161^2, Rs*(AF161^2+AJ161^2))</f>
        <v>0.216116216949242</v>
      </c>
      <c r="AW161" s="488" t="n">
        <f aca="false">Rshunt_std/1000*Iout^2</f>
        <v>0.14832</v>
      </c>
      <c r="AX161" s="488" t="n">
        <f aca="false">IF(Vout&gt;8, Iq*Vout, Iq*H161)</f>
        <v>0.036</v>
      </c>
      <c r="AY161" s="488" t="n">
        <f aca="false">CHOOSE(J161, (Qg_Q1+Qg_Q2)*Fsw, (Qg_Q3+Qg_Q4)*Fsw, (Qg_Q1+Qg_Q2+Qg_Q3+Qg_Q4)*Fsw/2)*IF(Vout&gt;8, Vout, H161)</f>
        <v>0.0792</v>
      </c>
      <c r="AZ161" s="488" t="n">
        <f aca="false">(Vin-Vdd)*Fsw*(Qg_Q1+Qg_Q2)+(RdsonDRT+RdsonDRT2)*Fsw*Qg_Q1*Vdd/(RdsonDRT+2*Rgate1+RdsonDRT2)+(RdsonDRB+RdsonDRB2)*Fsw*Qg_Q2*Vdd/(RdsonDRB+2*Rgate2+RdsonDRB2)</f>
        <v>0.0522</v>
      </c>
      <c r="BA161" s="488" t="n">
        <f aca="false">SUM(AX161:AY161)</f>
        <v>0.1152</v>
      </c>
      <c r="BB161" s="488" t="n">
        <f aca="false">SUM(T161,W161,Z161,AE161,AI161,AN161,AR161, AT161,AU161,BA161,AV161,AW161)</f>
        <v>3.10046370895528</v>
      </c>
      <c r="BC161" s="419" t="n">
        <f aca="false">Vout*K161</f>
        <v>72</v>
      </c>
      <c r="BD161" s="589" t="n">
        <f aca="false">BC161/(BC161+BB161)</f>
        <v>0.958715784752397</v>
      </c>
      <c r="BE161" s="590" t="n">
        <f aca="false">IF(H161&gt;Vout,ThetaJA_Q1*(AE161+AU161),ThetaJA_Q4*(AN161+AU161))</f>
        <v>52.9033693961961</v>
      </c>
      <c r="BF161" s="590" t="n">
        <f aca="false">IF(H161&gt;Vout, AI161*ThetaJA_Q2, ThetaJA_Q3*AR161)</f>
        <v>15.3725622794805</v>
      </c>
      <c r="BG161" s="536"/>
      <c r="BH161" s="385" t="n">
        <f aca="false">BD161*100</f>
        <v>95.8715784752397</v>
      </c>
      <c r="BI161" s="488" t="n">
        <f aca="false">T161</f>
        <v>1.14886373700123</v>
      </c>
      <c r="BJ161" s="488" t="n">
        <f aca="false">AE161+AI161+AN161+AR161+AU161</f>
        <v>1.44064091494391</v>
      </c>
      <c r="BK161" s="488" t="n">
        <f aca="false">AI161+AU161*0.33</f>
        <v>0.55322522018961</v>
      </c>
      <c r="BL161" s="488" t="n">
        <f aca="false">AV161</f>
        <v>0.216116216949242</v>
      </c>
    </row>
    <row r="162" customFormat="false" ht="12.75" hidden="false" customHeight="false" outlineLevel="0" collapsed="false">
      <c r="G162" s="0" t="n">
        <v>153</v>
      </c>
      <c r="H162" s="586" t="n">
        <f aca="false">VIN_min+(VIN_max-VIN_min)*(G162/200)</f>
        <v>39.66</v>
      </c>
      <c r="I162" s="385" t="str">
        <f aca="false">IF(H162&gt;VIN_BB_to_buck, "BUCK", IF(H162&lt;VIN_boost_to_BB,"BOOST","BUCK-BST"))</f>
        <v>BUCK</v>
      </c>
      <c r="J162" s="419" t="n">
        <f aca="false">IF(I162="BOOST",2, IF(I162="BUCK", 1,3))</f>
        <v>1</v>
      </c>
      <c r="K162" s="0" t="n">
        <f aca="false">Iout</f>
        <v>6</v>
      </c>
      <c r="L162" s="385" t="n">
        <f aca="false">Vout*K162/(H162*Efficiency)</f>
        <v>2.01714573877963</v>
      </c>
      <c r="M162" s="385" t="n">
        <f aca="false">Iout/(1-O162)</f>
        <v>6</v>
      </c>
      <c r="N162" s="488" t="n">
        <f aca="false">CHOOSE(J162,(Vout+(Rdson2+Rs+Rdcr)*K162)/(H162+(Rs+Rdson2-Rdson1)*K162),1,IF(H162&lt;Vout,D_max_buck_BB,Vout/H162*(1-D_min_boost_exitBB_to_buck)))</f>
        <v>0.304782411604714</v>
      </c>
      <c r="O162" s="488" t="n">
        <f aca="false">CHOOSE(J162,0,(Vout+(Rdson3+Rdcr)*L162-H162)/(Vout+(Rdson3-Rdson4-Rs)*L162),IF(H162&gt;Vout,D_min_boost_exitBB_to_buck, (Vout-H162*D_max_buck_BB)/Vout))</f>
        <v>0</v>
      </c>
      <c r="P162" s="385" t="n">
        <f aca="false">MAX(0, CHOOSE(J162, (H162-(Rdson1+Rdcr)*K162-Vout)*N162/(Fsw*Lf), (H162-(Rdson4+Rdcr+Rs)*L162)*O162/(Fsw*Lf), IF(H162&lt;Vout, (H162-(Rdson4+Rdcr+Rs)*L162)*O162/(0.5*Fsw*Lf),(H162-(Rdson1+Rdcr)*K162-Vout)*N162/(0.5*Fsw*Lf))))</f>
        <v>5.96718568796898</v>
      </c>
      <c r="Q162" s="488" t="n">
        <f aca="false">CHOOSE(J162, SQRT(K162^2+(P162^2)/12), SQRT(L162^2+(P162^2)/12), SQRT(M162^2+(P162^2)/12))</f>
        <v>6.2423773852242</v>
      </c>
      <c r="R162" s="488" t="n">
        <f aca="false">(Q162^2*Rdcr*(1+Ltc*Ta-Ltc*25))/(1-Q162^2*Rdcr*Ltc*ThetaCa)</f>
        <v>0.131918022884911</v>
      </c>
      <c r="S162" s="488" t="n">
        <f aca="false">7.759*10^-3*Fsw^0.9458*(0.00787*P162)^2.304</f>
        <v>1.02274147209871</v>
      </c>
      <c r="T162" s="488" t="n">
        <f aca="false">R162+S162</f>
        <v>1.15465949498362</v>
      </c>
      <c r="U162" s="385" t="n">
        <f aca="false">IF(H162&gt;Vout, P162/SQRT(12), SQRT(O162/(1-O162))*SQRT(K162^2+(P162^2)/12))</f>
        <v>1.72257813162669</v>
      </c>
      <c r="V162" s="488" t="n">
        <f aca="false">RCoutEsr*U162^2</f>
        <v>0.0148363770977924</v>
      </c>
      <c r="W162" s="488" t="n">
        <f aca="false">V162</f>
        <v>0.0148363770977924</v>
      </c>
      <c r="X162" s="488" t="n">
        <f aca="false">IF(H162&gt;Vout, SQRT(N162*(1-N162))*SQRT(K162^2+(P162^2)/12), P162/SQRT(12))</f>
        <v>2.87346126120833</v>
      </c>
      <c r="Y162" s="587" t="n">
        <f aca="false">RCinEsr*X162^2</f>
        <v>0.0165135592393299</v>
      </c>
      <c r="Z162" s="588" t="n">
        <f aca="false">Y162</f>
        <v>0.0165135592393299</v>
      </c>
      <c r="AA162" s="488" t="n">
        <f aca="false">CHOOSE(J162, SQRT(N162)*SQRT(K162^2+(P162^2)/12), SQRT(L162^2+(P162^2)/12), SQRT(N162)*SQRT(M162^2+(P162^2)/12))</f>
        <v>3.44623565300433</v>
      </c>
      <c r="AB162" s="488" t="n">
        <f aca="false">Rdson1*AA162^2</f>
        <v>0.0676962790034174</v>
      </c>
      <c r="AC162" s="488" t="n">
        <f aca="false">CHOOSE(J162, (H162*K162/2)*(Fsw)*(Tr_buck+Tf_buck), 0, (H162*M162/2)*(Fsw/2)*(Tr_buck+Tf_buck))</f>
        <v>0.24232999713056</v>
      </c>
      <c r="AD162" s="0" t="n">
        <f aca="false">IF(H162&gt;Vout, IF(K162&gt;P162/2,0,ABS(K162-P162/2)*Vsd_Q1*Deadtime*Fsw),0)</f>
        <v>0</v>
      </c>
      <c r="AE162" s="488" t="n">
        <f aca="false">(AD162+AC162+AB162*(1+RdsonTopTc*Ta-RdsonTopTc*25))/(1-AB162*RdsonTopTc*ThetaJA_Q1)</f>
        <v>0.314281412572192</v>
      </c>
      <c r="AF162" s="488" t="n">
        <f aca="false">CHOOSE(J162, SQRT((1-N162))*SQRT(K162^2+(P162^2)/12), 0, SQRT((1-N162))*SQRT(M162^2+(P162^2)/12))</f>
        <v>5.20487610260997</v>
      </c>
      <c r="AG162" s="488" t="n">
        <f aca="false">Rdson2*AF162^2</f>
        <v>0.154417190888066</v>
      </c>
      <c r="AH162" s="488" t="n">
        <f aca="false">CHOOSE(J162, IF(K162&lt;P162/2,Deadtime*Fsw*IF(VfdSky_Q2&gt;0,0,Vsd_Q2)*(K162+P162/2),2*Deadtime*Fsw*IF(VfdSky_Q2&gt;0,0,Vsd_Q2)*K162),0, IF(K162&lt;P162/2,Deadtime*Fsw/2*IF(VfdSky_Q2&gt;0,0,Vsd_Q2)*(K162+P162/2),2*Deadtime*Fsw/2*IF(VfdSky_Q2&gt;0,0,Vsd_Q2)*K162))</f>
        <v>0.144</v>
      </c>
      <c r="AI162" s="488" t="n">
        <f aca="false">(AH162+AG162*(1+RdsonBotTc*Ta-RdsonBotTc*25))/(1-AG162*RdsonBotTc*ThetaJA_Q2)</f>
        <v>0.307927036482489</v>
      </c>
      <c r="AJ162" s="488" t="n">
        <f aca="false">CHOOSE(J162, 0, SQRT(O162)*SQRT(L162^2+(P162^2)/12), SQRT(O162)*SQRT(M162^2+(P162^2)/12))</f>
        <v>0</v>
      </c>
      <c r="AK162" s="488" t="n">
        <f aca="false">Rdson4*AJ162^2</f>
        <v>0</v>
      </c>
      <c r="AL162" s="488" t="n">
        <f aca="false">CHOOSE(J162, 0, (Vout*L162/2)*(Fsw)*(Tr_boost+Tf_boost), (Vout*Iout/2)*(Fsw/2)*(Tr_boost+Tf_boost))</f>
        <v>0</v>
      </c>
      <c r="AM162" s="0" t="n">
        <f aca="false">IF(H162&gt;Vout, 0, IF(L162&gt;P162/2,0,ABS(L162-P162/2)*Vsd_Q4*Deadtime*Fsw))</f>
        <v>0</v>
      </c>
      <c r="AN162" s="488" t="n">
        <f aca="false">(AM162+AL162+AK162*(1+RdsonTopTc*Ta-RdsonTopTc*25))/(1-AK162*RdsonTopTc*ThetaJA_Q4)</f>
        <v>0</v>
      </c>
      <c r="AO162" s="488" t="n">
        <f aca="false">CHOOSE(J162, SQRT(Iout^2+(P162^2)/12), SQRT(1-O162)*SQRT(L162^2+(P162^2)/12), SQRT(1-O162)*SQRT(M162^2+(P162^2)/12))</f>
        <v>6.2423773852242</v>
      </c>
      <c r="AP162" s="488" t="n">
        <f aca="false">Rdson3*AO162^2</f>
        <v>0.0740378232971611</v>
      </c>
      <c r="AQ162" s="488" t="n">
        <f aca="false">CHOOSE(J162, 0, IF(L162&lt;P162/2,Deadtime*Fsw*IF(VfdSky_Q3&gt;0,0,Vsd_Q3)*(L162+P162/2), 2*Deadtime*Fsw*IF(VfdSky_Q3&gt;0,0,Vsd_Q3)*L162), IF(L162&lt;P162/2,Deadtime*Fsw/2*IF(VfdSky_Q3&gt;0,0,Vsd_Q3)*(L162+P162/2), 2*Deadtime*Fsw/2*IF(VfdSky_Q3&gt;0,0,Vsd_Q3)*L162))</f>
        <v>0</v>
      </c>
      <c r="AR162" s="488" t="n">
        <f aca="false">(AQ162+AP162*(1+RdsonBotTc*Ta-RdsonBotTc*25))/(1-AP162*RdsonBotTc*ThetaJA_Q3)</f>
        <v>0.0751506209764666</v>
      </c>
      <c r="AS162" s="488" t="n">
        <f aca="false">CHOOSE(J162, Rdson3*Q162^2, Rdson1*Q162^2, 0)</f>
        <v>0.0740378232971611</v>
      </c>
      <c r="AT162" s="488" t="n">
        <f aca="false">CHOOSE(J162, 2*Deadtime*Fsw*IF(VfdSky_Q2&gt;0,VfdSky_Q2,0)*K162, 2*Deadtime*Fsw*IF(VfdSky_Q3&gt;0,VfdSky_Q3,0)*L162, 2*Deadtime*Fsw/2*IF(VfdSky_Q2&gt;0,VfdSky_Q2,0)*K162+2*Deadtime*Fsw/2*IF(VfdSky_Q3&gt;0,VfdSky_Q3,0)*L162)</f>
        <v>0</v>
      </c>
      <c r="AU162" s="488" t="n">
        <f aca="false">CHOOSE(J162, IF(QrrSky_Q2&gt;0,QrrSky_Q2,Qrr_Q2)*Fsw*(H162-K162*Rdson1), IF(QrrSky_Q3&gt;0,QrrSky_Q3,Qrr_Q3)*Fsw*Vout,  IF(QrrSky_Q2&gt;0,QrrSky_Q2,Qrr_Q2)*Fsw/2*(H162-K162*Rdson1)+IF(QrrSky_Q3&gt;0,QrrSky_Q3,Qrr_Q3)*Fsw/2*Vout)</f>
        <v>0.74892762</v>
      </c>
      <c r="AV162" s="488" t="n">
        <f aca="false">CHOOSE(J162, Rs*AF162^2, Rs*AJ162^2, Rs*(AF162^2+AJ162^2))</f>
        <v>0.216725881948163</v>
      </c>
      <c r="AW162" s="488" t="n">
        <f aca="false">Rshunt_std/1000*Iout^2</f>
        <v>0.14832</v>
      </c>
      <c r="AX162" s="488" t="n">
        <f aca="false">IF(Vout&gt;8, Iq*Vout, Iq*H162)</f>
        <v>0.036</v>
      </c>
      <c r="AY162" s="488" t="n">
        <f aca="false">CHOOSE(J162, (Qg_Q1+Qg_Q2)*Fsw, (Qg_Q3+Qg_Q4)*Fsw, (Qg_Q1+Qg_Q2+Qg_Q3+Qg_Q4)*Fsw/2)*IF(Vout&gt;8, Vout, H162)</f>
        <v>0.0792</v>
      </c>
      <c r="AZ162" s="488" t="n">
        <f aca="false">(Vin-Vdd)*Fsw*(Qg_Q1+Qg_Q2)+(RdsonDRT+RdsonDRT2)*Fsw*Qg_Q1*Vdd/(RdsonDRT+2*Rgate1+RdsonDRT2)+(RdsonDRB+RdsonDRB2)*Fsw*Qg_Q2*Vdd/(RdsonDRB+2*Rgate2+RdsonDRB2)</f>
        <v>0.0522</v>
      </c>
      <c r="BA162" s="488" t="n">
        <f aca="false">SUM(AX162:AY162)</f>
        <v>0.1152</v>
      </c>
      <c r="BB162" s="488" t="n">
        <f aca="false">SUM(T162,W162,Z162,AE162,AI162,AN162,AR162, AT162,AU162,BA162,AV162,AW162)</f>
        <v>3.11254200330005</v>
      </c>
      <c r="BC162" s="419" t="n">
        <f aca="false">Vout*K162</f>
        <v>72</v>
      </c>
      <c r="BD162" s="589" t="n">
        <f aca="false">BC162/(BC162+BB162)</f>
        <v>0.958561620732217</v>
      </c>
      <c r="BE162" s="590" t="n">
        <f aca="false">IF(H162&gt;Vout,ThetaJA_Q1*(AE162+AU162),ThetaJA_Q4*(AN162+AU162))</f>
        <v>53.1604516286096</v>
      </c>
      <c r="BF162" s="590" t="n">
        <f aca="false">IF(H162&gt;Vout, AI162*ThetaJA_Q2, ThetaJA_Q3*AR162)</f>
        <v>15.3963518241244</v>
      </c>
      <c r="BG162" s="536"/>
      <c r="BH162" s="385" t="n">
        <f aca="false">BD162*100</f>
        <v>95.8561620732217</v>
      </c>
      <c r="BI162" s="488" t="n">
        <f aca="false">T162</f>
        <v>1.15465949498362</v>
      </c>
      <c r="BJ162" s="488" t="n">
        <f aca="false">AE162+AI162+AN162+AR162+AU162</f>
        <v>1.44628669003115</v>
      </c>
      <c r="BK162" s="488" t="n">
        <f aca="false">AI162+AU162*0.33</f>
        <v>0.555073151082489</v>
      </c>
      <c r="BL162" s="488" t="n">
        <f aca="false">AV162</f>
        <v>0.216725881948163</v>
      </c>
    </row>
    <row r="163" customFormat="false" ht="12.75" hidden="false" customHeight="false" outlineLevel="0" collapsed="false">
      <c r="G163" s="0" t="n">
        <v>154</v>
      </c>
      <c r="H163" s="586" t="n">
        <f aca="false">VIN_min+(VIN_max-VIN_min)*(G163/200)</f>
        <v>39.88</v>
      </c>
      <c r="I163" s="385" t="str">
        <f aca="false">IF(H163&gt;VIN_BB_to_buck, "BUCK", IF(H163&lt;VIN_boost_to_BB,"BOOST","BUCK-BST"))</f>
        <v>BUCK</v>
      </c>
      <c r="J163" s="419" t="n">
        <f aca="false">IF(I163="BOOST",2, IF(I163="BUCK", 1,3))</f>
        <v>1</v>
      </c>
      <c r="K163" s="0" t="n">
        <f aca="false">Iout</f>
        <v>6</v>
      </c>
      <c r="L163" s="385" t="n">
        <f aca="false">Vout*K163/(H163*Efficiency)</f>
        <v>2.00601805416249</v>
      </c>
      <c r="M163" s="385" t="n">
        <f aca="false">Iout/(1-O163)</f>
        <v>6</v>
      </c>
      <c r="N163" s="488" t="n">
        <f aca="false">CHOOSE(J163,(Vout+(Rdson2+Rs+Rdcr)*K163)/(H163+(Rs+Rdson2-Rdson1)*K163),1,IF(H163&lt;Vout,D_max_buck_BB,Vout/H163*(1-D_min_boost_exitBB_to_buck)))</f>
        <v>0.303103085553997</v>
      </c>
      <c r="O163" s="488" t="n">
        <f aca="false">CHOOSE(J163,0,(Vout+(Rdson3+Rdcr)*L163-H163)/(Vout+(Rdson3-Rdson4-Rs)*L163),IF(H163&gt;Vout,D_min_boost_exitBB_to_buck, (Vout-H163*D_max_buck_BB)/Vout))</f>
        <v>0</v>
      </c>
      <c r="P163" s="385" t="n">
        <f aca="false">MAX(0, CHOOSE(J163, (H163-(Rdson1+Rdcr)*K163-Vout)*N163/(Fsw*Lf), (H163-(Rdson4+Rdcr+Rs)*L163)*O163/(Fsw*Lf), IF(H163&lt;Vout, (H163-(Rdson4+Rdcr+Rs)*L163)*O163/(0.5*Fsw*Lf),(H163-(Rdson1+Rdcr)*K163-Vout)*N163/(0.5*Fsw*Lf))))</f>
        <v>5.98159966503536</v>
      </c>
      <c r="Q163" s="488" t="n">
        <f aca="false">CHOOSE(J163, SQRT(K163^2+(P163^2)/12), SQRT(L163^2+(P163^2)/12), SQRT(M163^2+(P163^2)/12))</f>
        <v>6.24352687824726</v>
      </c>
      <c r="R163" s="488" t="n">
        <f aca="false">(Q163^2*Rdcr*(1+Ltc*Ta-Ltc*25))/(1-Q163^2*Rdcr*Ltc*ThetaCa)</f>
        <v>0.131967124005819</v>
      </c>
      <c r="S163" s="488" t="n">
        <f aca="false">7.759*10^-3*Fsw^0.9458*(0.00787*P163)^2.304</f>
        <v>1.02844240893572</v>
      </c>
      <c r="T163" s="488" t="n">
        <f aca="false">R163+S163</f>
        <v>1.16040953294154</v>
      </c>
      <c r="U163" s="385" t="n">
        <f aca="false">IF(H163&gt;Vout, P163/SQRT(12), SQRT(O163/(1-O163))*SQRT(K163^2+(P163^2)/12))</f>
        <v>1.72673908839637</v>
      </c>
      <c r="V163" s="488" t="n">
        <f aca="false">RCoutEsr*U163^2</f>
        <v>0.0149081393969797</v>
      </c>
      <c r="W163" s="488" t="n">
        <f aca="false">V163</f>
        <v>0.0149081393969797</v>
      </c>
      <c r="X163" s="488" t="n">
        <f aca="false">IF(H163&gt;Vout, SQRT(N163*(1-N163))*SQRT(K163^2+(P163^2)/12), P163/SQRT(12))</f>
        <v>2.86952118404101</v>
      </c>
      <c r="Y163" s="587" t="n">
        <f aca="false">RCinEsr*X163^2</f>
        <v>0.0164683036513203</v>
      </c>
      <c r="Z163" s="588" t="n">
        <f aca="false">Y163</f>
        <v>0.0164683036513203</v>
      </c>
      <c r="AA163" s="488" t="n">
        <f aca="false">CHOOSE(J163, SQRT(N163)*SQRT(K163^2+(P163^2)/12), SQRT(L163^2+(P163^2)/12), SQRT(N163)*SQRT(M163^2+(P163^2)/12))</f>
        <v>3.43736115212857</v>
      </c>
      <c r="AB163" s="488" t="n">
        <f aca="false">Rdson1*AA163^2</f>
        <v>0.067348074633927</v>
      </c>
      <c r="AC163" s="488" t="n">
        <f aca="false">CHOOSE(J163, (H163*K163/2)*(Fsw)*(Tr_buck+Tf_buck), 0, (H163*M163/2)*(Fsw/2)*(Tr_buck+Tf_buck))</f>
        <v>0.243674238163558</v>
      </c>
      <c r="AD163" s="0" t="n">
        <f aca="false">IF(H163&gt;Vout, IF(K163&gt;P163/2,0,ABS(K163-P163/2)*Vsd_Q1*Deadtime*Fsw),0)</f>
        <v>0</v>
      </c>
      <c r="AE163" s="488" t="n">
        <f aca="false">(AD163+AC163+AB163*(1+RdsonTopTc*Ta-RdsonTopTc*25))/(1-AB163*RdsonTopTc*ThetaJA_Q1)</f>
        <v>0.315268862980234</v>
      </c>
      <c r="AF163" s="488" t="n">
        <f aca="false">CHOOSE(J163, SQRT((1-N163))*SQRT(K163^2+(P163^2)/12), 0, SQRT((1-N163))*SQRT(M163^2+(P163^2)/12))</f>
        <v>5.21211820560828</v>
      </c>
      <c r="AG163" s="488" t="n">
        <f aca="false">Rdson2*AF163^2</f>
        <v>0.15484720427863</v>
      </c>
      <c r="AH163" s="488" t="n">
        <f aca="false">CHOOSE(J163, IF(K163&lt;P163/2,Deadtime*Fsw*IF(VfdSky_Q2&gt;0,0,Vsd_Q2)*(K163+P163/2),2*Deadtime*Fsw*IF(VfdSky_Q2&gt;0,0,Vsd_Q2)*K163),0, IF(K163&lt;P163/2,Deadtime*Fsw/2*IF(VfdSky_Q2&gt;0,0,Vsd_Q2)*(K163+P163/2),2*Deadtime*Fsw/2*IF(VfdSky_Q2&gt;0,0,Vsd_Q2)*K163))</f>
        <v>0.144</v>
      </c>
      <c r="AI163" s="488" t="n">
        <f aca="false">(AH163+AG163*(1+RdsonBotTc*Ta-RdsonBotTc*25))/(1-AG163*RdsonBotTc*ThetaJA_Q2)</f>
        <v>0.308398121667633</v>
      </c>
      <c r="AJ163" s="488" t="n">
        <f aca="false">CHOOSE(J163, 0, SQRT(O163)*SQRT(L163^2+(P163^2)/12), SQRT(O163)*SQRT(M163^2+(P163^2)/12))</f>
        <v>0</v>
      </c>
      <c r="AK163" s="488" t="n">
        <f aca="false">Rdson4*AJ163^2</f>
        <v>0</v>
      </c>
      <c r="AL163" s="488" t="n">
        <f aca="false">CHOOSE(J163, 0, (Vout*L163/2)*(Fsw)*(Tr_boost+Tf_boost), (Vout*Iout/2)*(Fsw/2)*(Tr_boost+Tf_boost))</f>
        <v>0</v>
      </c>
      <c r="AM163" s="0" t="n">
        <f aca="false">IF(H163&gt;Vout, 0, IF(L163&gt;P163/2,0,ABS(L163-P163/2)*Vsd_Q4*Deadtime*Fsw))</f>
        <v>0</v>
      </c>
      <c r="AN163" s="488" t="n">
        <f aca="false">(AM163+AL163+AK163*(1+RdsonTopTc*Ta-RdsonTopTc*25))/(1-AK163*RdsonTopTc*ThetaJA_Q4)</f>
        <v>0</v>
      </c>
      <c r="AO163" s="488" t="n">
        <f aca="false">CHOOSE(J163, SQRT(Iout^2+(P163^2)/12), SQRT(1-O163)*SQRT(L163^2+(P163^2)/12), SQRT(1-O163)*SQRT(M163^2+(P163^2)/12))</f>
        <v>6.24352687824726</v>
      </c>
      <c r="AP163" s="488" t="n">
        <f aca="false">Rdson3*AO163^2</f>
        <v>0.0740650929708523</v>
      </c>
      <c r="AQ163" s="488" t="n">
        <f aca="false">CHOOSE(J163, 0, IF(L163&lt;P163/2,Deadtime*Fsw*IF(VfdSky_Q3&gt;0,0,Vsd_Q3)*(L163+P163/2), 2*Deadtime*Fsw*IF(VfdSky_Q3&gt;0,0,Vsd_Q3)*L163), IF(L163&lt;P163/2,Deadtime*Fsw/2*IF(VfdSky_Q3&gt;0,0,Vsd_Q3)*(L163+P163/2), 2*Deadtime*Fsw/2*IF(VfdSky_Q3&gt;0,0,Vsd_Q3)*L163))</f>
        <v>0</v>
      </c>
      <c r="AR163" s="488" t="n">
        <f aca="false">(AQ163+AP163*(1+RdsonBotTc*Ta-RdsonBotTc*25))/(1-AP163*RdsonBotTc*ThetaJA_Q3)</f>
        <v>0.0751787166992035</v>
      </c>
      <c r="AS163" s="488" t="n">
        <f aca="false">CHOOSE(J163, Rdson3*Q163^2, Rdson1*Q163^2, 0)</f>
        <v>0.0740650929708523</v>
      </c>
      <c r="AT163" s="488" t="n">
        <f aca="false">CHOOSE(J163, 2*Deadtime*Fsw*IF(VfdSky_Q2&gt;0,VfdSky_Q2,0)*K163, 2*Deadtime*Fsw*IF(VfdSky_Q3&gt;0,VfdSky_Q3,0)*L163, 2*Deadtime*Fsw/2*IF(VfdSky_Q2&gt;0,VfdSky_Q2,0)*K163+2*Deadtime*Fsw/2*IF(VfdSky_Q3&gt;0,VfdSky_Q3,0)*L163)</f>
        <v>0</v>
      </c>
      <c r="AU163" s="488" t="n">
        <f aca="false">CHOOSE(J163, IF(QrrSky_Q2&gt;0,QrrSky_Q2,Qrr_Q2)*Fsw*(H163-K163*Rdson1), IF(QrrSky_Q3&gt;0,QrrSky_Q3,Qrr_Q3)*Fsw*Vout,  IF(QrrSky_Q2&gt;0,QrrSky_Q2,Qrr_Q2)*Fsw/2*(H163-K163*Rdson1)+IF(QrrSky_Q3&gt;0,QrrSky_Q3,Qrr_Q3)*Fsw/2*Vout)</f>
        <v>0.75308562</v>
      </c>
      <c r="AV163" s="488" t="n">
        <f aca="false">CHOOSE(J163, Rs*AF163^2, Rs*AJ163^2, Rs*(AF163^2+AJ163^2))</f>
        <v>0.217329409513866</v>
      </c>
      <c r="AW163" s="488" t="n">
        <f aca="false">Rshunt_std/1000*Iout^2</f>
        <v>0.14832</v>
      </c>
      <c r="AX163" s="488" t="n">
        <f aca="false">IF(Vout&gt;8, Iq*Vout, Iq*H163)</f>
        <v>0.036</v>
      </c>
      <c r="AY163" s="488" t="n">
        <f aca="false">CHOOSE(J163, (Qg_Q1+Qg_Q2)*Fsw, (Qg_Q3+Qg_Q4)*Fsw, (Qg_Q1+Qg_Q2+Qg_Q3+Qg_Q4)*Fsw/2)*IF(Vout&gt;8, Vout, H163)</f>
        <v>0.0792</v>
      </c>
      <c r="AZ163" s="488" t="n">
        <f aca="false">(Vin-Vdd)*Fsw*(Qg_Q1+Qg_Q2)+(RdsonDRT+RdsonDRT2)*Fsw*Qg_Q1*Vdd/(RdsonDRT+2*Rgate1+RdsonDRT2)+(RdsonDRB+RdsonDRB2)*Fsw*Qg_Q2*Vdd/(RdsonDRB+2*Rgate2+RdsonDRB2)</f>
        <v>0.0522</v>
      </c>
      <c r="BA163" s="488" t="n">
        <f aca="false">SUM(AX163:AY163)</f>
        <v>0.1152</v>
      </c>
      <c r="BB163" s="488" t="n">
        <f aca="false">SUM(T163,W163,Z163,AE163,AI163,AN163,AR163, AT163,AU163,BA163,AV163,AW163)</f>
        <v>3.12456670685078</v>
      </c>
      <c r="BC163" s="419" t="n">
        <f aca="false">Vout*K163</f>
        <v>72</v>
      </c>
      <c r="BD163" s="589" t="n">
        <f aca="false">BC163/(BC163+BB163)</f>
        <v>0.958408189972751</v>
      </c>
      <c r="BE163" s="590" t="n">
        <f aca="false">IF(H163&gt;Vout,ThetaJA_Q1*(AE163+AU163),ThetaJA_Q4*(AN163+AU163))</f>
        <v>53.4177241490117</v>
      </c>
      <c r="BF163" s="590" t="n">
        <f aca="false">IF(H163&gt;Vout, AI163*ThetaJA_Q2, ThetaJA_Q3*AR163)</f>
        <v>15.4199060833816</v>
      </c>
      <c r="BG163" s="536"/>
      <c r="BH163" s="385" t="n">
        <f aca="false">BD163*100</f>
        <v>95.8408189972751</v>
      </c>
      <c r="BI163" s="488" t="n">
        <f aca="false">T163</f>
        <v>1.16040953294154</v>
      </c>
      <c r="BJ163" s="488" t="n">
        <f aca="false">AE163+AI163+AN163+AR163+AU163</f>
        <v>1.45193132134707</v>
      </c>
      <c r="BK163" s="488" t="n">
        <f aca="false">AI163+AU163*0.33</f>
        <v>0.556916376267633</v>
      </c>
      <c r="BL163" s="488" t="n">
        <f aca="false">AV163</f>
        <v>0.217329409513866</v>
      </c>
    </row>
    <row r="164" customFormat="false" ht="12.75" hidden="false" customHeight="false" outlineLevel="0" collapsed="false">
      <c r="G164" s="0" t="n">
        <v>155</v>
      </c>
      <c r="H164" s="586" t="n">
        <f aca="false">VIN_min+(VIN_max-VIN_min)*(G164/200)</f>
        <v>40.1</v>
      </c>
      <c r="I164" s="385" t="str">
        <f aca="false">IF(H164&gt;VIN_BB_to_buck, "BUCK", IF(H164&lt;VIN_boost_to_BB,"BOOST","BUCK-BST"))</f>
        <v>BUCK</v>
      </c>
      <c r="J164" s="419" t="n">
        <f aca="false">IF(I164="BOOST",2, IF(I164="BUCK", 1,3))</f>
        <v>1</v>
      </c>
      <c r="K164" s="0" t="n">
        <f aca="false">Iout</f>
        <v>6</v>
      </c>
      <c r="L164" s="385" t="n">
        <f aca="false">Vout*K164/(H164*Efficiency)</f>
        <v>1.99501246882793</v>
      </c>
      <c r="M164" s="385" t="n">
        <f aca="false">Iout/(1-O164)</f>
        <v>6</v>
      </c>
      <c r="N164" s="488" t="n">
        <f aca="false">CHOOSE(J164,(Vout+(Rdson2+Rs+Rdcr)*K164)/(H164+(Rs+Rdson2-Rdson1)*K164),1,IF(H164&lt;Vout,D_max_buck_BB,Vout/H164*(1-D_min_boost_exitBB_to_buck)))</f>
        <v>0.301442163993225</v>
      </c>
      <c r="O164" s="488" t="n">
        <f aca="false">CHOOSE(J164,0,(Vout+(Rdson3+Rdcr)*L164-H164)/(Vout+(Rdson3-Rdson4-Rs)*L164),IF(H164&gt;Vout,D_min_boost_exitBB_to_buck, (Vout-H164*D_max_buck_BB)/Vout))</f>
        <v>0</v>
      </c>
      <c r="P164" s="385" t="n">
        <f aca="false">MAX(0, CHOOSE(J164, (H164-(Rdson1+Rdcr)*K164-Vout)*N164/(Fsw*Lf), (H164-(Rdson4+Rdcr+Rs)*L164)*O164/(Fsw*Lf), IF(H164&lt;Vout, (H164-(Rdson4+Rdcr+Rs)*L164)*O164/(0.5*Fsw*Lf),(H164-(Rdson1+Rdcr)*K164-Vout)*N164/(0.5*Fsw*Lf))))</f>
        <v>5.99585567284028</v>
      </c>
      <c r="Q164" s="488" t="n">
        <f aca="false">CHOOSE(J164, SQRT(K164^2+(P164^2)/12), SQRT(L164^2+(P164^2)/12), SQRT(M164^2+(P164^2)/12))</f>
        <v>6.24466629245531</v>
      </c>
      <c r="R164" s="488" t="n">
        <f aca="false">(Q164^2*Rdcr*(1+Ltc*Ta-Ltc*25))/(1-Q164^2*Rdcr*Ltc*ThetaCa)</f>
        <v>0.132015803904607</v>
      </c>
      <c r="S164" s="488" t="n">
        <f aca="false">7.759*10^-3*Fsw^0.9458*(0.00787*P164)^2.304</f>
        <v>1.0340985148048</v>
      </c>
      <c r="T164" s="488" t="n">
        <f aca="false">R164+S164</f>
        <v>1.16611431870941</v>
      </c>
      <c r="U164" s="385" t="n">
        <f aca="false">IF(H164&gt;Vout, P164/SQRT(12), SQRT(O164/(1-O164))*SQRT(K164^2+(P164^2)/12))</f>
        <v>1.73085444336824</v>
      </c>
      <c r="V164" s="488" t="n">
        <f aca="false">RCoutEsr*U164^2</f>
        <v>0.0149792855206379</v>
      </c>
      <c r="W164" s="488" t="n">
        <f aca="false">V164</f>
        <v>0.0149792855206379</v>
      </c>
      <c r="X164" s="488" t="n">
        <f aca="false">IF(H164&gt;Vout, SQRT(N164*(1-N164))*SQRT(K164^2+(P164^2)/12), P164/SQRT(12))</f>
        <v>2.86557921810604</v>
      </c>
      <c r="Y164" s="587" t="n">
        <f aca="false">RCinEsr*X164^2</f>
        <v>0.0164230885104824</v>
      </c>
      <c r="Z164" s="588" t="n">
        <f aca="false">Y164</f>
        <v>0.0164230885104824</v>
      </c>
      <c r="AA164" s="488" t="n">
        <f aca="false">CHOOSE(J164, SQRT(N164)*SQRT(K164^2+(P164^2)/12), SQRT(L164^2+(P164^2)/12), SQRT(N164)*SQRT(M164^2+(P164^2)/12))</f>
        <v>3.42855589895204</v>
      </c>
      <c r="AB164" s="488" t="n">
        <f aca="false">Rdson1*AA164^2</f>
        <v>0.0670034746477611</v>
      </c>
      <c r="AC164" s="488" t="n">
        <f aca="false">CHOOSE(J164, (H164*K164/2)*(Fsw)*(Tr_buck+Tf_buck), 0, (H164*M164/2)*(Fsw/2)*(Tr_buck+Tf_buck))</f>
        <v>0.245018479196557</v>
      </c>
      <c r="AD164" s="0" t="n">
        <f aca="false">IF(H164&gt;Vout, IF(K164&gt;P164/2,0,ABS(K164-P164/2)*Vsd_Q1*Deadtime*Fsw),0)</f>
        <v>0</v>
      </c>
      <c r="AE164" s="488" t="n">
        <f aca="false">(AD164+AC164+AB164*(1+RdsonTopTc*Ta-RdsonTopTc*25))/(1-AB164*RdsonTopTc*ThetaJA_Q1)</f>
        <v>0.316260058405411</v>
      </c>
      <c r="AF164" s="488" t="n">
        <f aca="false">CHOOSE(J164, SQRT((1-N164))*SQRT(K164^2+(P164^2)/12), 0, SQRT((1-N164))*SQRT(M164^2+(P164^2)/12))</f>
        <v>5.21927787647763</v>
      </c>
      <c r="AG164" s="488" t="n">
        <f aca="false">Rdson2*AF164^2</f>
        <v>0.155272910845766</v>
      </c>
      <c r="AH164" s="488" t="n">
        <f aca="false">CHOOSE(J164, IF(K164&lt;P164/2,Deadtime*Fsw*IF(VfdSky_Q2&gt;0,0,Vsd_Q2)*(K164+P164/2),2*Deadtime*Fsw*IF(VfdSky_Q2&gt;0,0,Vsd_Q2)*K164),0, IF(K164&lt;P164/2,Deadtime*Fsw/2*IF(VfdSky_Q2&gt;0,0,Vsd_Q2)*(K164+P164/2),2*Deadtime*Fsw/2*IF(VfdSky_Q2&gt;0,0,Vsd_Q2)*K164))</f>
        <v>0.144</v>
      </c>
      <c r="AI164" s="488" t="n">
        <f aca="false">(AH164+AG164*(1+RdsonBotTc*Ta-RdsonBotTc*25))/(1-AG164*RdsonBotTc*ThetaJA_Q2)</f>
        <v>0.308864571046469</v>
      </c>
      <c r="AJ164" s="488" t="n">
        <f aca="false">CHOOSE(J164, 0, SQRT(O164)*SQRT(L164^2+(P164^2)/12), SQRT(O164)*SQRT(M164^2+(P164^2)/12))</f>
        <v>0</v>
      </c>
      <c r="AK164" s="488" t="n">
        <f aca="false">Rdson4*AJ164^2</f>
        <v>0</v>
      </c>
      <c r="AL164" s="488" t="n">
        <f aca="false">CHOOSE(J164, 0, (Vout*L164/2)*(Fsw)*(Tr_boost+Tf_boost), (Vout*Iout/2)*(Fsw/2)*(Tr_boost+Tf_boost))</f>
        <v>0</v>
      </c>
      <c r="AM164" s="0" t="n">
        <f aca="false">IF(H164&gt;Vout, 0, IF(L164&gt;P164/2,0,ABS(L164-P164/2)*Vsd_Q4*Deadtime*Fsw))</f>
        <v>0</v>
      </c>
      <c r="AN164" s="488" t="n">
        <f aca="false">(AM164+AL164+AK164*(1+RdsonTopTc*Ta-RdsonTopTc*25))/(1-AK164*RdsonTopTc*ThetaJA_Q4)</f>
        <v>0</v>
      </c>
      <c r="AO164" s="488" t="n">
        <f aca="false">CHOOSE(J164, SQRT(Iout^2+(P164^2)/12), SQRT(1-O164)*SQRT(L164^2+(P164^2)/12), SQRT(1-O164)*SQRT(M164^2+(P164^2)/12))</f>
        <v>6.24466629245531</v>
      </c>
      <c r="AP164" s="488" t="n">
        <f aca="false">Rdson3*AO164^2</f>
        <v>0.0740921284978424</v>
      </c>
      <c r="AQ164" s="488" t="n">
        <f aca="false">CHOOSE(J164, 0, IF(L164&lt;P164/2,Deadtime*Fsw*IF(VfdSky_Q3&gt;0,0,Vsd_Q3)*(L164+P164/2), 2*Deadtime*Fsw*IF(VfdSky_Q3&gt;0,0,Vsd_Q3)*L164), IF(L164&lt;P164/2,Deadtime*Fsw/2*IF(VfdSky_Q3&gt;0,0,Vsd_Q3)*(L164+P164/2), 2*Deadtime*Fsw/2*IF(VfdSky_Q3&gt;0,0,Vsd_Q3)*L164))</f>
        <v>0</v>
      </c>
      <c r="AR164" s="488" t="n">
        <f aca="false">(AQ164+AP164*(1+RdsonBotTc*Ta-RdsonBotTc*25))/(1-AP164*RdsonBotTc*ThetaJA_Q3)</f>
        <v>0.07520657148958</v>
      </c>
      <c r="AS164" s="488" t="n">
        <f aca="false">CHOOSE(J164, Rdson3*Q164^2, Rdson1*Q164^2, 0)</f>
        <v>0.0740921284978424</v>
      </c>
      <c r="AT164" s="488" t="n">
        <f aca="false">CHOOSE(J164, 2*Deadtime*Fsw*IF(VfdSky_Q2&gt;0,VfdSky_Q2,0)*K164, 2*Deadtime*Fsw*IF(VfdSky_Q3&gt;0,VfdSky_Q3,0)*L164, 2*Deadtime*Fsw/2*IF(VfdSky_Q2&gt;0,VfdSky_Q2,0)*K164+2*Deadtime*Fsw/2*IF(VfdSky_Q3&gt;0,VfdSky_Q3,0)*L164)</f>
        <v>0</v>
      </c>
      <c r="AU164" s="488" t="n">
        <f aca="false">CHOOSE(J164, IF(QrrSky_Q2&gt;0,QrrSky_Q2,Qrr_Q2)*Fsw*(H164-K164*Rdson1), IF(QrrSky_Q3&gt;0,QrrSky_Q3,Qrr_Q3)*Fsw*Vout,  IF(QrrSky_Q2&gt;0,QrrSky_Q2,Qrr_Q2)*Fsw/2*(H164-K164*Rdson1)+IF(QrrSky_Q3&gt;0,QrrSky_Q3,Qrr_Q3)*Fsw/2*Vout)</f>
        <v>0.75724362</v>
      </c>
      <c r="AV164" s="488" t="n">
        <f aca="false">CHOOSE(J164, Rs*AF164^2, Rs*AJ164^2, Rs*(AF164^2+AJ164^2))</f>
        <v>0.21792689241511</v>
      </c>
      <c r="AW164" s="488" t="n">
        <f aca="false">Rshunt_std/1000*Iout^2</f>
        <v>0.14832</v>
      </c>
      <c r="AX164" s="488" t="n">
        <f aca="false">IF(Vout&gt;8, Iq*Vout, Iq*H164)</f>
        <v>0.036</v>
      </c>
      <c r="AY164" s="488" t="n">
        <f aca="false">CHOOSE(J164, (Qg_Q1+Qg_Q2)*Fsw, (Qg_Q3+Qg_Q4)*Fsw, (Qg_Q1+Qg_Q2+Qg_Q3+Qg_Q4)*Fsw/2)*IF(Vout&gt;8, Vout, H164)</f>
        <v>0.0792</v>
      </c>
      <c r="AZ164" s="488" t="n">
        <f aca="false">(Vin-Vdd)*Fsw*(Qg_Q1+Qg_Q2)+(RdsonDRT+RdsonDRT2)*Fsw*Qg_Q1*Vdd/(RdsonDRT+2*Rgate1+RdsonDRT2)+(RdsonDRB+RdsonDRB2)*Fsw*Qg_Q2*Vdd/(RdsonDRB+2*Rgate2+RdsonDRB2)</f>
        <v>0.0522</v>
      </c>
      <c r="BA164" s="488" t="n">
        <f aca="false">SUM(AX164:AY164)</f>
        <v>0.1152</v>
      </c>
      <c r="BB164" s="488" t="n">
        <f aca="false">SUM(T164,W164,Z164,AE164,AI164,AN164,AR164, AT164,AU164,BA164,AV164,AW164)</f>
        <v>3.1365384060971</v>
      </c>
      <c r="BC164" s="419" t="n">
        <f aca="false">Vout*K164</f>
        <v>72</v>
      </c>
      <c r="BD164" s="589" t="n">
        <f aca="false">BC164/(BC164+BB164)</f>
        <v>0.95825548431384</v>
      </c>
      <c r="BE164" s="590" t="n">
        <f aca="false">IF(H164&gt;Vout,ThetaJA_Q1*(AE164+AU164),ThetaJA_Q4*(AN164+AU164))</f>
        <v>53.6751839202706</v>
      </c>
      <c r="BF164" s="590" t="n">
        <f aca="false">IF(H164&gt;Vout, AI164*ThetaJA_Q2, ThetaJA_Q3*AR164)</f>
        <v>15.4432285523234</v>
      </c>
      <c r="BG164" s="536"/>
      <c r="BH164" s="385" t="n">
        <f aca="false">BD164*100</f>
        <v>95.825548431384</v>
      </c>
      <c r="BI164" s="488" t="n">
        <f aca="false">T164</f>
        <v>1.16611431870941</v>
      </c>
      <c r="BJ164" s="488" t="n">
        <f aca="false">AE164+AI164+AN164+AR164+AU164</f>
        <v>1.45757482094146</v>
      </c>
      <c r="BK164" s="488" t="n">
        <f aca="false">AI164+AU164*0.33</f>
        <v>0.558754965646469</v>
      </c>
      <c r="BL164" s="488" t="n">
        <f aca="false">AV164</f>
        <v>0.21792689241511</v>
      </c>
    </row>
    <row r="165" customFormat="false" ht="12.75" hidden="false" customHeight="false" outlineLevel="0" collapsed="false">
      <c r="G165" s="0" t="n">
        <v>156</v>
      </c>
      <c r="H165" s="586" t="n">
        <f aca="false">VIN_min+(VIN_max-VIN_min)*(G165/200)</f>
        <v>40.32</v>
      </c>
      <c r="I165" s="385" t="str">
        <f aca="false">IF(H165&gt;VIN_BB_to_buck, "BUCK", IF(H165&lt;VIN_boost_to_BB,"BOOST","BUCK-BST"))</f>
        <v>BUCK</v>
      </c>
      <c r="J165" s="419" t="n">
        <f aca="false">IF(I165="BOOST",2, IF(I165="BUCK", 1,3))</f>
        <v>1</v>
      </c>
      <c r="K165" s="0" t="n">
        <f aca="false">Iout</f>
        <v>6</v>
      </c>
      <c r="L165" s="385" t="n">
        <f aca="false">Vout*K165/(H165*Efficiency)</f>
        <v>1.98412698412698</v>
      </c>
      <c r="M165" s="385" t="n">
        <f aca="false">Iout/(1-O165)</f>
        <v>6</v>
      </c>
      <c r="N165" s="488" t="n">
        <f aca="false">CHOOSE(J165,(Vout+(Rdson2+Rs+Rdcr)*K165)/(H165+(Rs+Rdson2-Rdson1)*K165),1,IF(H165&lt;Vout,D_max_buck_BB,Vout/H165*(1-D_min_boost_exitBB_to_buck)))</f>
        <v>0.299799346016647</v>
      </c>
      <c r="O165" s="488" t="n">
        <f aca="false">CHOOSE(J165,0,(Vout+(Rdson3+Rdcr)*L165-H165)/(Vout+(Rdson3-Rdson4-Rs)*L165),IF(H165&gt;Vout,D_min_boost_exitBB_to_buck, (Vout-H165*D_max_buck_BB)/Vout))</f>
        <v>0</v>
      </c>
      <c r="P165" s="385" t="n">
        <f aca="false">MAX(0, CHOOSE(J165, (H165-(Rdson1+Rdcr)*K165-Vout)*N165/(Fsw*Lf), (H165-(Rdson4+Rdcr+Rs)*L165)*O165/(Fsw*Lf), IF(H165&lt;Vout, (H165-(Rdson4+Rdcr+Rs)*L165)*O165/(0.5*Fsw*Lf),(H165-(Rdson1+Rdcr)*K165-Vout)*N165/(0.5*Fsw*Lf))))</f>
        <v>6.00995629411542</v>
      </c>
      <c r="Q165" s="488" t="n">
        <f aca="false">CHOOSE(J165, SQRT(K165^2+(P165^2)/12), SQRT(L165^2+(P165^2)/12), SQRT(M165^2+(P165^2)/12))</f>
        <v>6.24579575032396</v>
      </c>
      <c r="R165" s="488" t="n">
        <f aca="false">(Q165^2*Rdcr*(1+Ltc*Ta-Ltc*25))/(1-Q165^2*Rdcr*Ltc*ThetaCa)</f>
        <v>0.132064067569884</v>
      </c>
      <c r="S165" s="488" t="n">
        <f aca="false">7.759*10^-3*Fsw^0.9458*(0.00787*P165)^2.304</f>
        <v>1.03971024820549</v>
      </c>
      <c r="T165" s="488" t="n">
        <f aca="false">R165+S165</f>
        <v>1.17177431577537</v>
      </c>
      <c r="U165" s="385" t="n">
        <f aca="false">IF(H165&gt;Vout, P165/SQRT(12), SQRT(O165/(1-O165))*SQRT(K165^2+(P165^2)/12))</f>
        <v>1.73492494211271</v>
      </c>
      <c r="V165" s="488" t="n">
        <f aca="false">RCoutEsr*U165^2</f>
        <v>0.015049822773824</v>
      </c>
      <c r="W165" s="488" t="n">
        <f aca="false">V165</f>
        <v>0.015049822773824</v>
      </c>
      <c r="X165" s="488" t="n">
        <f aca="false">IF(H165&gt;Vout, SQRT(N165*(1-N165))*SQRT(K165^2+(P165^2)/12), P165/SQRT(12))</f>
        <v>2.86163589297612</v>
      </c>
      <c r="Y165" s="587" t="n">
        <f aca="false">RCinEsr*X165^2</f>
        <v>0.0163779199679385</v>
      </c>
      <c r="Z165" s="588" t="n">
        <f aca="false">Y165</f>
        <v>0.0163779199679385</v>
      </c>
      <c r="AA165" s="488" t="n">
        <f aca="false">CHOOSE(J165, SQRT(N165)*SQRT(K165^2+(P165^2)/12), SQRT(L165^2+(P165^2)/12), SQRT(N165)*SQRT(M165^2+(P165^2)/12))</f>
        <v>3.41981898083087</v>
      </c>
      <c r="AB165" s="488" t="n">
        <f aca="false">Rdson1*AA165^2</f>
        <v>0.066662422611411</v>
      </c>
      <c r="AC165" s="488" t="n">
        <f aca="false">CHOOSE(J165, (H165*K165/2)*(Fsw)*(Tr_buck+Tf_buck), 0, (H165*M165/2)*(Fsw/2)*(Tr_buck+Tf_buck))</f>
        <v>0.246362720229555</v>
      </c>
      <c r="AD165" s="0" t="n">
        <f aca="false">IF(H165&gt;Vout, IF(K165&gt;P165/2,0,ABS(K165-P165/2)*Vsd_Q1*Deadtime*Fsw),0)</f>
        <v>0</v>
      </c>
      <c r="AE165" s="488" t="n">
        <f aca="false">(AD165+AC165+AB165*(1+RdsonTopTc*Ta-RdsonTopTc*25))/(1-AB165*RdsonTopTc*ThetaJA_Q1)</f>
        <v>0.317254939410271</v>
      </c>
      <c r="AF165" s="488" t="n">
        <f aca="false">CHOOSE(J165, SQRT((1-N165))*SQRT(K165^2+(P165^2)/12), 0, SQRT((1-N165))*SQRT(M165^2+(P165^2)/12))</f>
        <v>5.22635654094836</v>
      </c>
      <c r="AG165" s="488" t="n">
        <f aca="false">Rdson2*AF165^2</f>
        <v>0.155694375350748</v>
      </c>
      <c r="AH165" s="488" t="n">
        <f aca="false">CHOOSE(J165, IF(K165&lt;P165/2,Deadtime*Fsw*IF(VfdSky_Q2&gt;0,0,Vsd_Q2)*(K165+P165/2),2*Deadtime*Fsw*IF(VfdSky_Q2&gt;0,0,Vsd_Q2)*K165),0, IF(K165&lt;P165/2,Deadtime*Fsw/2*IF(VfdSky_Q2&gt;0,0,Vsd_Q2)*(K165+P165/2),2*Deadtime*Fsw/2*IF(VfdSky_Q2&gt;0,0,Vsd_Q2)*K165))</f>
        <v>0.144</v>
      </c>
      <c r="AI165" s="488" t="n">
        <f aca="false">(AH165+AG165*(1+RdsonBotTc*Ta-RdsonBotTc*25))/(1-AG165*RdsonBotTc*ThetaJA_Q2)</f>
        <v>0.309326453130677</v>
      </c>
      <c r="AJ165" s="488" t="n">
        <f aca="false">CHOOSE(J165, 0, SQRT(O165)*SQRT(L165^2+(P165^2)/12), SQRT(O165)*SQRT(M165^2+(P165^2)/12))</f>
        <v>0</v>
      </c>
      <c r="AK165" s="488" t="n">
        <f aca="false">Rdson4*AJ165^2</f>
        <v>0</v>
      </c>
      <c r="AL165" s="488" t="n">
        <f aca="false">CHOOSE(J165, 0, (Vout*L165/2)*(Fsw)*(Tr_boost+Tf_boost), (Vout*Iout/2)*(Fsw/2)*(Tr_boost+Tf_boost))</f>
        <v>0</v>
      </c>
      <c r="AM165" s="0" t="n">
        <f aca="false">IF(H165&gt;Vout, 0, IF(L165&gt;P165/2,0,ABS(L165-P165/2)*Vsd_Q4*Deadtime*Fsw))</f>
        <v>0</v>
      </c>
      <c r="AN165" s="488" t="n">
        <f aca="false">(AM165+AL165+AK165*(1+RdsonTopTc*Ta-RdsonTopTc*25))/(1-AK165*RdsonTopTc*ThetaJA_Q4)</f>
        <v>0</v>
      </c>
      <c r="AO165" s="488" t="n">
        <f aca="false">CHOOSE(J165, SQRT(Iout^2+(P165^2)/12), SQRT(1-O165)*SQRT(L165^2+(P165^2)/12), SQRT(1-O165)*SQRT(M165^2+(P165^2)/12))</f>
        <v>6.24579575032396</v>
      </c>
      <c r="AP165" s="488" t="n">
        <f aca="false">Rdson3*AO165^2</f>
        <v>0.0741189326540531</v>
      </c>
      <c r="AQ165" s="488" t="n">
        <f aca="false">CHOOSE(J165, 0, IF(L165&lt;P165/2,Deadtime*Fsw*IF(VfdSky_Q3&gt;0,0,Vsd_Q3)*(L165+P165/2), 2*Deadtime*Fsw*IF(VfdSky_Q3&gt;0,0,Vsd_Q3)*L165), IF(L165&lt;P165/2,Deadtime*Fsw/2*IF(VfdSky_Q3&gt;0,0,Vsd_Q3)*(L165+P165/2), 2*Deadtime*Fsw/2*IF(VfdSky_Q3&gt;0,0,Vsd_Q3)*L165))</f>
        <v>0</v>
      </c>
      <c r="AR165" s="488" t="n">
        <f aca="false">(AQ165+AP165*(1+RdsonBotTc*Ta-RdsonBotTc*25))/(1-AP165*RdsonBotTc*ThetaJA_Q3)</f>
        <v>0.075234188199745</v>
      </c>
      <c r="AS165" s="488" t="n">
        <f aca="false">CHOOSE(J165, Rdson3*Q165^2, Rdson1*Q165^2, 0)</f>
        <v>0.0741189326540531</v>
      </c>
      <c r="AT165" s="488" t="n">
        <f aca="false">CHOOSE(J165, 2*Deadtime*Fsw*IF(VfdSky_Q2&gt;0,VfdSky_Q2,0)*K165, 2*Deadtime*Fsw*IF(VfdSky_Q3&gt;0,VfdSky_Q3,0)*L165, 2*Deadtime*Fsw/2*IF(VfdSky_Q2&gt;0,VfdSky_Q2,0)*K165+2*Deadtime*Fsw/2*IF(VfdSky_Q3&gt;0,VfdSky_Q3,0)*L165)</f>
        <v>0</v>
      </c>
      <c r="AU165" s="488" t="n">
        <f aca="false">CHOOSE(J165, IF(QrrSky_Q2&gt;0,QrrSky_Q2,Qrr_Q2)*Fsw*(H165-K165*Rdson1), IF(QrrSky_Q3&gt;0,QrrSky_Q3,Qrr_Q3)*Fsw*Vout,  IF(QrrSky_Q2&gt;0,QrrSky_Q2,Qrr_Q2)*Fsw/2*(H165-K165*Rdson1)+IF(QrrSky_Q3&gt;0,QrrSky_Q3,Qrr_Q3)*Fsw/2*Vout)</f>
        <v>0.76140162</v>
      </c>
      <c r="AV165" s="488" t="n">
        <f aca="false">CHOOSE(J165, Rs*AF165^2, Rs*AJ165^2, Rs*(AF165^2+AJ165^2))</f>
        <v>0.21851842154491</v>
      </c>
      <c r="AW165" s="488" t="n">
        <f aca="false">Rshunt_std/1000*Iout^2</f>
        <v>0.14832</v>
      </c>
      <c r="AX165" s="488" t="n">
        <f aca="false">IF(Vout&gt;8, Iq*Vout, Iq*H165)</f>
        <v>0.036</v>
      </c>
      <c r="AY165" s="488" t="n">
        <f aca="false">CHOOSE(J165, (Qg_Q1+Qg_Q2)*Fsw, (Qg_Q3+Qg_Q4)*Fsw, (Qg_Q1+Qg_Q2+Qg_Q3+Qg_Q4)*Fsw/2)*IF(Vout&gt;8, Vout, H165)</f>
        <v>0.0792</v>
      </c>
      <c r="AZ165" s="488" t="n">
        <f aca="false">(Vin-Vdd)*Fsw*(Qg_Q1+Qg_Q2)+(RdsonDRT+RdsonDRT2)*Fsw*Qg_Q1*Vdd/(RdsonDRT+2*Rgate1+RdsonDRT2)+(RdsonDRB+RdsonDRB2)*Fsw*Qg_Q2*Vdd/(RdsonDRB+2*Rgate2+RdsonDRB2)</f>
        <v>0.0522</v>
      </c>
      <c r="BA165" s="488" t="n">
        <f aca="false">SUM(AX165:AY165)</f>
        <v>0.1152</v>
      </c>
      <c r="BB165" s="488" t="n">
        <f aca="false">SUM(T165,W165,Z165,AE165,AI165,AN165,AR165, AT165,AU165,BA165,AV165,AW165)</f>
        <v>3.14845768080274</v>
      </c>
      <c r="BC165" s="419" t="n">
        <f aca="false">Vout*K165</f>
        <v>72</v>
      </c>
      <c r="BD165" s="589" t="n">
        <f aca="false">BC165/(BC165+BB165)</f>
        <v>0.958103495694137</v>
      </c>
      <c r="BE165" s="590" t="n">
        <f aca="false">IF(H165&gt;Vout,ThetaJA_Q1*(AE165+AU165),ThetaJA_Q4*(AN165+AU165))</f>
        <v>53.9328279705136</v>
      </c>
      <c r="BF165" s="590" t="n">
        <f aca="false">IF(H165&gt;Vout, AI165*ThetaJA_Q2, ThetaJA_Q3*AR165)</f>
        <v>15.4663226565338</v>
      </c>
      <c r="BG165" s="536"/>
      <c r="BH165" s="385" t="n">
        <f aca="false">BD165*100</f>
        <v>95.8103495694137</v>
      </c>
      <c r="BI165" s="488" t="n">
        <f aca="false">T165</f>
        <v>1.17177431577537</v>
      </c>
      <c r="BJ165" s="488" t="n">
        <f aca="false">AE165+AI165+AN165+AR165+AU165</f>
        <v>1.46321720074069</v>
      </c>
      <c r="BK165" s="488" t="n">
        <f aca="false">AI165+AU165*0.33</f>
        <v>0.560588987730677</v>
      </c>
      <c r="BL165" s="488" t="n">
        <f aca="false">AV165</f>
        <v>0.21851842154491</v>
      </c>
    </row>
    <row r="166" customFormat="false" ht="12.75" hidden="false" customHeight="false" outlineLevel="0" collapsed="false">
      <c r="G166" s="0" t="n">
        <v>157</v>
      </c>
      <c r="H166" s="586" t="n">
        <f aca="false">VIN_min+(VIN_max-VIN_min)*(G166/200)</f>
        <v>40.54</v>
      </c>
      <c r="I166" s="385" t="str">
        <f aca="false">IF(H166&gt;VIN_BB_to_buck, "BUCK", IF(H166&lt;VIN_boost_to_BB,"BOOST","BUCK-BST"))</f>
        <v>BUCK</v>
      </c>
      <c r="J166" s="419" t="n">
        <f aca="false">IF(I166="BOOST",2, IF(I166="BUCK", 1,3))</f>
        <v>1</v>
      </c>
      <c r="K166" s="0" t="n">
        <f aca="false">Iout</f>
        <v>6</v>
      </c>
      <c r="L166" s="385" t="n">
        <f aca="false">Vout*K166/(H166*Efficiency)</f>
        <v>1.97335964479526</v>
      </c>
      <c r="M166" s="385" t="n">
        <f aca="false">Iout/(1-O166)</f>
        <v>6</v>
      </c>
      <c r="N166" s="488" t="n">
        <f aca="false">CHOOSE(J166,(Vout+(Rdson2+Rs+Rdcr)*K166)/(H166+(Rs+Rdson2-Rdson1)*K166),1,IF(H166&lt;Vout,D_max_buck_BB,Vout/H166*(1-D_min_boost_exitBB_to_buck)))</f>
        <v>0.298174337242535</v>
      </c>
      <c r="O166" s="488" t="n">
        <f aca="false">CHOOSE(J166,0,(Vout+(Rdson3+Rdcr)*L166-H166)/(Vout+(Rdson3-Rdson4-Rs)*L166),IF(H166&gt;Vout,D_min_boost_exitBB_to_buck, (Vout-H166*D_max_buck_BB)/Vout))</f>
        <v>0</v>
      </c>
      <c r="P166" s="385" t="n">
        <f aca="false">MAX(0, CHOOSE(J166, (H166-(Rdson1+Rdcr)*K166-Vout)*N166/(Fsw*Lf), (H166-(Rdson4+Rdcr+Rs)*L166)*O166/(Fsw*Lf), IF(H166&lt;Vout, (H166-(Rdson4+Rdcr+Rs)*L166)*O166/(0.5*Fsw*Lf),(H166-(Rdson1+Rdcr)*K166-Vout)*N166/(0.5*Fsw*Lf))))</f>
        <v>6.02390405559551</v>
      </c>
      <c r="Q166" s="488" t="n">
        <f aca="false">CHOOSE(J166, SQRT(K166^2+(P166^2)/12), SQRT(L166^2+(P166^2)/12), SQRT(M166^2+(P166^2)/12))</f>
        <v>6.24691537261271</v>
      </c>
      <c r="R166" s="488" t="n">
        <f aca="false">(Q166^2*Rdcr*(1+Ltc*Ta-Ltc*25))/(1-Q166^2*Rdcr*Ltc*ThetaCa)</f>
        <v>0.132111919922984</v>
      </c>
      <c r="S166" s="488" t="n">
        <f aca="false">7.759*10^-3*Fsw^0.9458*(0.00787*P166)^2.304</f>
        <v>1.04527806332705</v>
      </c>
      <c r="T166" s="488" t="n">
        <f aca="false">R166+S166</f>
        <v>1.17738998325004</v>
      </c>
      <c r="U166" s="385" t="n">
        <f aca="false">IF(H166&gt;Vout, P166/SQRT(12), SQRT(O166/(1-O166))*SQRT(K166^2+(P166^2)/12))</f>
        <v>1.73895131403527</v>
      </c>
      <c r="V166" s="488" t="n">
        <f aca="false">RCoutEsr*U166^2</f>
        <v>0.015119758362925</v>
      </c>
      <c r="W166" s="488" t="n">
        <f aca="false">V166</f>
        <v>0.015119758362925</v>
      </c>
      <c r="X166" s="488" t="n">
        <f aca="false">IF(H166&gt;Vout, SQRT(N166*(1-N166))*SQRT(K166^2+(P166^2)/12), P166/SQRT(12))</f>
        <v>2.85769171755599</v>
      </c>
      <c r="Y166" s="587" t="n">
        <f aca="false">RCinEsr*X166^2</f>
        <v>0.0163328039051762</v>
      </c>
      <c r="Z166" s="588" t="n">
        <f aca="false">Y166</f>
        <v>0.0163328039051762</v>
      </c>
      <c r="AA166" s="488" t="n">
        <f aca="false">CHOOSE(J166, SQRT(N166)*SQRT(K166^2+(P166^2)/12), SQRT(L166^2+(P166^2)/12), SQRT(N166)*SQRT(M166^2+(P166^2)/12))</f>
        <v>3.41114950222909</v>
      </c>
      <c r="AB166" s="488" t="n">
        <f aca="false">Rdson1*AA166^2</f>
        <v>0.0663248632813791</v>
      </c>
      <c r="AC166" s="488" t="n">
        <f aca="false">CHOOSE(J166, (H166*K166/2)*(Fsw)*(Tr_buck+Tf_buck), 0, (H166*M166/2)*(Fsw/2)*(Tr_buck+Tf_buck))</f>
        <v>0.247706961262554</v>
      </c>
      <c r="AD166" s="0" t="n">
        <f aca="false">IF(H166&gt;Vout, IF(K166&gt;P166/2,0,ABS(K166-P166/2)*Vsd_Q1*Deadtime*Fsw),0)</f>
        <v>0</v>
      </c>
      <c r="AE166" s="488" t="n">
        <f aca="false">(AD166+AC166+AB166*(1+RdsonTopTc*Ta-RdsonTopTc*25))/(1-AB166*RdsonTopTc*ThetaJA_Q1)</f>
        <v>0.318253447827125</v>
      </c>
      <c r="AF166" s="488" t="n">
        <f aca="false">CHOOSE(J166, SQRT((1-N166))*SQRT(K166^2+(P166^2)/12), 0, SQRT((1-N166))*SQRT(M166^2+(P166^2)/12))</f>
        <v>5.23335559139901</v>
      </c>
      <c r="AG166" s="488" t="n">
        <f aca="false">Rdson2*AF166^2</f>
        <v>0.156111661252355</v>
      </c>
      <c r="AH166" s="488" t="n">
        <f aca="false">CHOOSE(J166, IF(K166&lt;P166/2,Deadtime*Fsw*IF(VfdSky_Q2&gt;0,0,Vsd_Q2)*(K166+P166/2),2*Deadtime*Fsw*IF(VfdSky_Q2&gt;0,0,Vsd_Q2)*K166),0, IF(K166&lt;P166/2,Deadtime*Fsw/2*IF(VfdSky_Q2&gt;0,0,Vsd_Q2)*(K166+P166/2),2*Deadtime*Fsw/2*IF(VfdSky_Q2&gt;0,0,Vsd_Q2)*K166))</f>
        <v>0.144</v>
      </c>
      <c r="AI166" s="488" t="n">
        <f aca="false">(AH166+AG166*(1+RdsonBotTc*Ta-RdsonBotTc*25))/(1-AG166*RdsonBotTc*ThetaJA_Q2)</f>
        <v>0.309783835076953</v>
      </c>
      <c r="AJ166" s="488" t="n">
        <f aca="false">CHOOSE(J166, 0, SQRT(O166)*SQRT(L166^2+(P166^2)/12), SQRT(O166)*SQRT(M166^2+(P166^2)/12))</f>
        <v>0</v>
      </c>
      <c r="AK166" s="488" t="n">
        <f aca="false">Rdson4*AJ166^2</f>
        <v>0</v>
      </c>
      <c r="AL166" s="488" t="n">
        <f aca="false">CHOOSE(J166, 0, (Vout*L166/2)*(Fsw)*(Tr_boost+Tf_boost), (Vout*Iout/2)*(Fsw/2)*(Tr_boost+Tf_boost))</f>
        <v>0</v>
      </c>
      <c r="AM166" s="0" t="n">
        <f aca="false">IF(H166&gt;Vout, 0, IF(L166&gt;P166/2,0,ABS(L166-P166/2)*Vsd_Q4*Deadtime*Fsw))</f>
        <v>0</v>
      </c>
      <c r="AN166" s="488" t="n">
        <f aca="false">(AM166+AL166+AK166*(1+RdsonTopTc*Ta-RdsonTopTc*25))/(1-AK166*RdsonTopTc*ThetaJA_Q4)</f>
        <v>0</v>
      </c>
      <c r="AO166" s="488" t="n">
        <f aca="false">CHOOSE(J166, SQRT(Iout^2+(P166^2)/12), SQRT(1-O166)*SQRT(L166^2+(P166^2)/12), SQRT(1-O166)*SQRT(M166^2+(P166^2)/12))</f>
        <v>6.24691537261271</v>
      </c>
      <c r="AP166" s="488" t="n">
        <f aca="false">Rdson3*AO166^2</f>
        <v>0.0741455081779115</v>
      </c>
      <c r="AQ166" s="488" t="n">
        <f aca="false">CHOOSE(J166, 0, IF(L166&lt;P166/2,Deadtime*Fsw*IF(VfdSky_Q3&gt;0,0,Vsd_Q3)*(L166+P166/2), 2*Deadtime*Fsw*IF(VfdSky_Q3&gt;0,0,Vsd_Q3)*L166), IF(L166&lt;P166/2,Deadtime*Fsw/2*IF(VfdSky_Q3&gt;0,0,Vsd_Q3)*(L166+P166/2), 2*Deadtime*Fsw/2*IF(VfdSky_Q3&gt;0,0,Vsd_Q3)*L166))</f>
        <v>0</v>
      </c>
      <c r="AR166" s="488" t="n">
        <f aca="false">(AQ166+AP166*(1+RdsonBotTc*Ta-RdsonBotTc*25))/(1-AP166*RdsonBotTc*ThetaJA_Q3)</f>
        <v>0.0752615696434071</v>
      </c>
      <c r="AS166" s="488" t="n">
        <f aca="false">CHOOSE(J166, Rdson3*Q166^2, Rdson1*Q166^2, 0)</f>
        <v>0.0741455081779115</v>
      </c>
      <c r="AT166" s="488" t="n">
        <f aca="false">CHOOSE(J166, 2*Deadtime*Fsw*IF(VfdSky_Q2&gt;0,VfdSky_Q2,0)*K166, 2*Deadtime*Fsw*IF(VfdSky_Q3&gt;0,VfdSky_Q3,0)*L166, 2*Deadtime*Fsw/2*IF(VfdSky_Q2&gt;0,VfdSky_Q2,0)*K166+2*Deadtime*Fsw/2*IF(VfdSky_Q3&gt;0,VfdSky_Q3,0)*L166)</f>
        <v>0</v>
      </c>
      <c r="AU166" s="488" t="n">
        <f aca="false">CHOOSE(J166, IF(QrrSky_Q2&gt;0,QrrSky_Q2,Qrr_Q2)*Fsw*(H166-K166*Rdson1), IF(QrrSky_Q3&gt;0,QrrSky_Q3,Qrr_Q3)*Fsw*Vout,  IF(QrrSky_Q2&gt;0,QrrSky_Q2,Qrr_Q2)*Fsw/2*(H166-K166*Rdson1)+IF(QrrSky_Q3&gt;0,QrrSky_Q3,Qrr_Q3)*Fsw/2*Vout)</f>
        <v>0.76555962</v>
      </c>
      <c r="AV166" s="488" t="n">
        <f aca="false">CHOOSE(J166, Rs*AF166^2, Rs*AJ166^2, Rs*(AF166^2+AJ166^2))</f>
        <v>0.219104085968218</v>
      </c>
      <c r="AW166" s="488" t="n">
        <f aca="false">Rshunt_std/1000*Iout^2</f>
        <v>0.14832</v>
      </c>
      <c r="AX166" s="488" t="n">
        <f aca="false">IF(Vout&gt;8, Iq*Vout, Iq*H166)</f>
        <v>0.036</v>
      </c>
      <c r="AY166" s="488" t="n">
        <f aca="false">CHOOSE(J166, (Qg_Q1+Qg_Q2)*Fsw, (Qg_Q3+Qg_Q4)*Fsw, (Qg_Q1+Qg_Q2+Qg_Q3+Qg_Q4)*Fsw/2)*IF(Vout&gt;8, Vout, H166)</f>
        <v>0.0792</v>
      </c>
      <c r="AZ166" s="488" t="n">
        <f aca="false">(Vin-Vdd)*Fsw*(Qg_Q1+Qg_Q2)+(RdsonDRT+RdsonDRT2)*Fsw*Qg_Q1*Vdd/(RdsonDRT+2*Rgate1+RdsonDRT2)+(RdsonDRB+RdsonDRB2)*Fsw*Qg_Q2*Vdd/(RdsonDRB+2*Rgate2+RdsonDRB2)</f>
        <v>0.0522</v>
      </c>
      <c r="BA166" s="488" t="n">
        <f aca="false">SUM(AX166:AY166)</f>
        <v>0.1152</v>
      </c>
      <c r="BB166" s="488" t="n">
        <f aca="false">SUM(T166,W166,Z166,AE166,AI166,AN166,AR166, AT166,AU166,BA166,AV166,AW166)</f>
        <v>3.16032510403384</v>
      </c>
      <c r="BC166" s="419" t="n">
        <f aca="false">Vout*K166</f>
        <v>72</v>
      </c>
      <c r="BD166" s="589" t="n">
        <f aca="false">BC166/(BC166+BB166)</f>
        <v>0.957952216150483</v>
      </c>
      <c r="BE166" s="590" t="n">
        <f aca="false">IF(H166&gt;Vout,ThetaJA_Q1*(AE166+AU166),ThetaJA_Q4*(AN166+AU166))</f>
        <v>54.1906533913563</v>
      </c>
      <c r="BF166" s="590" t="n">
        <f aca="false">IF(H166&gt;Vout, AI166*ThetaJA_Q2, ThetaJA_Q3*AR166)</f>
        <v>15.4891917538477</v>
      </c>
      <c r="BG166" s="536"/>
      <c r="BH166" s="385" t="n">
        <f aca="false">BD166*100</f>
        <v>95.7952216150483</v>
      </c>
      <c r="BI166" s="488" t="n">
        <f aca="false">T166</f>
        <v>1.17738998325004</v>
      </c>
      <c r="BJ166" s="488" t="n">
        <f aca="false">AE166+AI166+AN166+AR166+AU166</f>
        <v>1.46885847254749</v>
      </c>
      <c r="BK166" s="488" t="n">
        <f aca="false">AI166+AU166*0.33</f>
        <v>0.562418509676953</v>
      </c>
      <c r="BL166" s="488" t="n">
        <f aca="false">AV166</f>
        <v>0.219104085968218</v>
      </c>
    </row>
    <row r="167" customFormat="false" ht="12.75" hidden="false" customHeight="false" outlineLevel="0" collapsed="false">
      <c r="G167" s="0" t="n">
        <v>158</v>
      </c>
      <c r="H167" s="586" t="n">
        <f aca="false">VIN_min+(VIN_max-VIN_min)*(G167/200)</f>
        <v>40.76</v>
      </c>
      <c r="I167" s="385" t="str">
        <f aca="false">IF(H167&gt;VIN_BB_to_buck, "BUCK", IF(H167&lt;VIN_boost_to_BB,"BOOST","BUCK-BST"))</f>
        <v>BUCK</v>
      </c>
      <c r="J167" s="419" t="n">
        <f aca="false">IF(I167="BOOST",2, IF(I167="BUCK", 1,3))</f>
        <v>1</v>
      </c>
      <c r="K167" s="0" t="n">
        <f aca="false">Iout</f>
        <v>6</v>
      </c>
      <c r="L167" s="385" t="n">
        <f aca="false">Vout*K167/(H167*Efficiency)</f>
        <v>1.96270853778214</v>
      </c>
      <c r="M167" s="385" t="n">
        <f aca="false">Iout/(1-O167)</f>
        <v>6</v>
      </c>
      <c r="N167" s="488" t="n">
        <f aca="false">CHOOSE(J167,(Vout+(Rdson2+Rs+Rdcr)*K167)/(H167+(Rs+Rdson2-Rdson1)*K167),1,IF(H167&lt;Vout,D_max_buck_BB,Vout/H167*(1-D_min_boost_exitBB_to_buck)))</f>
        <v>0.296566849637326</v>
      </c>
      <c r="O167" s="488" t="n">
        <f aca="false">CHOOSE(J167,0,(Vout+(Rdson3+Rdcr)*L167-H167)/(Vout+(Rdson3-Rdson4-Rs)*L167),IF(H167&gt;Vout,D_min_boost_exitBB_to_buck, (Vout-H167*D_max_buck_BB)/Vout))</f>
        <v>0</v>
      </c>
      <c r="P167" s="385" t="n">
        <f aca="false">MAX(0, CHOOSE(J167, (H167-(Rdson1+Rdcr)*K167-Vout)*N167/(Fsw*Lf), (H167-(Rdson4+Rdcr+Rs)*L167)*O167/(Fsw*Lf), IF(H167&lt;Vout, (H167-(Rdson4+Rdcr+Rs)*L167)*O167/(0.5*Fsw*Lf),(H167-(Rdson1+Rdcr)*K167-Vout)*N167/(0.5*Fsw*Lf))))</f>
        <v>6.03770142952779</v>
      </c>
      <c r="Q167" s="488" t="n">
        <f aca="false">CHOOSE(J167, SQRT(K167^2+(P167^2)/12), SQRT(L167^2+(P167^2)/12), SQRT(M167^2+(P167^2)/12))</f>
        <v>6.24802527838544</v>
      </c>
      <c r="R167" s="488" t="n">
        <f aca="false">(Q167^2*Rdcr*(1+Ltc*Ta-Ltc*25))/(1-Q167^2*Rdcr*Ltc*ThetaCa)</f>
        <v>0.132159365818678</v>
      </c>
      <c r="S167" s="488" t="n">
        <f aca="false">7.759*10^-3*Fsw^0.9458*(0.00787*P167)^2.304</f>
        <v>1.05080241002201</v>
      </c>
      <c r="T167" s="488" t="n">
        <f aca="false">R167+S167</f>
        <v>1.18296177584069</v>
      </c>
      <c r="U167" s="385" t="n">
        <f aca="false">IF(H167&gt;Vout, P167/SQRT(12), SQRT(O167/(1-O167))*SQRT(K167^2+(P167^2)/12))</f>
        <v>1.74293427281223</v>
      </c>
      <c r="V167" s="488" t="n">
        <f aca="false">RCoutEsr*U167^2</f>
        <v>0.0151890993967175</v>
      </c>
      <c r="W167" s="488" t="n">
        <f aca="false">V167</f>
        <v>0.0151890993967175</v>
      </c>
      <c r="X167" s="488" t="n">
        <f aca="false">IF(H167&gt;Vout, SQRT(N167*(1-N167))*SQRT(K167^2+(P167^2)/12), P167/SQRT(12))</f>
        <v>2.85374718087842</v>
      </c>
      <c r="Y167" s="587" t="n">
        <f aca="false">RCinEsr*X167^2</f>
        <v>0.016287745944743</v>
      </c>
      <c r="Z167" s="588" t="n">
        <f aca="false">Y167</f>
        <v>0.016287745944743</v>
      </c>
      <c r="AA167" s="488" t="n">
        <f aca="false">CHOOSE(J167, SQRT(N167)*SQRT(K167^2+(P167^2)/12), SQRT(L167^2+(P167^2)/12), SQRT(N167)*SQRT(M167^2+(P167^2)/12))</f>
        <v>3.40254658429922</v>
      </c>
      <c r="AB167" s="488" t="n">
        <f aca="false">Rdson1*AA167^2</f>
        <v>0.0659907425724598</v>
      </c>
      <c r="AC167" s="488" t="n">
        <f aca="false">CHOOSE(J167, (H167*K167/2)*(Fsw)*(Tr_buck+Tf_buck), 0, (H167*M167/2)*(Fsw/2)*(Tr_buck+Tf_buck))</f>
        <v>0.249051202295552</v>
      </c>
      <c r="AD167" s="0" t="n">
        <f aca="false">IF(H167&gt;Vout, IF(K167&gt;P167/2,0,ABS(K167-P167/2)*Vsd_Q1*Deadtime*Fsw),0)</f>
        <v>0</v>
      </c>
      <c r="AE167" s="488" t="n">
        <f aca="false">(AD167+AC167+AB167*(1+RdsonTopTc*Ta-RdsonTopTc*25))/(1-AB167*RdsonTopTc*ThetaJA_Q1)</f>
        <v>0.319255526723785</v>
      </c>
      <c r="AF167" s="488" t="n">
        <f aca="false">CHOOSE(J167, SQRT((1-N167))*SQRT(K167^2+(P167^2)/12), 0, SQRT((1-N167))*SQRT(M167^2+(P167^2)/12))</f>
        <v>5.24027638784609</v>
      </c>
      <c r="AG167" s="488" t="n">
        <f aca="false">Rdson2*AF167^2</f>
        <v>0.156524830739798</v>
      </c>
      <c r="AH167" s="488" t="n">
        <f aca="false">CHOOSE(J167, IF(K167&lt;P167/2,Deadtime*Fsw*IF(VfdSky_Q2&gt;0,0,Vsd_Q2)*(K167+P167/2),2*Deadtime*Fsw*IF(VfdSky_Q2&gt;0,0,Vsd_Q2)*K167),0, IF(K167&lt;P167/2,Deadtime*Fsw/2*IF(VfdSky_Q2&gt;0,0,Vsd_Q2)*(K167+P167/2),2*Deadtime*Fsw/2*IF(VfdSky_Q2&gt;0,0,Vsd_Q2)*K167))</f>
        <v>0.144</v>
      </c>
      <c r="AI167" s="488" t="n">
        <f aca="false">(AH167+AG167*(1+RdsonBotTc*Ta-RdsonBotTc*25))/(1-AG167*RdsonBotTc*ThetaJA_Q2)</f>
        <v>0.310236782720722</v>
      </c>
      <c r="AJ167" s="488" t="n">
        <f aca="false">CHOOSE(J167, 0, SQRT(O167)*SQRT(L167^2+(P167^2)/12), SQRT(O167)*SQRT(M167^2+(P167^2)/12))</f>
        <v>0</v>
      </c>
      <c r="AK167" s="488" t="n">
        <f aca="false">Rdson4*AJ167^2</f>
        <v>0</v>
      </c>
      <c r="AL167" s="488" t="n">
        <f aca="false">CHOOSE(J167, 0, (Vout*L167/2)*(Fsw)*(Tr_boost+Tf_boost), (Vout*Iout/2)*(Fsw/2)*(Tr_boost+Tf_boost))</f>
        <v>0</v>
      </c>
      <c r="AM167" s="0" t="n">
        <f aca="false">IF(H167&gt;Vout, 0, IF(L167&gt;P167/2,0,ABS(L167-P167/2)*Vsd_Q4*Deadtime*Fsw))</f>
        <v>0</v>
      </c>
      <c r="AN167" s="488" t="n">
        <f aca="false">(AM167+AL167+AK167*(1+RdsonTopTc*Ta-RdsonTopTc*25))/(1-AK167*RdsonTopTc*ThetaJA_Q4)</f>
        <v>0</v>
      </c>
      <c r="AO167" s="488" t="n">
        <f aca="false">CHOOSE(J167, SQRT(Iout^2+(P167^2)/12), SQRT(1-O167)*SQRT(L167^2+(P167^2)/12), SQRT(1-O167)*SQRT(M167^2+(P167^2)/12))</f>
        <v>6.24802527838544</v>
      </c>
      <c r="AP167" s="488" t="n">
        <f aca="false">Rdson3*AO167^2</f>
        <v>0.0741718577707526</v>
      </c>
      <c r="AQ167" s="488" t="n">
        <f aca="false">CHOOSE(J167, 0, IF(L167&lt;P167/2,Deadtime*Fsw*IF(VfdSky_Q3&gt;0,0,Vsd_Q3)*(L167+P167/2), 2*Deadtime*Fsw*IF(VfdSky_Q3&gt;0,0,Vsd_Q3)*L167), IF(L167&lt;P167/2,Deadtime*Fsw/2*IF(VfdSky_Q3&gt;0,0,Vsd_Q3)*(L167+P167/2), 2*Deadtime*Fsw/2*IF(VfdSky_Q3&gt;0,0,Vsd_Q3)*L167))</f>
        <v>0</v>
      </c>
      <c r="AR167" s="488" t="n">
        <f aca="false">(AQ167+AP167*(1+RdsonBotTc*Ta-RdsonBotTc*25))/(1-AP167*RdsonBotTc*ThetaJA_Q3)</f>
        <v>0.0752887185962452</v>
      </c>
      <c r="AS167" s="488" t="n">
        <f aca="false">CHOOSE(J167, Rdson3*Q167^2, Rdson1*Q167^2, 0)</f>
        <v>0.0741718577707526</v>
      </c>
      <c r="AT167" s="488" t="n">
        <f aca="false">CHOOSE(J167, 2*Deadtime*Fsw*IF(VfdSky_Q2&gt;0,VfdSky_Q2,0)*K167, 2*Deadtime*Fsw*IF(VfdSky_Q3&gt;0,VfdSky_Q3,0)*L167, 2*Deadtime*Fsw/2*IF(VfdSky_Q2&gt;0,VfdSky_Q2,0)*K167+2*Deadtime*Fsw/2*IF(VfdSky_Q3&gt;0,VfdSky_Q3,0)*L167)</f>
        <v>0</v>
      </c>
      <c r="AU167" s="488" t="n">
        <f aca="false">CHOOSE(J167, IF(QrrSky_Q2&gt;0,QrrSky_Q2,Qrr_Q2)*Fsw*(H167-K167*Rdson1), IF(QrrSky_Q3&gt;0,QrrSky_Q3,Qrr_Q3)*Fsw*Vout,  IF(QrrSky_Q2&gt;0,QrrSky_Q2,Qrr_Q2)*Fsw/2*(H167-K167*Rdson1)+IF(QrrSky_Q3&gt;0,QrrSky_Q3,Qrr_Q3)*Fsw/2*Vout)</f>
        <v>0.76971762</v>
      </c>
      <c r="AV167" s="488" t="n">
        <f aca="false">CHOOSE(J167, Rs*AF167^2, Rs*AJ167^2, Rs*(AF167^2+AJ167^2))</f>
        <v>0.219683972968138</v>
      </c>
      <c r="AW167" s="488" t="n">
        <f aca="false">Rshunt_std/1000*Iout^2</f>
        <v>0.14832</v>
      </c>
      <c r="AX167" s="488" t="n">
        <f aca="false">IF(Vout&gt;8, Iq*Vout, Iq*H167)</f>
        <v>0.036</v>
      </c>
      <c r="AY167" s="488" t="n">
        <f aca="false">CHOOSE(J167, (Qg_Q1+Qg_Q2)*Fsw, (Qg_Q3+Qg_Q4)*Fsw, (Qg_Q1+Qg_Q2+Qg_Q3+Qg_Q4)*Fsw/2)*IF(Vout&gt;8, Vout, H167)</f>
        <v>0.0792</v>
      </c>
      <c r="AZ167" s="488" t="n">
        <f aca="false">(Vin-Vdd)*Fsw*(Qg_Q1+Qg_Q2)+(RdsonDRT+RdsonDRT2)*Fsw*Qg_Q1*Vdd/(RdsonDRT+2*Rgate1+RdsonDRT2)+(RdsonDRB+RdsonDRB2)*Fsw*Qg_Q2*Vdd/(RdsonDRB+2*Rgate2+RdsonDRB2)</f>
        <v>0.0522</v>
      </c>
      <c r="BA167" s="488" t="n">
        <f aca="false">SUM(AX167:AY167)</f>
        <v>0.1152</v>
      </c>
      <c r="BB167" s="488" t="n">
        <f aca="false">SUM(T167,W167,Z167,AE167,AI167,AN167,AR167, AT167,AU167,BA167,AV167,AW167)</f>
        <v>3.17214124219104</v>
      </c>
      <c r="BC167" s="419" t="n">
        <f aca="false">Vout*K167</f>
        <v>72</v>
      </c>
      <c r="BD167" s="589" t="n">
        <f aca="false">BC167/(BC167+BB167)</f>
        <v>0.957801637817247</v>
      </c>
      <c r="BE167" s="590" t="n">
        <f aca="false">IF(H167&gt;Vout,ThetaJA_Q1*(AE167+AU167),ThetaJA_Q4*(AN167+AU167))</f>
        <v>54.4486573361893</v>
      </c>
      <c r="BF167" s="590" t="n">
        <f aca="false">IF(H167&gt;Vout, AI167*ThetaJA_Q2, ThetaJA_Q3*AR167)</f>
        <v>15.5118391360361</v>
      </c>
      <c r="BG167" s="536"/>
      <c r="BH167" s="385" t="n">
        <f aca="false">BD167*100</f>
        <v>95.7801637817247</v>
      </c>
      <c r="BI167" s="488" t="n">
        <f aca="false">T167</f>
        <v>1.18296177584069</v>
      </c>
      <c r="BJ167" s="488" t="n">
        <f aca="false">AE167+AI167+AN167+AR167+AU167</f>
        <v>1.47449864804075</v>
      </c>
      <c r="BK167" s="488" t="n">
        <f aca="false">AI167+AU167*0.33</f>
        <v>0.564243597320722</v>
      </c>
      <c r="BL167" s="488" t="n">
        <f aca="false">AV167</f>
        <v>0.219683972968138</v>
      </c>
    </row>
    <row r="168" customFormat="false" ht="12.75" hidden="false" customHeight="false" outlineLevel="0" collapsed="false">
      <c r="G168" s="0" t="n">
        <v>159</v>
      </c>
      <c r="H168" s="586" t="n">
        <f aca="false">VIN_min+(VIN_max-VIN_min)*(G168/200)</f>
        <v>40.98</v>
      </c>
      <c r="I168" s="385" t="str">
        <f aca="false">IF(H168&gt;VIN_BB_to_buck, "BUCK", IF(H168&lt;VIN_boost_to_BB,"BOOST","BUCK-BST"))</f>
        <v>BUCK</v>
      </c>
      <c r="J168" s="419" t="n">
        <f aca="false">IF(I168="BOOST",2, IF(I168="BUCK", 1,3))</f>
        <v>1</v>
      </c>
      <c r="K168" s="0" t="n">
        <f aca="false">Iout</f>
        <v>6</v>
      </c>
      <c r="L168" s="385" t="n">
        <f aca="false">Vout*K168/(H168*Efficiency)</f>
        <v>1.95217179111762</v>
      </c>
      <c r="M168" s="385" t="n">
        <f aca="false">Iout/(1-O168)</f>
        <v>6</v>
      </c>
      <c r="N168" s="488" t="n">
        <f aca="false">CHOOSE(J168,(Vout+(Rdson2+Rs+Rdcr)*K168)/(H168+(Rs+Rdson2-Rdson1)*K168),1,IF(H168&lt;Vout,D_max_buck_BB,Vout/H168*(1-D_min_boost_exitBB_to_buck)))</f>
        <v>0.294976601345423</v>
      </c>
      <c r="O168" s="488" t="n">
        <f aca="false">CHOOSE(J168,0,(Vout+(Rdson3+Rdcr)*L168-H168)/(Vout+(Rdson3-Rdson4-Rs)*L168),IF(H168&gt;Vout,D_min_boost_exitBB_to_buck, (Vout-H168*D_max_buck_BB)/Vout))</f>
        <v>0</v>
      </c>
      <c r="P168" s="385" t="n">
        <f aca="false">MAX(0, CHOOSE(J168, (H168-(Rdson1+Rdcr)*K168-Vout)*N168/(Fsw*Lf), (H168-(Rdson4+Rdcr+Rs)*L168)*O168/(Fsw*Lf), IF(H168&lt;Vout, (H168-(Rdson4+Rdcr+Rs)*L168)*O168/(0.5*Fsw*Lf),(H168-(Rdson1+Rdcr)*K168-Vout)*N168/(0.5*Fsw*Lf))))</f>
        <v>6.05135083513283</v>
      </c>
      <c r="Q168" s="488" t="n">
        <f aca="false">CHOOSE(J168, SQRT(K168^2+(P168^2)/12), SQRT(L168^2+(P168^2)/12), SQRT(M168^2+(P168^2)/12))</f>
        <v>6.24912558503096</v>
      </c>
      <c r="R168" s="488" t="n">
        <f aca="false">(Q168^2*Rdcr*(1+Ltc*Ta-Ltc*25))/(1-Q168^2*Rdcr*Ltc*ThetaCa)</f>
        <v>0.132206410045911</v>
      </c>
      <c r="S168" s="488" t="n">
        <f aca="false">7.759*10^-3*Fsw^0.9458*(0.00787*P168)^2.304</f>
        <v>1.05628373378478</v>
      </c>
      <c r="T168" s="488" t="n">
        <f aca="false">R168+S168</f>
        <v>1.18849014383069</v>
      </c>
      <c r="U168" s="385" t="n">
        <f aca="false">IF(H168&gt;Vout, P168/SQRT(12), SQRT(O168/(1-O168))*SQRT(K168^2+(P168^2)/12))</f>
        <v>1.7468745168124</v>
      </c>
      <c r="V168" s="488" t="n">
        <f aca="false">RCoutEsr*U168^2</f>
        <v>0.0152578528874428</v>
      </c>
      <c r="W168" s="488" t="n">
        <f aca="false">V168</f>
        <v>0.0152578528874428</v>
      </c>
      <c r="X168" s="488" t="n">
        <f aca="false">IF(H168&gt;Vout, SQRT(N168*(1-N168))*SQRT(K168^2+(P168^2)/12), P168/SQRT(12))</f>
        <v>2.84980275286663</v>
      </c>
      <c r="Y168" s="587" t="n">
        <f aca="false">RCinEsr*X168^2</f>
        <v>0.0162427514604924</v>
      </c>
      <c r="Z168" s="588" t="n">
        <f aca="false">Y168</f>
        <v>0.0162427514604924</v>
      </c>
      <c r="AA168" s="488" t="n">
        <f aca="false">CHOOSE(J168, SQRT(N168)*SQRT(K168^2+(P168^2)/12), SQRT(L168^2+(P168^2)/12), SQRT(N168)*SQRT(M168^2+(P168^2)/12))</f>
        <v>3.39400936447566</v>
      </c>
      <c r="AB168" s="488" t="n">
        <f aca="false">Rdson1*AA168^2</f>
        <v>0.0656600075270463</v>
      </c>
      <c r="AC168" s="488" t="n">
        <f aca="false">CHOOSE(J168, (H168*K168/2)*(Fsw)*(Tr_buck+Tf_buck), 0, (H168*M168/2)*(Fsw/2)*(Tr_buck+Tf_buck))</f>
        <v>0.250395443328551</v>
      </c>
      <c r="AD168" s="0" t="n">
        <f aca="false">IF(H168&gt;Vout, IF(K168&gt;P168/2,0,ABS(K168-P168/2)*Vsd_Q1*Deadtime*Fsw),0)</f>
        <v>0</v>
      </c>
      <c r="AE168" s="488" t="n">
        <f aca="false">(AD168+AC168+AB168*(1+RdsonTopTc*Ta-RdsonTopTc*25))/(1-AB168*RdsonTopTc*ThetaJA_Q1)</f>
        <v>0.320261120370426</v>
      </c>
      <c r="AF168" s="488" t="n">
        <f aca="false">CHOOSE(J168, SQRT((1-N168))*SQRT(K168^2+(P168^2)/12), 0, SQRT((1-N168))*SQRT(M168^2+(P168^2)/12))</f>
        <v>5.24712025889822</v>
      </c>
      <c r="AG168" s="488" t="n">
        <f aca="false">Rdson2*AF168^2</f>
        <v>0.156933944764639</v>
      </c>
      <c r="AH168" s="488" t="n">
        <f aca="false">CHOOSE(J168, IF(K168&lt;P168/2,Deadtime*Fsw*IF(VfdSky_Q2&gt;0,0,Vsd_Q2)*(K168+P168/2),2*Deadtime*Fsw*IF(VfdSky_Q2&gt;0,0,Vsd_Q2)*K168),0, IF(K168&lt;P168/2,Deadtime*Fsw/2*IF(VfdSky_Q2&gt;0,0,Vsd_Q2)*(K168+P168/2),2*Deadtime*Fsw/2*IF(VfdSky_Q2&gt;0,0,Vsd_Q2)*K168))</f>
        <v>0.144</v>
      </c>
      <c r="AI168" s="488" t="n">
        <f aca="false">(AH168+AG168*(1+RdsonBotTc*Ta-RdsonBotTc*25))/(1-AG168*RdsonBotTc*ThetaJA_Q2)</f>
        <v>0.310685360608832</v>
      </c>
      <c r="AJ168" s="488" t="n">
        <f aca="false">CHOOSE(J168, 0, SQRT(O168)*SQRT(L168^2+(P168^2)/12), SQRT(O168)*SQRT(M168^2+(P168^2)/12))</f>
        <v>0</v>
      </c>
      <c r="AK168" s="488" t="n">
        <f aca="false">Rdson4*AJ168^2</f>
        <v>0</v>
      </c>
      <c r="AL168" s="488" t="n">
        <f aca="false">CHOOSE(J168, 0, (Vout*L168/2)*(Fsw)*(Tr_boost+Tf_boost), (Vout*Iout/2)*(Fsw/2)*(Tr_boost+Tf_boost))</f>
        <v>0</v>
      </c>
      <c r="AM168" s="0" t="n">
        <f aca="false">IF(H168&gt;Vout, 0, IF(L168&gt;P168/2,0,ABS(L168-P168/2)*Vsd_Q4*Deadtime*Fsw))</f>
        <v>0</v>
      </c>
      <c r="AN168" s="488" t="n">
        <f aca="false">(AM168+AL168+AK168*(1+RdsonTopTc*Ta-RdsonTopTc*25))/(1-AK168*RdsonTopTc*ThetaJA_Q4)</f>
        <v>0</v>
      </c>
      <c r="AO168" s="488" t="n">
        <f aca="false">CHOOSE(J168, SQRT(Iout^2+(P168^2)/12), SQRT(1-O168)*SQRT(L168^2+(P168^2)/12), SQRT(1-O168)*SQRT(M168^2+(P168^2)/12))</f>
        <v>6.24912558503096</v>
      </c>
      <c r="AP168" s="488" t="n">
        <f aca="false">Rdson3*AO168^2</f>
        <v>0.0741979840972283</v>
      </c>
      <c r="AQ168" s="488" t="n">
        <f aca="false">CHOOSE(J168, 0, IF(L168&lt;P168/2,Deadtime*Fsw*IF(VfdSky_Q3&gt;0,0,Vsd_Q3)*(L168+P168/2), 2*Deadtime*Fsw*IF(VfdSky_Q3&gt;0,0,Vsd_Q3)*L168), IF(L168&lt;P168/2,Deadtime*Fsw/2*IF(VfdSky_Q3&gt;0,0,Vsd_Q3)*(L168+P168/2), 2*Deadtime*Fsw/2*IF(VfdSky_Q3&gt;0,0,Vsd_Q3)*L168))</f>
        <v>0</v>
      </c>
      <c r="AR168" s="488" t="n">
        <f aca="false">(AQ168+AP168*(1+RdsonBotTc*Ta-RdsonBotTc*25))/(1-AP168*RdsonBotTc*ThetaJA_Q3)</f>
        <v>0.0753156377963252</v>
      </c>
      <c r="AS168" s="488" t="n">
        <f aca="false">CHOOSE(J168, Rdson3*Q168^2, Rdson1*Q168^2, 0)</f>
        <v>0.0741979840972283</v>
      </c>
      <c r="AT168" s="488" t="n">
        <f aca="false">CHOOSE(J168, 2*Deadtime*Fsw*IF(VfdSky_Q2&gt;0,VfdSky_Q2,0)*K168, 2*Deadtime*Fsw*IF(VfdSky_Q3&gt;0,VfdSky_Q3,0)*L168, 2*Deadtime*Fsw/2*IF(VfdSky_Q2&gt;0,VfdSky_Q2,0)*K168+2*Deadtime*Fsw/2*IF(VfdSky_Q3&gt;0,VfdSky_Q3,0)*L168)</f>
        <v>0</v>
      </c>
      <c r="AU168" s="488" t="n">
        <f aca="false">CHOOSE(J168, IF(QrrSky_Q2&gt;0,QrrSky_Q2,Qrr_Q2)*Fsw*(H168-K168*Rdson1), IF(QrrSky_Q3&gt;0,QrrSky_Q3,Qrr_Q3)*Fsw*Vout,  IF(QrrSky_Q2&gt;0,QrrSky_Q2,Qrr_Q2)*Fsw/2*(H168-K168*Rdson1)+IF(QrrSky_Q3&gt;0,QrrSky_Q3,Qrr_Q3)*Fsw/2*Vout)</f>
        <v>0.77387562</v>
      </c>
      <c r="AV168" s="488" t="n">
        <f aca="false">CHOOSE(J168, Rs*AF168^2, Rs*AJ168^2, Rs*(AF168^2+AJ168^2))</f>
        <v>0.220258168090721</v>
      </c>
      <c r="AW168" s="488" t="n">
        <f aca="false">Rshunt_std/1000*Iout^2</f>
        <v>0.14832</v>
      </c>
      <c r="AX168" s="488" t="n">
        <f aca="false">IF(Vout&gt;8, Iq*Vout, Iq*H168)</f>
        <v>0.036</v>
      </c>
      <c r="AY168" s="488" t="n">
        <f aca="false">CHOOSE(J168, (Qg_Q1+Qg_Q2)*Fsw, (Qg_Q3+Qg_Q4)*Fsw, (Qg_Q1+Qg_Q2+Qg_Q3+Qg_Q4)*Fsw/2)*IF(Vout&gt;8, Vout, H168)</f>
        <v>0.0792</v>
      </c>
      <c r="AZ168" s="488" t="n">
        <f aca="false">(Vin-Vdd)*Fsw*(Qg_Q1+Qg_Q2)+(RdsonDRT+RdsonDRT2)*Fsw*Qg_Q1*Vdd/(RdsonDRT+2*Rgate1+RdsonDRT2)+(RdsonDRB+RdsonDRB2)*Fsw*Qg_Q2*Vdd/(RdsonDRB+2*Rgate2+RdsonDRB2)</f>
        <v>0.0522</v>
      </c>
      <c r="BA168" s="488" t="n">
        <f aca="false">SUM(AX168:AY168)</f>
        <v>0.1152</v>
      </c>
      <c r="BB168" s="488" t="n">
        <f aca="false">SUM(T168,W168,Z168,AE168,AI168,AN168,AR168, AT168,AU168,BA168,AV168,AW168)</f>
        <v>3.18390665504493</v>
      </c>
      <c r="BC168" s="419" t="n">
        <f aca="false">Vout*K168</f>
        <v>72</v>
      </c>
      <c r="BD168" s="589" t="n">
        <f aca="false">BC168/(BC168+BB168)</f>
        <v>0.957651752925621</v>
      </c>
      <c r="BE168" s="590" t="n">
        <f aca="false">IF(H168&gt;Vout,ThetaJA_Q1*(AE168+AU168),ThetaJA_Q4*(AN168+AU168))</f>
        <v>54.7068370185213</v>
      </c>
      <c r="BF168" s="590" t="n">
        <f aca="false">IF(H168&gt;Vout, AI168*ThetaJA_Q2, ThetaJA_Q3*AR168)</f>
        <v>15.5342680304416</v>
      </c>
      <c r="BG168" s="536"/>
      <c r="BH168" s="385" t="n">
        <f aca="false">BD168*100</f>
        <v>95.7651752925621</v>
      </c>
      <c r="BI168" s="488" t="n">
        <f aca="false">T168</f>
        <v>1.18849014383069</v>
      </c>
      <c r="BJ168" s="488" t="n">
        <f aca="false">AE168+AI168+AN168+AR168+AU168</f>
        <v>1.48013773877558</v>
      </c>
      <c r="BK168" s="488" t="n">
        <f aca="false">AI168+AU168*0.33</f>
        <v>0.566064315208832</v>
      </c>
      <c r="BL168" s="488" t="n">
        <f aca="false">AV168</f>
        <v>0.220258168090721</v>
      </c>
    </row>
    <row r="169" customFormat="false" ht="12.75" hidden="false" customHeight="false" outlineLevel="0" collapsed="false">
      <c r="G169" s="0" t="n">
        <v>160</v>
      </c>
      <c r="H169" s="586" t="n">
        <f aca="false">VIN_min+(VIN_max-VIN_min)*(G169/200)</f>
        <v>41.2</v>
      </c>
      <c r="I169" s="385" t="str">
        <f aca="false">IF(H169&gt;VIN_BB_to_buck, "BUCK", IF(H169&lt;VIN_boost_to_BB,"BOOST","BUCK-BST"))</f>
        <v>BUCK</v>
      </c>
      <c r="J169" s="419" t="n">
        <f aca="false">IF(I169="BOOST",2, IF(I169="BUCK", 1,3))</f>
        <v>1</v>
      </c>
      <c r="K169" s="0" t="n">
        <f aca="false">Iout</f>
        <v>6</v>
      </c>
      <c r="L169" s="385" t="n">
        <f aca="false">Vout*K169/(H169*Efficiency)</f>
        <v>1.94174757281553</v>
      </c>
      <c r="M169" s="385" t="n">
        <f aca="false">Iout/(1-O169)</f>
        <v>6</v>
      </c>
      <c r="N169" s="488" t="n">
        <f aca="false">CHOOSE(J169,(Vout+(Rdson2+Rs+Rdcr)*K169)/(H169+(Rs+Rdson2-Rdson1)*K169),1,IF(H169&lt;Vout,D_max_buck_BB,Vout/H169*(1-D_min_boost_exitBB_to_buck)))</f>
        <v>0.293403316524438</v>
      </c>
      <c r="O169" s="488" t="n">
        <f aca="false">CHOOSE(J169,0,(Vout+(Rdson3+Rdcr)*L169-H169)/(Vout+(Rdson3-Rdson4-Rs)*L169),IF(H169&gt;Vout,D_min_boost_exitBB_to_buck, (Vout-H169*D_max_buck_BB)/Vout))</f>
        <v>0</v>
      </c>
      <c r="P169" s="385" t="n">
        <f aca="false">MAX(0, CHOOSE(J169, (H169-(Rdson1+Rdcr)*K169-Vout)*N169/(Fsw*Lf), (H169-(Rdson4+Rdcr+Rs)*L169)*O169/(Fsw*Lf), IF(H169&lt;Vout, (H169-(Rdson4+Rdcr+Rs)*L169)*O169/(0.5*Fsw*Lf),(H169-(Rdson1+Rdcr)*K169-Vout)*N169/(0.5*Fsw*Lf))))</f>
        <v>6.06485464001865</v>
      </c>
      <c r="Q169" s="488" t="n">
        <f aca="false">CHOOSE(J169, SQRT(K169^2+(P169^2)/12), SQRT(L169^2+(P169^2)/12), SQRT(M169^2+(P169^2)/12))</f>
        <v>6.25021640828377</v>
      </c>
      <c r="R169" s="488" t="n">
        <f aca="false">(Q169^2*Rdcr*(1+Ltc*Ta-Ltc*25))/(1-Q169^2*Rdcr*Ltc*ThetaCa)</f>
        <v>0.132253057328541</v>
      </c>
      <c r="S169" s="488" t="n">
        <f aca="false">7.759*10^-3*Fsw^0.9458*(0.00787*P169)^2.304</f>
        <v>1.06172247573509</v>
      </c>
      <c r="T169" s="488" t="n">
        <f aca="false">R169+S169</f>
        <v>1.19397553306363</v>
      </c>
      <c r="U169" s="385" t="n">
        <f aca="false">IF(H169&gt;Vout, P169/SQRT(12), SQRT(O169/(1-O169))*SQRT(K169^2+(P169^2)/12))</f>
        <v>1.75077272950536</v>
      </c>
      <c r="V169" s="488" t="n">
        <f aca="false">RCoutEsr*U169^2</f>
        <v>0.0153260257518982</v>
      </c>
      <c r="W169" s="488" t="n">
        <f aca="false">V169</f>
        <v>0.0153260257518982</v>
      </c>
      <c r="X169" s="488" t="n">
        <f aca="false">IF(H169&gt;Vout, SQRT(N169*(1-N169))*SQRT(K169^2+(P169^2)/12), P169/SQRT(12))</f>
        <v>2.84585888506458</v>
      </c>
      <c r="Y169" s="587" t="n">
        <f aca="false">RCinEsr*X169^2</f>
        <v>0.0161978255874021</v>
      </c>
      <c r="Z169" s="588" t="n">
        <f aca="false">Y169</f>
        <v>0.0161978255874021</v>
      </c>
      <c r="AA169" s="488" t="n">
        <f aca="false">CHOOSE(J169, SQRT(N169)*SQRT(K169^2+(P169^2)/12), SQRT(L169^2+(P169^2)/12), SQRT(N169)*SQRT(M169^2+(P169^2)/12))</f>
        <v>3.38553699608038</v>
      </c>
      <c r="AB169" s="488" t="n">
        <f aca="false">Rdson1*AA169^2</f>
        <v>0.0653326062854249</v>
      </c>
      <c r="AC169" s="488" t="n">
        <f aca="false">CHOOSE(J169, (H169*K169/2)*(Fsw)*(Tr_buck+Tf_buck), 0, (H169*M169/2)*(Fsw/2)*(Tr_buck+Tf_buck))</f>
        <v>0.25173968436155</v>
      </c>
      <c r="AD169" s="0" t="n">
        <f aca="false">IF(H169&gt;Vout, IF(K169&gt;P169/2,0,ABS(K169-P169/2)*Vsd_Q1*Deadtime*Fsw),0)</f>
        <v>0</v>
      </c>
      <c r="AE169" s="488" t="n">
        <f aca="false">(AD169+AC169+AB169*(1+RdsonTopTc*Ta-RdsonTopTc*25))/(1-AB169*RdsonTopTc*ThetaJA_Q1)</f>
        <v>0.321270174207524</v>
      </c>
      <c r="AF169" s="488" t="n">
        <f aca="false">CHOOSE(J169, SQRT((1-N169))*SQRT(K169^2+(P169^2)/12), 0, SQRT((1-N169))*SQRT(M169^2+(P169^2)/12))</f>
        <v>5.25388850267597</v>
      </c>
      <c r="AG169" s="488" t="n">
        <f aca="false">Rdson2*AF169^2</f>
        <v>0.157339063071739</v>
      </c>
      <c r="AH169" s="488" t="n">
        <f aca="false">CHOOSE(J169, IF(K169&lt;P169/2,Deadtime*Fsw*IF(VfdSky_Q2&gt;0,0,Vsd_Q2)*(K169+P169/2),2*Deadtime*Fsw*IF(VfdSky_Q2&gt;0,0,Vsd_Q2)*K169),0, IF(K169&lt;P169/2,Deadtime*Fsw/2*IF(VfdSky_Q2&gt;0,0,Vsd_Q2)*(K169+P169/2),2*Deadtime*Fsw/2*IF(VfdSky_Q2&gt;0,0,Vsd_Q2)*K169))</f>
        <v>0.144</v>
      </c>
      <c r="AI169" s="488" t="n">
        <f aca="false">(AH169+AG169*(1+RdsonBotTc*Ta-RdsonBotTc*25))/(1-AG169*RdsonBotTc*ThetaJA_Q2)</f>
        <v>0.31112963203127</v>
      </c>
      <c r="AJ169" s="488" t="n">
        <f aca="false">CHOOSE(J169, 0, SQRT(O169)*SQRT(L169^2+(P169^2)/12), SQRT(O169)*SQRT(M169^2+(P169^2)/12))</f>
        <v>0</v>
      </c>
      <c r="AK169" s="488" t="n">
        <f aca="false">Rdson4*AJ169^2</f>
        <v>0</v>
      </c>
      <c r="AL169" s="488" t="n">
        <f aca="false">CHOOSE(J169, 0, (Vout*L169/2)*(Fsw)*(Tr_boost+Tf_boost), (Vout*Iout/2)*(Fsw/2)*(Tr_boost+Tf_boost))</f>
        <v>0</v>
      </c>
      <c r="AM169" s="0" t="n">
        <f aca="false">IF(H169&gt;Vout, 0, IF(L169&gt;P169/2,0,ABS(L169-P169/2)*Vsd_Q4*Deadtime*Fsw))</f>
        <v>0</v>
      </c>
      <c r="AN169" s="488" t="n">
        <f aca="false">(AM169+AL169+AK169*(1+RdsonTopTc*Ta-RdsonTopTc*25))/(1-AK169*RdsonTopTc*ThetaJA_Q4)</f>
        <v>0</v>
      </c>
      <c r="AO169" s="488" t="n">
        <f aca="false">CHOOSE(J169, SQRT(Iout^2+(P169^2)/12), SQRT(1-O169)*SQRT(L169^2+(P169^2)/12), SQRT(1-O169)*SQRT(M169^2+(P169^2)/12))</f>
        <v>6.25021640828377</v>
      </c>
      <c r="AP169" s="488" t="n">
        <f aca="false">Rdson3*AO169^2</f>
        <v>0.0742238897857213</v>
      </c>
      <c r="AQ169" s="488" t="n">
        <f aca="false">CHOOSE(J169, 0, IF(L169&lt;P169/2,Deadtime*Fsw*IF(VfdSky_Q3&gt;0,0,Vsd_Q3)*(L169+P169/2), 2*Deadtime*Fsw*IF(VfdSky_Q3&gt;0,0,Vsd_Q3)*L169), IF(L169&lt;P169/2,Deadtime*Fsw/2*IF(VfdSky_Q3&gt;0,0,Vsd_Q3)*(L169+P169/2), 2*Deadtime*Fsw/2*IF(VfdSky_Q3&gt;0,0,Vsd_Q3)*L169))</f>
        <v>0</v>
      </c>
      <c r="AR169" s="488" t="n">
        <f aca="false">(AQ169+AP169*(1+RdsonBotTc*Ta-RdsonBotTc*25))/(1-AP169*RdsonBotTc*ThetaJA_Q3)</f>
        <v>0.0753423299445217</v>
      </c>
      <c r="AS169" s="488" t="n">
        <f aca="false">CHOOSE(J169, Rdson3*Q169^2, Rdson1*Q169^2, 0)</f>
        <v>0.0742238897857213</v>
      </c>
      <c r="AT169" s="488" t="n">
        <f aca="false">CHOOSE(J169, 2*Deadtime*Fsw*IF(VfdSky_Q2&gt;0,VfdSky_Q2,0)*K169, 2*Deadtime*Fsw*IF(VfdSky_Q3&gt;0,VfdSky_Q3,0)*L169, 2*Deadtime*Fsw/2*IF(VfdSky_Q2&gt;0,VfdSky_Q2,0)*K169+2*Deadtime*Fsw/2*IF(VfdSky_Q3&gt;0,VfdSky_Q3,0)*L169)</f>
        <v>0</v>
      </c>
      <c r="AU169" s="488" t="n">
        <f aca="false">CHOOSE(J169, IF(QrrSky_Q2&gt;0,QrrSky_Q2,Qrr_Q2)*Fsw*(H169-K169*Rdson1), IF(QrrSky_Q3&gt;0,QrrSky_Q3,Qrr_Q3)*Fsw*Vout,  IF(QrrSky_Q2&gt;0,QrrSky_Q2,Qrr_Q2)*Fsw/2*(H169-K169*Rdson1)+IF(QrrSky_Q3&gt;0,QrrSky_Q3,Qrr_Q3)*Fsw/2*Vout)</f>
        <v>0.77803362</v>
      </c>
      <c r="AV169" s="488" t="n">
        <f aca="false">CHOOSE(J169, Rs*AF169^2, Rs*AJ169^2, Rs*(AF169^2+AJ169^2))</f>
        <v>0.220826755188406</v>
      </c>
      <c r="AW169" s="488" t="n">
        <f aca="false">Rshunt_std/1000*Iout^2</f>
        <v>0.14832</v>
      </c>
      <c r="AX169" s="488" t="n">
        <f aca="false">IF(Vout&gt;8, Iq*Vout, Iq*H169)</f>
        <v>0.036</v>
      </c>
      <c r="AY169" s="488" t="n">
        <f aca="false">CHOOSE(J169, (Qg_Q1+Qg_Q2)*Fsw, (Qg_Q3+Qg_Q4)*Fsw, (Qg_Q1+Qg_Q2+Qg_Q3+Qg_Q4)*Fsw/2)*IF(Vout&gt;8, Vout, H169)</f>
        <v>0.0792</v>
      </c>
      <c r="AZ169" s="488" t="n">
        <f aca="false">(Vin-Vdd)*Fsw*(Qg_Q1+Qg_Q2)+(RdsonDRT+RdsonDRT2)*Fsw*Qg_Q1*Vdd/(RdsonDRT+2*Rgate1+RdsonDRT2)+(RdsonDRB+RdsonDRB2)*Fsw*Qg_Q2*Vdd/(RdsonDRB+2*Rgate2+RdsonDRB2)</f>
        <v>0.0522</v>
      </c>
      <c r="BA169" s="488" t="n">
        <f aca="false">SUM(AX169:AY169)</f>
        <v>0.1152</v>
      </c>
      <c r="BB169" s="488" t="n">
        <f aca="false">SUM(T169,W169,Z169,AE169,AI169,AN169,AR169, AT169,AU169,BA169,AV169,AW169)</f>
        <v>3.19562189577465</v>
      </c>
      <c r="BC169" s="419" t="n">
        <f aca="false">Vout*K169</f>
        <v>72</v>
      </c>
      <c r="BD169" s="589" t="n">
        <f aca="false">BC169/(BC169+BB169)</f>
        <v>0.95750255380288</v>
      </c>
      <c r="BE169" s="590" t="n">
        <f aca="false">IF(H169&gt;Vout,ThetaJA_Q1*(AE169+AU169),ThetaJA_Q4*(AN169+AU169))</f>
        <v>54.9651897103762</v>
      </c>
      <c r="BF169" s="590" t="n">
        <f aca="false">IF(H169&gt;Vout, AI169*ThetaJA_Q2, ThetaJA_Q3*AR169)</f>
        <v>15.5564816015635</v>
      </c>
      <c r="BG169" s="536"/>
      <c r="BH169" s="385" t="n">
        <f aca="false">BD169*100</f>
        <v>95.750255380288</v>
      </c>
      <c r="BI169" s="488" t="n">
        <f aca="false">T169</f>
        <v>1.19397553306363</v>
      </c>
      <c r="BJ169" s="488" t="n">
        <f aca="false">AE169+AI169+AN169+AR169+AU169</f>
        <v>1.48577575618332</v>
      </c>
      <c r="BK169" s="488" t="n">
        <f aca="false">AI169+AU169*0.33</f>
        <v>0.56788072663127</v>
      </c>
      <c r="BL169" s="488" t="n">
        <f aca="false">AV169</f>
        <v>0.220826755188406</v>
      </c>
    </row>
    <row r="170" customFormat="false" ht="12.75" hidden="false" customHeight="false" outlineLevel="0" collapsed="false">
      <c r="G170" s="0" t="n">
        <v>161</v>
      </c>
      <c r="H170" s="586" t="n">
        <f aca="false">VIN_min+(VIN_max-VIN_min)*(G170/200)</f>
        <v>41.42</v>
      </c>
      <c r="I170" s="385" t="str">
        <f aca="false">IF(H170&gt;VIN_BB_to_buck, "BUCK", IF(H170&lt;VIN_boost_to_BB,"BOOST","BUCK-BST"))</f>
        <v>BUCK</v>
      </c>
      <c r="J170" s="419" t="n">
        <f aca="false">IF(I170="BOOST",2, IF(I170="BUCK", 1,3))</f>
        <v>1</v>
      </c>
      <c r="K170" s="0" t="n">
        <f aca="false">Iout</f>
        <v>6</v>
      </c>
      <c r="L170" s="385" t="n">
        <f aca="false">Vout*K170/(H170*Efficiency)</f>
        <v>1.93143408981168</v>
      </c>
      <c r="M170" s="385" t="n">
        <f aca="false">Iout/(1-O170)</f>
        <v>6</v>
      </c>
      <c r="N170" s="488" t="n">
        <f aca="false">CHOOSE(J170,(Vout+(Rdson2+Rs+Rdcr)*K170)/(H170+(Rs+Rdson2-Rdson1)*K170),1,IF(H170&lt;Vout,D_max_buck_BB,Vout/H170*(1-D_min_boost_exitBB_to_buck)))</f>
        <v>0.291846725185685</v>
      </c>
      <c r="O170" s="488" t="n">
        <f aca="false">CHOOSE(J170,0,(Vout+(Rdson3+Rdcr)*L170-H170)/(Vout+(Rdson3-Rdson4-Rs)*L170),IF(H170&gt;Vout,D_min_boost_exitBB_to_buck, (Vout-H170*D_max_buck_BB)/Vout))</f>
        <v>0</v>
      </c>
      <c r="P170" s="385" t="n">
        <f aca="false">MAX(0, CHOOSE(J170, (H170-(Rdson1+Rdcr)*K170-Vout)*N170/(Fsw*Lf), (H170-(Rdson4+Rdcr+Rs)*L170)*O170/(Fsw*Lf), IF(H170&lt;Vout, (H170-(Rdson4+Rdcr+Rs)*L170)*O170/(0.5*Fsw*Lf),(H170-(Rdson1+Rdcr)*K170-Vout)*N170/(0.5*Fsw*Lf))))</f>
        <v>6.07821516154985</v>
      </c>
      <c r="Q170" s="488" t="n">
        <f aca="false">CHOOSE(J170, SQRT(K170^2+(P170^2)/12), SQRT(L170^2+(P170^2)/12), SQRT(M170^2+(P170^2)/12))</f>
        <v>6.25129786224492</v>
      </c>
      <c r="R170" s="488" t="n">
        <f aca="false">(Q170^2*Rdcr*(1+Ltc*Ta-Ltc*25))/(1-Q170^2*Rdcr*Ltc*ThetaCa)</f>
        <v>0.132299312326086</v>
      </c>
      <c r="S170" s="488" t="n">
        <f aca="false">7.759*10^-3*Fsw^0.9458*(0.00787*P170)^2.304</f>
        <v>1.06711907260592</v>
      </c>
      <c r="T170" s="488" t="n">
        <f aca="false">R170+S170</f>
        <v>1.199418384932</v>
      </c>
      <c r="U170" s="385" t="n">
        <f aca="false">IF(H170&gt;Vout, P170/SQRT(12), SQRT(O170/(1-O170))*SQRT(K170^2+(P170^2)/12))</f>
        <v>1.75462957985663</v>
      </c>
      <c r="V170" s="488" t="n">
        <f aca="false">RCoutEsr*U170^2</f>
        <v>0.0153936248125393</v>
      </c>
      <c r="W170" s="488" t="n">
        <f aca="false">V170</f>
        <v>0.0153936248125393</v>
      </c>
      <c r="X170" s="488" t="n">
        <f aca="false">IF(H170&gt;Vout, SQRT(N170*(1-N170))*SQRT(K170^2+(P170^2)/12), P170/SQRT(12))</f>
        <v>2.84191601133673</v>
      </c>
      <c r="Y170" s="587" t="n">
        <f aca="false">RCinEsr*X170^2</f>
        <v>0.0161529732309841</v>
      </c>
      <c r="Z170" s="588" t="n">
        <f aca="false">Y170</f>
        <v>0.0161529732309841</v>
      </c>
      <c r="AA170" s="488" t="n">
        <f aca="false">CHOOSE(J170, SQRT(N170)*SQRT(K170^2+(P170^2)/12), SQRT(L170^2+(P170^2)/12), SQRT(N170)*SQRT(M170^2+(P170^2)/12))</f>
        <v>3.37712864794044</v>
      </c>
      <c r="AB170" s="488" t="n">
        <f aca="false">Rdson1*AA170^2</f>
        <v>0.0650084880570181</v>
      </c>
      <c r="AC170" s="488" t="n">
        <f aca="false">CHOOSE(J170, (H170*K170/2)*(Fsw)*(Tr_buck+Tf_buck), 0, (H170*M170/2)*(Fsw/2)*(Tr_buck+Tf_buck))</f>
        <v>0.253083925394548</v>
      </c>
      <c r="AD170" s="0" t="n">
        <f aca="false">IF(H170&gt;Vout, IF(K170&gt;P170/2,0,ABS(K170-P170/2)*Vsd_Q1*Deadtime*Fsw),0)</f>
        <v>0</v>
      </c>
      <c r="AE170" s="488" t="n">
        <f aca="false">(AD170+AC170+AB170*(1+RdsonTopTc*Ta-RdsonTopTc*25))/(1-AB170*RdsonTopTc*ThetaJA_Q1)</f>
        <v>0.322282634814835</v>
      </c>
      <c r="AF170" s="488" t="n">
        <f aca="false">CHOOSE(J170, SQRT((1-N170))*SQRT(K170^2+(P170^2)/12), 0, SQRT((1-N170))*SQRT(M170^2+(P170^2)/12))</f>
        <v>5.2605823876989</v>
      </c>
      <c r="AG170" s="488" t="n">
        <f aca="false">Rdson2*AF170^2</f>
        <v>0.157740244229277</v>
      </c>
      <c r="AH170" s="488" t="n">
        <f aca="false">CHOOSE(J170, IF(K170&lt;P170/2,Deadtime*Fsw*IF(VfdSky_Q2&gt;0,0,Vsd_Q2)*(K170+P170/2),2*Deadtime*Fsw*IF(VfdSky_Q2&gt;0,0,Vsd_Q2)*K170),0, IF(K170&lt;P170/2,Deadtime*Fsw/2*IF(VfdSky_Q2&gt;0,0,Vsd_Q2)*(K170+P170/2),2*Deadtime*Fsw/2*IF(VfdSky_Q2&gt;0,0,Vsd_Q2)*K170))</f>
        <v>0.144</v>
      </c>
      <c r="AI170" s="488" t="n">
        <f aca="false">(AH170+AG170*(1+RdsonBotTc*Ta-RdsonBotTc*25))/(1-AG170*RdsonBotTc*ThetaJA_Q2)</f>
        <v>0.311569659051934</v>
      </c>
      <c r="AJ170" s="488" t="n">
        <f aca="false">CHOOSE(J170, 0, SQRT(O170)*SQRT(L170^2+(P170^2)/12), SQRT(O170)*SQRT(M170^2+(P170^2)/12))</f>
        <v>0</v>
      </c>
      <c r="AK170" s="488" t="n">
        <f aca="false">Rdson4*AJ170^2</f>
        <v>0</v>
      </c>
      <c r="AL170" s="488" t="n">
        <f aca="false">CHOOSE(J170, 0, (Vout*L170/2)*(Fsw)*(Tr_boost+Tf_boost), (Vout*Iout/2)*(Fsw/2)*(Tr_boost+Tf_boost))</f>
        <v>0</v>
      </c>
      <c r="AM170" s="0" t="n">
        <f aca="false">IF(H170&gt;Vout, 0, IF(L170&gt;P170/2,0,ABS(L170-P170/2)*Vsd_Q4*Deadtime*Fsw))</f>
        <v>0</v>
      </c>
      <c r="AN170" s="488" t="n">
        <f aca="false">(AM170+AL170+AK170*(1+RdsonTopTc*Ta-RdsonTopTc*25))/(1-AK170*RdsonTopTc*ThetaJA_Q4)</f>
        <v>0</v>
      </c>
      <c r="AO170" s="488" t="n">
        <f aca="false">CHOOSE(J170, SQRT(Iout^2+(P170^2)/12), SQRT(1-O170)*SQRT(L170^2+(P170^2)/12), SQRT(1-O170)*SQRT(M170^2+(P170^2)/12))</f>
        <v>6.25129786224492</v>
      </c>
      <c r="AP170" s="488" t="n">
        <f aca="false">Rdson3*AO170^2</f>
        <v>0.074249577428765</v>
      </c>
      <c r="AQ170" s="488" t="n">
        <f aca="false">CHOOSE(J170, 0, IF(L170&lt;P170/2,Deadtime*Fsw*IF(VfdSky_Q3&gt;0,0,Vsd_Q3)*(L170+P170/2), 2*Deadtime*Fsw*IF(VfdSky_Q3&gt;0,0,Vsd_Q3)*L170), IF(L170&lt;P170/2,Deadtime*Fsw/2*IF(VfdSky_Q3&gt;0,0,Vsd_Q3)*(L170+P170/2), 2*Deadtime*Fsw/2*IF(VfdSky_Q3&gt;0,0,Vsd_Q3)*L170))</f>
        <v>0</v>
      </c>
      <c r="AR170" s="488" t="n">
        <f aca="false">(AQ170+AP170*(1+RdsonBotTc*Ta-RdsonBotTc*25))/(1-AP170*RdsonBotTc*ThetaJA_Q3)</f>
        <v>0.0753687977049462</v>
      </c>
      <c r="AS170" s="488" t="n">
        <f aca="false">CHOOSE(J170, Rdson3*Q170^2, Rdson1*Q170^2, 0)</f>
        <v>0.074249577428765</v>
      </c>
      <c r="AT170" s="488" t="n">
        <f aca="false">CHOOSE(J170, 2*Deadtime*Fsw*IF(VfdSky_Q2&gt;0,VfdSky_Q2,0)*K170, 2*Deadtime*Fsw*IF(VfdSky_Q3&gt;0,VfdSky_Q3,0)*L170, 2*Deadtime*Fsw/2*IF(VfdSky_Q2&gt;0,VfdSky_Q2,0)*K170+2*Deadtime*Fsw/2*IF(VfdSky_Q3&gt;0,VfdSky_Q3,0)*L170)</f>
        <v>0</v>
      </c>
      <c r="AU170" s="488" t="n">
        <f aca="false">CHOOSE(J170, IF(QrrSky_Q2&gt;0,QrrSky_Q2,Qrr_Q2)*Fsw*(H170-K170*Rdson1), IF(QrrSky_Q3&gt;0,QrrSky_Q3,Qrr_Q3)*Fsw*Vout,  IF(QrrSky_Q2&gt;0,QrrSky_Q2,Qrr_Q2)*Fsw/2*(H170-K170*Rdson1)+IF(QrrSky_Q3&gt;0,QrrSky_Q3,Qrr_Q3)*Fsw/2*Vout)</f>
        <v>0.78219162</v>
      </c>
      <c r="AV170" s="488" t="n">
        <f aca="false">CHOOSE(J170, Rs*AF170^2, Rs*AJ170^2, Rs*(AF170^2+AJ170^2))</f>
        <v>0.221389816462143</v>
      </c>
      <c r="AW170" s="488" t="n">
        <f aca="false">Rshunt_std/1000*Iout^2</f>
        <v>0.14832</v>
      </c>
      <c r="AX170" s="488" t="n">
        <f aca="false">IF(Vout&gt;8, Iq*Vout, Iq*H170)</f>
        <v>0.036</v>
      </c>
      <c r="AY170" s="488" t="n">
        <f aca="false">CHOOSE(J170, (Qg_Q1+Qg_Q2)*Fsw, (Qg_Q3+Qg_Q4)*Fsw, (Qg_Q1+Qg_Q2+Qg_Q3+Qg_Q4)*Fsw/2)*IF(Vout&gt;8, Vout, H170)</f>
        <v>0.0792</v>
      </c>
      <c r="AZ170" s="488" t="n">
        <f aca="false">(Vin-Vdd)*Fsw*(Qg_Q1+Qg_Q2)+(RdsonDRT+RdsonDRT2)*Fsw*Qg_Q1*Vdd/(RdsonDRT+2*Rgate1+RdsonDRT2)+(RdsonDRB+RdsonDRB2)*Fsw*Qg_Q2*Vdd/(RdsonDRB+2*Rgate2+RdsonDRB2)</f>
        <v>0.0522</v>
      </c>
      <c r="BA170" s="488" t="n">
        <f aca="false">SUM(AX170:AY170)</f>
        <v>0.1152</v>
      </c>
      <c r="BB170" s="488" t="n">
        <f aca="false">SUM(T170,W170,Z170,AE170,AI170,AN170,AR170, AT170,AU170,BA170,AV170,AW170)</f>
        <v>3.20728751100938</v>
      </c>
      <c r="BC170" s="419" t="n">
        <f aca="false">Vout*K170</f>
        <v>72</v>
      </c>
      <c r="BD170" s="589" t="n">
        <f aca="false">BC170/(BC170+BB170)</f>
        <v>0.957354032871617</v>
      </c>
      <c r="BE170" s="590" t="n">
        <f aca="false">IF(H170&gt;Vout,ThetaJA_Q1*(AE170+AU170),ThetaJA_Q4*(AN170+AU170))</f>
        <v>55.2237127407418</v>
      </c>
      <c r="BF170" s="590" t="n">
        <f aca="false">IF(H170&gt;Vout, AI170*ThetaJA_Q2, ThetaJA_Q3*AR170)</f>
        <v>15.5784829525967</v>
      </c>
      <c r="BG170" s="536"/>
      <c r="BH170" s="385" t="n">
        <f aca="false">BD170*100</f>
        <v>95.7354032871617</v>
      </c>
      <c r="BI170" s="488" t="n">
        <f aca="false">T170</f>
        <v>1.199418384932</v>
      </c>
      <c r="BJ170" s="488" t="n">
        <f aca="false">AE170+AI170+AN170+AR170+AU170</f>
        <v>1.49141271157172</v>
      </c>
      <c r="BK170" s="488" t="n">
        <f aca="false">AI170+AU170*0.33</f>
        <v>0.569692893651934</v>
      </c>
      <c r="BL170" s="488" t="n">
        <f aca="false">AV170</f>
        <v>0.221389816462143</v>
      </c>
    </row>
    <row r="171" customFormat="false" ht="12.75" hidden="false" customHeight="false" outlineLevel="0" collapsed="false">
      <c r="G171" s="0" t="n">
        <v>162</v>
      </c>
      <c r="H171" s="586" t="n">
        <f aca="false">VIN_min+(VIN_max-VIN_min)*(G171/200)</f>
        <v>41.64</v>
      </c>
      <c r="I171" s="385" t="str">
        <f aca="false">IF(H171&gt;VIN_BB_to_buck, "BUCK", IF(H171&lt;VIN_boost_to_BB,"BOOST","BUCK-BST"))</f>
        <v>BUCK</v>
      </c>
      <c r="J171" s="419" t="n">
        <f aca="false">IF(I171="BOOST",2, IF(I171="BUCK", 1,3))</f>
        <v>1</v>
      </c>
      <c r="K171" s="0" t="n">
        <f aca="false">Iout</f>
        <v>6</v>
      </c>
      <c r="L171" s="385" t="n">
        <f aca="false">Vout*K171/(H171*Efficiency)</f>
        <v>1.92122958693564</v>
      </c>
      <c r="M171" s="385" t="n">
        <f aca="false">Iout/(1-O171)</f>
        <v>6</v>
      </c>
      <c r="N171" s="488" t="n">
        <f aca="false">CHOOSE(J171,(Vout+(Rdson2+Rs+Rdcr)*K171)/(H171+(Rs+Rdson2-Rdson1)*K171),1,IF(H171&lt;Vout,D_max_buck_BB,Vout/H171*(1-D_min_boost_exitBB_to_buck)))</f>
        <v>0.290306563039724</v>
      </c>
      <c r="O171" s="488" t="n">
        <f aca="false">CHOOSE(J171,0,(Vout+(Rdson3+Rdcr)*L171-H171)/(Vout+(Rdson3-Rdson4-Rs)*L171),IF(H171&gt;Vout,D_min_boost_exitBB_to_buck, (Vout-H171*D_max_buck_BB)/Vout))</f>
        <v>0</v>
      </c>
      <c r="P171" s="385" t="n">
        <f aca="false">MAX(0, CHOOSE(J171, (H171-(Rdson1+Rdcr)*K171-Vout)*N171/(Fsw*Lf), (H171-(Rdson4+Rdcr+Rs)*L171)*O171/(Fsw*Lf), IF(H171&lt;Vout, (H171-(Rdson4+Rdcr+Rs)*L171)*O171/(0.5*Fsw*Lf),(H171-(Rdson1+Rdcr)*K171-Vout)*N171/(0.5*Fsw*Lf))))</f>
        <v>6.0914346681733</v>
      </c>
      <c r="Q171" s="488" t="n">
        <f aca="false">CHOOSE(J171, SQRT(K171^2+(P171^2)/12), SQRT(L171^2+(P171^2)/12), SQRT(M171^2+(P171^2)/12))</f>
        <v>6.25237005940296</v>
      </c>
      <c r="R171" s="488" t="n">
        <f aca="false">(Q171^2*Rdcr*(1+Ltc*Ta-Ltc*25))/(1-Q171^2*Rdcr*Ltc*ThetaCa)</f>
        <v>0.132345179634479</v>
      </c>
      <c r="S171" s="488" t="n">
        <f aca="false">7.759*10^-3*Fsw^0.9458*(0.00787*P171)^2.304</f>
        <v>1.07247395673556</v>
      </c>
      <c r="T171" s="488" t="n">
        <f aca="false">R171+S171</f>
        <v>1.20481913637004</v>
      </c>
      <c r="U171" s="385" t="n">
        <f aca="false">IF(H171&gt;Vout, P171/SQRT(12), SQRT(O171/(1-O171))*SQRT(K171^2+(P171^2)/12))</f>
        <v>1.75844572271044</v>
      </c>
      <c r="V171" s="488" t="n">
        <f aca="false">RCoutEsr*U171^2</f>
        <v>0.0154606567985932</v>
      </c>
      <c r="W171" s="488" t="n">
        <f aca="false">V171</f>
        <v>0.0154606567985932</v>
      </c>
      <c r="X171" s="488" t="n">
        <f aca="false">IF(H171&gt;Vout, SQRT(N171*(1-N171))*SQRT(K171^2+(P171^2)/12), P171/SQRT(12))</f>
        <v>2.83797454853852</v>
      </c>
      <c r="Y171" s="587" t="n">
        <f aca="false">RCinEsr*X171^2</f>
        <v>0.0161081990763048</v>
      </c>
      <c r="Z171" s="588" t="n">
        <f aca="false">Y171</f>
        <v>0.0161081990763048</v>
      </c>
      <c r="AA171" s="488" t="n">
        <f aca="false">CHOOSE(J171, SQRT(N171)*SQRT(K171^2+(P171^2)/12), SQRT(L171^2+(P171^2)/12), SQRT(N171)*SQRT(M171^2+(P171^2)/12))</f>
        <v>3.36878350401704</v>
      </c>
      <c r="AB171" s="488" t="n">
        <f aca="false">Rdson1*AA171^2</f>
        <v>0.0646876030925427</v>
      </c>
      <c r="AC171" s="488" t="n">
        <f aca="false">CHOOSE(J171, (H171*K171/2)*(Fsw)*(Tr_buck+Tf_buck), 0, (H171*M171/2)*(Fsw/2)*(Tr_buck+Tf_buck))</f>
        <v>0.254428166427547</v>
      </c>
      <c r="AD171" s="0" t="n">
        <f aca="false">IF(H171&gt;Vout, IF(K171&gt;P171/2,0,ABS(K171-P171/2)*Vsd_Q1*Deadtime*Fsw),0)</f>
        <v>0</v>
      </c>
      <c r="AE171" s="488" t="n">
        <f aca="false">(AD171+AC171+AB171*(1+RdsonTopTc*Ta-RdsonTopTc*25))/(1-AB171*RdsonTopTc*ThetaJA_Q1)</f>
        <v>0.323298449881361</v>
      </c>
      <c r="AF171" s="488" t="n">
        <f aca="false">CHOOSE(J171, SQRT((1-N171))*SQRT(K171^2+(P171^2)/12), 0, SQRT((1-N171))*SQRT(M171^2+(P171^2)/12))</f>
        <v>5.26720315374121</v>
      </c>
      <c r="AG171" s="488" t="n">
        <f aca="false">Rdson2*AF171^2</f>
        <v>0.158137545657853</v>
      </c>
      <c r="AH171" s="488" t="n">
        <f aca="false">CHOOSE(J171, IF(K171&lt;P171/2,Deadtime*Fsw*IF(VfdSky_Q2&gt;0,0,Vsd_Q2)*(K171+P171/2),2*Deadtime*Fsw*IF(VfdSky_Q2&gt;0,0,Vsd_Q2)*K171),0, IF(K171&lt;P171/2,Deadtime*Fsw/2*IF(VfdSky_Q2&gt;0,0,Vsd_Q2)*(K171+P171/2),2*Deadtime*Fsw/2*IF(VfdSky_Q2&gt;0,0,Vsd_Q2)*K171))</f>
        <v>0.144</v>
      </c>
      <c r="AI171" s="488" t="n">
        <f aca="false">(AH171+AG171*(1+RdsonBotTc*Ta-RdsonBotTc*25))/(1-AG171*RdsonBotTc*ThetaJA_Q2)</f>
        <v>0.31200550253849</v>
      </c>
      <c r="AJ171" s="488" t="n">
        <f aca="false">CHOOSE(J171, 0, SQRT(O171)*SQRT(L171^2+(P171^2)/12), SQRT(O171)*SQRT(M171^2+(P171^2)/12))</f>
        <v>0</v>
      </c>
      <c r="AK171" s="488" t="n">
        <f aca="false">Rdson4*AJ171^2</f>
        <v>0</v>
      </c>
      <c r="AL171" s="488" t="n">
        <f aca="false">CHOOSE(J171, 0, (Vout*L171/2)*(Fsw)*(Tr_boost+Tf_boost), (Vout*Iout/2)*(Fsw/2)*(Tr_boost+Tf_boost))</f>
        <v>0</v>
      </c>
      <c r="AM171" s="0" t="n">
        <f aca="false">IF(H171&gt;Vout, 0, IF(L171&gt;P171/2,0,ABS(L171-P171/2)*Vsd_Q4*Deadtime*Fsw))</f>
        <v>0</v>
      </c>
      <c r="AN171" s="488" t="n">
        <f aca="false">(AM171+AL171+AK171*(1+RdsonTopTc*Ta-RdsonTopTc*25))/(1-AK171*RdsonTopTc*ThetaJA_Q4)</f>
        <v>0</v>
      </c>
      <c r="AO171" s="488" t="n">
        <f aca="false">CHOOSE(J171, SQRT(Iout^2+(P171^2)/12), SQRT(1-O171)*SQRT(L171^2+(P171^2)/12), SQRT(1-O171)*SQRT(M171^2+(P171^2)/12))</f>
        <v>6.25237005940296</v>
      </c>
      <c r="AP171" s="488" t="n">
        <f aca="false">Rdson3*AO171^2</f>
        <v>0.0742750495834654</v>
      </c>
      <c r="AQ171" s="488" t="n">
        <f aca="false">CHOOSE(J171, 0, IF(L171&lt;P171/2,Deadtime*Fsw*IF(VfdSky_Q3&gt;0,0,Vsd_Q3)*(L171+P171/2), 2*Deadtime*Fsw*IF(VfdSky_Q3&gt;0,0,Vsd_Q3)*L171), IF(L171&lt;P171/2,Deadtime*Fsw/2*IF(VfdSky_Q3&gt;0,0,Vsd_Q3)*(L171+P171/2), 2*Deadtime*Fsw/2*IF(VfdSky_Q3&gt;0,0,Vsd_Q3)*L171))</f>
        <v>0</v>
      </c>
      <c r="AR171" s="488" t="n">
        <f aca="false">(AQ171+AP171*(1+RdsonBotTc*Ta-RdsonBotTc*25))/(1-AP171*RdsonBotTc*ThetaJA_Q3)</f>
        <v>0.0753950437053783</v>
      </c>
      <c r="AS171" s="488" t="n">
        <f aca="false">CHOOSE(J171, Rdson3*Q171^2, Rdson1*Q171^2, 0)</f>
        <v>0.0742750495834654</v>
      </c>
      <c r="AT171" s="488" t="n">
        <f aca="false">CHOOSE(J171, 2*Deadtime*Fsw*IF(VfdSky_Q2&gt;0,VfdSky_Q2,0)*K171, 2*Deadtime*Fsw*IF(VfdSky_Q3&gt;0,VfdSky_Q3,0)*L171, 2*Deadtime*Fsw/2*IF(VfdSky_Q2&gt;0,VfdSky_Q2,0)*K171+2*Deadtime*Fsw/2*IF(VfdSky_Q3&gt;0,VfdSky_Q3,0)*L171)</f>
        <v>0</v>
      </c>
      <c r="AU171" s="488" t="n">
        <f aca="false">CHOOSE(J171, IF(QrrSky_Q2&gt;0,QrrSky_Q2,Qrr_Q2)*Fsw*(H171-K171*Rdson1), IF(QrrSky_Q3&gt;0,QrrSky_Q3,Qrr_Q3)*Fsw*Vout,  IF(QrrSky_Q2&gt;0,QrrSky_Q2,Qrr_Q2)*Fsw/2*(H171-K171*Rdson1)+IF(QrrSky_Q3&gt;0,QrrSky_Q3,Qrr_Q3)*Fsw/2*Vout)</f>
        <v>0.78634962</v>
      </c>
      <c r="AV171" s="488" t="n">
        <f aca="false">CHOOSE(J171, Rs*AF171^2, Rs*AJ171^2, Rs*(AF171^2+AJ171^2))</f>
        <v>0.221947432502251</v>
      </c>
      <c r="AW171" s="488" t="n">
        <f aca="false">Rshunt_std/1000*Iout^2</f>
        <v>0.14832</v>
      </c>
      <c r="AX171" s="488" t="n">
        <f aca="false">IF(Vout&gt;8, Iq*Vout, Iq*H171)</f>
        <v>0.036</v>
      </c>
      <c r="AY171" s="488" t="n">
        <f aca="false">CHOOSE(J171, (Qg_Q1+Qg_Q2)*Fsw, (Qg_Q3+Qg_Q4)*Fsw, (Qg_Q1+Qg_Q2+Qg_Q3+Qg_Q4)*Fsw/2)*IF(Vout&gt;8, Vout, H171)</f>
        <v>0.0792</v>
      </c>
      <c r="AZ171" s="488" t="n">
        <f aca="false">(Vin-Vdd)*Fsw*(Qg_Q1+Qg_Q2)+(RdsonDRT+RdsonDRT2)*Fsw*Qg_Q1*Vdd/(RdsonDRT+2*Rgate1+RdsonDRT2)+(RdsonDRB+RdsonDRB2)*Fsw*Qg_Q2*Vdd/(RdsonDRB+2*Rgate2+RdsonDRB2)</f>
        <v>0.0522</v>
      </c>
      <c r="BA171" s="488" t="n">
        <f aca="false">SUM(AX171:AY171)</f>
        <v>0.1152</v>
      </c>
      <c r="BB171" s="488" t="n">
        <f aca="false">SUM(T171,W171,Z171,AE171,AI171,AN171,AR171, AT171,AU171,BA171,AV171,AW171)</f>
        <v>3.21890404087242</v>
      </c>
      <c r="BC171" s="419" t="n">
        <f aca="false">Vout*K171</f>
        <v>72</v>
      </c>
      <c r="BD171" s="589" t="n">
        <f aca="false">BC171/(BC171+BB171)</f>
        <v>0.957206182648935</v>
      </c>
      <c r="BE171" s="590" t="n">
        <f aca="false">IF(H171&gt;Vout,ThetaJA_Q1*(AE171+AU171),ThetaJA_Q4*(AN171+AU171))</f>
        <v>55.4824034940681</v>
      </c>
      <c r="BF171" s="590" t="n">
        <f aca="false">IF(H171&gt;Vout, AI171*ThetaJA_Q2, ThetaJA_Q3*AR171)</f>
        <v>15.6002751269245</v>
      </c>
      <c r="BG171" s="536"/>
      <c r="BH171" s="385" t="n">
        <f aca="false">BD171*100</f>
        <v>95.7206182648935</v>
      </c>
      <c r="BI171" s="488" t="n">
        <f aca="false">T171</f>
        <v>1.20481913637004</v>
      </c>
      <c r="BJ171" s="488" t="n">
        <f aca="false">AE171+AI171+AN171+AR171+AU171</f>
        <v>1.49704861612523</v>
      </c>
      <c r="BK171" s="488" t="n">
        <f aca="false">AI171+AU171*0.33</f>
        <v>0.57150087713849</v>
      </c>
      <c r="BL171" s="488" t="n">
        <f aca="false">AV171</f>
        <v>0.221947432502251</v>
      </c>
    </row>
    <row r="172" customFormat="false" ht="12.75" hidden="false" customHeight="false" outlineLevel="0" collapsed="false">
      <c r="G172" s="0" t="n">
        <v>163</v>
      </c>
      <c r="H172" s="586" t="n">
        <f aca="false">VIN_min+(VIN_max-VIN_min)*(G172/200)</f>
        <v>41.86</v>
      </c>
      <c r="I172" s="385" t="str">
        <f aca="false">IF(H172&gt;VIN_BB_to_buck, "BUCK", IF(H172&lt;VIN_boost_to_BB,"BOOST","BUCK-BST"))</f>
        <v>BUCK</v>
      </c>
      <c r="J172" s="419" t="n">
        <f aca="false">IF(I172="BOOST",2, IF(I172="BUCK", 1,3))</f>
        <v>1</v>
      </c>
      <c r="K172" s="0" t="n">
        <f aca="false">Iout</f>
        <v>6</v>
      </c>
      <c r="L172" s="385" t="n">
        <f aca="false">Vout*K172/(H172*Efficiency)</f>
        <v>1.91113234591495</v>
      </c>
      <c r="M172" s="385" t="n">
        <f aca="false">Iout/(1-O172)</f>
        <v>6</v>
      </c>
      <c r="N172" s="488" t="n">
        <f aca="false">CHOOSE(J172,(Vout+(Rdson2+Rs+Rdcr)*K172)/(H172+(Rs+Rdson2-Rdson1)*K172),1,IF(H172&lt;Vout,D_max_buck_BB,Vout/H172*(1-D_min_boost_exitBB_to_buck)))</f>
        <v>0.28878257134676</v>
      </c>
      <c r="O172" s="488" t="n">
        <f aca="false">CHOOSE(J172,0,(Vout+(Rdson3+Rdcr)*L172-H172)/(Vout+(Rdson3-Rdson4-Rs)*L172),IF(H172&gt;Vout,D_min_boost_exitBB_to_buck, (Vout-H172*D_max_buck_BB)/Vout))</f>
        <v>0</v>
      </c>
      <c r="P172" s="385" t="n">
        <f aca="false">MAX(0, CHOOSE(J172, (H172-(Rdson1+Rdcr)*K172-Vout)*N172/(Fsw*Lf), (H172-(Rdson4+Rdcr+Rs)*L172)*O172/(Fsw*Lf), IF(H172&lt;Vout, (H172-(Rdson4+Rdcr+Rs)*L172)*O172/(0.5*Fsw*Lf),(H172-(Rdson1+Rdcr)*K172-Vout)*N172/(0.5*Fsw*Lf))))</f>
        <v>6.10451538070221</v>
      </c>
      <c r="Q172" s="488" t="n">
        <f aca="false">CHOOSE(J172, SQRT(K172^2+(P172^2)/12), SQRT(L172^2+(P172^2)/12), SQRT(M172^2+(P172^2)/12))</f>
        <v>6.25343311065496</v>
      </c>
      <c r="R172" s="488" t="n">
        <f aca="false">(Q172^2*Rdcr*(1+Ltc*Ta-Ltc*25))/(1-Q172^2*Rdcr*Ltc*ThetaCa)</f>
        <v>0.132390663786838</v>
      </c>
      <c r="S172" s="488" t="n">
        <f aca="false">7.759*10^-3*Fsw^0.9458*(0.00787*P172)^2.304</f>
        <v>1.07778755606362</v>
      </c>
      <c r="T172" s="488" t="n">
        <f aca="false">R172+S172</f>
        <v>1.21017821985045</v>
      </c>
      <c r="U172" s="385" t="n">
        <f aca="false">IF(H172&gt;Vout, P172/SQRT(12), SQRT(O172/(1-O172))*SQRT(K172^2+(P172^2)/12))</f>
        <v>1.76222179916032</v>
      </c>
      <c r="V172" s="488" t="n">
        <f aca="false">RCoutEsr*U172^2</f>
        <v>0.0155271283471791</v>
      </c>
      <c r="W172" s="488" t="n">
        <f aca="false">V172</f>
        <v>0.0155271283471791</v>
      </c>
      <c r="X172" s="488" t="n">
        <f aca="false">IF(H172&gt;Vout, SQRT(N172*(1-N172))*SQRT(K172^2+(P172^2)/12), P172/SQRT(12))</f>
        <v>2.83403489715926</v>
      </c>
      <c r="Y172" s="587" t="n">
        <f aca="false">RCinEsr*X172^2</f>
        <v>0.016063507596633</v>
      </c>
      <c r="Z172" s="588" t="n">
        <f aca="false">Y172</f>
        <v>0.016063507596633</v>
      </c>
      <c r="AA172" s="488" t="n">
        <f aca="false">CHOOSE(J172, SQRT(N172)*SQRT(K172^2+(P172^2)/12), SQRT(L172^2+(P172^2)/12), SQRT(N172)*SQRT(M172^2+(P172^2)/12))</f>
        <v>3.36050076304548</v>
      </c>
      <c r="AB172" s="488" t="n">
        <f aca="false">Rdson1*AA172^2</f>
        <v>0.0643699026570467</v>
      </c>
      <c r="AC172" s="488" t="n">
        <f aca="false">CHOOSE(J172, (H172*K172/2)*(Fsw)*(Tr_buck+Tf_buck), 0, (H172*M172/2)*(Fsw/2)*(Tr_buck+Tf_buck))</f>
        <v>0.255772407460545</v>
      </c>
      <c r="AD172" s="0" t="n">
        <f aca="false">IF(H172&gt;Vout, IF(K172&gt;P172/2,0,ABS(K172-P172/2)*Vsd_Q1*Deadtime*Fsw),0)</f>
        <v>0</v>
      </c>
      <c r="AE172" s="488" t="n">
        <f aca="false">(AD172+AC172+AB172*(1+RdsonTopTc*Ta-RdsonTopTc*25))/(1-AB172*RdsonTopTc*ThetaJA_Q1)</f>
        <v>0.324317568176287</v>
      </c>
      <c r="AF172" s="488" t="n">
        <f aca="false">CHOOSE(J172, SQRT((1-N172))*SQRT(K172^2+(P172^2)/12), 0, SQRT((1-N172))*SQRT(M172^2+(P172^2)/12))</f>
        <v>5.27375201265727</v>
      </c>
      <c r="AG172" s="488" t="n">
        <f aca="false">Rdson2*AF172^2</f>
        <v>0.158531023658737</v>
      </c>
      <c r="AH172" s="488" t="n">
        <f aca="false">CHOOSE(J172, IF(K172&lt;P172/2,Deadtime*Fsw*IF(VfdSky_Q2&gt;0,0,Vsd_Q2)*(K172+P172/2),2*Deadtime*Fsw*IF(VfdSky_Q2&gt;0,0,Vsd_Q2)*K172),0, IF(K172&lt;P172/2,Deadtime*Fsw/2*IF(VfdSky_Q2&gt;0,0,Vsd_Q2)*(K172+P172/2),2*Deadtime*Fsw/2*IF(VfdSky_Q2&gt;0,0,Vsd_Q2)*K172))</f>
        <v>0.144</v>
      </c>
      <c r="AI172" s="488" t="n">
        <f aca="false">(AH172+AG172*(1+RdsonBotTc*Ta-RdsonBotTc*25))/(1-AG172*RdsonBotTc*ThetaJA_Q2)</f>
        <v>0.312437222191355</v>
      </c>
      <c r="AJ172" s="488" t="n">
        <f aca="false">CHOOSE(J172, 0, SQRT(O172)*SQRT(L172^2+(P172^2)/12), SQRT(O172)*SQRT(M172^2+(P172^2)/12))</f>
        <v>0</v>
      </c>
      <c r="AK172" s="488" t="n">
        <f aca="false">Rdson4*AJ172^2</f>
        <v>0</v>
      </c>
      <c r="AL172" s="488" t="n">
        <f aca="false">CHOOSE(J172, 0, (Vout*L172/2)*(Fsw)*(Tr_boost+Tf_boost), (Vout*Iout/2)*(Fsw/2)*(Tr_boost+Tf_boost))</f>
        <v>0</v>
      </c>
      <c r="AM172" s="0" t="n">
        <f aca="false">IF(H172&gt;Vout, 0, IF(L172&gt;P172/2,0,ABS(L172-P172/2)*Vsd_Q4*Deadtime*Fsw))</f>
        <v>0</v>
      </c>
      <c r="AN172" s="488" t="n">
        <f aca="false">(AM172+AL172+AK172*(1+RdsonTopTc*Ta-RdsonTopTc*25))/(1-AK172*RdsonTopTc*ThetaJA_Q4)</f>
        <v>0</v>
      </c>
      <c r="AO172" s="488" t="n">
        <f aca="false">CHOOSE(J172, SQRT(Iout^2+(P172^2)/12), SQRT(1-O172)*SQRT(L172^2+(P172^2)/12), SQRT(1-O172)*SQRT(M172^2+(P172^2)/12))</f>
        <v>6.25343311065496</v>
      </c>
      <c r="AP172" s="488" t="n">
        <f aca="false">Rdson3*AO172^2</f>
        <v>0.0743003087719281</v>
      </c>
      <c r="AQ172" s="488" t="n">
        <f aca="false">CHOOSE(J172, 0, IF(L172&lt;P172/2,Deadtime*Fsw*IF(VfdSky_Q3&gt;0,0,Vsd_Q3)*(L172+P172/2), 2*Deadtime*Fsw*IF(VfdSky_Q3&gt;0,0,Vsd_Q3)*L172), IF(L172&lt;P172/2,Deadtime*Fsw/2*IF(VfdSky_Q3&gt;0,0,Vsd_Q3)*(L172+P172/2), 2*Deadtime*Fsw/2*IF(VfdSky_Q3&gt;0,0,Vsd_Q3)*L172))</f>
        <v>0</v>
      </c>
      <c r="AR172" s="488" t="n">
        <f aca="false">(AQ172+AP172*(1+RdsonBotTc*Ta-RdsonBotTc*25))/(1-AP172*RdsonBotTc*ThetaJA_Q3)</f>
        <v>0.0754210705377002</v>
      </c>
      <c r="AS172" s="488" t="n">
        <f aca="false">CHOOSE(J172, Rdson3*Q172^2, Rdson1*Q172^2, 0)</f>
        <v>0.0743003087719281</v>
      </c>
      <c r="AT172" s="488" t="n">
        <f aca="false">CHOOSE(J172, 2*Deadtime*Fsw*IF(VfdSky_Q2&gt;0,VfdSky_Q2,0)*K172, 2*Deadtime*Fsw*IF(VfdSky_Q3&gt;0,VfdSky_Q3,0)*L172, 2*Deadtime*Fsw/2*IF(VfdSky_Q2&gt;0,VfdSky_Q2,0)*K172+2*Deadtime*Fsw/2*IF(VfdSky_Q3&gt;0,VfdSky_Q3,0)*L172)</f>
        <v>0</v>
      </c>
      <c r="AU172" s="488" t="n">
        <f aca="false">CHOOSE(J172, IF(QrrSky_Q2&gt;0,QrrSky_Q2,Qrr_Q2)*Fsw*(H172-K172*Rdson1), IF(QrrSky_Q3&gt;0,QrrSky_Q3,Qrr_Q3)*Fsw*Vout,  IF(QrrSky_Q2&gt;0,QrrSky_Q2,Qrr_Q2)*Fsw/2*(H172-K172*Rdson1)+IF(QrrSky_Q3&gt;0,QrrSky_Q3,Qrr_Q3)*Fsw/2*Vout)</f>
        <v>0.79050762</v>
      </c>
      <c r="AV172" s="488" t="n">
        <f aca="false">CHOOSE(J172, Rs*AF172^2, Rs*AJ172^2, Rs*(AF172^2+AJ172^2))</f>
        <v>0.222499682328052</v>
      </c>
      <c r="AW172" s="488" t="n">
        <f aca="false">Rshunt_std/1000*Iout^2</f>
        <v>0.14832</v>
      </c>
      <c r="AX172" s="488" t="n">
        <f aca="false">IF(Vout&gt;8, Iq*Vout, Iq*H172)</f>
        <v>0.036</v>
      </c>
      <c r="AY172" s="488" t="n">
        <f aca="false">CHOOSE(J172, (Qg_Q1+Qg_Q2)*Fsw, (Qg_Q3+Qg_Q4)*Fsw, (Qg_Q1+Qg_Q2+Qg_Q3+Qg_Q4)*Fsw/2)*IF(Vout&gt;8, Vout, H172)</f>
        <v>0.0792</v>
      </c>
      <c r="AZ172" s="488" t="n">
        <f aca="false">(Vin-Vdd)*Fsw*(Qg_Q1+Qg_Q2)+(RdsonDRT+RdsonDRT2)*Fsw*Qg_Q1*Vdd/(RdsonDRT+2*Rgate1+RdsonDRT2)+(RdsonDRB+RdsonDRB2)*Fsw*Qg_Q2*Vdd/(RdsonDRB+2*Rgate2+RdsonDRB2)</f>
        <v>0.0522</v>
      </c>
      <c r="BA172" s="488" t="n">
        <f aca="false">SUM(AX172:AY172)</f>
        <v>0.1152</v>
      </c>
      <c r="BB172" s="488" t="n">
        <f aca="false">SUM(T172,W172,Z172,AE172,AI172,AN172,AR172, AT172,AU172,BA172,AV172,AW172)</f>
        <v>3.23047201902766</v>
      </c>
      <c r="BC172" s="419" t="n">
        <f aca="false">Vout*K172</f>
        <v>72</v>
      </c>
      <c r="BD172" s="589" t="n">
        <f aca="false">BC172/(BC172+BB172)</f>
        <v>0.957058995745626</v>
      </c>
      <c r="BE172" s="590" t="n">
        <f aca="false">IF(H172&gt;Vout,ThetaJA_Q1*(AE172+AU172),ThetaJA_Q4*(AN172+AU172))</f>
        <v>55.7412594088144</v>
      </c>
      <c r="BF172" s="590" t="n">
        <f aca="false">IF(H172&gt;Vout, AI172*ThetaJA_Q2, ThetaJA_Q3*AR172)</f>
        <v>15.6218611095678</v>
      </c>
      <c r="BG172" s="536"/>
      <c r="BH172" s="385" t="n">
        <f aca="false">BD172*100</f>
        <v>95.7058995745626</v>
      </c>
      <c r="BI172" s="488" t="n">
        <f aca="false">T172</f>
        <v>1.21017821985045</v>
      </c>
      <c r="BJ172" s="488" t="n">
        <f aca="false">AE172+AI172+AN172+AR172+AU172</f>
        <v>1.50268348090534</v>
      </c>
      <c r="BK172" s="488" t="n">
        <f aca="false">AI172+AU172*0.33</f>
        <v>0.573304736791355</v>
      </c>
      <c r="BL172" s="488" t="n">
        <f aca="false">AV172</f>
        <v>0.222499682328052</v>
      </c>
    </row>
    <row r="173" customFormat="false" ht="12.75" hidden="false" customHeight="false" outlineLevel="0" collapsed="false">
      <c r="G173" s="0" t="n">
        <v>164</v>
      </c>
      <c r="H173" s="586" t="n">
        <f aca="false">VIN_min+(VIN_max-VIN_min)*(G173/200)</f>
        <v>42.08</v>
      </c>
      <c r="I173" s="385" t="str">
        <f aca="false">IF(H173&gt;VIN_BB_to_buck, "BUCK", IF(H173&lt;VIN_boost_to_BB,"BOOST","BUCK-BST"))</f>
        <v>BUCK</v>
      </c>
      <c r="J173" s="419" t="n">
        <f aca="false">IF(I173="BOOST",2, IF(I173="BUCK", 1,3))</f>
        <v>1</v>
      </c>
      <c r="K173" s="0" t="n">
        <f aca="false">Iout</f>
        <v>6</v>
      </c>
      <c r="L173" s="385" t="n">
        <f aca="false">Vout*K173/(H173*Efficiency)</f>
        <v>1.90114068441065</v>
      </c>
      <c r="M173" s="385" t="n">
        <f aca="false">Iout/(1-O173)</f>
        <v>6</v>
      </c>
      <c r="N173" s="488" t="n">
        <f aca="false">CHOOSE(J173,(Vout+(Rdson2+Rs+Rdcr)*K173)/(H173+(Rs+Rdson2-Rdson1)*K173),1,IF(H173&lt;Vout,D_max_buck_BB,Vout/H173*(1-D_min_boost_exitBB_to_buck)))</f>
        <v>0.287274496771743</v>
      </c>
      <c r="O173" s="488" t="n">
        <f aca="false">CHOOSE(J173,0,(Vout+(Rdson3+Rdcr)*L173-H173)/(Vout+(Rdson3-Rdson4-Rs)*L173),IF(H173&gt;Vout,D_min_boost_exitBB_to_buck, (Vout-H173*D_max_buck_BB)/Vout))</f>
        <v>0</v>
      </c>
      <c r="P173" s="385" t="n">
        <f aca="false">MAX(0, CHOOSE(J173, (H173-(Rdson1+Rdcr)*K173-Vout)*N173/(Fsw*Lf), (H173-(Rdson4+Rdcr+Rs)*L173)*O173/(Fsw*Lf), IF(H173&lt;Vout, (H173-(Rdson4+Rdcr+Rs)*L173)*O173/(0.5*Fsw*Lf),(H173-(Rdson1+Rdcr)*K173-Vout)*N173/(0.5*Fsw*Lf))))</f>
        <v>6.11745947355981</v>
      </c>
      <c r="Q173" s="488" t="n">
        <f aca="false">CHOOSE(J173, SQRT(K173^2+(P173^2)/12), SQRT(L173^2+(P173^2)/12), SQRT(M173^2+(P173^2)/12))</f>
        <v>6.25448712532748</v>
      </c>
      <c r="R173" s="488" t="n">
        <f aca="false">(Q173^2*Rdcr*(1+Ltc*Ta-Ltc*25))/(1-Q173^2*Rdcr*Ltc*ThetaCa)</f>
        <v>0.132435769254221</v>
      </c>
      <c r="S173" s="488" t="n">
        <f aca="false">7.759*10^-3*Fsw^0.9458*(0.00787*P173)^2.304</f>
        <v>1.08306029413057</v>
      </c>
      <c r="T173" s="488" t="n">
        <f aca="false">R173+S173</f>
        <v>1.21549606338479</v>
      </c>
      <c r="U173" s="385" t="n">
        <f aca="false">IF(H173&gt;Vout, P173/SQRT(12), SQRT(O173/(1-O173))*SQRT(K173^2+(P173^2)/12))</f>
        <v>1.76595843690819</v>
      </c>
      <c r="V173" s="488" t="n">
        <f aca="false">RCoutEsr*U173^2</f>
        <v>0.0155930460044361</v>
      </c>
      <c r="W173" s="488" t="n">
        <f aca="false">V173</f>
        <v>0.0155930460044361</v>
      </c>
      <c r="X173" s="488" t="n">
        <f aca="false">IF(H173&gt;Vout, SQRT(N173*(1-N173))*SQRT(K173^2+(P173^2)/12), P173/SQRT(12))</f>
        <v>2.83009744193833</v>
      </c>
      <c r="Y173" s="587" t="n">
        <f aca="false">RCinEsr*X173^2</f>
        <v>0.0160189030617317</v>
      </c>
      <c r="Z173" s="588" t="n">
        <f aca="false">Y173</f>
        <v>0.0160189030617317</v>
      </c>
      <c r="AA173" s="488" t="n">
        <f aca="false">CHOOSE(J173, SQRT(N173)*SQRT(K173^2+(P173^2)/12), SQRT(L173^2+(P173^2)/12), SQRT(N173)*SQRT(M173^2+(P173^2)/12))</f>
        <v>3.35227963818584</v>
      </c>
      <c r="AB173" s="488" t="n">
        <f aca="false">Rdson1*AA173^2</f>
        <v>0.0640553390037936</v>
      </c>
      <c r="AC173" s="488" t="n">
        <f aca="false">CHOOSE(J173, (H173*K173/2)*(Fsw)*(Tr_buck+Tf_buck), 0, (H173*M173/2)*(Fsw/2)*(Tr_buck+Tf_buck))</f>
        <v>0.257116648493544</v>
      </c>
      <c r="AD173" s="0" t="n">
        <f aca="false">IF(H173&gt;Vout, IF(K173&gt;P173/2,0,ABS(K173-P173/2)*Vsd_Q1*Deadtime*Fsw),0)</f>
        <v>0</v>
      </c>
      <c r="AE173" s="488" t="n">
        <f aca="false">(AD173+AC173+AB173*(1+RdsonTopTc*Ta-RdsonTopTc*25))/(1-AB173*RdsonTopTc*ThetaJA_Q1)</f>
        <v>0.325339939520833</v>
      </c>
      <c r="AF173" s="488" t="n">
        <f aca="false">CHOOSE(J173, SQRT((1-N173))*SQRT(K173^2+(P173^2)/12), 0, SQRT((1-N173))*SQRT(M173^2+(P173^2)/12))</f>
        <v>5.28023014917833</v>
      </c>
      <c r="AG173" s="488" t="n">
        <f aca="false">Rdson2*AF173^2</f>
        <v>0.158920733441264</v>
      </c>
      <c r="AH173" s="488" t="n">
        <f aca="false">CHOOSE(J173, IF(K173&lt;P173/2,Deadtime*Fsw*IF(VfdSky_Q2&gt;0,0,Vsd_Q2)*(K173+P173/2),2*Deadtime*Fsw*IF(VfdSky_Q2&gt;0,0,Vsd_Q2)*K173),0, IF(K173&lt;P173/2,Deadtime*Fsw/2*IF(VfdSky_Q2&gt;0,0,Vsd_Q2)*(K173+P173/2),2*Deadtime*Fsw/2*IF(VfdSky_Q2&gt;0,0,Vsd_Q2)*K173))</f>
        <v>0.144</v>
      </c>
      <c r="AI173" s="488" t="n">
        <f aca="false">(AH173+AG173*(1+RdsonBotTc*Ta-RdsonBotTc*25))/(1-AG173*RdsonBotTc*ThetaJA_Q2)</f>
        <v>0.312864876571825</v>
      </c>
      <c r="AJ173" s="488" t="n">
        <f aca="false">CHOOSE(J173, 0, SQRT(O173)*SQRT(L173^2+(P173^2)/12), SQRT(O173)*SQRT(M173^2+(P173^2)/12))</f>
        <v>0</v>
      </c>
      <c r="AK173" s="488" t="n">
        <f aca="false">Rdson4*AJ173^2</f>
        <v>0</v>
      </c>
      <c r="AL173" s="488" t="n">
        <f aca="false">CHOOSE(J173, 0, (Vout*L173/2)*(Fsw)*(Tr_boost+Tf_boost), (Vout*Iout/2)*(Fsw/2)*(Tr_boost+Tf_boost))</f>
        <v>0</v>
      </c>
      <c r="AM173" s="0" t="n">
        <f aca="false">IF(H173&gt;Vout, 0, IF(L173&gt;P173/2,0,ABS(L173-P173/2)*Vsd_Q4*Deadtime*Fsw))</f>
        <v>0</v>
      </c>
      <c r="AN173" s="488" t="n">
        <f aca="false">(AM173+AL173+AK173*(1+RdsonTopTc*Ta-RdsonTopTc*25))/(1-AK173*RdsonTopTc*ThetaJA_Q4)</f>
        <v>0</v>
      </c>
      <c r="AO173" s="488" t="n">
        <f aca="false">CHOOSE(J173, SQRT(Iout^2+(P173^2)/12), SQRT(1-O173)*SQRT(L173^2+(P173^2)/12), SQRT(1-O173)*SQRT(M173^2+(P173^2)/12))</f>
        <v>6.25448712532748</v>
      </c>
      <c r="AP173" s="488" t="n">
        <f aca="false">Rdson3*AO173^2</f>
        <v>0.0743253574816857</v>
      </c>
      <c r="AQ173" s="488" t="n">
        <f aca="false">CHOOSE(J173, 0, IF(L173&lt;P173/2,Deadtime*Fsw*IF(VfdSky_Q3&gt;0,0,Vsd_Q3)*(L173+P173/2), 2*Deadtime*Fsw*IF(VfdSky_Q3&gt;0,0,Vsd_Q3)*L173), IF(L173&lt;P173/2,Deadtime*Fsw/2*IF(VfdSky_Q3&gt;0,0,Vsd_Q3)*(L173+P173/2), 2*Deadtime*Fsw/2*IF(VfdSky_Q3&gt;0,0,Vsd_Q3)*L173))</f>
        <v>0</v>
      </c>
      <c r="AR173" s="488" t="n">
        <f aca="false">(AQ173+AP173*(1+RdsonBotTc*Ta-RdsonBotTc*25))/(1-AP173*RdsonBotTc*ThetaJA_Q3)</f>
        <v>0.075446880758334</v>
      </c>
      <c r="AS173" s="488" t="n">
        <f aca="false">CHOOSE(J173, Rdson3*Q173^2, Rdson1*Q173^2, 0)</f>
        <v>0.0743253574816857</v>
      </c>
      <c r="AT173" s="488" t="n">
        <f aca="false">CHOOSE(J173, 2*Deadtime*Fsw*IF(VfdSky_Q2&gt;0,VfdSky_Q2,0)*K173, 2*Deadtime*Fsw*IF(VfdSky_Q3&gt;0,VfdSky_Q3,0)*L173, 2*Deadtime*Fsw/2*IF(VfdSky_Q2&gt;0,VfdSky_Q2,0)*K173+2*Deadtime*Fsw/2*IF(VfdSky_Q3&gt;0,VfdSky_Q3,0)*L173)</f>
        <v>0</v>
      </c>
      <c r="AU173" s="488" t="n">
        <f aca="false">CHOOSE(J173, IF(QrrSky_Q2&gt;0,QrrSky_Q2,Qrr_Q2)*Fsw*(H173-K173*Rdson1), IF(QrrSky_Q3&gt;0,QrrSky_Q3,Qrr_Q3)*Fsw*Vout,  IF(QrrSky_Q2&gt;0,QrrSky_Q2,Qrr_Q2)*Fsw/2*(H173-K173*Rdson1)+IF(QrrSky_Q3&gt;0,QrrSky_Q3,Qrr_Q3)*Fsw/2*Vout)</f>
        <v>0.79466562</v>
      </c>
      <c r="AV173" s="488" t="n">
        <f aca="false">CHOOSE(J173, Rs*AF173^2, Rs*AJ173^2, Rs*(AF173^2+AJ173^2))</f>
        <v>0.223046643426335</v>
      </c>
      <c r="AW173" s="488" t="n">
        <f aca="false">Rshunt_std/1000*Iout^2</f>
        <v>0.14832</v>
      </c>
      <c r="AX173" s="488" t="n">
        <f aca="false">IF(Vout&gt;8, Iq*Vout, Iq*H173)</f>
        <v>0.036</v>
      </c>
      <c r="AY173" s="488" t="n">
        <f aca="false">CHOOSE(J173, (Qg_Q1+Qg_Q2)*Fsw, (Qg_Q3+Qg_Q4)*Fsw, (Qg_Q1+Qg_Q2+Qg_Q3+Qg_Q4)*Fsw/2)*IF(Vout&gt;8, Vout, H173)</f>
        <v>0.0792</v>
      </c>
      <c r="AZ173" s="488" t="n">
        <f aca="false">(Vin-Vdd)*Fsw*(Qg_Q1+Qg_Q2)+(RdsonDRT+RdsonDRT2)*Fsw*Qg_Q1*Vdd/(RdsonDRT+2*Rgate1+RdsonDRT2)+(RdsonDRB+RdsonDRB2)*Fsw*Qg_Q2*Vdd/(RdsonDRB+2*Rgate2+RdsonDRB2)</f>
        <v>0.0522</v>
      </c>
      <c r="BA173" s="488" t="n">
        <f aca="false">SUM(AX173:AY173)</f>
        <v>0.1152</v>
      </c>
      <c r="BB173" s="488" t="n">
        <f aca="false">SUM(T173,W173,Z173,AE173,AI173,AN173,AR173, AT173,AU173,BA173,AV173,AW173)</f>
        <v>3.24199197272828</v>
      </c>
      <c r="BC173" s="419" t="n">
        <f aca="false">Vout*K173</f>
        <v>72</v>
      </c>
      <c r="BD173" s="589" t="n">
        <f aca="false">BC173/(BC173+BB173)</f>
        <v>0.956912464865319</v>
      </c>
      <c r="BE173" s="590" t="n">
        <f aca="false">IF(H173&gt;Vout,ThetaJA_Q1*(AE173+AU173),ThetaJA_Q4*(AN173+AU173))</f>
        <v>56.0002779760417</v>
      </c>
      <c r="BF173" s="590" t="n">
        <f aca="false">IF(H173&gt;Vout, AI173*ThetaJA_Q2, ThetaJA_Q3*AR173)</f>
        <v>15.6432438285912</v>
      </c>
      <c r="BG173" s="536"/>
      <c r="BH173" s="385" t="n">
        <f aca="false">BD173*100</f>
        <v>95.6912464865319</v>
      </c>
      <c r="BI173" s="488" t="n">
        <f aca="false">T173</f>
        <v>1.21549606338479</v>
      </c>
      <c r="BJ173" s="488" t="n">
        <f aca="false">AE173+AI173+AN173+AR173+AU173</f>
        <v>1.50831731685099</v>
      </c>
      <c r="BK173" s="488" t="n">
        <f aca="false">AI173+AU173*0.33</f>
        <v>0.575104531171825</v>
      </c>
      <c r="BL173" s="488" t="n">
        <f aca="false">AV173</f>
        <v>0.223046643426335</v>
      </c>
    </row>
    <row r="174" customFormat="false" ht="12.75" hidden="false" customHeight="false" outlineLevel="0" collapsed="false">
      <c r="G174" s="0" t="n">
        <v>165</v>
      </c>
      <c r="H174" s="586" t="n">
        <f aca="false">VIN_min+(VIN_max-VIN_min)*(G174/200)</f>
        <v>42.3</v>
      </c>
      <c r="I174" s="385" t="str">
        <f aca="false">IF(H174&gt;VIN_BB_to_buck, "BUCK", IF(H174&lt;VIN_boost_to_BB,"BOOST","BUCK-BST"))</f>
        <v>BUCK</v>
      </c>
      <c r="J174" s="419" t="n">
        <f aca="false">IF(I174="BOOST",2, IF(I174="BUCK", 1,3))</f>
        <v>1</v>
      </c>
      <c r="K174" s="0" t="n">
        <f aca="false">Iout</f>
        <v>6</v>
      </c>
      <c r="L174" s="385" t="n">
        <f aca="false">Vout*K174/(H174*Efficiency)</f>
        <v>1.89125295508274</v>
      </c>
      <c r="M174" s="385" t="n">
        <f aca="false">Iout/(1-O174)</f>
        <v>6</v>
      </c>
      <c r="N174" s="488" t="n">
        <f aca="false">CHOOSE(J174,(Vout+(Rdson2+Rs+Rdcr)*K174)/(H174+(Rs+Rdson2-Rdson1)*K174),1,IF(H174&lt;Vout,D_max_buck_BB,Vout/H174*(1-D_min_boost_exitBB_to_buck)))</f>
        <v>0.285782091243978</v>
      </c>
      <c r="O174" s="488" t="n">
        <f aca="false">CHOOSE(J174,0,(Vout+(Rdson3+Rdcr)*L174-H174)/(Vout+(Rdson3-Rdson4-Rs)*L174),IF(H174&gt;Vout,D_min_boost_exitBB_to_buck, (Vout-H174*D_max_buck_BB)/Vout))</f>
        <v>0</v>
      </c>
      <c r="P174" s="385" t="n">
        <f aca="false">MAX(0, CHOOSE(J174, (H174-(Rdson1+Rdcr)*K174-Vout)*N174/(Fsw*Lf), (H174-(Rdson4+Rdcr+Rs)*L174)*O174/(Fsw*Lf), IF(H174&lt;Vout, (H174-(Rdson4+Rdcr+Rs)*L174)*O174/(0.5*Fsw*Lf),(H174-(Rdson1+Rdcr)*K174-Vout)*N174/(0.5*Fsw*Lf))))</f>
        <v>6.1302690759844</v>
      </c>
      <c r="Q174" s="488" t="n">
        <f aca="false">CHOOSE(J174, SQRT(K174^2+(P174^2)/12), SQRT(L174^2+(P174^2)/12), SQRT(M174^2+(P174^2)/12))</f>
        <v>6.25553221119761</v>
      </c>
      <c r="R174" s="488" t="n">
        <f aca="false">(Q174^2*Rdcr*(1+Ltc*Ta-Ltc*25))/(1-Q174^2*Rdcr*Ltc*ThetaCa)</f>
        <v>0.132480500446405</v>
      </c>
      <c r="S174" s="488" t="n">
        <f aca="false">7.759*10^-3*Fsw^0.9458*(0.00787*P174)^2.304</f>
        <v>1.08829259008079</v>
      </c>
      <c r="T174" s="488" t="n">
        <f aca="false">R174+S174</f>
        <v>1.22077309052719</v>
      </c>
      <c r="U174" s="385" t="n">
        <f aca="false">IF(H174&gt;Vout, P174/SQRT(12), SQRT(O174/(1-O174))*SQRT(K174^2+(P174^2)/12))</f>
        <v>1.76965625061222</v>
      </c>
      <c r="V174" s="488" t="n">
        <f aca="false">RCoutEsr*U174^2</f>
        <v>0.0156584162266544</v>
      </c>
      <c r="W174" s="488" t="n">
        <f aca="false">V174</f>
        <v>0.0156584162266544</v>
      </c>
      <c r="X174" s="488" t="n">
        <f aca="false">IF(H174&gt;Vout, SQRT(N174*(1-N174))*SQRT(K174^2+(P174^2)/12), P174/SQRT(12))</f>
        <v>2.82616255245613</v>
      </c>
      <c r="Y174" s="587" t="n">
        <f aca="false">RCinEsr*X174^2</f>
        <v>0.0159743895458108</v>
      </c>
      <c r="Z174" s="588" t="n">
        <f aca="false">Y174</f>
        <v>0.0159743895458108</v>
      </c>
      <c r="AA174" s="488" t="n">
        <f aca="false">CHOOSE(J174, SQRT(N174)*SQRT(K174^2+(P174^2)/12), SQRT(L174^2+(P174^2)/12), SQRT(N174)*SQRT(M174^2+(P174^2)/12))</f>
        <v>3.34411935668385</v>
      </c>
      <c r="AB174" s="488" t="n">
        <f aca="false">Rdson1*AA174^2</f>
        <v>0.0637438653489614</v>
      </c>
      <c r="AC174" s="488" t="n">
        <f aca="false">CHOOSE(J174, (H174*K174/2)*(Fsw)*(Tr_buck+Tf_buck), 0, (H174*M174/2)*(Fsw/2)*(Tr_buck+Tf_buck))</f>
        <v>0.258460889526542</v>
      </c>
      <c r="AD174" s="0" t="n">
        <f aca="false">IF(H174&gt;Vout, IF(K174&gt;P174/2,0,ABS(K174-P174/2)*Vsd_Q1*Deadtime*Fsw),0)</f>
        <v>0</v>
      </c>
      <c r="AE174" s="488" t="n">
        <f aca="false">(AD174+AC174+AB174*(1+RdsonTopTc*Ta-RdsonTopTc*25))/(1-AB174*RdsonTopTc*ThetaJA_Q1)</f>
        <v>0.326365514760998</v>
      </c>
      <c r="AF174" s="488" t="n">
        <f aca="false">CHOOSE(J174, SQRT((1-N174))*SQRT(K174^2+(P174^2)/12), 0, SQRT((1-N174))*SQRT(M174^2+(P174^2)/12))</f>
        <v>5.2866387216816</v>
      </c>
      <c r="AG174" s="488" t="n">
        <f aca="false">Rdson2*AF174^2</f>
        <v>0.159306729149425</v>
      </c>
      <c r="AH174" s="488" t="n">
        <f aca="false">CHOOSE(J174, IF(K174&lt;P174/2,Deadtime*Fsw*IF(VfdSky_Q2&gt;0,0,Vsd_Q2)*(K174+P174/2),2*Deadtime*Fsw*IF(VfdSky_Q2&gt;0,0,Vsd_Q2)*K174),0, IF(K174&lt;P174/2,Deadtime*Fsw/2*IF(VfdSky_Q2&gt;0,0,Vsd_Q2)*(K174+P174/2),2*Deadtime*Fsw/2*IF(VfdSky_Q2&gt;0,0,Vsd_Q2)*K174))</f>
        <v>0.144</v>
      </c>
      <c r="AI174" s="488" t="n">
        <f aca="false">(AH174+AG174*(1+RdsonBotTc*Ta-RdsonBotTc*25))/(1-AG174*RdsonBotTc*ThetaJA_Q2)</f>
        <v>0.313288523129384</v>
      </c>
      <c r="AJ174" s="488" t="n">
        <f aca="false">CHOOSE(J174, 0, SQRT(O174)*SQRT(L174^2+(P174^2)/12), SQRT(O174)*SQRT(M174^2+(P174^2)/12))</f>
        <v>0</v>
      </c>
      <c r="AK174" s="488" t="n">
        <f aca="false">Rdson4*AJ174^2</f>
        <v>0</v>
      </c>
      <c r="AL174" s="488" t="n">
        <f aca="false">CHOOSE(J174, 0, (Vout*L174/2)*(Fsw)*(Tr_boost+Tf_boost), (Vout*Iout/2)*(Fsw/2)*(Tr_boost+Tf_boost))</f>
        <v>0</v>
      </c>
      <c r="AM174" s="0" t="n">
        <f aca="false">IF(H174&gt;Vout, 0, IF(L174&gt;P174/2,0,ABS(L174-P174/2)*Vsd_Q4*Deadtime*Fsw))</f>
        <v>0</v>
      </c>
      <c r="AN174" s="488" t="n">
        <f aca="false">(AM174+AL174+AK174*(1+RdsonTopTc*Ta-RdsonTopTc*25))/(1-AK174*RdsonTopTc*ThetaJA_Q4)</f>
        <v>0</v>
      </c>
      <c r="AO174" s="488" t="n">
        <f aca="false">CHOOSE(J174, SQRT(Iout^2+(P174^2)/12), SQRT(1-O174)*SQRT(L174^2+(P174^2)/12), SQRT(1-O174)*SQRT(M174^2+(P174^2)/12))</f>
        <v>6.25553221119761</v>
      </c>
      <c r="AP174" s="488" t="n">
        <f aca="false">Rdson3*AO174^2</f>
        <v>0.0743501981661287</v>
      </c>
      <c r="AQ174" s="488" t="n">
        <f aca="false">CHOOSE(J174, 0, IF(L174&lt;P174/2,Deadtime*Fsw*IF(VfdSky_Q3&gt;0,0,Vsd_Q3)*(L174+P174/2), 2*Deadtime*Fsw*IF(VfdSky_Q3&gt;0,0,Vsd_Q3)*L174), IF(L174&lt;P174/2,Deadtime*Fsw/2*IF(VfdSky_Q3&gt;0,0,Vsd_Q3)*(L174+P174/2), 2*Deadtime*Fsw/2*IF(VfdSky_Q3&gt;0,0,Vsd_Q3)*L174))</f>
        <v>0</v>
      </c>
      <c r="AR174" s="488" t="n">
        <f aca="false">(AQ174+AP174*(1+RdsonBotTc*Ta-RdsonBotTc*25))/(1-AP174*RdsonBotTc*ThetaJA_Q3)</f>
        <v>0.0754724768886811</v>
      </c>
      <c r="AS174" s="488" t="n">
        <f aca="false">CHOOSE(J174, Rdson3*Q174^2, Rdson1*Q174^2, 0)</f>
        <v>0.0743501981661287</v>
      </c>
      <c r="AT174" s="488" t="n">
        <f aca="false">CHOOSE(J174, 2*Deadtime*Fsw*IF(VfdSky_Q2&gt;0,VfdSky_Q2,0)*K174, 2*Deadtime*Fsw*IF(VfdSky_Q3&gt;0,VfdSky_Q3,0)*L174, 2*Deadtime*Fsw/2*IF(VfdSky_Q2&gt;0,VfdSky_Q2,0)*K174+2*Deadtime*Fsw/2*IF(VfdSky_Q3&gt;0,VfdSky_Q3,0)*L174)</f>
        <v>0</v>
      </c>
      <c r="AU174" s="488" t="n">
        <f aca="false">CHOOSE(J174, IF(QrrSky_Q2&gt;0,QrrSky_Q2,Qrr_Q2)*Fsw*(H174-K174*Rdson1), IF(QrrSky_Q3&gt;0,QrrSky_Q3,Qrr_Q3)*Fsw*Vout,  IF(QrrSky_Q2&gt;0,QrrSky_Q2,Qrr_Q2)*Fsw/2*(H174-K174*Rdson1)+IF(QrrSky_Q3&gt;0,QrrSky_Q3,Qrr_Q3)*Fsw/2*Vout)</f>
        <v>0.79882362</v>
      </c>
      <c r="AV174" s="488" t="n">
        <f aca="false">CHOOSE(J174, Rs*AF174^2, Rs*AJ174^2, Rs*(AF174^2+AJ174^2))</f>
        <v>0.223588391788666</v>
      </c>
      <c r="AW174" s="488" t="n">
        <f aca="false">Rshunt_std/1000*Iout^2</f>
        <v>0.14832</v>
      </c>
      <c r="AX174" s="488" t="n">
        <f aca="false">IF(Vout&gt;8, Iq*Vout, Iq*H174)</f>
        <v>0.036</v>
      </c>
      <c r="AY174" s="488" t="n">
        <f aca="false">CHOOSE(J174, (Qg_Q1+Qg_Q2)*Fsw, (Qg_Q3+Qg_Q4)*Fsw, (Qg_Q1+Qg_Q2+Qg_Q3+Qg_Q4)*Fsw/2)*IF(Vout&gt;8, Vout, H174)</f>
        <v>0.0792</v>
      </c>
      <c r="AZ174" s="488" t="n">
        <f aca="false">(Vin-Vdd)*Fsw*(Qg_Q1+Qg_Q2)+(RdsonDRT+RdsonDRT2)*Fsw*Qg_Q1*Vdd/(RdsonDRT+2*Rgate1+RdsonDRT2)+(RdsonDRB+RdsonDRB2)*Fsw*Qg_Q2*Vdd/(RdsonDRB+2*Rgate2+RdsonDRB2)</f>
        <v>0.0522</v>
      </c>
      <c r="BA174" s="488" t="n">
        <f aca="false">SUM(AX174:AY174)</f>
        <v>0.1152</v>
      </c>
      <c r="BB174" s="488" t="n">
        <f aca="false">SUM(T174,W174,Z174,AE174,AI174,AN174,AR174, AT174,AU174,BA174,AV174,AW174)</f>
        <v>3.25346442286739</v>
      </c>
      <c r="BC174" s="419" t="n">
        <f aca="false">Vout*K174</f>
        <v>72</v>
      </c>
      <c r="BD174" s="589" t="n">
        <f aca="false">BC174/(BC174+BB174)</f>
        <v>0.956766582803612</v>
      </c>
      <c r="BE174" s="590" t="n">
        <f aca="false">IF(H174&gt;Vout,ThetaJA_Q1*(AE174+AU174),ThetaJA_Q4*(AN174+AU174))</f>
        <v>56.2594567380499</v>
      </c>
      <c r="BF174" s="590" t="n">
        <f aca="false">IF(H174&gt;Vout, AI174*ThetaJA_Q2, ThetaJA_Q3*AR174)</f>
        <v>15.6644261564692</v>
      </c>
      <c r="BG174" s="536"/>
      <c r="BH174" s="385" t="n">
        <f aca="false">BD174*100</f>
        <v>95.6766582803612</v>
      </c>
      <c r="BI174" s="488" t="n">
        <f aca="false">T174</f>
        <v>1.22077309052719</v>
      </c>
      <c r="BJ174" s="488" t="n">
        <f aca="false">AE174+AI174+AN174+AR174+AU174</f>
        <v>1.51395013477906</v>
      </c>
      <c r="BK174" s="488" t="n">
        <f aca="false">AI174+AU174*0.33</f>
        <v>0.576900317729384</v>
      </c>
      <c r="BL174" s="488" t="n">
        <f aca="false">AV174</f>
        <v>0.223588391788666</v>
      </c>
    </row>
    <row r="175" customFormat="false" ht="12.75" hidden="false" customHeight="false" outlineLevel="0" collapsed="false">
      <c r="G175" s="0" t="n">
        <v>166</v>
      </c>
      <c r="H175" s="586" t="n">
        <f aca="false">VIN_min+(VIN_max-VIN_min)*(G175/200)</f>
        <v>42.52</v>
      </c>
      <c r="I175" s="385" t="str">
        <f aca="false">IF(H175&gt;VIN_BB_to_buck, "BUCK", IF(H175&lt;VIN_boost_to_BB,"BOOST","BUCK-BST"))</f>
        <v>BUCK</v>
      </c>
      <c r="J175" s="419" t="n">
        <f aca="false">IF(I175="BOOST",2, IF(I175="BUCK", 1,3))</f>
        <v>1</v>
      </c>
      <c r="K175" s="0" t="n">
        <f aca="false">Iout</f>
        <v>6</v>
      </c>
      <c r="L175" s="385" t="n">
        <f aca="false">Vout*K175/(H175*Efficiency)</f>
        <v>1.88146754468485</v>
      </c>
      <c r="M175" s="385" t="n">
        <f aca="false">Iout/(1-O175)</f>
        <v>6</v>
      </c>
      <c r="N175" s="488" t="n">
        <f aca="false">CHOOSE(J175,(Vout+(Rdson2+Rs+Rdcr)*K175)/(H175+(Rs+Rdson2-Rdson1)*K175),1,IF(H175&lt;Vout,D_max_buck_BB,Vout/H175*(1-D_min_boost_exitBB_to_buck)))</f>
        <v>0.284305111821086</v>
      </c>
      <c r="O175" s="488" t="n">
        <f aca="false">CHOOSE(J175,0,(Vout+(Rdson3+Rdcr)*L175-H175)/(Vout+(Rdson3-Rdson4-Rs)*L175),IF(H175&gt;Vout,D_min_boost_exitBB_to_buck, (Vout-H175*D_max_buck_BB)/Vout))</f>
        <v>0</v>
      </c>
      <c r="P175" s="385" t="n">
        <f aca="false">MAX(0, CHOOSE(J175, (H175-(Rdson1+Rdcr)*K175-Vout)*N175/(Fsw*Lf), (H175-(Rdson4+Rdcr+Rs)*L175)*O175/(Fsw*Lf), IF(H175&lt;Vout, (H175-(Rdson4+Rdcr+Rs)*L175)*O175/(0.5*Fsw*Lf),(H175-(Rdson1+Rdcr)*K175-Vout)*N175/(0.5*Fsw*Lf))))</f>
        <v>6.14294627319693</v>
      </c>
      <c r="Q175" s="488" t="n">
        <f aca="false">CHOOSE(J175, SQRT(K175^2+(P175^2)/12), SQRT(L175^2+(P175^2)/12), SQRT(M175^2+(P175^2)/12))</f>
        <v>6.25656847451397</v>
      </c>
      <c r="R175" s="488" t="n">
        <f aca="false">(Q175^2*Rdcr*(1+Ltc*Ta-Ltc*25))/(1-Q175^2*Rdcr*Ltc*ThetaCa)</f>
        <v>0.132524861712652</v>
      </c>
      <c r="S175" s="488" t="n">
        <f aca="false">7.759*10^-3*Fsw^0.9458*(0.00787*P175)^2.304</f>
        <v>1.09348485866865</v>
      </c>
      <c r="T175" s="488" t="n">
        <f aca="false">R175+S175</f>
        <v>1.2260097203813</v>
      </c>
      <c r="U175" s="385" t="n">
        <f aca="false">IF(H175&gt;Vout, P175/SQRT(12), SQRT(O175/(1-O175))*SQRT(K175^2+(P175^2)/12))</f>
        <v>1.77331584222383</v>
      </c>
      <c r="V175" s="488" t="n">
        <f aca="false">RCoutEsr*U175^2</f>
        <v>0.01572324538141</v>
      </c>
      <c r="W175" s="488" t="n">
        <f aca="false">V175</f>
        <v>0.01572324538141</v>
      </c>
      <c r="X175" s="488" t="n">
        <f aca="false">IF(H175&gt;Vout, SQRT(N175*(1-N175))*SQRT(K175^2+(P175^2)/12), P175/SQRT(12))</f>
        <v>2.82223058370102</v>
      </c>
      <c r="Y175" s="587" t="n">
        <f aca="false">RCinEsr*X175^2</f>
        <v>0.0159299709351548</v>
      </c>
      <c r="Z175" s="588" t="n">
        <f aca="false">Y175</f>
        <v>0.0159299709351548</v>
      </c>
      <c r="AA175" s="488" t="n">
        <f aca="false">CHOOSE(J175, SQRT(N175)*SQRT(K175^2+(P175^2)/12), SQRT(L175^2+(P175^2)/12), SQRT(N175)*SQRT(M175^2+(P175^2)/12))</f>
        <v>3.33601915954173</v>
      </c>
      <c r="AB175" s="488" t="n">
        <f aca="false">Rdson1*AA175^2</f>
        <v>0.0634354358471283</v>
      </c>
      <c r="AC175" s="488" t="n">
        <f aca="false">CHOOSE(J175, (H175*K175/2)*(Fsw)*(Tr_buck+Tf_buck), 0, (H175*M175/2)*(Fsw/2)*(Tr_buck+Tf_buck))</f>
        <v>0.259805130559541</v>
      </c>
      <c r="AD175" s="0" t="n">
        <f aca="false">IF(H175&gt;Vout, IF(K175&gt;P175/2,0,ABS(K175-P175/2)*Vsd_Q1*Deadtime*Fsw),0)</f>
        <v>0</v>
      </c>
      <c r="AE175" s="488" t="n">
        <f aca="false">(AD175+AC175+AB175*(1+RdsonTopTc*Ta-RdsonTopTc*25))/(1-AB175*RdsonTopTc*ThetaJA_Q1)</f>
        <v>0.327394245741156</v>
      </c>
      <c r="AF175" s="488" t="n">
        <f aca="false">CHOOSE(J175, SQRT((1-N175))*SQRT(K175^2+(P175^2)/12), 0, SQRT((1-N175))*SQRT(M175^2+(P175^2)/12))</f>
        <v>5.29297886293271</v>
      </c>
      <c r="AG175" s="488" t="n">
        <f aca="false">Rdson2*AF175^2</f>
        <v>0.159689063887679</v>
      </c>
      <c r="AH175" s="488" t="n">
        <f aca="false">CHOOSE(J175, IF(K175&lt;P175/2,Deadtime*Fsw*IF(VfdSky_Q2&gt;0,0,Vsd_Q2)*(K175+P175/2),2*Deadtime*Fsw*IF(VfdSky_Q2&gt;0,0,Vsd_Q2)*K175),0, IF(K175&lt;P175/2,Deadtime*Fsw/2*IF(VfdSky_Q2&gt;0,0,Vsd_Q2)*(K175+P175/2),2*Deadtime*Fsw/2*IF(VfdSky_Q2&gt;0,0,Vsd_Q2)*K175))</f>
        <v>0.144</v>
      </c>
      <c r="AI175" s="488" t="n">
        <f aca="false">(AH175+AG175*(1+RdsonBotTc*Ta-RdsonBotTc*25))/(1-AG175*RdsonBotTc*ThetaJA_Q2)</f>
        <v>0.313708218228227</v>
      </c>
      <c r="AJ175" s="488" t="n">
        <f aca="false">CHOOSE(J175, 0, SQRT(O175)*SQRT(L175^2+(P175^2)/12), SQRT(O175)*SQRT(M175^2+(P175^2)/12))</f>
        <v>0</v>
      </c>
      <c r="AK175" s="488" t="n">
        <f aca="false">Rdson4*AJ175^2</f>
        <v>0</v>
      </c>
      <c r="AL175" s="488" t="n">
        <f aca="false">CHOOSE(J175, 0, (Vout*L175/2)*(Fsw)*(Tr_boost+Tf_boost), (Vout*Iout/2)*(Fsw/2)*(Tr_boost+Tf_boost))</f>
        <v>0</v>
      </c>
      <c r="AM175" s="0" t="n">
        <f aca="false">IF(H175&gt;Vout, 0, IF(L175&gt;P175/2,0,ABS(L175-P175/2)*Vsd_Q4*Deadtime*Fsw))</f>
        <v>0</v>
      </c>
      <c r="AN175" s="488" t="n">
        <f aca="false">(AM175+AL175+AK175*(1+RdsonTopTc*Ta-RdsonTopTc*25))/(1-AK175*RdsonTopTc*ThetaJA_Q4)</f>
        <v>0</v>
      </c>
      <c r="AO175" s="488" t="n">
        <f aca="false">CHOOSE(J175, SQRT(Iout^2+(P175^2)/12), SQRT(1-O175)*SQRT(L175^2+(P175^2)/12), SQRT(1-O175)*SQRT(M175^2+(P175^2)/12))</f>
        <v>6.25656847451397</v>
      </c>
      <c r="AP175" s="488" t="n">
        <f aca="false">Rdson3*AO175^2</f>
        <v>0.0743748332449358</v>
      </c>
      <c r="AQ175" s="488" t="n">
        <f aca="false">CHOOSE(J175, 0, IF(L175&lt;P175/2,Deadtime*Fsw*IF(VfdSky_Q3&gt;0,0,Vsd_Q3)*(L175+P175/2), 2*Deadtime*Fsw*IF(VfdSky_Q3&gt;0,0,Vsd_Q3)*L175), IF(L175&lt;P175/2,Deadtime*Fsw/2*IF(VfdSky_Q3&gt;0,0,Vsd_Q3)*(L175+P175/2), 2*Deadtime*Fsw/2*IF(VfdSky_Q3&gt;0,0,Vsd_Q3)*L175))</f>
        <v>0</v>
      </c>
      <c r="AR175" s="488" t="n">
        <f aca="false">(AQ175+AP175*(1+RdsonBotTc*Ta-RdsonBotTc*25))/(1-AP175*RdsonBotTc*ThetaJA_Q3)</f>
        <v>0.0754978614155621</v>
      </c>
      <c r="AS175" s="488" t="n">
        <f aca="false">CHOOSE(J175, Rdson3*Q175^2, Rdson1*Q175^2, 0)</f>
        <v>0.0743748332449358</v>
      </c>
      <c r="AT175" s="488" t="n">
        <f aca="false">CHOOSE(J175, 2*Deadtime*Fsw*IF(VfdSky_Q2&gt;0,VfdSky_Q2,0)*K175, 2*Deadtime*Fsw*IF(VfdSky_Q3&gt;0,VfdSky_Q3,0)*L175, 2*Deadtime*Fsw/2*IF(VfdSky_Q2&gt;0,VfdSky_Q2,0)*K175+2*Deadtime*Fsw/2*IF(VfdSky_Q3&gt;0,VfdSky_Q3,0)*L175)</f>
        <v>0</v>
      </c>
      <c r="AU175" s="488" t="n">
        <f aca="false">CHOOSE(J175, IF(QrrSky_Q2&gt;0,QrrSky_Q2,Qrr_Q2)*Fsw*(H175-K175*Rdson1), IF(QrrSky_Q3&gt;0,QrrSky_Q3,Qrr_Q3)*Fsw*Vout,  IF(QrrSky_Q2&gt;0,QrrSky_Q2,Qrr_Q2)*Fsw/2*(H175-K175*Rdson1)+IF(QrrSky_Q3&gt;0,QrrSky_Q3,Qrr_Q3)*Fsw/2*Vout)</f>
        <v>0.80298162</v>
      </c>
      <c r="AV175" s="488" t="n">
        <f aca="false">CHOOSE(J175, Rs*AF175^2, Rs*AJ175^2, Rs*(AF175^2+AJ175^2))</f>
        <v>0.22412500194762</v>
      </c>
      <c r="AW175" s="488" t="n">
        <f aca="false">Rshunt_std/1000*Iout^2</f>
        <v>0.14832</v>
      </c>
      <c r="AX175" s="488" t="n">
        <f aca="false">IF(Vout&gt;8, Iq*Vout, Iq*H175)</f>
        <v>0.036</v>
      </c>
      <c r="AY175" s="488" t="n">
        <f aca="false">CHOOSE(J175, (Qg_Q1+Qg_Q2)*Fsw, (Qg_Q3+Qg_Q4)*Fsw, (Qg_Q1+Qg_Q2+Qg_Q3+Qg_Q4)*Fsw/2)*IF(Vout&gt;8, Vout, H175)</f>
        <v>0.0792</v>
      </c>
      <c r="AZ175" s="488" t="n">
        <f aca="false">(Vin-Vdd)*Fsw*(Qg_Q1+Qg_Q2)+(RdsonDRT+RdsonDRT2)*Fsw*Qg_Q1*Vdd/(RdsonDRT+2*Rgate1+RdsonDRT2)+(RdsonDRB+RdsonDRB2)*Fsw*Qg_Q2*Vdd/(RdsonDRB+2*Rgate2+RdsonDRB2)</f>
        <v>0.0522</v>
      </c>
      <c r="BA175" s="488" t="n">
        <f aca="false">SUM(AX175:AY175)</f>
        <v>0.1152</v>
      </c>
      <c r="BB175" s="488" t="n">
        <f aca="false">SUM(T175,W175,Z175,AE175,AI175,AN175,AR175, AT175,AU175,BA175,AV175,AW175)</f>
        <v>3.26488988403043</v>
      </c>
      <c r="BC175" s="419" t="n">
        <f aca="false">Vout*K175</f>
        <v>72</v>
      </c>
      <c r="BD175" s="589" t="n">
        <f aca="false">BC175/(BC175+BB175)</f>
        <v>0.956621342447175</v>
      </c>
      <c r="BE175" s="590" t="n">
        <f aca="false">IF(H175&gt;Vout,ThetaJA_Q1*(AE175+AU175),ThetaJA_Q4*(AN175+AU175))</f>
        <v>56.5187932870578</v>
      </c>
      <c r="BF175" s="590" t="n">
        <f aca="false">IF(H175&gt;Vout, AI175*ThetaJA_Q2, ThetaJA_Q3*AR175)</f>
        <v>15.6854109114113</v>
      </c>
      <c r="BG175" s="536"/>
      <c r="BH175" s="385" t="n">
        <f aca="false">BD175*100</f>
        <v>95.6621342447175</v>
      </c>
      <c r="BI175" s="488" t="n">
        <f aca="false">T175</f>
        <v>1.2260097203813</v>
      </c>
      <c r="BJ175" s="488" t="n">
        <f aca="false">AE175+AI175+AN175+AR175+AU175</f>
        <v>1.51958194538494</v>
      </c>
      <c r="BK175" s="488" t="n">
        <f aca="false">AI175+AU175*0.33</f>
        <v>0.578692152828227</v>
      </c>
      <c r="BL175" s="488" t="n">
        <f aca="false">AV175</f>
        <v>0.22412500194762</v>
      </c>
    </row>
    <row r="176" customFormat="false" ht="12.75" hidden="false" customHeight="false" outlineLevel="0" collapsed="false">
      <c r="G176" s="0" t="n">
        <v>167</v>
      </c>
      <c r="H176" s="586" t="n">
        <f aca="false">VIN_min+(VIN_max-VIN_min)*(G176/200)</f>
        <v>42.74</v>
      </c>
      <c r="I176" s="385" t="str">
        <f aca="false">IF(H176&gt;VIN_BB_to_buck, "BUCK", IF(H176&lt;VIN_boost_to_BB,"BOOST","BUCK-BST"))</f>
        <v>BUCK</v>
      </c>
      <c r="J176" s="419" t="n">
        <f aca="false">IF(I176="BOOST",2, IF(I176="BUCK", 1,3))</f>
        <v>1</v>
      </c>
      <c r="K176" s="0" t="n">
        <f aca="false">Iout</f>
        <v>6</v>
      </c>
      <c r="L176" s="385" t="n">
        <f aca="false">Vout*K176/(H176*Efficiency)</f>
        <v>1.87178287318671</v>
      </c>
      <c r="M176" s="385" t="n">
        <f aca="false">Iout/(1-O176)</f>
        <v>6</v>
      </c>
      <c r="N176" s="488" t="n">
        <f aca="false">CHOOSE(J176,(Vout+(Rdson2+Rs+Rdcr)*K176)/(H176+(Rs+Rdson2-Rdson1)*K176),1,IF(H176&lt;Vout,D_max_buck_BB,Vout/H176*(1-D_min_boost_exitBB_to_buck)))</f>
        <v>0.282843320557166</v>
      </c>
      <c r="O176" s="488" t="n">
        <f aca="false">CHOOSE(J176,0,(Vout+(Rdson3+Rdcr)*L176-H176)/(Vout+(Rdson3-Rdson4-Rs)*L176),IF(H176&gt;Vout,D_min_boost_exitBB_to_buck, (Vout-H176*D_max_buck_BB)/Vout))</f>
        <v>0</v>
      </c>
      <c r="P176" s="385" t="n">
        <f aca="false">MAX(0, CHOOSE(J176, (H176-(Rdson1+Rdcr)*K176-Vout)*N176/(Fsw*Lf), (H176-(Rdson4+Rdcr+Rs)*L176)*O176/(Fsw*Lf), IF(H176&lt;Vout, (H176-(Rdson4+Rdcr+Rs)*L176)*O176/(0.5*Fsw*Lf),(H176-(Rdson1+Rdcr)*K176-Vout)*N176/(0.5*Fsw*Lf))))</f>
        <v>6.15549310753264</v>
      </c>
      <c r="Q176" s="488" t="n">
        <f aca="false">CHOOSE(J176, SQRT(K176^2+(P176^2)/12), SQRT(L176^2+(P176^2)/12), SQRT(M176^2+(P176^2)/12))</f>
        <v>6.2575960200176</v>
      </c>
      <c r="R176" s="488" t="n">
        <f aca="false">(Q176^2*Rdcr*(1+Ltc*Ta-Ltc*25))/(1-Q176^2*Rdcr*Ltc*ThetaCa)</f>
        <v>0.132568857342484</v>
      </c>
      <c r="S176" s="488" t="n">
        <f aca="false">7.759*10^-3*Fsw^0.9458*(0.00787*P176)^2.304</f>
        <v>1.09863751026757</v>
      </c>
      <c r="T176" s="488" t="n">
        <f aca="false">R176+S176</f>
        <v>1.23120636761005</v>
      </c>
      <c r="U176" s="385" t="n">
        <f aca="false">IF(H176&gt;Vout, P176/SQRT(12), SQRT(O176/(1-O176))*SQRT(K176^2+(P176^2)/12))</f>
        <v>1.77693780131443</v>
      </c>
      <c r="V176" s="488" t="n">
        <f aca="false">RCoutEsr*U176^2</f>
        <v>0.0157875397487007</v>
      </c>
      <c r="W176" s="488" t="n">
        <f aca="false">V176</f>
        <v>0.0157875397487007</v>
      </c>
      <c r="X176" s="488" t="n">
        <f aca="false">IF(H176&gt;Vout, SQRT(N176*(1-N176))*SQRT(K176^2+(P176^2)/12), P176/SQRT(12))</f>
        <v>2.818301876613</v>
      </c>
      <c r="Y176" s="587" t="n">
        <f aca="false">RCinEsr*X176^2</f>
        <v>0.0158856509354408</v>
      </c>
      <c r="Z176" s="588" t="n">
        <f aca="false">Y176</f>
        <v>0.0158856509354408</v>
      </c>
      <c r="AA176" s="488" t="n">
        <f aca="false">CHOOSE(J176, SQRT(N176)*SQRT(K176^2+(P176^2)/12), SQRT(L176^2+(P176^2)/12), SQRT(N176)*SQRT(M176^2+(P176^2)/12))</f>
        <v>3.32797830119851</v>
      </c>
      <c r="AB176" s="488" t="n">
        <f aca="false">Rdson1*AA176^2</f>
        <v>0.0631300055675142</v>
      </c>
      <c r="AC176" s="488" t="n">
        <f aca="false">CHOOSE(J176, (H176*K176/2)*(Fsw)*(Tr_buck+Tf_buck), 0, (H176*M176/2)*(Fsw/2)*(Tr_buck+Tf_buck))</f>
        <v>0.261149371592539</v>
      </c>
      <c r="AD176" s="0" t="n">
        <f aca="false">IF(H176&gt;Vout, IF(K176&gt;P176/2,0,ABS(K176-P176/2)*Vsd_Q1*Deadtime*Fsw),0)</f>
        <v>0</v>
      </c>
      <c r="AE176" s="488" t="n">
        <f aca="false">(AD176+AC176+AB176*(1+RdsonTopTc*Ta-RdsonTopTc*25))/(1-AB176*RdsonTopTc*ThetaJA_Q1)</f>
        <v>0.328426085278483</v>
      </c>
      <c r="AF176" s="488" t="n">
        <f aca="false">CHOOSE(J176, SQRT((1-N176))*SQRT(K176^2+(P176^2)/12), 0, SQRT((1-N176))*SQRT(M176^2+(P176^2)/12))</f>
        <v>5.29925168080287</v>
      </c>
      <c r="AG176" s="488" t="n">
        <f aca="false">Rdson2*AF176^2</f>
        <v>0.160067789746005</v>
      </c>
      <c r="AH176" s="488" t="n">
        <f aca="false">CHOOSE(J176, IF(K176&lt;P176/2,Deadtime*Fsw*IF(VfdSky_Q2&gt;0,0,Vsd_Q2)*(K176+P176/2),2*Deadtime*Fsw*IF(VfdSky_Q2&gt;0,0,Vsd_Q2)*K176),0, IF(K176&lt;P176/2,Deadtime*Fsw/2*IF(VfdSky_Q2&gt;0,0,Vsd_Q2)*(K176+P176/2),2*Deadtime*Fsw/2*IF(VfdSky_Q2&gt;0,0,Vsd_Q2)*K176))</f>
        <v>0.144</v>
      </c>
      <c r="AI176" s="488" t="n">
        <f aca="false">(AH176+AG176*(1+RdsonBotTc*Ta-RdsonBotTc*25))/(1-AG176*RdsonBotTc*ThetaJA_Q2)</f>
        <v>0.314124017173009</v>
      </c>
      <c r="AJ176" s="488" t="n">
        <f aca="false">CHOOSE(J176, 0, SQRT(O176)*SQRT(L176^2+(P176^2)/12), SQRT(O176)*SQRT(M176^2+(P176^2)/12))</f>
        <v>0</v>
      </c>
      <c r="AK176" s="488" t="n">
        <f aca="false">Rdson4*AJ176^2</f>
        <v>0</v>
      </c>
      <c r="AL176" s="488" t="n">
        <f aca="false">CHOOSE(J176, 0, (Vout*L176/2)*(Fsw)*(Tr_boost+Tf_boost), (Vout*Iout/2)*(Fsw/2)*(Tr_boost+Tf_boost))</f>
        <v>0</v>
      </c>
      <c r="AM176" s="0" t="n">
        <f aca="false">IF(H176&gt;Vout, 0, IF(L176&gt;P176/2,0,ABS(L176-P176/2)*Vsd_Q4*Deadtime*Fsw))</f>
        <v>0</v>
      </c>
      <c r="AN176" s="488" t="n">
        <f aca="false">(AM176+AL176+AK176*(1+RdsonTopTc*Ta-RdsonTopTc*25))/(1-AK176*RdsonTopTc*ThetaJA_Q4)</f>
        <v>0</v>
      </c>
      <c r="AO176" s="488" t="n">
        <f aca="false">CHOOSE(J176, SQRT(Iout^2+(P176^2)/12), SQRT(1-O176)*SQRT(L176^2+(P176^2)/12), SQRT(1-O176)*SQRT(M176^2+(P176^2)/12))</f>
        <v>6.2575960200176</v>
      </c>
      <c r="AP176" s="488" t="n">
        <f aca="false">Rdson3*AO176^2</f>
        <v>0.0743992651045063</v>
      </c>
      <c r="AQ176" s="488" t="n">
        <f aca="false">CHOOSE(J176, 0, IF(L176&lt;P176/2,Deadtime*Fsw*IF(VfdSky_Q3&gt;0,0,Vsd_Q3)*(L176+P176/2), 2*Deadtime*Fsw*IF(VfdSky_Q3&gt;0,0,Vsd_Q3)*L176), IF(L176&lt;P176/2,Deadtime*Fsw/2*IF(VfdSky_Q3&gt;0,0,Vsd_Q3)*(L176+P176/2), 2*Deadtime*Fsw/2*IF(VfdSky_Q3&gt;0,0,Vsd_Q3)*L176))</f>
        <v>0</v>
      </c>
      <c r="AR176" s="488" t="n">
        <f aca="false">(AQ176+AP176*(1+RdsonBotTc*Ta-RdsonBotTc*25))/(1-AP176*RdsonBotTc*ThetaJA_Q3)</f>
        <v>0.0755230367916583</v>
      </c>
      <c r="AS176" s="488" t="n">
        <f aca="false">CHOOSE(J176, Rdson3*Q176^2, Rdson1*Q176^2, 0)</f>
        <v>0.0743992651045063</v>
      </c>
      <c r="AT176" s="488" t="n">
        <f aca="false">CHOOSE(J176, 2*Deadtime*Fsw*IF(VfdSky_Q2&gt;0,VfdSky_Q2,0)*K176, 2*Deadtime*Fsw*IF(VfdSky_Q3&gt;0,VfdSky_Q3,0)*L176, 2*Deadtime*Fsw/2*IF(VfdSky_Q2&gt;0,VfdSky_Q2,0)*K176+2*Deadtime*Fsw/2*IF(VfdSky_Q3&gt;0,VfdSky_Q3,0)*L176)</f>
        <v>0</v>
      </c>
      <c r="AU176" s="488" t="n">
        <f aca="false">CHOOSE(J176, IF(QrrSky_Q2&gt;0,QrrSky_Q2,Qrr_Q2)*Fsw*(H176-K176*Rdson1), IF(QrrSky_Q3&gt;0,QrrSky_Q3,Qrr_Q3)*Fsw*Vout,  IF(QrrSky_Q2&gt;0,QrrSky_Q2,Qrr_Q2)*Fsw/2*(H176-K176*Rdson1)+IF(QrrSky_Q3&gt;0,QrrSky_Q3,Qrr_Q3)*Fsw/2*Vout)</f>
        <v>0.80713962</v>
      </c>
      <c r="AV176" s="488" t="n">
        <f aca="false">CHOOSE(J176, Rs*AF176^2, Rs*AJ176^2, Rs*(AF176^2+AJ176^2))</f>
        <v>0.224656547011936</v>
      </c>
      <c r="AW176" s="488" t="n">
        <f aca="false">Rshunt_std/1000*Iout^2</f>
        <v>0.14832</v>
      </c>
      <c r="AX176" s="488" t="n">
        <f aca="false">IF(Vout&gt;8, Iq*Vout, Iq*H176)</f>
        <v>0.036</v>
      </c>
      <c r="AY176" s="488" t="n">
        <f aca="false">CHOOSE(J176, (Qg_Q1+Qg_Q2)*Fsw, (Qg_Q3+Qg_Q4)*Fsw, (Qg_Q1+Qg_Q2+Qg_Q3+Qg_Q4)*Fsw/2)*IF(Vout&gt;8, Vout, H176)</f>
        <v>0.0792</v>
      </c>
      <c r="AZ176" s="488" t="n">
        <f aca="false">(Vin-Vdd)*Fsw*(Qg_Q1+Qg_Q2)+(RdsonDRT+RdsonDRT2)*Fsw*Qg_Q1*Vdd/(RdsonDRT+2*Rgate1+RdsonDRT2)+(RdsonDRB+RdsonDRB2)*Fsw*Qg_Q2*Vdd/(RdsonDRB+2*Rgate2+RdsonDRB2)</f>
        <v>0.0522</v>
      </c>
      <c r="BA176" s="488" t="n">
        <f aca="false">SUM(AX176:AY176)</f>
        <v>0.1152</v>
      </c>
      <c r="BB176" s="488" t="n">
        <f aca="false">SUM(T176,W176,Z176,AE176,AI176,AN176,AR176, AT176,AU176,BA176,AV176,AW176)</f>
        <v>3.27626886454928</v>
      </c>
      <c r="BC176" s="419" t="n">
        <f aca="false">Vout*K176</f>
        <v>72</v>
      </c>
      <c r="BD176" s="589" t="n">
        <f aca="false">BC176/(BC176+BB176)</f>
        <v>0.956476736772853</v>
      </c>
      <c r="BE176" s="590" t="n">
        <f aca="false">IF(H176&gt;Vout,ThetaJA_Q1*(AE176+AU176),ThetaJA_Q4*(AN176+AU176))</f>
        <v>56.7782852639242</v>
      </c>
      <c r="BF176" s="590" t="n">
        <f aca="false">IF(H176&gt;Vout, AI176*ThetaJA_Q2, ThetaJA_Q3*AR176)</f>
        <v>15.7062008586504</v>
      </c>
      <c r="BG176" s="536"/>
      <c r="BH176" s="385" t="n">
        <f aca="false">BD176*100</f>
        <v>95.6476736772853</v>
      </c>
      <c r="BI176" s="488" t="n">
        <f aca="false">T176</f>
        <v>1.23120636761005</v>
      </c>
      <c r="BJ176" s="488" t="n">
        <f aca="false">AE176+AI176+AN176+AR176+AU176</f>
        <v>1.52521275924315</v>
      </c>
      <c r="BK176" s="488" t="n">
        <f aca="false">AI176+AU176*0.33</f>
        <v>0.580480091773008</v>
      </c>
      <c r="BL176" s="488" t="n">
        <f aca="false">AV176</f>
        <v>0.224656547011936</v>
      </c>
    </row>
    <row r="177" customFormat="false" ht="12.75" hidden="false" customHeight="false" outlineLevel="0" collapsed="false">
      <c r="G177" s="0" t="n">
        <v>168</v>
      </c>
      <c r="H177" s="586" t="n">
        <f aca="false">VIN_min+(VIN_max-VIN_min)*(G177/200)</f>
        <v>42.96</v>
      </c>
      <c r="I177" s="385" t="str">
        <f aca="false">IF(H177&gt;VIN_BB_to_buck, "BUCK", IF(H177&lt;VIN_boost_to_BB,"BOOST","BUCK-BST"))</f>
        <v>BUCK</v>
      </c>
      <c r="J177" s="419" t="n">
        <f aca="false">IF(I177="BOOST",2, IF(I177="BUCK", 1,3))</f>
        <v>1</v>
      </c>
      <c r="K177" s="0" t="n">
        <f aca="false">Iout</f>
        <v>6</v>
      </c>
      <c r="L177" s="385" t="n">
        <f aca="false">Vout*K177/(H177*Efficiency)</f>
        <v>1.86219739292365</v>
      </c>
      <c r="M177" s="385" t="n">
        <f aca="false">Iout/(1-O177)</f>
        <v>6</v>
      </c>
      <c r="N177" s="488" t="n">
        <f aca="false">CHOOSE(J177,(Vout+(Rdson2+Rs+Rdcr)*K177)/(H177+(Rs+Rdson2-Rdson1)*K177),1,IF(H177&lt;Vout,D_max_buck_BB,Vout/H177*(1-D_min_boost_exitBB_to_buck)))</f>
        <v>0.281396484375</v>
      </c>
      <c r="O177" s="488" t="n">
        <f aca="false">CHOOSE(J177,0,(Vout+(Rdson3+Rdcr)*L177-H177)/(Vout+(Rdson3-Rdson4-Rs)*L177),IF(H177&gt;Vout,D_min_boost_exitBB_to_buck, (Vout-H177*D_max_buck_BB)/Vout))</f>
        <v>0</v>
      </c>
      <c r="P177" s="385" t="n">
        <f aca="false">MAX(0, CHOOSE(J177, (H177-(Rdson1+Rdcr)*K177-Vout)*N177/(Fsw*Lf), (H177-(Rdson4+Rdcr+Rs)*L177)*O177/(Fsw*Lf), IF(H177&lt;Vout, (H177-(Rdson4+Rdcr+Rs)*L177)*O177/(0.5*Fsw*Lf),(H177-(Rdson1+Rdcr)*K177-Vout)*N177/(0.5*Fsw*Lf))))</f>
        <v>6.1679115795379</v>
      </c>
      <c r="Q177" s="488" t="n">
        <f aca="false">CHOOSE(J177, SQRT(K177^2+(P177^2)/12), SQRT(L177^2+(P177^2)/12), SQRT(M177^2+(P177^2)/12))</f>
        <v>6.25861495096291</v>
      </c>
      <c r="R177" s="488" t="n">
        <f aca="false">(Q177^2*Rdcr*(1+Ltc*Ta-Ltc*25))/(1-Q177^2*Rdcr*Ltc*ThetaCa)</f>
        <v>0.132612491566453</v>
      </c>
      <c r="S177" s="488" t="n">
        <f aca="false">7.759*10^-3*Fsw^0.9458*(0.00787*P177)^2.304</f>
        <v>1.10375095088174</v>
      </c>
      <c r="T177" s="488" t="n">
        <f aca="false">R177+S177</f>
        <v>1.23636344244819</v>
      </c>
      <c r="U177" s="385" t="n">
        <f aca="false">IF(H177&gt;Vout, P177/SQRT(12), SQRT(O177/(1-O177))*SQRT(K177^2+(P177^2)/12))</f>
        <v>1.78052270539201</v>
      </c>
      <c r="V177" s="488" t="n">
        <f aca="false">RCoutEsr*U177^2</f>
        <v>0.0158513055220824</v>
      </c>
      <c r="W177" s="488" t="n">
        <f aca="false">V177</f>
        <v>0.0158513055220824</v>
      </c>
      <c r="X177" s="488" t="n">
        <f aca="false">IF(H177&gt;Vout, SQRT(N177*(1-N177))*SQRT(K177^2+(P177^2)/12), P177/SQRT(12))</f>
        <v>2.81437675860561</v>
      </c>
      <c r="Y177" s="587" t="n">
        <f aca="false">RCinEsr*X177^2</f>
        <v>0.0158414330787588</v>
      </c>
      <c r="Z177" s="588" t="n">
        <f aca="false">Y177</f>
        <v>0.0158414330787588</v>
      </c>
      <c r="AA177" s="488" t="n">
        <f aca="false">CHOOSE(J177, SQRT(N177)*SQRT(K177^2+(P177^2)/12), SQRT(L177^2+(P177^2)/12), SQRT(N177)*SQRT(M177^2+(P177^2)/12))</f>
        <v>3.31999604921958</v>
      </c>
      <c r="AB177" s="488" t="n">
        <f aca="false">Rdson1*AA177^2</f>
        <v>0.0628275304709515</v>
      </c>
      <c r="AC177" s="488" t="n">
        <f aca="false">CHOOSE(J177, (H177*K177/2)*(Fsw)*(Tr_buck+Tf_buck), 0, (H177*M177/2)*(Fsw/2)*(Tr_buck+Tf_buck))</f>
        <v>0.262493612625538</v>
      </c>
      <c r="AD177" s="0" t="n">
        <f aca="false">IF(H177&gt;Vout, IF(K177&gt;P177/2,0,ABS(K177-P177/2)*Vsd_Q1*Deadtime*Fsw),0)</f>
        <v>0</v>
      </c>
      <c r="AE177" s="488" t="n">
        <f aca="false">(AD177+AC177+AB177*(1+RdsonTopTc*Ta-RdsonTopTc*25))/(1-AB177*RdsonTopTc*ThetaJA_Q1)</f>
        <v>0.329460987138172</v>
      </c>
      <c r="AF177" s="488" t="n">
        <f aca="false">CHOOSE(J177, SQRT((1-N177))*SQRT(K177^2+(P177^2)/12), 0, SQRT((1-N177))*SQRT(M177^2+(P177^2)/12))</f>
        <v>5.30545825896151</v>
      </c>
      <c r="AG177" s="488" t="n">
        <f aca="false">Rdson2*AF177^2</f>
        <v>0.160442957824222</v>
      </c>
      <c r="AH177" s="488" t="n">
        <f aca="false">CHOOSE(J177, IF(K177&lt;P177/2,Deadtime*Fsw*IF(VfdSky_Q2&gt;0,0,Vsd_Q2)*(K177+P177/2),2*Deadtime*Fsw*IF(VfdSky_Q2&gt;0,0,Vsd_Q2)*K177),0, IF(K177&lt;P177/2,Deadtime*Fsw/2*IF(VfdSky_Q2&gt;0,0,Vsd_Q2)*(K177+P177/2),2*Deadtime*Fsw/2*IF(VfdSky_Q2&gt;0,0,Vsd_Q2)*K177))</f>
        <v>0.144</v>
      </c>
      <c r="AI177" s="488" t="n">
        <f aca="false">(AH177+AG177*(1+RdsonBotTc*Ta-RdsonBotTc*25))/(1-AG177*RdsonBotTc*ThetaJA_Q2)</f>
        <v>0.314535974233863</v>
      </c>
      <c r="AJ177" s="488" t="n">
        <f aca="false">CHOOSE(J177, 0, SQRT(O177)*SQRT(L177^2+(P177^2)/12), SQRT(O177)*SQRT(M177^2+(P177^2)/12))</f>
        <v>0</v>
      </c>
      <c r="AK177" s="488" t="n">
        <f aca="false">Rdson4*AJ177^2</f>
        <v>0</v>
      </c>
      <c r="AL177" s="488" t="n">
        <f aca="false">CHOOSE(J177, 0, (Vout*L177/2)*(Fsw)*(Tr_boost+Tf_boost), (Vout*Iout/2)*(Fsw/2)*(Tr_boost+Tf_boost))</f>
        <v>0</v>
      </c>
      <c r="AM177" s="0" t="n">
        <f aca="false">IF(H177&gt;Vout, 0, IF(L177&gt;P177/2,0,ABS(L177-P177/2)*Vsd_Q4*Deadtime*Fsw))</f>
        <v>0</v>
      </c>
      <c r="AN177" s="488" t="n">
        <f aca="false">(AM177+AL177+AK177*(1+RdsonTopTc*Ta-RdsonTopTc*25))/(1-AK177*RdsonTopTc*ThetaJA_Q4)</f>
        <v>0</v>
      </c>
      <c r="AO177" s="488" t="n">
        <f aca="false">CHOOSE(J177, SQRT(Iout^2+(P177^2)/12), SQRT(1-O177)*SQRT(L177^2+(P177^2)/12), SQRT(1-O177)*SQRT(M177^2+(P177^2)/12))</f>
        <v>6.25861495096291</v>
      </c>
      <c r="AP177" s="488" t="n">
        <f aca="false">Rdson3*AO177^2</f>
        <v>0.0744234960983913</v>
      </c>
      <c r="AQ177" s="488" t="n">
        <f aca="false">CHOOSE(J177, 0, IF(L177&lt;P177/2,Deadtime*Fsw*IF(VfdSky_Q3&gt;0,0,Vsd_Q3)*(L177+P177/2), 2*Deadtime*Fsw*IF(VfdSky_Q3&gt;0,0,Vsd_Q3)*L177), IF(L177&lt;P177/2,Deadtime*Fsw/2*IF(VfdSky_Q3&gt;0,0,Vsd_Q3)*(L177+P177/2), 2*Deadtime*Fsw/2*IF(VfdSky_Q3&gt;0,0,Vsd_Q3)*L177))</f>
        <v>0</v>
      </c>
      <c r="AR177" s="488" t="n">
        <f aca="false">(AQ177+AP177*(1+RdsonBotTc*Ta-RdsonBotTc*25))/(1-AP177*RdsonBotTc*ThetaJA_Q3)</f>
        <v>0.0755480054359521</v>
      </c>
      <c r="AS177" s="488" t="n">
        <f aca="false">CHOOSE(J177, Rdson3*Q177^2, Rdson1*Q177^2, 0)</f>
        <v>0.0744234960983913</v>
      </c>
      <c r="AT177" s="488" t="n">
        <f aca="false">CHOOSE(J177, 2*Deadtime*Fsw*IF(VfdSky_Q2&gt;0,VfdSky_Q2,0)*K177, 2*Deadtime*Fsw*IF(VfdSky_Q3&gt;0,VfdSky_Q3,0)*L177, 2*Deadtime*Fsw/2*IF(VfdSky_Q2&gt;0,VfdSky_Q2,0)*K177+2*Deadtime*Fsw/2*IF(VfdSky_Q3&gt;0,VfdSky_Q3,0)*L177)</f>
        <v>0</v>
      </c>
      <c r="AU177" s="488" t="n">
        <f aca="false">CHOOSE(J177, IF(QrrSky_Q2&gt;0,QrrSky_Q2,Qrr_Q2)*Fsw*(H177-K177*Rdson1), IF(QrrSky_Q3&gt;0,QrrSky_Q3,Qrr_Q3)*Fsw*Vout,  IF(QrrSky_Q2&gt;0,QrrSky_Q2,Qrr_Q2)*Fsw/2*(H177-K177*Rdson1)+IF(QrrSky_Q3&gt;0,QrrSky_Q3,Qrr_Q3)*Fsw/2*Vout)</f>
        <v>0.81129762</v>
      </c>
      <c r="AV177" s="488" t="n">
        <f aca="false">CHOOSE(J177, Rs*AF177^2, Rs*AJ177^2, Rs*(AF177^2+AJ177^2))</f>
        <v>0.225183098700663</v>
      </c>
      <c r="AW177" s="488" t="n">
        <f aca="false">Rshunt_std/1000*Iout^2</f>
        <v>0.14832</v>
      </c>
      <c r="AX177" s="488" t="n">
        <f aca="false">IF(Vout&gt;8, Iq*Vout, Iq*H177)</f>
        <v>0.036</v>
      </c>
      <c r="AY177" s="488" t="n">
        <f aca="false">CHOOSE(J177, (Qg_Q1+Qg_Q2)*Fsw, (Qg_Q3+Qg_Q4)*Fsw, (Qg_Q1+Qg_Q2+Qg_Q3+Qg_Q4)*Fsw/2)*IF(Vout&gt;8, Vout, H177)</f>
        <v>0.0792</v>
      </c>
      <c r="AZ177" s="488" t="n">
        <f aca="false">(Vin-Vdd)*Fsw*(Qg_Q1+Qg_Q2)+(RdsonDRT+RdsonDRT2)*Fsw*Qg_Q1*Vdd/(RdsonDRT+2*Rgate1+RdsonDRT2)+(RdsonDRB+RdsonDRB2)*Fsw*Qg_Q2*Vdd/(RdsonDRB+2*Rgate2+RdsonDRB2)</f>
        <v>0.0522</v>
      </c>
      <c r="BA177" s="488" t="n">
        <f aca="false">SUM(AX177:AY177)</f>
        <v>0.1152</v>
      </c>
      <c r="BB177" s="488" t="n">
        <f aca="false">SUM(T177,W177,Z177,AE177,AI177,AN177,AR177, AT177,AU177,BA177,AV177,AW177)</f>
        <v>3.28760186655768</v>
      </c>
      <c r="BC177" s="419" t="n">
        <f aca="false">Vout*K177</f>
        <v>72</v>
      </c>
      <c r="BD177" s="589" t="n">
        <f aca="false">BC177/(BC177+BB177)</f>
        <v>0.956332758846739</v>
      </c>
      <c r="BE177" s="590" t="n">
        <f aca="false">IF(H177&gt;Vout,ThetaJA_Q1*(AE177+AU177),ThetaJA_Q4*(AN177+AU177))</f>
        <v>57.0379303569086</v>
      </c>
      <c r="BF177" s="590" t="n">
        <f aca="false">IF(H177&gt;Vout, AI177*ThetaJA_Q2, ThetaJA_Q3*AR177)</f>
        <v>15.7267987116932</v>
      </c>
      <c r="BG177" s="536"/>
      <c r="BH177" s="385" t="n">
        <f aca="false">BD177*100</f>
        <v>95.6332758846739</v>
      </c>
      <c r="BI177" s="488" t="n">
        <f aca="false">T177</f>
        <v>1.23636344244819</v>
      </c>
      <c r="BJ177" s="488" t="n">
        <f aca="false">AE177+AI177+AN177+AR177+AU177</f>
        <v>1.53084258680799</v>
      </c>
      <c r="BK177" s="488" t="n">
        <f aca="false">AI177+AU177*0.33</f>
        <v>0.582264188833863</v>
      </c>
      <c r="BL177" s="488" t="n">
        <f aca="false">AV177</f>
        <v>0.225183098700663</v>
      </c>
    </row>
    <row r="178" customFormat="false" ht="12.75" hidden="false" customHeight="false" outlineLevel="0" collapsed="false">
      <c r="G178" s="0" t="n">
        <v>169</v>
      </c>
      <c r="H178" s="586" t="n">
        <f aca="false">VIN_min+(VIN_max-VIN_min)*(G178/200)</f>
        <v>43.18</v>
      </c>
      <c r="I178" s="385" t="str">
        <f aca="false">IF(H178&gt;VIN_BB_to_buck, "BUCK", IF(H178&lt;VIN_boost_to_BB,"BOOST","BUCK-BST"))</f>
        <v>BUCK</v>
      </c>
      <c r="J178" s="419" t="n">
        <f aca="false">IF(I178="BOOST",2, IF(I178="BUCK", 1,3))</f>
        <v>1</v>
      </c>
      <c r="K178" s="0" t="n">
        <f aca="false">Iout</f>
        <v>6</v>
      </c>
      <c r="L178" s="385" t="n">
        <f aca="false">Vout*K178/(H178*Efficiency)</f>
        <v>1.85270958777212</v>
      </c>
      <c r="M178" s="385" t="n">
        <f aca="false">Iout/(1-O178)</f>
        <v>6</v>
      </c>
      <c r="N178" s="488" t="n">
        <f aca="false">CHOOSE(J178,(Vout+(Rdson2+Rs+Rdcr)*K178)/(H178+(Rs+Rdson2-Rdson1)*K178),1,IF(H178&lt;Vout,D_max_buck_BB,Vout/H178*(1-D_min_boost_exitBB_to_buck)))</f>
        <v>0.279964374942167</v>
      </c>
      <c r="O178" s="488" t="n">
        <f aca="false">CHOOSE(J178,0,(Vout+(Rdson3+Rdcr)*L178-H178)/(Vout+(Rdson3-Rdson4-Rs)*L178),IF(H178&gt;Vout,D_min_boost_exitBB_to_buck, (Vout-H178*D_max_buck_BB)/Vout))</f>
        <v>0</v>
      </c>
      <c r="P178" s="385" t="n">
        <f aca="false">MAX(0, CHOOSE(J178, (H178-(Rdson1+Rdcr)*K178-Vout)*N178/(Fsw*Lf), (H178-(Rdson4+Rdcr+Rs)*L178)*O178/(Fsw*Lf), IF(H178&lt;Vout, (H178-(Rdson4+Rdcr+Rs)*L178)*O178/(0.5*Fsw*Lf),(H178-(Rdson1+Rdcr)*K178-Vout)*N178/(0.5*Fsw*Lf))))</f>
        <v>6.18020364903363</v>
      </c>
      <c r="Q178" s="488" t="n">
        <f aca="false">CHOOSE(J178, SQRT(K178^2+(P178^2)/12), SQRT(L178^2+(P178^2)/12), SQRT(M178^2+(P178^2)/12))</f>
        <v>6.25962536913837</v>
      </c>
      <c r="R178" s="488" t="n">
        <f aca="false">(Q178^2*Rdcr*(1+Ltc*Ta-Ltc*25))/(1-Q178^2*Rdcr*Ltc*ThetaCa)</f>
        <v>0.132655768556919</v>
      </c>
      <c r="S178" s="488" t="n">
        <f aca="false">7.759*10^-3*Fsw^0.9458*(0.00787*P178)^2.304</f>
        <v>1.10882558216043</v>
      </c>
      <c r="T178" s="488" t="n">
        <f aca="false">R178+S178</f>
        <v>1.24148135071735</v>
      </c>
      <c r="U178" s="385" t="n">
        <f aca="false">IF(H178&gt;Vout, P178/SQRT(12), SQRT(O178/(1-O178))*SQRT(K178^2+(P178^2)/12))</f>
        <v>1.78407112020814</v>
      </c>
      <c r="V178" s="488" t="n">
        <f aca="false">RCoutEsr*U178^2</f>
        <v>0.0159145488098036</v>
      </c>
      <c r="W178" s="488" t="n">
        <f aca="false">V178</f>
        <v>0.0159145488098036</v>
      </c>
      <c r="X178" s="488" t="n">
        <f aca="false">IF(H178&gt;Vout, SQRT(N178*(1-N178))*SQRT(K178^2+(P178^2)/12), P178/SQRT(12))</f>
        <v>2.81045554406664</v>
      </c>
      <c r="Y178" s="587" t="n">
        <f aca="false">RCinEsr*X178^2</f>
        <v>0.0157973207303498</v>
      </c>
      <c r="Z178" s="588" t="n">
        <f aca="false">Y178</f>
        <v>0.0157973207303498</v>
      </c>
      <c r="AA178" s="488" t="n">
        <f aca="false">CHOOSE(J178, SQRT(N178)*SQRT(K178^2+(P178^2)/12), SQRT(L178^2+(P178^2)/12), SQRT(N178)*SQRT(M178^2+(P178^2)/12))</f>
        <v>3.31207168399518</v>
      </c>
      <c r="AB178" s="488" t="n">
        <f aca="false">Rdson1*AA178^2</f>
        <v>0.0625279673875592</v>
      </c>
      <c r="AC178" s="488" t="n">
        <f aca="false">CHOOSE(J178, (H178*K178/2)*(Fsw)*(Tr_buck+Tf_buck), 0, (H178*M178/2)*(Fsw/2)*(Tr_buck+Tf_buck))</f>
        <v>0.263837853658537</v>
      </c>
      <c r="AD178" s="0" t="n">
        <f aca="false">IF(H178&gt;Vout, IF(K178&gt;P178/2,0,ABS(K178-P178/2)*Vsd_Q1*Deadtime*Fsw),0)</f>
        <v>0</v>
      </c>
      <c r="AE178" s="488" t="n">
        <f aca="false">(AD178+AC178+AB178*(1+RdsonTopTc*Ta-RdsonTopTc*25))/(1-AB178*RdsonTopTc*ThetaJA_Q1)</f>
        <v>0.330498906009412</v>
      </c>
      <c r="AF178" s="488" t="n">
        <f aca="false">CHOOSE(J178, SQRT((1-N178))*SQRT(K178^2+(P178^2)/12), 0, SQRT((1-N178))*SQRT(M178^2+(P178^2)/12))</f>
        <v>5.31159965754555</v>
      </c>
      <c r="AG178" s="488" t="n">
        <f aca="false">Rdson2*AF178^2</f>
        <v>0.160814618255617</v>
      </c>
      <c r="AH178" s="488" t="n">
        <f aca="false">CHOOSE(J178, IF(K178&lt;P178/2,Deadtime*Fsw*IF(VfdSky_Q2&gt;0,0,Vsd_Q2)*(K178+P178/2),2*Deadtime*Fsw*IF(VfdSky_Q2&gt;0,0,Vsd_Q2)*K178),0, IF(K178&lt;P178/2,Deadtime*Fsw/2*IF(VfdSky_Q2&gt;0,0,Vsd_Q2)*(K178+P178/2),2*Deadtime*Fsw/2*IF(VfdSky_Q2&gt;0,0,Vsd_Q2)*K178))</f>
        <v>0.144</v>
      </c>
      <c r="AI178" s="488" t="n">
        <f aca="false">(AH178+AG178*(1+RdsonBotTc*Ta-RdsonBotTc*25))/(1-AG178*RdsonBotTc*ThetaJA_Q2)</f>
        <v>0.314944142670703</v>
      </c>
      <c r="AJ178" s="488" t="n">
        <f aca="false">CHOOSE(J178, 0, SQRT(O178)*SQRT(L178^2+(P178^2)/12), SQRT(O178)*SQRT(M178^2+(P178^2)/12))</f>
        <v>0</v>
      </c>
      <c r="AK178" s="488" t="n">
        <f aca="false">Rdson4*AJ178^2</f>
        <v>0</v>
      </c>
      <c r="AL178" s="488" t="n">
        <f aca="false">CHOOSE(J178, 0, (Vout*L178/2)*(Fsw)*(Tr_boost+Tf_boost), (Vout*Iout/2)*(Fsw/2)*(Tr_boost+Tf_boost))</f>
        <v>0</v>
      </c>
      <c r="AM178" s="0" t="n">
        <f aca="false">IF(H178&gt;Vout, 0, IF(L178&gt;P178/2,0,ABS(L178-P178/2)*Vsd_Q4*Deadtime*Fsw))</f>
        <v>0</v>
      </c>
      <c r="AN178" s="488" t="n">
        <f aca="false">(AM178+AL178+AK178*(1+RdsonTopTc*Ta-RdsonTopTc*25))/(1-AK178*RdsonTopTc*ThetaJA_Q4)</f>
        <v>0</v>
      </c>
      <c r="AO178" s="488" t="n">
        <f aca="false">CHOOSE(J178, SQRT(Iout^2+(P178^2)/12), SQRT(1-O178)*SQRT(L178^2+(P178^2)/12), SQRT(1-O178)*SQRT(M178^2+(P178^2)/12))</f>
        <v>6.25962536913837</v>
      </c>
      <c r="AP178" s="488" t="n">
        <f aca="false">Rdson3*AO178^2</f>
        <v>0.0744475285477254</v>
      </c>
      <c r="AQ178" s="488" t="n">
        <f aca="false">CHOOSE(J178, 0, IF(L178&lt;P178/2,Deadtime*Fsw*IF(VfdSky_Q3&gt;0,0,Vsd_Q3)*(L178+P178/2), 2*Deadtime*Fsw*IF(VfdSky_Q3&gt;0,0,Vsd_Q3)*L178), IF(L178&lt;P178/2,Deadtime*Fsw/2*IF(VfdSky_Q3&gt;0,0,Vsd_Q3)*(L178+P178/2), 2*Deadtime*Fsw/2*IF(VfdSky_Q3&gt;0,0,Vsd_Q3)*L178))</f>
        <v>0</v>
      </c>
      <c r="AR178" s="488" t="n">
        <f aca="false">(AQ178+AP178*(1+RdsonBotTc*Ta-RdsonBotTc*25))/(1-AP178*RdsonBotTc*ThetaJA_Q3)</f>
        <v>0.0755727697341684</v>
      </c>
      <c r="AS178" s="488" t="n">
        <f aca="false">CHOOSE(J178, Rdson3*Q178^2, Rdson1*Q178^2, 0)</f>
        <v>0.0744475285477254</v>
      </c>
      <c r="AT178" s="488" t="n">
        <f aca="false">CHOOSE(J178, 2*Deadtime*Fsw*IF(VfdSky_Q2&gt;0,VfdSky_Q2,0)*K178, 2*Deadtime*Fsw*IF(VfdSky_Q3&gt;0,VfdSky_Q3,0)*L178, 2*Deadtime*Fsw/2*IF(VfdSky_Q2&gt;0,VfdSky_Q2,0)*K178+2*Deadtime*Fsw/2*IF(VfdSky_Q3&gt;0,VfdSky_Q3,0)*L178)</f>
        <v>0</v>
      </c>
      <c r="AU178" s="488" t="n">
        <f aca="false">CHOOSE(J178, IF(QrrSky_Q2&gt;0,QrrSky_Q2,Qrr_Q2)*Fsw*(H178-K178*Rdson1), IF(QrrSky_Q3&gt;0,QrrSky_Q3,Qrr_Q3)*Fsw*Vout,  IF(QrrSky_Q2&gt;0,QrrSky_Q2,Qrr_Q2)*Fsw/2*(H178-K178*Rdson1)+IF(QrrSky_Q3&gt;0,QrrSky_Q3,Qrr_Q3)*Fsw/2*Vout)</f>
        <v>0.81545562</v>
      </c>
      <c r="AV178" s="488" t="n">
        <f aca="false">CHOOSE(J178, Rs*AF178^2, Rs*AJ178^2, Rs*(AF178^2+AJ178^2))</f>
        <v>0.225704727376304</v>
      </c>
      <c r="AW178" s="488" t="n">
        <f aca="false">Rshunt_std/1000*Iout^2</f>
        <v>0.14832</v>
      </c>
      <c r="AX178" s="488" t="n">
        <f aca="false">IF(Vout&gt;8, Iq*Vout, Iq*H178)</f>
        <v>0.036</v>
      </c>
      <c r="AY178" s="488" t="n">
        <f aca="false">CHOOSE(J178, (Qg_Q1+Qg_Q2)*Fsw, (Qg_Q3+Qg_Q4)*Fsw, (Qg_Q1+Qg_Q2+Qg_Q3+Qg_Q4)*Fsw/2)*IF(Vout&gt;8, Vout, H178)</f>
        <v>0.0792</v>
      </c>
      <c r="AZ178" s="488" t="n">
        <f aca="false">(Vin-Vdd)*Fsw*(Qg_Q1+Qg_Q2)+(RdsonDRT+RdsonDRT2)*Fsw*Qg_Q1*Vdd/(RdsonDRT+2*Rgate1+RdsonDRT2)+(RdsonDRB+RdsonDRB2)*Fsw*Qg_Q2*Vdd/(RdsonDRB+2*Rgate2+RdsonDRB2)</f>
        <v>0.0522</v>
      </c>
      <c r="BA178" s="488" t="n">
        <f aca="false">SUM(AX178:AY178)</f>
        <v>0.1152</v>
      </c>
      <c r="BB178" s="488" t="n">
        <f aca="false">SUM(T178,W178,Z178,AE178,AI178,AN178,AR178, AT178,AU178,BA178,AV178,AW178)</f>
        <v>3.29888938604809</v>
      </c>
      <c r="BC178" s="419" t="n">
        <f aca="false">Vout*K178</f>
        <v>72</v>
      </c>
      <c r="BD178" s="589" t="n">
        <f aca="false">BC178/(BC178+BB178)</f>
        <v>0.956189401823245</v>
      </c>
      <c r="BE178" s="590" t="n">
        <f aca="false">IF(H178&gt;Vout,ThetaJA_Q1*(AE178+AU178),ThetaJA_Q4*(AN178+AU178))</f>
        <v>57.2977263004706</v>
      </c>
      <c r="BF178" s="590" t="n">
        <f aca="false">IF(H178&gt;Vout, AI178*ThetaJA_Q2, ThetaJA_Q3*AR178)</f>
        <v>15.7472071335352</v>
      </c>
      <c r="BG178" s="536"/>
      <c r="BH178" s="385" t="n">
        <f aca="false">BD178*100</f>
        <v>95.6189401823245</v>
      </c>
      <c r="BI178" s="488" t="n">
        <f aca="false">T178</f>
        <v>1.24148135071735</v>
      </c>
      <c r="BJ178" s="488" t="n">
        <f aca="false">AE178+AI178+AN178+AR178+AU178</f>
        <v>1.53647143841428</v>
      </c>
      <c r="BK178" s="488" t="n">
        <f aca="false">AI178+AU178*0.33</f>
        <v>0.584044497270703</v>
      </c>
      <c r="BL178" s="488" t="n">
        <f aca="false">AV178</f>
        <v>0.225704727376304</v>
      </c>
    </row>
    <row r="179" customFormat="false" ht="12.75" hidden="false" customHeight="false" outlineLevel="0" collapsed="false">
      <c r="G179" s="0" t="n">
        <v>170</v>
      </c>
      <c r="H179" s="586" t="n">
        <f aca="false">VIN_min+(VIN_max-VIN_min)*(G179/200)</f>
        <v>43.4</v>
      </c>
      <c r="I179" s="385" t="str">
        <f aca="false">IF(H179&gt;VIN_BB_to_buck, "BUCK", IF(H179&lt;VIN_boost_to_BB,"BOOST","BUCK-BST"))</f>
        <v>BUCK</v>
      </c>
      <c r="J179" s="419" t="n">
        <f aca="false">IF(I179="BOOST",2, IF(I179="BUCK", 1,3))</f>
        <v>1</v>
      </c>
      <c r="K179" s="0" t="n">
        <f aca="false">Iout</f>
        <v>6</v>
      </c>
      <c r="L179" s="385" t="n">
        <f aca="false">Vout*K179/(H179*Efficiency)</f>
        <v>1.84331797235023</v>
      </c>
      <c r="M179" s="385" t="n">
        <f aca="false">Iout/(1-O179)</f>
        <v>6</v>
      </c>
      <c r="N179" s="488" t="n">
        <f aca="false">CHOOSE(J179,(Vout+(Rdson2+Rs+Rdcr)*K179)/(H179+(Rs+Rdson2-Rdson1)*K179),1,IF(H179&lt;Vout,D_max_buck_BB,Vout/H179*(1-D_min_boost_exitBB_to_buck)))</f>
        <v>0.278546768550911</v>
      </c>
      <c r="O179" s="488" t="n">
        <f aca="false">CHOOSE(J179,0,(Vout+(Rdson3+Rdcr)*L179-H179)/(Vout+(Rdson3-Rdson4-Rs)*L179),IF(H179&gt;Vout,D_min_boost_exitBB_to_buck, (Vout-H179*D_max_buck_BB)/Vout))</f>
        <v>0</v>
      </c>
      <c r="P179" s="385" t="n">
        <f aca="false">MAX(0, CHOOSE(J179, (H179-(Rdson1+Rdcr)*K179-Vout)*N179/(Fsw*Lf), (H179-(Rdson4+Rdcr+Rs)*L179)*O179/(Fsw*Lf), IF(H179&lt;Vout, (H179-(Rdson4+Rdcr+Rs)*L179)*O179/(0.5*Fsw*Lf),(H179-(Rdson1+Rdcr)*K179-Vout)*N179/(0.5*Fsw*Lf))))</f>
        <v>6.19237123614632</v>
      </c>
      <c r="Q179" s="488" t="n">
        <f aca="false">CHOOSE(J179, SQRT(K179^2+(P179^2)/12), SQRT(L179^2+(P179^2)/12), SQRT(M179^2+(P179^2)/12))</f>
        <v>6.26062737488726</v>
      </c>
      <c r="R179" s="488" t="n">
        <f aca="false">(Q179^2*Rdcr*(1+Ltc*Ta-Ltc*25))/(1-Q179^2*Rdcr*Ltc*ThetaCa)</f>
        <v>0.132698692428813</v>
      </c>
      <c r="S179" s="488" t="n">
        <f aca="false">7.759*10^-3*Fsw^0.9458*(0.00787*P179)^2.304</f>
        <v>1.11386180141456</v>
      </c>
      <c r="T179" s="488" t="n">
        <f aca="false">R179+S179</f>
        <v>1.24656049384337</v>
      </c>
      <c r="U179" s="385" t="n">
        <f aca="false">IF(H179&gt;Vout, P179/SQRT(12), SQRT(O179/(1-O179))*SQRT(K179^2+(P179^2)/12))</f>
        <v>1.78758360005559</v>
      </c>
      <c r="V179" s="488" t="n">
        <f aca="false">RCoutEsr*U179^2</f>
        <v>0.0159772756359384</v>
      </c>
      <c r="W179" s="488" t="n">
        <f aca="false">V179</f>
        <v>0.0159772756359384</v>
      </c>
      <c r="X179" s="488" t="n">
        <f aca="false">IF(H179&gt;Vout, SQRT(N179*(1-N179))*SQRT(K179^2+(P179^2)/12), P179/SQRT(12))</f>
        <v>2.80653853483893</v>
      </c>
      <c r="Y179" s="587" t="n">
        <f aca="false">RCinEsr*X179^2</f>
        <v>0.0157533170950717</v>
      </c>
      <c r="Z179" s="588" t="n">
        <f aca="false">Y179</f>
        <v>0.0157533170950717</v>
      </c>
      <c r="AA179" s="488" t="n">
        <f aca="false">CHOOSE(J179, SQRT(N179)*SQRT(K179^2+(P179^2)/12), SQRT(L179^2+(P179^2)/12), SQRT(N179)*SQRT(M179^2+(P179^2)/12))</f>
        <v>3.30420449844745</v>
      </c>
      <c r="AB179" s="488" t="n">
        <f aca="false">Rdson1*AA179^2</f>
        <v>0.0622312739950942</v>
      </c>
      <c r="AC179" s="488" t="n">
        <f aca="false">CHOOSE(J179, (H179*K179/2)*(Fsw)*(Tr_buck+Tf_buck), 0, (H179*M179/2)*(Fsw/2)*(Tr_buck+Tf_buck))</f>
        <v>0.265182094691535</v>
      </c>
      <c r="AD179" s="0" t="n">
        <f aca="false">IF(H179&gt;Vout, IF(K179&gt;P179/2,0,ABS(K179-P179/2)*Vsd_Q1*Deadtime*Fsw),0)</f>
        <v>0</v>
      </c>
      <c r="AE179" s="488" t="n">
        <f aca="false">(AD179+AC179+AB179*(1+RdsonTopTc*Ta-RdsonTopTc*25))/(1-AB179*RdsonTopTc*ThetaJA_Q1)</f>
        <v>0.331539797482107</v>
      </c>
      <c r="AF179" s="488" t="n">
        <f aca="false">CHOOSE(J179, SQRT((1-N179))*SQRT(K179^2+(P179^2)/12), 0, SQRT((1-N179))*SQRT(M179^2+(P179^2)/12))</f>
        <v>5.31767691380619</v>
      </c>
      <c r="AG179" s="488" t="n">
        <f aca="false">Rdson2*AF179^2</f>
        <v>0.161182820229876</v>
      </c>
      <c r="AH179" s="488" t="n">
        <f aca="false">CHOOSE(J179, IF(K179&lt;P179/2,Deadtime*Fsw*IF(VfdSky_Q2&gt;0,0,Vsd_Q2)*(K179+P179/2),2*Deadtime*Fsw*IF(VfdSky_Q2&gt;0,0,Vsd_Q2)*K179),0, IF(K179&lt;P179/2,Deadtime*Fsw/2*IF(VfdSky_Q2&gt;0,0,Vsd_Q2)*(K179+P179/2),2*Deadtime*Fsw/2*IF(VfdSky_Q2&gt;0,0,Vsd_Q2)*K179))</f>
        <v>0.144</v>
      </c>
      <c r="AI179" s="488" t="n">
        <f aca="false">(AH179+AG179*(1+RdsonBotTc*Ta-RdsonBotTc*25))/(1-AG179*RdsonBotTc*ThetaJA_Q2)</f>
        <v>0.315348574756831</v>
      </c>
      <c r="AJ179" s="488" t="n">
        <f aca="false">CHOOSE(J179, 0, SQRT(O179)*SQRT(L179^2+(P179^2)/12), SQRT(O179)*SQRT(M179^2+(P179^2)/12))</f>
        <v>0</v>
      </c>
      <c r="AK179" s="488" t="n">
        <f aca="false">Rdson4*AJ179^2</f>
        <v>0</v>
      </c>
      <c r="AL179" s="488" t="n">
        <f aca="false">CHOOSE(J179, 0, (Vout*L179/2)*(Fsw)*(Tr_boost+Tf_boost), (Vout*Iout/2)*(Fsw/2)*(Tr_boost+Tf_boost))</f>
        <v>0</v>
      </c>
      <c r="AM179" s="0" t="n">
        <f aca="false">IF(H179&gt;Vout, 0, IF(L179&gt;P179/2,0,ABS(L179-P179/2)*Vsd_Q4*Deadtime*Fsw))</f>
        <v>0</v>
      </c>
      <c r="AN179" s="488" t="n">
        <f aca="false">(AM179+AL179+AK179*(1+RdsonTopTc*Ta-RdsonTopTc*25))/(1-AK179*RdsonTopTc*ThetaJA_Q4)</f>
        <v>0</v>
      </c>
      <c r="AO179" s="488" t="n">
        <f aca="false">CHOOSE(J179, SQRT(Iout^2+(P179^2)/12), SQRT(1-O179)*SQRT(L179^2+(P179^2)/12), SQRT(1-O179)*SQRT(M179^2+(P179^2)/12))</f>
        <v>6.26062737488726</v>
      </c>
      <c r="AP179" s="488" t="n">
        <f aca="false">Rdson3*AO179^2</f>
        <v>0.0744713647416566</v>
      </c>
      <c r="AQ179" s="488" t="n">
        <f aca="false">CHOOSE(J179, 0, IF(L179&lt;P179/2,Deadtime*Fsw*IF(VfdSky_Q3&gt;0,0,Vsd_Q3)*(L179+P179/2), 2*Deadtime*Fsw*IF(VfdSky_Q3&gt;0,0,Vsd_Q3)*L179), IF(L179&lt;P179/2,Deadtime*Fsw/2*IF(VfdSky_Q3&gt;0,0,Vsd_Q3)*(L179+P179/2), 2*Deadtime*Fsw/2*IF(VfdSky_Q3&gt;0,0,Vsd_Q3)*L179))</f>
        <v>0</v>
      </c>
      <c r="AR179" s="488" t="n">
        <f aca="false">(AQ179+AP179*(1+RdsonBotTc*Ta-RdsonBotTc*25))/(1-AP179*RdsonBotTc*ThetaJA_Q3)</f>
        <v>0.0755973320392143</v>
      </c>
      <c r="AS179" s="488" t="n">
        <f aca="false">CHOOSE(J179, Rdson3*Q179^2, Rdson1*Q179^2, 0)</f>
        <v>0.0744713647416566</v>
      </c>
      <c r="AT179" s="488" t="n">
        <f aca="false">CHOOSE(J179, 2*Deadtime*Fsw*IF(VfdSky_Q2&gt;0,VfdSky_Q2,0)*K179, 2*Deadtime*Fsw*IF(VfdSky_Q3&gt;0,VfdSky_Q3,0)*L179, 2*Deadtime*Fsw/2*IF(VfdSky_Q2&gt;0,VfdSky_Q2,0)*K179+2*Deadtime*Fsw/2*IF(VfdSky_Q3&gt;0,VfdSky_Q3,0)*L179)</f>
        <v>0</v>
      </c>
      <c r="AU179" s="488" t="n">
        <f aca="false">CHOOSE(J179, IF(QrrSky_Q2&gt;0,QrrSky_Q2,Qrr_Q2)*Fsw*(H179-K179*Rdson1), IF(QrrSky_Q3&gt;0,QrrSky_Q3,Qrr_Q3)*Fsw*Vout,  IF(QrrSky_Q2&gt;0,QrrSky_Q2,Qrr_Q2)*Fsw/2*(H179-K179*Rdson1)+IF(QrrSky_Q3&gt;0,QrrSky_Q3,Qrr_Q3)*Fsw/2*Vout)</f>
        <v>0.81961362</v>
      </c>
      <c r="AV179" s="488" t="n">
        <f aca="false">CHOOSE(J179, Rs*AF179^2, Rs*AJ179^2, Rs*(AF179^2+AJ179^2))</f>
        <v>0.226221502077018</v>
      </c>
      <c r="AW179" s="488" t="n">
        <f aca="false">Rshunt_std/1000*Iout^2</f>
        <v>0.14832</v>
      </c>
      <c r="AX179" s="488" t="n">
        <f aca="false">IF(Vout&gt;8, Iq*Vout, Iq*H179)</f>
        <v>0.036</v>
      </c>
      <c r="AY179" s="488" t="n">
        <f aca="false">CHOOSE(J179, (Qg_Q1+Qg_Q2)*Fsw, (Qg_Q3+Qg_Q4)*Fsw, (Qg_Q1+Qg_Q2+Qg_Q3+Qg_Q4)*Fsw/2)*IF(Vout&gt;8, Vout, H179)</f>
        <v>0.0792</v>
      </c>
      <c r="AZ179" s="488" t="n">
        <f aca="false">(Vin-Vdd)*Fsw*(Qg_Q1+Qg_Q2)+(RdsonDRT+RdsonDRT2)*Fsw*Qg_Q1*Vdd/(RdsonDRT+2*Rgate1+RdsonDRT2)+(RdsonDRB+RdsonDRB2)*Fsw*Qg_Q2*Vdd/(RdsonDRB+2*Rgate2+RdsonDRB2)</f>
        <v>0.0522</v>
      </c>
      <c r="BA179" s="488" t="n">
        <f aca="false">SUM(AX179:AY179)</f>
        <v>0.1152</v>
      </c>
      <c r="BB179" s="488" t="n">
        <f aca="false">SUM(T179,W179,Z179,AE179,AI179,AN179,AR179, AT179,AU179,BA179,AV179,AW179)</f>
        <v>3.31013191292955</v>
      </c>
      <c r="BC179" s="419" t="n">
        <f aca="false">Vout*K179</f>
        <v>72</v>
      </c>
      <c r="BD179" s="589" t="n">
        <f aca="false">BC179/(BC179+BB179)</f>
        <v>0.956046658944157</v>
      </c>
      <c r="BE179" s="590" t="n">
        <f aca="false">IF(H179&gt;Vout,ThetaJA_Q1*(AE179+AU179),ThetaJA_Q4*(AN179+AU179))</f>
        <v>57.5576708741053</v>
      </c>
      <c r="BF179" s="590" t="n">
        <f aca="false">IF(H179&gt;Vout, AI179*ThetaJA_Q2, ThetaJA_Q3*AR179)</f>
        <v>15.7674287378416</v>
      </c>
      <c r="BG179" s="536"/>
      <c r="BH179" s="385" t="n">
        <f aca="false">BD179*100</f>
        <v>95.6046658944157</v>
      </c>
      <c r="BI179" s="488" t="n">
        <f aca="false">T179</f>
        <v>1.24656049384337</v>
      </c>
      <c r="BJ179" s="488" t="n">
        <f aca="false">AE179+AI179+AN179+AR179+AU179</f>
        <v>1.54209932427815</v>
      </c>
      <c r="BK179" s="488" t="n">
        <f aca="false">AI179+AU179*0.33</f>
        <v>0.585821069356831</v>
      </c>
      <c r="BL179" s="488" t="n">
        <f aca="false">AV179</f>
        <v>0.226221502077018</v>
      </c>
    </row>
    <row r="180" customFormat="false" ht="12.75" hidden="false" customHeight="false" outlineLevel="0" collapsed="false">
      <c r="G180" s="0" t="n">
        <v>171</v>
      </c>
      <c r="H180" s="586" t="n">
        <f aca="false">VIN_min+(VIN_max-VIN_min)*(G180/200)</f>
        <v>43.62</v>
      </c>
      <c r="I180" s="385" t="str">
        <f aca="false">IF(H180&gt;VIN_BB_to_buck, "BUCK", IF(H180&lt;VIN_boost_to_BB,"BOOST","BUCK-BST"))</f>
        <v>BUCK</v>
      </c>
      <c r="J180" s="419" t="n">
        <f aca="false">IF(I180="BOOST",2, IF(I180="BUCK", 1,3))</f>
        <v>1</v>
      </c>
      <c r="K180" s="0" t="n">
        <f aca="false">Iout</f>
        <v>6</v>
      </c>
      <c r="L180" s="385" t="n">
        <f aca="false">Vout*K180/(H180*Efficiency)</f>
        <v>1.83402109124255</v>
      </c>
      <c r="M180" s="385" t="n">
        <f aca="false">Iout/(1-O180)</f>
        <v>6</v>
      </c>
      <c r="N180" s="488" t="n">
        <f aca="false">CHOOSE(J180,(Vout+(Rdson2+Rs+Rdcr)*K180)/(H180+(Rs+Rdson2-Rdson1)*K180),1,IF(H180&lt;Vout,D_max_buck_BB,Vout/H180*(1-D_min_boost_exitBB_to_buck)))</f>
        <v>0.277143446001649</v>
      </c>
      <c r="O180" s="488" t="n">
        <f aca="false">CHOOSE(J180,0,(Vout+(Rdson3+Rdcr)*L180-H180)/(Vout+(Rdson3-Rdson4-Rs)*L180),IF(H180&gt;Vout,D_min_boost_exitBB_to_buck, (Vout-H180*D_max_buck_BB)/Vout))</f>
        <v>0</v>
      </c>
      <c r="P180" s="385" t="n">
        <f aca="false">MAX(0, CHOOSE(J180, (H180-(Rdson1+Rdcr)*K180-Vout)*N180/(Fsw*Lf), (H180-(Rdson4+Rdcr+Rs)*L180)*O180/(Fsw*Lf), IF(H180&lt;Vout, (H180-(Rdson4+Rdcr+Rs)*L180)*O180/(0.5*Fsw*Lf),(H180-(Rdson1+Rdcr)*K180-Vout)*N180/(0.5*Fsw*Lf))))</f>
        <v>6.20441622230798</v>
      </c>
      <c r="Q180" s="488" t="n">
        <f aca="false">CHOOSE(J180, SQRT(K180^2+(P180^2)/12), SQRT(L180^2+(P180^2)/12), SQRT(M180^2+(P180^2)/12))</f>
        <v>6.26162106712816</v>
      </c>
      <c r="R180" s="488" t="n">
        <f aca="false">(Q180^2*Rdcr*(1+Ltc*Ta-Ltc*25))/(1-Q180^2*Rdcr*Ltc*ThetaCa)</f>
        <v>0.132741267240412</v>
      </c>
      <c r="S180" s="488" t="n">
        <f aca="false">7.759*10^-3*Fsw^0.9458*(0.00787*P180)^2.304</f>
        <v>1.11886000163548</v>
      </c>
      <c r="T180" s="488" t="n">
        <f aca="false">R180+S180</f>
        <v>1.2516012688759</v>
      </c>
      <c r="U180" s="385" t="n">
        <f aca="false">IF(H180&gt;Vout, P180/SQRT(12), SQRT(O180/(1-O180))*SQRT(K180^2+(P180^2)/12))</f>
        <v>1.791060688057</v>
      </c>
      <c r="V180" s="488" t="n">
        <f aca="false">RCoutEsr*U180^2</f>
        <v>0.016039491941516</v>
      </c>
      <c r="W180" s="488" t="n">
        <f aca="false">V180</f>
        <v>0.016039491941516</v>
      </c>
      <c r="X180" s="488" t="n">
        <f aca="false">IF(H180&gt;Vout, SQRT(N180*(1-N180))*SQRT(K180^2+(P180^2)/12), P180/SQRT(12))</f>
        <v>2.80262602068187</v>
      </c>
      <c r="Y180" s="587" t="n">
        <f aca="false">RCinEsr*X180^2</f>
        <v>0.0157094252236062</v>
      </c>
      <c r="Z180" s="588" t="n">
        <f aca="false">Y180</f>
        <v>0.0157094252236062</v>
      </c>
      <c r="AA180" s="488" t="n">
        <f aca="false">CHOOSE(J180, SQRT(N180)*SQRT(K180^2+(P180^2)/12), SQRT(L180^2+(P180^2)/12), SQRT(N180)*SQRT(M180^2+(P180^2)/12))</f>
        <v>3.29639379774578</v>
      </c>
      <c r="AB180" s="488" t="n">
        <f aca="false">Rdson1*AA180^2</f>
        <v>0.061937408797956</v>
      </c>
      <c r="AC180" s="488" t="n">
        <f aca="false">CHOOSE(J180, (H180*K180/2)*(Fsw)*(Tr_buck+Tf_buck), 0, (H180*M180/2)*(Fsw/2)*(Tr_buck+Tf_buck))</f>
        <v>0.266526335724534</v>
      </c>
      <c r="AD180" s="0" t="n">
        <f aca="false">IF(H180&gt;Vout, IF(K180&gt;P180/2,0,ABS(K180-P180/2)*Vsd_Q1*Deadtime*Fsw),0)</f>
        <v>0</v>
      </c>
      <c r="AE180" s="488" t="n">
        <f aca="false">(AD180+AC180+AB180*(1+RdsonTopTc*Ta-RdsonTopTc*25))/(1-AB180*RdsonTopTc*ThetaJA_Q1)</f>
        <v>0.332583618024305</v>
      </c>
      <c r="AF180" s="488" t="n">
        <f aca="false">CHOOSE(J180, SQRT((1-N180))*SQRT(K180^2+(P180^2)/12), 0, SQRT((1-N180))*SQRT(M180^2+(P180^2)/12))</f>
        <v>5.32369104273401</v>
      </c>
      <c r="AG180" s="488" t="n">
        <f aca="false">Rdson2*AF180^2</f>
        <v>0.161547612015372</v>
      </c>
      <c r="AH180" s="488" t="n">
        <f aca="false">CHOOSE(J180, IF(K180&lt;P180/2,Deadtime*Fsw*IF(VfdSky_Q2&gt;0,0,Vsd_Q2)*(K180+P180/2),2*Deadtime*Fsw*IF(VfdSky_Q2&gt;0,0,Vsd_Q2)*K180),0, IF(K180&lt;P180/2,Deadtime*Fsw/2*IF(VfdSky_Q2&gt;0,0,Vsd_Q2)*(K180+P180/2),2*Deadtime*Fsw/2*IF(VfdSky_Q2&gt;0,0,Vsd_Q2)*K180))</f>
        <v>0.144</v>
      </c>
      <c r="AI180" s="488" t="n">
        <f aca="false">(AH180+AG180*(1+RdsonBotTc*Ta-RdsonBotTc*25))/(1-AG180*RdsonBotTc*ThetaJA_Q2)</f>
        <v>0.315749321801886</v>
      </c>
      <c r="AJ180" s="488" t="n">
        <f aca="false">CHOOSE(J180, 0, SQRT(O180)*SQRT(L180^2+(P180^2)/12), SQRT(O180)*SQRT(M180^2+(P180^2)/12))</f>
        <v>0</v>
      </c>
      <c r="AK180" s="488" t="n">
        <f aca="false">Rdson4*AJ180^2</f>
        <v>0</v>
      </c>
      <c r="AL180" s="488" t="n">
        <f aca="false">CHOOSE(J180, 0, (Vout*L180/2)*(Fsw)*(Tr_boost+Tf_boost), (Vout*Iout/2)*(Fsw/2)*(Tr_boost+Tf_boost))</f>
        <v>0</v>
      </c>
      <c r="AM180" s="0" t="n">
        <f aca="false">IF(H180&gt;Vout, 0, IF(L180&gt;P180/2,0,ABS(L180-P180/2)*Vsd_Q4*Deadtime*Fsw))</f>
        <v>0</v>
      </c>
      <c r="AN180" s="488" t="n">
        <f aca="false">(AM180+AL180+AK180*(1+RdsonTopTc*Ta-RdsonTopTc*25))/(1-AK180*RdsonTopTc*ThetaJA_Q4)</f>
        <v>0</v>
      </c>
      <c r="AO180" s="488" t="n">
        <f aca="false">CHOOSE(J180, SQRT(Iout^2+(P180^2)/12), SQRT(1-O180)*SQRT(L180^2+(P180^2)/12), SQRT(1-O180)*SQRT(M180^2+(P180^2)/12))</f>
        <v>6.26162106712816</v>
      </c>
      <c r="AP180" s="488" t="n">
        <f aca="false">Rdson3*AO180^2</f>
        <v>0.0744950069377761</v>
      </c>
      <c r="AQ180" s="488" t="n">
        <f aca="false">CHOOSE(J180, 0, IF(L180&lt;P180/2,Deadtime*Fsw*IF(VfdSky_Q3&gt;0,0,Vsd_Q3)*(L180+P180/2), 2*Deadtime*Fsw*IF(VfdSky_Q3&gt;0,0,Vsd_Q3)*L180), IF(L180&lt;P180/2,Deadtime*Fsw/2*IF(VfdSky_Q3&gt;0,0,Vsd_Q3)*(L180+P180/2), 2*Deadtime*Fsw/2*IF(VfdSky_Q3&gt;0,0,Vsd_Q3)*L180))</f>
        <v>0</v>
      </c>
      <c r="AR180" s="488" t="n">
        <f aca="false">(AQ180+AP180*(1+RdsonBotTc*Ta-RdsonBotTc*25))/(1-AP180*RdsonBotTc*ThetaJA_Q3)</f>
        <v>0.0756216946716178</v>
      </c>
      <c r="AS180" s="488" t="n">
        <f aca="false">CHOOSE(J180, Rdson3*Q180^2, Rdson1*Q180^2, 0)</f>
        <v>0.0744950069377761</v>
      </c>
      <c r="AT180" s="488" t="n">
        <f aca="false">CHOOSE(J180, 2*Deadtime*Fsw*IF(VfdSky_Q2&gt;0,VfdSky_Q2,0)*K180, 2*Deadtime*Fsw*IF(VfdSky_Q3&gt;0,VfdSky_Q3,0)*L180, 2*Deadtime*Fsw/2*IF(VfdSky_Q2&gt;0,VfdSky_Q2,0)*K180+2*Deadtime*Fsw/2*IF(VfdSky_Q3&gt;0,VfdSky_Q3,0)*L180)</f>
        <v>0</v>
      </c>
      <c r="AU180" s="488" t="n">
        <f aca="false">CHOOSE(J180, IF(QrrSky_Q2&gt;0,QrrSky_Q2,Qrr_Q2)*Fsw*(H180-K180*Rdson1), IF(QrrSky_Q3&gt;0,QrrSky_Q3,Qrr_Q3)*Fsw*Vout,  IF(QrrSky_Q2&gt;0,QrrSky_Q2,Qrr_Q2)*Fsw/2*(H180-K180*Rdson1)+IF(QrrSky_Q3&gt;0,QrrSky_Q3,Qrr_Q3)*Fsw/2*Vout)</f>
        <v>0.82377162</v>
      </c>
      <c r="AV180" s="488" t="n">
        <f aca="false">CHOOSE(J180, Rs*AF180^2, Rs*AJ180^2, Rs*(AF180^2+AJ180^2))</f>
        <v>0.226733490547891</v>
      </c>
      <c r="AW180" s="488" t="n">
        <f aca="false">Rshunt_std/1000*Iout^2</f>
        <v>0.14832</v>
      </c>
      <c r="AX180" s="488" t="n">
        <f aca="false">IF(Vout&gt;8, Iq*Vout, Iq*H180)</f>
        <v>0.036</v>
      </c>
      <c r="AY180" s="488" t="n">
        <f aca="false">CHOOSE(J180, (Qg_Q1+Qg_Q2)*Fsw, (Qg_Q3+Qg_Q4)*Fsw, (Qg_Q1+Qg_Q2+Qg_Q3+Qg_Q4)*Fsw/2)*IF(Vout&gt;8, Vout, H180)</f>
        <v>0.0792</v>
      </c>
      <c r="AZ180" s="488" t="n">
        <f aca="false">(Vin-Vdd)*Fsw*(Qg_Q1+Qg_Q2)+(RdsonDRT+RdsonDRT2)*Fsw*Qg_Q1*Vdd/(RdsonDRT+2*Rgate1+RdsonDRT2)+(RdsonDRB+RdsonDRB2)*Fsw*Qg_Q2*Vdd/(RdsonDRB+2*Rgate2+RdsonDRB2)</f>
        <v>0.0522</v>
      </c>
      <c r="BA180" s="488" t="n">
        <f aca="false">SUM(AX180:AY180)</f>
        <v>0.1152</v>
      </c>
      <c r="BB180" s="488" t="n">
        <f aca="false">SUM(T180,W180,Z180,AE180,AI180,AN180,AR180, AT180,AU180,BA180,AV180,AW180)</f>
        <v>3.32132993108672</v>
      </c>
      <c r="BC180" s="419" t="n">
        <f aca="false">Vout*K180</f>
        <v>72</v>
      </c>
      <c r="BD180" s="589" t="n">
        <f aca="false">BC180/(BC180+BB180)</f>
        <v>0.955904523537682</v>
      </c>
      <c r="BE180" s="590" t="n">
        <f aca="false">IF(H180&gt;Vout,ThetaJA_Q1*(AE180+AU180),ThetaJA_Q4*(AN180+AU180))</f>
        <v>57.8177619012152</v>
      </c>
      <c r="BF180" s="590" t="n">
        <f aca="false">IF(H180&gt;Vout, AI180*ThetaJA_Q2, ThetaJA_Q3*AR180)</f>
        <v>15.7874660900943</v>
      </c>
      <c r="BG180" s="536"/>
      <c r="BH180" s="385" t="n">
        <f aca="false">BD180*100</f>
        <v>95.5904523537682</v>
      </c>
      <c r="BI180" s="488" t="n">
        <f aca="false">T180</f>
        <v>1.2516012688759</v>
      </c>
      <c r="BJ180" s="488" t="n">
        <f aca="false">AE180+AI180+AN180+AR180+AU180</f>
        <v>1.54772625449781</v>
      </c>
      <c r="BK180" s="488" t="n">
        <f aca="false">AI180+AU180*0.33</f>
        <v>0.587593956401886</v>
      </c>
      <c r="BL180" s="488" t="n">
        <f aca="false">AV180</f>
        <v>0.226733490547891</v>
      </c>
    </row>
    <row r="181" customFormat="false" ht="12.75" hidden="false" customHeight="false" outlineLevel="0" collapsed="false">
      <c r="G181" s="0" t="n">
        <v>172</v>
      </c>
      <c r="H181" s="586" t="n">
        <f aca="false">VIN_min+(VIN_max-VIN_min)*(G181/200)</f>
        <v>43.84</v>
      </c>
      <c r="I181" s="385" t="str">
        <f aca="false">IF(H181&gt;VIN_BB_to_buck, "BUCK", IF(H181&lt;VIN_boost_to_BB,"BOOST","BUCK-BST"))</f>
        <v>BUCK</v>
      </c>
      <c r="J181" s="419" t="n">
        <f aca="false">IF(I181="BOOST",2, IF(I181="BUCK", 1,3))</f>
        <v>1</v>
      </c>
      <c r="K181" s="0" t="n">
        <f aca="false">Iout</f>
        <v>6</v>
      </c>
      <c r="L181" s="385" t="n">
        <f aca="false">Vout*K181/(H181*Efficiency)</f>
        <v>1.82481751824818</v>
      </c>
      <c r="M181" s="385" t="n">
        <f aca="false">Iout/(1-O181)</f>
        <v>6</v>
      </c>
      <c r="N181" s="488" t="n">
        <f aca="false">CHOOSE(J181,(Vout+(Rdson2+Rs+Rdcr)*K181)/(H181+(Rs+Rdson2-Rdson1)*K181),1,IF(H181&lt;Vout,D_max_buck_BB,Vout/H181*(1-D_min_boost_exitBB_to_buck)))</f>
        <v>0.275754192489974</v>
      </c>
      <c r="O181" s="488" t="n">
        <f aca="false">CHOOSE(J181,0,(Vout+(Rdson3+Rdcr)*L181-H181)/(Vout+(Rdson3-Rdson4-Rs)*L181),IF(H181&gt;Vout,D_min_boost_exitBB_to_buck, (Vout-H181*D_max_buck_BB)/Vout))</f>
        <v>0</v>
      </c>
      <c r="P181" s="385" t="n">
        <f aca="false">MAX(0, CHOOSE(J181, (H181-(Rdson1+Rdcr)*K181-Vout)*N181/(Fsw*Lf), (H181-(Rdson4+Rdcr+Rs)*L181)*O181/(Fsw*Lf), IF(H181&lt;Vout, (H181-(Rdson4+Rdcr+Rs)*L181)*O181/(0.5*Fsw*Lf),(H181-(Rdson1+Rdcr)*K181-Vout)*N181/(0.5*Fsw*Lf))))</f>
        <v>6.21634045122594</v>
      </c>
      <c r="Q181" s="488" t="n">
        <f aca="false">CHOOSE(J181, SQRT(K181^2+(P181^2)/12), SQRT(L181^2+(P181^2)/12), SQRT(M181^2+(P181^2)/12))</f>
        <v>6.26260654337545</v>
      </c>
      <c r="R181" s="488" t="n">
        <f aca="false">(Q181^2*Rdcr*(1+Ltc*Ta-Ltc*25))/(1-Q181^2*Rdcr*Ltc*ThetaCa)</f>
        <v>0.132783496994102</v>
      </c>
      <c r="S181" s="488" t="n">
        <f aca="false">7.759*10^-3*Fsw^0.9458*(0.00787*P181)^2.304</f>
        <v>1.12382057151573</v>
      </c>
      <c r="T181" s="488" t="n">
        <f aca="false">R181+S181</f>
        <v>1.25660406850983</v>
      </c>
      <c r="U181" s="385" t="n">
        <f aca="false">IF(H181&gt;Vout, P181/SQRT(12), SQRT(O181/(1-O181))*SQRT(K181^2+(P181^2)/12))</f>
        <v>1.79450291644483</v>
      </c>
      <c r="V181" s="488" t="n">
        <f aca="false">RCoutEsr*U181^2</f>
        <v>0.016101203585645</v>
      </c>
      <c r="W181" s="488" t="n">
        <f aca="false">V181</f>
        <v>0.016101203585645</v>
      </c>
      <c r="X181" s="488" t="n">
        <f aca="false">IF(H181&gt;Vout, SQRT(N181*(1-N181))*SQRT(K181^2+(P181^2)/12), P181/SQRT(12))</f>
        <v>2.79871827971464</v>
      </c>
      <c r="Y181" s="587" t="n">
        <f aca="false">RCinEsr*X181^2</f>
        <v>0.0156656480184177</v>
      </c>
      <c r="Z181" s="588" t="n">
        <f aca="false">Y181</f>
        <v>0.0156656480184177</v>
      </c>
      <c r="AA181" s="488" t="n">
        <f aca="false">CHOOSE(J181, SQRT(N181)*SQRT(K181^2+(P181^2)/12), SQRT(L181^2+(P181^2)/12), SQRT(N181)*SQRT(M181^2+(P181^2)/12))</f>
        <v>3.28863889903016</v>
      </c>
      <c r="AB181" s="488" t="n">
        <f aca="false">Rdson1*AA181^2</f>
        <v>0.0616463311068217</v>
      </c>
      <c r="AC181" s="488" t="n">
        <f aca="false">CHOOSE(J181, (H181*K181/2)*(Fsw)*(Tr_buck+Tf_buck), 0, (H181*M181/2)*(Fsw/2)*(Tr_buck+Tf_buck))</f>
        <v>0.267870576757532</v>
      </c>
      <c r="AD181" s="0" t="n">
        <f aca="false">IF(H181&gt;Vout, IF(K181&gt;P181/2,0,ABS(K181-P181/2)*Vsd_Q1*Deadtime*Fsw),0)</f>
        <v>0</v>
      </c>
      <c r="AE181" s="488" t="n">
        <f aca="false">(AD181+AC181+AB181*(1+RdsonTopTc*Ta-RdsonTopTc*25))/(1-AB181*RdsonTopTc*ThetaJA_Q1)</f>
        <v>0.33363032496031</v>
      </c>
      <c r="AF181" s="488" t="n">
        <f aca="false">CHOOSE(J181, SQRT((1-N181))*SQRT(K181^2+(P181^2)/12), 0, SQRT((1-N181))*SQRT(M181^2+(P181^2)/12))</f>
        <v>5.32964303766347</v>
      </c>
      <c r="AG181" s="488" t="n">
        <f aca="false">Rdson2*AF181^2</f>
        <v>0.161909040980814</v>
      </c>
      <c r="AH181" s="488" t="n">
        <f aca="false">CHOOSE(J181, IF(K181&lt;P181/2,Deadtime*Fsw*IF(VfdSky_Q2&gt;0,0,Vsd_Q2)*(K181+P181/2),2*Deadtime*Fsw*IF(VfdSky_Q2&gt;0,0,Vsd_Q2)*K181),0, IF(K181&lt;P181/2,Deadtime*Fsw/2*IF(VfdSky_Q2&gt;0,0,Vsd_Q2)*(K181+P181/2),2*Deadtime*Fsw/2*IF(VfdSky_Q2&gt;0,0,Vsd_Q2)*K181))</f>
        <v>0.144</v>
      </c>
      <c r="AI181" s="488" t="n">
        <f aca="false">(AH181+AG181*(1+RdsonBotTc*Ta-RdsonBotTc*25))/(1-AG181*RdsonBotTc*ThetaJA_Q2)</f>
        <v>0.316146434174142</v>
      </c>
      <c r="AJ181" s="488" t="n">
        <f aca="false">CHOOSE(J181, 0, SQRT(O181)*SQRT(L181^2+(P181^2)/12), SQRT(O181)*SQRT(M181^2+(P181^2)/12))</f>
        <v>0</v>
      </c>
      <c r="AK181" s="488" t="n">
        <f aca="false">Rdson4*AJ181^2</f>
        <v>0</v>
      </c>
      <c r="AL181" s="488" t="n">
        <f aca="false">CHOOSE(J181, 0, (Vout*L181/2)*(Fsw)*(Tr_boost+Tf_boost), (Vout*Iout/2)*(Fsw/2)*(Tr_boost+Tf_boost))</f>
        <v>0</v>
      </c>
      <c r="AM181" s="0" t="n">
        <f aca="false">IF(H181&gt;Vout, 0, IF(L181&gt;P181/2,0,ABS(L181-P181/2)*Vsd_Q4*Deadtime*Fsw))</f>
        <v>0</v>
      </c>
      <c r="AN181" s="488" t="n">
        <f aca="false">(AM181+AL181+AK181*(1+RdsonTopTc*Ta-RdsonTopTc*25))/(1-AK181*RdsonTopTc*ThetaJA_Q4)</f>
        <v>0</v>
      </c>
      <c r="AO181" s="488" t="n">
        <f aca="false">CHOOSE(J181, SQRT(Iout^2+(P181^2)/12), SQRT(1-O181)*SQRT(L181^2+(P181^2)/12), SQRT(1-O181)*SQRT(M181^2+(P181^2)/12))</f>
        <v>6.26260654337545</v>
      </c>
      <c r="AP181" s="488" t="n">
        <f aca="false">Rdson3*AO181^2</f>
        <v>0.0745184573625451</v>
      </c>
      <c r="AQ181" s="488" t="n">
        <f aca="false">CHOOSE(J181, 0, IF(L181&lt;P181/2,Deadtime*Fsw*IF(VfdSky_Q3&gt;0,0,Vsd_Q3)*(L181+P181/2), 2*Deadtime*Fsw*IF(VfdSky_Q3&gt;0,0,Vsd_Q3)*L181), IF(L181&lt;P181/2,Deadtime*Fsw/2*IF(VfdSky_Q3&gt;0,0,Vsd_Q3)*(L181+P181/2), 2*Deadtime*Fsw/2*IF(VfdSky_Q3&gt;0,0,Vsd_Q3)*L181))</f>
        <v>0</v>
      </c>
      <c r="AR181" s="488" t="n">
        <f aca="false">(AQ181+AP181*(1+RdsonBotTc*Ta-RdsonBotTc*25))/(1-AP181*RdsonBotTc*ThetaJA_Q3)</f>
        <v>0.0756458599199649</v>
      </c>
      <c r="AS181" s="488" t="n">
        <f aca="false">CHOOSE(J181, Rdson3*Q181^2, Rdson1*Q181^2, 0)</f>
        <v>0.0745184573625451</v>
      </c>
      <c r="AT181" s="488" t="n">
        <f aca="false">CHOOSE(J181, 2*Deadtime*Fsw*IF(VfdSky_Q2&gt;0,VfdSky_Q2,0)*K181, 2*Deadtime*Fsw*IF(VfdSky_Q3&gt;0,VfdSky_Q3,0)*L181, 2*Deadtime*Fsw/2*IF(VfdSky_Q2&gt;0,VfdSky_Q2,0)*K181+2*Deadtime*Fsw/2*IF(VfdSky_Q3&gt;0,VfdSky_Q3,0)*L181)</f>
        <v>0</v>
      </c>
      <c r="AU181" s="488" t="n">
        <f aca="false">CHOOSE(J181, IF(QrrSky_Q2&gt;0,QrrSky_Q2,Qrr_Q2)*Fsw*(H181-K181*Rdson1), IF(QrrSky_Q3&gt;0,QrrSky_Q3,Qrr_Q3)*Fsw*Vout,  IF(QrrSky_Q2&gt;0,QrrSky_Q2,Qrr_Q2)*Fsw/2*(H181-K181*Rdson1)+IF(QrrSky_Q3&gt;0,QrrSky_Q3,Qrr_Q3)*Fsw/2*Vout)</f>
        <v>0.82792962</v>
      </c>
      <c r="AV181" s="488" t="n">
        <f aca="false">CHOOSE(J181, Rs*AF181^2, Rs*AJ181^2, Rs*(AF181^2+AJ181^2))</f>
        <v>0.227240759271317</v>
      </c>
      <c r="AW181" s="488" t="n">
        <f aca="false">Rshunt_std/1000*Iout^2</f>
        <v>0.14832</v>
      </c>
      <c r="AX181" s="488" t="n">
        <f aca="false">IF(Vout&gt;8, Iq*Vout, Iq*H181)</f>
        <v>0.036</v>
      </c>
      <c r="AY181" s="488" t="n">
        <f aca="false">CHOOSE(J181, (Qg_Q1+Qg_Q2)*Fsw, (Qg_Q3+Qg_Q4)*Fsw, (Qg_Q1+Qg_Q2+Qg_Q3+Qg_Q4)*Fsw/2)*IF(Vout&gt;8, Vout, H181)</f>
        <v>0.0792</v>
      </c>
      <c r="AZ181" s="488" t="n">
        <f aca="false">(Vin-Vdd)*Fsw*(Qg_Q1+Qg_Q2)+(RdsonDRT+RdsonDRT2)*Fsw*Qg_Q1*Vdd/(RdsonDRT+2*Rgate1+RdsonDRT2)+(RdsonDRB+RdsonDRB2)*Fsw*Qg_Q2*Vdd/(RdsonDRB+2*Rgate2+RdsonDRB2)</f>
        <v>0.0522</v>
      </c>
      <c r="BA181" s="488" t="n">
        <f aca="false">SUM(AX181:AY181)</f>
        <v>0.1152</v>
      </c>
      <c r="BB181" s="488" t="n">
        <f aca="false">SUM(T181,W181,Z181,AE181,AI181,AN181,AR181, AT181,AU181,BA181,AV181,AW181)</f>
        <v>3.33248391843963</v>
      </c>
      <c r="BC181" s="419" t="n">
        <f aca="false">Vout*K181</f>
        <v>72</v>
      </c>
      <c r="BD181" s="589" t="n">
        <f aca="false">BC181/(BC181+BB181)</f>
        <v>0.955762989017492</v>
      </c>
      <c r="BE181" s="590" t="n">
        <f aca="false">IF(H181&gt;Vout,ThetaJA_Q1*(AE181+AU181),ThetaJA_Q4*(AN181+AU181))</f>
        <v>58.0779972480155</v>
      </c>
      <c r="BF181" s="590" t="n">
        <f aca="false">IF(H181&gt;Vout, AI181*ThetaJA_Q2, ThetaJA_Q3*AR181)</f>
        <v>15.8073217087071</v>
      </c>
      <c r="BG181" s="536"/>
      <c r="BH181" s="385" t="n">
        <f aca="false">BD181*100</f>
        <v>95.5762989017492</v>
      </c>
      <c r="BI181" s="488" t="n">
        <f aca="false">T181</f>
        <v>1.25660406850983</v>
      </c>
      <c r="BJ181" s="488" t="n">
        <f aca="false">AE181+AI181+AN181+AR181+AU181</f>
        <v>1.55335223905442</v>
      </c>
      <c r="BK181" s="488" t="n">
        <f aca="false">AI181+AU181*0.33</f>
        <v>0.589363208774142</v>
      </c>
      <c r="BL181" s="488" t="n">
        <f aca="false">AV181</f>
        <v>0.227240759271317</v>
      </c>
    </row>
    <row r="182" customFormat="false" ht="12.75" hidden="false" customHeight="false" outlineLevel="0" collapsed="false">
      <c r="G182" s="0" t="n">
        <v>173</v>
      </c>
      <c r="H182" s="586" t="n">
        <f aca="false">VIN_min+(VIN_max-VIN_min)*(G182/200)</f>
        <v>44.06</v>
      </c>
      <c r="I182" s="385" t="str">
        <f aca="false">IF(H182&gt;VIN_BB_to_buck, "BUCK", IF(H182&lt;VIN_boost_to_BB,"BOOST","BUCK-BST"))</f>
        <v>BUCK</v>
      </c>
      <c r="J182" s="419" t="n">
        <f aca="false">IF(I182="BOOST",2, IF(I182="BUCK", 1,3))</f>
        <v>1</v>
      </c>
      <c r="K182" s="0" t="n">
        <f aca="false">Iout</f>
        <v>6</v>
      </c>
      <c r="L182" s="385" t="n">
        <f aca="false">Vout*K182/(H182*Efficiency)</f>
        <v>1.81570585565138</v>
      </c>
      <c r="M182" s="385" t="n">
        <f aca="false">Iout/(1-O182)</f>
        <v>6</v>
      </c>
      <c r="N182" s="488" t="n">
        <f aca="false">CHOOSE(J182,(Vout+(Rdson2+Rs+Rdcr)*K182)/(H182+(Rs+Rdson2-Rdson1)*K182),1,IF(H182&lt;Vout,D_max_buck_BB,Vout/H182*(1-D_min_boost_exitBB_to_buck)))</f>
        <v>0.274378797497053</v>
      </c>
      <c r="O182" s="488" t="n">
        <f aca="false">CHOOSE(J182,0,(Vout+(Rdson3+Rdcr)*L182-H182)/(Vout+(Rdson3-Rdson4-Rs)*L182),IF(H182&gt;Vout,D_min_boost_exitBB_to_buck, (Vout-H182*D_max_buck_BB)/Vout))</f>
        <v>0</v>
      </c>
      <c r="P182" s="385" t="n">
        <f aca="false">MAX(0, CHOOSE(J182, (H182-(Rdson1+Rdcr)*K182-Vout)*N182/(Fsw*Lf), (H182-(Rdson4+Rdcr+Rs)*L182)*O182/(Fsw*Lf), IF(H182&lt;Vout, (H182-(Rdson4+Rdcr+Rs)*L182)*O182/(0.5*Fsw*Lf),(H182-(Rdson1+Rdcr)*K182-Vout)*N182/(0.5*Fsw*Lf))))</f>
        <v>6.2281457298237</v>
      </c>
      <c r="Q182" s="488" t="n">
        <f aca="false">CHOOSE(J182, SQRT(K182^2+(P182^2)/12), SQRT(L182^2+(P182^2)/12), SQRT(M182^2+(P182^2)/12))</f>
        <v>6.26358389975953</v>
      </c>
      <c r="R182" s="488" t="n">
        <f aca="false">(Q182^2*Rdcr*(1+Ltc*Ta-Ltc*25))/(1-Q182^2*Rdcr*Ltc*ThetaCa)</f>
        <v>0.132825385637138</v>
      </c>
      <c r="S182" s="488" t="n">
        <f aca="false">7.759*10^-3*Fsw^0.9458*(0.00787*P182)^2.304</f>
        <v>1.1287438954716</v>
      </c>
      <c r="T182" s="488" t="n">
        <f aca="false">R182+S182</f>
        <v>1.26156928110874</v>
      </c>
      <c r="U182" s="385" t="n">
        <f aca="false">IF(H182&gt;Vout, P182/SQRT(12), SQRT(O182/(1-O182))*SQRT(K182^2+(P182^2)/12))</f>
        <v>1.79791080683297</v>
      </c>
      <c r="V182" s="488" t="n">
        <f aca="false">RCoutEsr*U182^2</f>
        <v>0.0161624163466338</v>
      </c>
      <c r="W182" s="488" t="n">
        <f aca="false">V182</f>
        <v>0.0161624163466338</v>
      </c>
      <c r="X182" s="488" t="n">
        <f aca="false">IF(H182&gt;Vout, SQRT(N182*(1-N182))*SQRT(K182^2+(P182^2)/12), P182/SQRT(12))</f>
        <v>2.79481557884189</v>
      </c>
      <c r="Y182" s="587" t="n">
        <f aca="false">RCinEsr*X182^2</f>
        <v>0.0156219882394747</v>
      </c>
      <c r="Z182" s="588" t="n">
        <f aca="false">Y182</f>
        <v>0.0156219882394747</v>
      </c>
      <c r="AA182" s="488" t="n">
        <f aca="false">CHOOSE(J182, SQRT(N182)*SQRT(K182^2+(P182^2)/12), SQRT(L182^2+(P182^2)/12), SQRT(N182)*SQRT(M182^2+(P182^2)/12))</f>
        <v>3.28093913114235</v>
      </c>
      <c r="AB182" s="488" t="n">
        <f aca="false">Rdson1*AA182^2</f>
        <v>0.0613580010188884</v>
      </c>
      <c r="AC182" s="488" t="n">
        <f aca="false">CHOOSE(J182, (H182*K182/2)*(Fsw)*(Tr_buck+Tf_buck), 0, (H182*M182/2)*(Fsw/2)*(Tr_buck+Tf_buck))</f>
        <v>0.269214817790531</v>
      </c>
      <c r="AD182" s="0" t="n">
        <f aca="false">IF(H182&gt;Vout, IF(K182&gt;P182/2,0,ABS(K182-P182/2)*Vsd_Q1*Deadtime*Fsw),0)</f>
        <v>0</v>
      </c>
      <c r="AE182" s="488" t="n">
        <f aca="false">(AD182+AC182+AB182*(1+RdsonTopTc*Ta-RdsonTopTc*25))/(1-AB182*RdsonTopTc*ThetaJA_Q1)</f>
        <v>0.334679876449457</v>
      </c>
      <c r="AF182" s="488" t="n">
        <f aca="false">CHOOSE(J182, SQRT((1-N182))*SQRT(K182^2+(P182^2)/12), 0, SQRT((1-N182))*SQRT(M182^2+(P182^2)/12))</f>
        <v>5.33553387085732</v>
      </c>
      <c r="AG182" s="488" t="n">
        <f aca="false">Rdson2*AF182^2</f>
        <v>0.162267153616274</v>
      </c>
      <c r="AH182" s="488" t="n">
        <f aca="false">CHOOSE(J182, IF(K182&lt;P182/2,Deadtime*Fsw*IF(VfdSky_Q2&gt;0,0,Vsd_Q2)*(K182+P182/2),2*Deadtime*Fsw*IF(VfdSky_Q2&gt;0,0,Vsd_Q2)*K182),0, IF(K182&lt;P182/2,Deadtime*Fsw/2*IF(VfdSky_Q2&gt;0,0,Vsd_Q2)*(K182+P182/2),2*Deadtime*Fsw/2*IF(VfdSky_Q2&gt;0,0,Vsd_Q2)*K182))</f>
        <v>0.144</v>
      </c>
      <c r="AI182" s="488" t="n">
        <f aca="false">(AH182+AG182*(1+RdsonBotTc*Ta-RdsonBotTc*25))/(1-AG182*RdsonBotTc*ThetaJA_Q2)</f>
        <v>0.316539961322186</v>
      </c>
      <c r="AJ182" s="488" t="n">
        <f aca="false">CHOOSE(J182, 0, SQRT(O182)*SQRT(L182^2+(P182^2)/12), SQRT(O182)*SQRT(M182^2+(P182^2)/12))</f>
        <v>0</v>
      </c>
      <c r="AK182" s="488" t="n">
        <f aca="false">Rdson4*AJ182^2</f>
        <v>0</v>
      </c>
      <c r="AL182" s="488" t="n">
        <f aca="false">CHOOSE(J182, 0, (Vout*L182/2)*(Fsw)*(Tr_boost+Tf_boost), (Vout*Iout/2)*(Fsw/2)*(Tr_boost+Tf_boost))</f>
        <v>0</v>
      </c>
      <c r="AM182" s="0" t="n">
        <f aca="false">IF(H182&gt;Vout, 0, IF(L182&gt;P182/2,0,ABS(L182-P182/2)*Vsd_Q4*Deadtime*Fsw))</f>
        <v>0</v>
      </c>
      <c r="AN182" s="488" t="n">
        <f aca="false">(AM182+AL182+AK182*(1+RdsonTopTc*Ta-RdsonTopTc*25))/(1-AK182*RdsonTopTc*ThetaJA_Q4)</f>
        <v>0</v>
      </c>
      <c r="AO182" s="488" t="n">
        <f aca="false">CHOOSE(J182, SQRT(Iout^2+(P182^2)/12), SQRT(1-O182)*SQRT(L182^2+(P182^2)/12), SQRT(1-O182)*SQRT(M182^2+(P182^2)/12))</f>
        <v>6.26358389975953</v>
      </c>
      <c r="AP182" s="488" t="n">
        <f aca="false">Rdson3*AO182^2</f>
        <v>0.0745417182117209</v>
      </c>
      <c r="AQ182" s="488" t="n">
        <f aca="false">CHOOSE(J182, 0, IF(L182&lt;P182/2,Deadtime*Fsw*IF(VfdSky_Q3&gt;0,0,Vsd_Q3)*(L182+P182/2), 2*Deadtime*Fsw*IF(VfdSky_Q3&gt;0,0,Vsd_Q3)*L182), IF(L182&lt;P182/2,Deadtime*Fsw/2*IF(VfdSky_Q3&gt;0,0,Vsd_Q3)*(L182+P182/2), 2*Deadtime*Fsw/2*IF(VfdSky_Q3&gt;0,0,Vsd_Q3)*L182))</f>
        <v>0</v>
      </c>
      <c r="AR182" s="488" t="n">
        <f aca="false">(AQ182+AP182*(1+RdsonBotTc*Ta-RdsonBotTc*25))/(1-AP182*RdsonBotTc*ThetaJA_Q3)</f>
        <v>0.0756698300413349</v>
      </c>
      <c r="AS182" s="488" t="n">
        <f aca="false">CHOOSE(J182, Rdson3*Q182^2, Rdson1*Q182^2, 0)</f>
        <v>0.0745417182117209</v>
      </c>
      <c r="AT182" s="488" t="n">
        <f aca="false">CHOOSE(J182, 2*Deadtime*Fsw*IF(VfdSky_Q2&gt;0,VfdSky_Q2,0)*K182, 2*Deadtime*Fsw*IF(VfdSky_Q3&gt;0,VfdSky_Q3,0)*L182, 2*Deadtime*Fsw/2*IF(VfdSky_Q2&gt;0,VfdSky_Q2,0)*K182+2*Deadtime*Fsw/2*IF(VfdSky_Q3&gt;0,VfdSky_Q3,0)*L182)</f>
        <v>0</v>
      </c>
      <c r="AU182" s="488" t="n">
        <f aca="false">CHOOSE(J182, IF(QrrSky_Q2&gt;0,QrrSky_Q2,Qrr_Q2)*Fsw*(H182-K182*Rdson1), IF(QrrSky_Q3&gt;0,QrrSky_Q3,Qrr_Q3)*Fsw*Vout,  IF(QrrSky_Q2&gt;0,QrrSky_Q2,Qrr_Q2)*Fsw/2*(H182-K182*Rdson1)+IF(QrrSky_Q3&gt;0,QrrSky_Q3,Qrr_Q3)*Fsw/2*Vout)</f>
        <v>0.83208762</v>
      </c>
      <c r="AV182" s="488" t="n">
        <f aca="false">CHOOSE(J182, Rs*AF182^2, Rs*AJ182^2, Rs*(AF182^2+AJ182^2))</f>
        <v>0.227743373496525</v>
      </c>
      <c r="AW182" s="488" t="n">
        <f aca="false">Rshunt_std/1000*Iout^2</f>
        <v>0.14832</v>
      </c>
      <c r="AX182" s="488" t="n">
        <f aca="false">IF(Vout&gt;8, Iq*Vout, Iq*H182)</f>
        <v>0.036</v>
      </c>
      <c r="AY182" s="488" t="n">
        <f aca="false">CHOOSE(J182, (Qg_Q1+Qg_Q2)*Fsw, (Qg_Q3+Qg_Q4)*Fsw, (Qg_Q1+Qg_Q2+Qg_Q3+Qg_Q4)*Fsw/2)*IF(Vout&gt;8, Vout, H182)</f>
        <v>0.0792</v>
      </c>
      <c r="AZ182" s="488" t="n">
        <f aca="false">(Vin-Vdd)*Fsw*(Qg_Q1+Qg_Q2)+(RdsonDRT+RdsonDRT2)*Fsw*Qg_Q1*Vdd/(RdsonDRT+2*Rgate1+RdsonDRT2)+(RdsonDRB+RdsonDRB2)*Fsw*Qg_Q2*Vdd/(RdsonDRB+2*Rgate2+RdsonDRB2)</f>
        <v>0.0522</v>
      </c>
      <c r="BA182" s="488" t="n">
        <f aca="false">SUM(AX182:AY182)</f>
        <v>0.1152</v>
      </c>
      <c r="BB182" s="488" t="n">
        <f aca="false">SUM(T182,W182,Z182,AE182,AI182,AN182,AR182, AT182,AU182,BA182,AV182,AW182)</f>
        <v>3.34359434700435</v>
      </c>
      <c r="BC182" s="419" t="n">
        <f aca="false">Vout*K182</f>
        <v>72</v>
      </c>
      <c r="BD182" s="589" t="n">
        <f aca="false">BC182/(BC182+BB182)</f>
        <v>0.955622048881754</v>
      </c>
      <c r="BE182" s="590" t="n">
        <f aca="false">IF(H182&gt;Vout,ThetaJA_Q1*(AE182+AU182),ThetaJA_Q4*(AN182+AU182))</f>
        <v>58.3383748224728</v>
      </c>
      <c r="BF182" s="590" t="n">
        <f aca="false">IF(H182&gt;Vout, AI182*ThetaJA_Q2, ThetaJA_Q3*AR182)</f>
        <v>15.8269980661093</v>
      </c>
      <c r="BG182" s="536"/>
      <c r="BH182" s="385" t="n">
        <f aca="false">BD182*100</f>
        <v>95.5622048881753</v>
      </c>
      <c r="BI182" s="488" t="n">
        <f aca="false">T182</f>
        <v>1.26156928110874</v>
      </c>
      <c r="BJ182" s="488" t="n">
        <f aca="false">AE182+AI182+AN182+AR182+AU182</f>
        <v>1.55897728781298</v>
      </c>
      <c r="BK182" s="488" t="n">
        <f aca="false">AI182+AU182*0.33</f>
        <v>0.591128875922186</v>
      </c>
      <c r="BL182" s="488" t="n">
        <f aca="false">AV182</f>
        <v>0.227743373496525</v>
      </c>
    </row>
    <row r="183" customFormat="false" ht="12.75" hidden="false" customHeight="false" outlineLevel="0" collapsed="false">
      <c r="G183" s="0" t="n">
        <v>174</v>
      </c>
      <c r="H183" s="586" t="n">
        <f aca="false">VIN_min+(VIN_max-VIN_min)*(G183/200)</f>
        <v>44.28</v>
      </c>
      <c r="I183" s="385" t="str">
        <f aca="false">IF(H183&gt;VIN_BB_to_buck, "BUCK", IF(H183&lt;VIN_boost_to_BB,"BOOST","BUCK-BST"))</f>
        <v>BUCK</v>
      </c>
      <c r="J183" s="419" t="n">
        <f aca="false">IF(I183="BOOST",2, IF(I183="BUCK", 1,3))</f>
        <v>1</v>
      </c>
      <c r="K183" s="0" t="n">
        <f aca="false">Iout</f>
        <v>6</v>
      </c>
      <c r="L183" s="385" t="n">
        <f aca="false">Vout*K183/(H183*Efficiency)</f>
        <v>1.806684733514</v>
      </c>
      <c r="M183" s="385" t="n">
        <f aca="false">Iout/(1-O183)</f>
        <v>6</v>
      </c>
      <c r="N183" s="488" t="n">
        <f aca="false">CHOOSE(J183,(Vout+(Rdson2+Rs+Rdcr)*K183)/(H183+(Rs+Rdson2-Rdson1)*K183),1,IF(H183&lt;Vout,D_max_buck_BB,Vout/H183*(1-D_min_boost_exitBB_to_buck)))</f>
        <v>0.27301705468327</v>
      </c>
      <c r="O183" s="488" t="n">
        <f aca="false">CHOOSE(J183,0,(Vout+(Rdson3+Rdcr)*L183-H183)/(Vout+(Rdson3-Rdson4-Rs)*L183),IF(H183&gt;Vout,D_min_boost_exitBB_to_buck, (Vout-H183*D_max_buck_BB)/Vout))</f>
        <v>0</v>
      </c>
      <c r="P183" s="385" t="n">
        <f aca="false">MAX(0, CHOOSE(J183, (H183-(Rdson1+Rdcr)*K183-Vout)*N183/(Fsw*Lf), (H183-(Rdson4+Rdcr+Rs)*L183)*O183/(Fsw*Lf), IF(H183&lt;Vout, (H183-(Rdson4+Rdcr+Rs)*L183)*O183/(0.5*Fsw*Lf),(H183-(Rdson1+Rdcr)*K183-Vout)*N183/(0.5*Fsw*Lf))))</f>
        <v>6.23983382915366</v>
      </c>
      <c r="Q183" s="488" t="n">
        <f aca="false">CHOOSE(J183, SQRT(K183^2+(P183^2)/12), SQRT(L183^2+(P183^2)/12), SQRT(M183^2+(P183^2)/12))</f>
        <v>6.26455323104696</v>
      </c>
      <c r="R183" s="488" t="n">
        <f aca="false">(Q183^2*Rdcr*(1+Ltc*Ta-Ltc*25))/(1-Q183^2*Rdcr*Ltc*ThetaCa)</f>
        <v>0.132866937062407</v>
      </c>
      <c r="S183" s="488" t="n">
        <f aca="false">7.759*10^-3*Fsw^0.9458*(0.00787*P183)^2.304</f>
        <v>1.1336303536675</v>
      </c>
      <c r="T183" s="488" t="n">
        <f aca="false">R183+S183</f>
        <v>1.2664972907299</v>
      </c>
      <c r="U183" s="385" t="n">
        <f aca="false">IF(H183&gt;Vout, P183/SQRT(12), SQRT(O183/(1-O183))*SQRT(K183^2+(P183^2)/12))</f>
        <v>1.8012848704802</v>
      </c>
      <c r="V183" s="488" t="n">
        <f aca="false">RCoutEsr*U183^2</f>
        <v>0.0162231359231043</v>
      </c>
      <c r="W183" s="488" t="n">
        <f aca="false">V183</f>
        <v>0.0162231359231043</v>
      </c>
      <c r="X183" s="488" t="n">
        <f aca="false">IF(H183&gt;Vout, SQRT(N183*(1-N183))*SQRT(K183^2+(P183^2)/12), P183/SQRT(12))</f>
        <v>2.79091817416274</v>
      </c>
      <c r="Y183" s="587" t="n">
        <f aca="false">RCinEsr*X183^2</f>
        <v>0.0155784485097437</v>
      </c>
      <c r="Z183" s="588" t="n">
        <f aca="false">Y183</f>
        <v>0.0155784485097437</v>
      </c>
      <c r="AA183" s="488" t="n">
        <f aca="false">CHOOSE(J183, SQRT(N183)*SQRT(K183^2+(P183^2)/12), SQRT(L183^2+(P183^2)/12), SQRT(N183)*SQRT(M183^2+(P183^2)/12))</f>
        <v>3.27329383436443</v>
      </c>
      <c r="AB183" s="488" t="n">
        <f aca="false">Rdson1*AA183^2</f>
        <v>0.0610723793987027</v>
      </c>
      <c r="AC183" s="488" t="n">
        <f aca="false">CHOOSE(J183, (H183*K183/2)*(Fsw)*(Tr_buck+Tf_buck), 0, (H183*M183/2)*(Fsw/2)*(Tr_buck+Tf_buck))</f>
        <v>0.270559058823529</v>
      </c>
      <c r="AD183" s="0" t="n">
        <f aca="false">IF(H183&gt;Vout, IF(K183&gt;P183/2,0,ABS(K183-P183/2)*Vsd_Q1*Deadtime*Fsw),0)</f>
        <v>0</v>
      </c>
      <c r="AE183" s="488" t="n">
        <f aca="false">(AD183+AC183+AB183*(1+RdsonTopTc*Ta-RdsonTopTc*25))/(1-AB183*RdsonTopTc*ThetaJA_Q1)</f>
        <v>0.335732231465519</v>
      </c>
      <c r="AF183" s="488" t="n">
        <f aca="false">CHOOSE(J183, SQRT((1-N183))*SQRT(K183^2+(P183^2)/12), 0, SQRT((1-N183))*SQRT(M183^2+(P183^2)/12))</f>
        <v>5.34136449407197</v>
      </c>
      <c r="AG183" s="488" t="n">
        <f aca="false">Rdson2*AF183^2</f>
        <v>0.162621995553636</v>
      </c>
      <c r="AH183" s="488" t="n">
        <f aca="false">CHOOSE(J183, IF(K183&lt;P183/2,Deadtime*Fsw*IF(VfdSky_Q2&gt;0,0,Vsd_Q2)*(K183+P183/2),2*Deadtime*Fsw*IF(VfdSky_Q2&gt;0,0,Vsd_Q2)*K183),0, IF(K183&lt;P183/2,Deadtime*Fsw/2*IF(VfdSky_Q2&gt;0,0,Vsd_Q2)*(K183+P183/2),2*Deadtime*Fsw/2*IF(VfdSky_Q2&gt;0,0,Vsd_Q2)*K183))</f>
        <v>0.144</v>
      </c>
      <c r="AI183" s="488" t="n">
        <f aca="false">(AH183+AG183*(1+RdsonBotTc*Ta-RdsonBotTc*25))/(1-AG183*RdsonBotTc*ThetaJA_Q2)</f>
        <v>0.316929951795993</v>
      </c>
      <c r="AJ183" s="488" t="n">
        <f aca="false">CHOOSE(J183, 0, SQRT(O183)*SQRT(L183^2+(P183^2)/12), SQRT(O183)*SQRT(M183^2+(P183^2)/12))</f>
        <v>0</v>
      </c>
      <c r="AK183" s="488" t="n">
        <f aca="false">Rdson4*AJ183^2</f>
        <v>0</v>
      </c>
      <c r="AL183" s="488" t="n">
        <f aca="false">CHOOSE(J183, 0, (Vout*L183/2)*(Fsw)*(Tr_boost+Tf_boost), (Vout*Iout/2)*(Fsw/2)*(Tr_boost+Tf_boost))</f>
        <v>0</v>
      </c>
      <c r="AM183" s="0" t="n">
        <f aca="false">IF(H183&gt;Vout, 0, IF(L183&gt;P183/2,0,ABS(L183-P183/2)*Vsd_Q4*Deadtime*Fsw))</f>
        <v>0</v>
      </c>
      <c r="AN183" s="488" t="n">
        <f aca="false">(AM183+AL183+AK183*(1+RdsonTopTc*Ta-RdsonTopTc*25))/(1-AK183*RdsonTopTc*ThetaJA_Q4)</f>
        <v>0</v>
      </c>
      <c r="AO183" s="488" t="n">
        <f aca="false">CHOOSE(J183, SQRT(Iout^2+(P183^2)/12), SQRT(1-O183)*SQRT(L183^2+(P183^2)/12), SQRT(1-O183)*SQRT(M183^2+(P183^2)/12))</f>
        <v>6.26455323104696</v>
      </c>
      <c r="AP183" s="488" t="n">
        <f aca="false">Rdson3*AO183^2</f>
        <v>0.0745647916507796</v>
      </c>
      <c r="AQ183" s="488" t="n">
        <f aca="false">CHOOSE(J183, 0, IF(L183&lt;P183/2,Deadtime*Fsw*IF(VfdSky_Q3&gt;0,0,Vsd_Q3)*(L183+P183/2), 2*Deadtime*Fsw*IF(VfdSky_Q3&gt;0,0,Vsd_Q3)*L183), IF(L183&lt;P183/2,Deadtime*Fsw/2*IF(VfdSky_Q3&gt;0,0,Vsd_Q3)*(L183+P183/2), 2*Deadtime*Fsw/2*IF(VfdSky_Q3&gt;0,0,Vsd_Q3)*L183))</f>
        <v>0</v>
      </c>
      <c r="AR183" s="488" t="n">
        <f aca="false">(AQ183+AP183*(1+RdsonBotTc*Ta-RdsonBotTc*25))/(1-AP183*RdsonBotTc*ThetaJA_Q3)</f>
        <v>0.0756936072617331</v>
      </c>
      <c r="AS183" s="488" t="n">
        <f aca="false">CHOOSE(J183, Rdson3*Q183^2, Rdson1*Q183^2, 0)</f>
        <v>0.0745647916507796</v>
      </c>
      <c r="AT183" s="488" t="n">
        <f aca="false">CHOOSE(J183, 2*Deadtime*Fsw*IF(VfdSky_Q2&gt;0,VfdSky_Q2,0)*K183, 2*Deadtime*Fsw*IF(VfdSky_Q3&gt;0,VfdSky_Q3,0)*L183, 2*Deadtime*Fsw/2*IF(VfdSky_Q2&gt;0,VfdSky_Q2,0)*K183+2*Deadtime*Fsw/2*IF(VfdSky_Q3&gt;0,VfdSky_Q3,0)*L183)</f>
        <v>0</v>
      </c>
      <c r="AU183" s="488" t="n">
        <f aca="false">CHOOSE(J183, IF(QrrSky_Q2&gt;0,QrrSky_Q2,Qrr_Q2)*Fsw*(H183-K183*Rdson1), IF(QrrSky_Q3&gt;0,QrrSky_Q3,Qrr_Q3)*Fsw*Vout,  IF(QrrSky_Q2&gt;0,QrrSky_Q2,Qrr_Q2)*Fsw/2*(H183-K183*Rdson1)+IF(QrrSky_Q3&gt;0,QrrSky_Q3,Qrr_Q3)*Fsw/2*Vout)</f>
        <v>0.83624562</v>
      </c>
      <c r="AV183" s="488" t="n">
        <f aca="false">CHOOSE(J183, Rs*AF183^2, Rs*AJ183^2, Rs*(AF183^2+AJ183^2))</f>
        <v>0.228241397268262</v>
      </c>
      <c r="AW183" s="488" t="n">
        <f aca="false">Rshunt_std/1000*Iout^2</f>
        <v>0.14832</v>
      </c>
      <c r="AX183" s="488" t="n">
        <f aca="false">IF(Vout&gt;8, Iq*Vout, Iq*H183)</f>
        <v>0.036</v>
      </c>
      <c r="AY183" s="488" t="n">
        <f aca="false">CHOOSE(J183, (Qg_Q1+Qg_Q2)*Fsw, (Qg_Q3+Qg_Q4)*Fsw, (Qg_Q1+Qg_Q2+Qg_Q3+Qg_Q4)*Fsw/2)*IF(Vout&gt;8, Vout, H183)</f>
        <v>0.0792</v>
      </c>
      <c r="AZ183" s="488" t="n">
        <f aca="false">(Vin-Vdd)*Fsw*(Qg_Q1+Qg_Q2)+(RdsonDRT+RdsonDRT2)*Fsw*Qg_Q1*Vdd/(RdsonDRT+2*Rgate1+RdsonDRT2)+(RdsonDRB+RdsonDRB2)*Fsw*Qg_Q2*Vdd/(RdsonDRB+2*Rgate2+RdsonDRB2)</f>
        <v>0.0522</v>
      </c>
      <c r="BA183" s="488" t="n">
        <f aca="false">SUM(AX183:AY183)</f>
        <v>0.1152</v>
      </c>
      <c r="BB183" s="488" t="n">
        <f aca="false">SUM(T183,W183,Z183,AE183,AI183,AN183,AR183, AT183,AU183,BA183,AV183,AW183)</f>
        <v>3.35466168295426</v>
      </c>
      <c r="BC183" s="419" t="n">
        <f aca="false">Vout*K183</f>
        <v>72</v>
      </c>
      <c r="BD183" s="589" t="n">
        <f aca="false">BC183/(BC183+BB183)</f>
        <v>0.955481696712161</v>
      </c>
      <c r="BE183" s="590" t="n">
        <f aca="false">IF(H183&gt;Vout,ThetaJA_Q1*(AE183+AU183),ThetaJA_Q4*(AN183+AU183))</f>
        <v>58.598892573276</v>
      </c>
      <c r="BF183" s="590" t="n">
        <f aca="false">IF(H183&gt;Vout, AI183*ThetaJA_Q2, ThetaJA_Q3*AR183)</f>
        <v>15.8464975897996</v>
      </c>
      <c r="BG183" s="536"/>
      <c r="BH183" s="385" t="n">
        <f aca="false">BD183*100</f>
        <v>95.5481696712161</v>
      </c>
      <c r="BI183" s="488" t="n">
        <f aca="false">T183</f>
        <v>1.2664972907299</v>
      </c>
      <c r="BJ183" s="488" t="n">
        <f aca="false">AE183+AI183+AN183+AR183+AU183</f>
        <v>1.56460141052324</v>
      </c>
      <c r="BK183" s="488" t="n">
        <f aca="false">AI183+AU183*0.33</f>
        <v>0.592891006395993</v>
      </c>
      <c r="BL183" s="488" t="n">
        <f aca="false">AV183</f>
        <v>0.228241397268262</v>
      </c>
    </row>
    <row r="184" customFormat="false" ht="12.75" hidden="false" customHeight="false" outlineLevel="0" collapsed="false">
      <c r="G184" s="0" t="n">
        <v>175</v>
      </c>
      <c r="H184" s="586" t="n">
        <f aca="false">VIN_min+(VIN_max-VIN_min)*(G184/200)</f>
        <v>44.5</v>
      </c>
      <c r="I184" s="385" t="str">
        <f aca="false">IF(H184&gt;VIN_BB_to_buck, "BUCK", IF(H184&lt;VIN_boost_to_BB,"BOOST","BUCK-BST"))</f>
        <v>BUCK</v>
      </c>
      <c r="J184" s="419" t="n">
        <f aca="false">IF(I184="BOOST",2, IF(I184="BUCK", 1,3))</f>
        <v>1</v>
      </c>
      <c r="K184" s="0" t="n">
        <f aca="false">Iout</f>
        <v>6</v>
      </c>
      <c r="L184" s="385" t="n">
        <f aca="false">Vout*K184/(H184*Efficiency)</f>
        <v>1.79775280898876</v>
      </c>
      <c r="M184" s="385" t="n">
        <f aca="false">Iout/(1-O184)</f>
        <v>6</v>
      </c>
      <c r="N184" s="488" t="n">
        <f aca="false">CHOOSE(J184,(Vout+(Rdson2+Rs+Rdcr)*K184)/(H184+(Rs+Rdson2-Rdson1)*K184),1,IF(H184&lt;Vout,D_max_buck_BB,Vout/H184*(1-D_min_boost_exitBB_to_buck)))</f>
        <v>0.271668761785041</v>
      </c>
      <c r="O184" s="488" t="n">
        <f aca="false">CHOOSE(J184,0,(Vout+(Rdson3+Rdcr)*L184-H184)/(Vout+(Rdson3-Rdson4-Rs)*L184),IF(H184&gt;Vout,D_min_boost_exitBB_to_buck, (Vout-H184*D_max_buck_BB)/Vout))</f>
        <v>0</v>
      </c>
      <c r="P184" s="385" t="n">
        <f aca="false">MAX(0, CHOOSE(J184, (H184-(Rdson1+Rdcr)*K184-Vout)*N184/(Fsw*Lf), (H184-(Rdson4+Rdcr+Rs)*L184)*O184/(Fsw*Lf), IF(H184&lt;Vout, (H184-(Rdson4+Rdcr+Rs)*L184)*O184/(0.5*Fsw*Lf),(H184-(Rdson1+Rdcr)*K184-Vout)*N184/(0.5*Fsw*Lf))))</f>
        <v>6.25140648528291</v>
      </c>
      <c r="Q184" s="488" t="n">
        <f aca="false">CHOOSE(J184, SQRT(K184^2+(P184^2)/12), SQRT(L184^2+(P184^2)/12), SQRT(M184^2+(P184^2)/12))</f>
        <v>6.26551463066042</v>
      </c>
      <c r="R184" s="488" t="n">
        <f aca="false">(Q184^2*Rdcr*(1+Ltc*Ta-Ltc*25))/(1-Q184^2*Rdcr*Ltc*ThetaCa)</f>
        <v>0.132908155109179</v>
      </c>
      <c r="S184" s="488" t="n">
        <f aca="false">7.759*10^-3*Fsw^0.9458*(0.00787*P184)^2.304</f>
        <v>1.13848032204174</v>
      </c>
      <c r="T184" s="488" t="n">
        <f aca="false">R184+S184</f>
        <v>1.27138847715092</v>
      </c>
      <c r="U184" s="385" t="n">
        <f aca="false">IF(H184&gt;Vout, P184/SQRT(12), SQRT(O184/(1-O184))*SQRT(K184^2+(P184^2)/12))</f>
        <v>1.80462560854593</v>
      </c>
      <c r="V184" s="488" t="n">
        <f aca="false">RCoutEsr*U184^2</f>
        <v>0.0162833679350988</v>
      </c>
      <c r="W184" s="488" t="n">
        <f aca="false">V184</f>
        <v>0.0162833679350988</v>
      </c>
      <c r="X184" s="488" t="n">
        <f aca="false">IF(H184&gt;Vout, SQRT(N184*(1-N184))*SQRT(K184^2+(P184^2)/12), P184/SQRT(12))</f>
        <v>2.78702631136363</v>
      </c>
      <c r="Y184" s="587" t="n">
        <f aca="false">RCinEsr*X184^2</f>
        <v>0.0155350313204663</v>
      </c>
      <c r="Z184" s="588" t="n">
        <f aca="false">Y184</f>
        <v>0.0155350313204663</v>
      </c>
      <c r="AA184" s="488" t="n">
        <f aca="false">CHOOSE(J184, SQRT(N184)*SQRT(K184^2+(P184^2)/12), SQRT(L184^2+(P184^2)/12), SQRT(N184)*SQRT(M184^2+(P184^2)/12))</f>
        <v>3.26570236016468</v>
      </c>
      <c r="AB184" s="488" t="n">
        <f aca="false">Rdson1*AA184^2</f>
        <v>0.0607894278595555</v>
      </c>
      <c r="AC184" s="488" t="n">
        <f aca="false">CHOOSE(J184, (H184*K184/2)*(Fsw)*(Tr_buck+Tf_buck), 0, (H184*M184/2)*(Fsw/2)*(Tr_buck+Tf_buck))</f>
        <v>0.271903299856528</v>
      </c>
      <c r="AD184" s="0" t="n">
        <f aca="false">IF(H184&gt;Vout, IF(K184&gt;P184/2,0,ABS(K184-P184/2)*Vsd_Q1*Deadtime*Fsw),0)</f>
        <v>0</v>
      </c>
      <c r="AE184" s="488" t="n">
        <f aca="false">(AD184+AC184+AB184*(1+RdsonTopTc*Ta-RdsonTopTc*25))/(1-AB184*RdsonTopTc*ThetaJA_Q1)</f>
        <v>0.336787349776736</v>
      </c>
      <c r="AF184" s="488" t="n">
        <f aca="false">CHOOSE(J184, SQRT((1-N184))*SQRT(K184^2+(P184^2)/12), 0, SQRT((1-N184))*SQRT(M184^2+(P184^2)/12))</f>
        <v>5.34713583910439</v>
      </c>
      <c r="AG184" s="488" t="n">
        <f aca="false">Rdson2*AF184^2</f>
        <v>0.162973611586457</v>
      </c>
      <c r="AH184" s="488" t="n">
        <f aca="false">CHOOSE(J184, IF(K184&lt;P184/2,Deadtime*Fsw*IF(VfdSky_Q2&gt;0,0,Vsd_Q2)*(K184+P184/2),2*Deadtime*Fsw*IF(VfdSky_Q2&gt;0,0,Vsd_Q2)*K184),0, IF(K184&lt;P184/2,Deadtime*Fsw/2*IF(VfdSky_Q2&gt;0,0,Vsd_Q2)*(K184+P184/2),2*Deadtime*Fsw/2*IF(VfdSky_Q2&gt;0,0,Vsd_Q2)*K184))</f>
        <v>0.144</v>
      </c>
      <c r="AI184" s="488" t="n">
        <f aca="false">(AH184+AG184*(1+RdsonBotTc*Ta-RdsonBotTc*25))/(1-AG184*RdsonBotTc*ThetaJA_Q2)</f>
        <v>0.317316453267416</v>
      </c>
      <c r="AJ184" s="488" t="n">
        <f aca="false">CHOOSE(J184, 0, SQRT(O184)*SQRT(L184^2+(P184^2)/12), SQRT(O184)*SQRT(M184^2+(P184^2)/12))</f>
        <v>0</v>
      </c>
      <c r="AK184" s="488" t="n">
        <f aca="false">Rdson4*AJ184^2</f>
        <v>0</v>
      </c>
      <c r="AL184" s="488" t="n">
        <f aca="false">CHOOSE(J184, 0, (Vout*L184/2)*(Fsw)*(Tr_boost+Tf_boost), (Vout*Iout/2)*(Fsw/2)*(Tr_boost+Tf_boost))</f>
        <v>0</v>
      </c>
      <c r="AM184" s="0" t="n">
        <f aca="false">IF(H184&gt;Vout, 0, IF(L184&gt;P184/2,0,ABS(L184-P184/2)*Vsd_Q4*Deadtime*Fsw))</f>
        <v>0</v>
      </c>
      <c r="AN184" s="488" t="n">
        <f aca="false">(AM184+AL184+AK184*(1+RdsonTopTc*Ta-RdsonTopTc*25))/(1-AK184*RdsonTopTc*ThetaJA_Q4)</f>
        <v>0</v>
      </c>
      <c r="AO184" s="488" t="n">
        <f aca="false">CHOOSE(J184, SQRT(Iout^2+(P184^2)/12), SQRT(1-O184)*SQRT(L184^2+(P184^2)/12), SQRT(1-O184)*SQRT(M184^2+(P184^2)/12))</f>
        <v>6.26551463066042</v>
      </c>
      <c r="AP184" s="488" t="n">
        <f aca="false">Rdson3*AO184^2</f>
        <v>0.0745876798153376</v>
      </c>
      <c r="AQ184" s="488" t="n">
        <f aca="false">CHOOSE(J184, 0, IF(L184&lt;P184/2,Deadtime*Fsw*IF(VfdSky_Q3&gt;0,0,Vsd_Q3)*(L184+P184/2), 2*Deadtime*Fsw*IF(VfdSky_Q3&gt;0,0,Vsd_Q3)*L184), IF(L184&lt;P184/2,Deadtime*Fsw/2*IF(VfdSky_Q3&gt;0,0,Vsd_Q3)*(L184+P184/2), 2*Deadtime*Fsw/2*IF(VfdSky_Q3&gt;0,0,Vsd_Q3)*L184))</f>
        <v>0</v>
      </c>
      <c r="AR184" s="488" t="n">
        <f aca="false">(AQ184+AP184*(1+RdsonBotTc*Ta-RdsonBotTc*25))/(1-AP184*RdsonBotTc*ThetaJA_Q3)</f>
        <v>0.0757171937765214</v>
      </c>
      <c r="AS184" s="488" t="n">
        <f aca="false">CHOOSE(J184, Rdson3*Q184^2, Rdson1*Q184^2, 0)</f>
        <v>0.0745876798153376</v>
      </c>
      <c r="AT184" s="488" t="n">
        <f aca="false">CHOOSE(J184, 2*Deadtime*Fsw*IF(VfdSky_Q2&gt;0,VfdSky_Q2,0)*K184, 2*Deadtime*Fsw*IF(VfdSky_Q3&gt;0,VfdSky_Q3,0)*L184, 2*Deadtime*Fsw/2*IF(VfdSky_Q2&gt;0,VfdSky_Q2,0)*K184+2*Deadtime*Fsw/2*IF(VfdSky_Q3&gt;0,VfdSky_Q3,0)*L184)</f>
        <v>0</v>
      </c>
      <c r="AU184" s="488" t="n">
        <f aca="false">CHOOSE(J184, IF(QrrSky_Q2&gt;0,QrrSky_Q2,Qrr_Q2)*Fsw*(H184-K184*Rdson1), IF(QrrSky_Q3&gt;0,QrrSky_Q3,Qrr_Q3)*Fsw*Vout,  IF(QrrSky_Q2&gt;0,QrrSky_Q2,Qrr_Q2)*Fsw/2*(H184-K184*Rdson1)+IF(QrrSky_Q3&gt;0,QrrSky_Q3,Qrr_Q3)*Fsw/2*Vout)</f>
        <v>0.84040362</v>
      </c>
      <c r="AV184" s="488" t="n">
        <f aca="false">CHOOSE(J184, Rs*AF184^2, Rs*AJ184^2, Rs*(AF184^2+AJ184^2))</f>
        <v>0.228734893454677</v>
      </c>
      <c r="AW184" s="488" t="n">
        <f aca="false">Rshunt_std/1000*Iout^2</f>
        <v>0.14832</v>
      </c>
      <c r="AX184" s="488" t="n">
        <f aca="false">IF(Vout&gt;8, Iq*Vout, Iq*H184)</f>
        <v>0.036</v>
      </c>
      <c r="AY184" s="488" t="n">
        <f aca="false">CHOOSE(J184, (Qg_Q1+Qg_Q2)*Fsw, (Qg_Q3+Qg_Q4)*Fsw, (Qg_Q1+Qg_Q2+Qg_Q3+Qg_Q4)*Fsw/2)*IF(Vout&gt;8, Vout, H184)</f>
        <v>0.0792</v>
      </c>
      <c r="AZ184" s="488" t="n">
        <f aca="false">(Vin-Vdd)*Fsw*(Qg_Q1+Qg_Q2)+(RdsonDRT+RdsonDRT2)*Fsw*Qg_Q1*Vdd/(RdsonDRT+2*Rgate1+RdsonDRT2)+(RdsonDRB+RdsonDRB2)*Fsw*Qg_Q2*Vdd/(RdsonDRB+2*Rgate2+RdsonDRB2)</f>
        <v>0.0522</v>
      </c>
      <c r="BA184" s="488" t="n">
        <f aca="false">SUM(AX184:AY184)</f>
        <v>0.1152</v>
      </c>
      <c r="BB184" s="488" t="n">
        <f aca="false">SUM(T184,W184,Z184,AE184,AI184,AN184,AR184, AT184,AU184,BA184,AV184,AW184)</f>
        <v>3.36568638668183</v>
      </c>
      <c r="BC184" s="419" t="n">
        <f aca="false">Vout*K184</f>
        <v>72</v>
      </c>
      <c r="BD184" s="589" t="n">
        <f aca="false">BC184/(BC184+BB184)</f>
        <v>0.955341926172962</v>
      </c>
      <c r="BE184" s="590" t="n">
        <f aca="false">IF(H184&gt;Vout,ThetaJA_Q1*(AE184+AU184),ThetaJA_Q4*(AN184+AU184))</f>
        <v>58.8595484888368</v>
      </c>
      <c r="BF184" s="590" t="n">
        <f aca="false">IF(H184&gt;Vout, AI184*ThetaJA_Q2, ThetaJA_Q3*AR184)</f>
        <v>15.8658226633708</v>
      </c>
      <c r="BG184" s="536"/>
      <c r="BH184" s="385" t="n">
        <f aca="false">BD184*100</f>
        <v>95.5341926172962</v>
      </c>
      <c r="BI184" s="488" t="n">
        <f aca="false">T184</f>
        <v>1.27138847715092</v>
      </c>
      <c r="BJ184" s="488" t="n">
        <f aca="false">AE184+AI184+AN184+AR184+AU184</f>
        <v>1.57022461682067</v>
      </c>
      <c r="BK184" s="488" t="n">
        <f aca="false">AI184+AU184*0.33</f>
        <v>0.594649647867416</v>
      </c>
      <c r="BL184" s="488" t="n">
        <f aca="false">AV184</f>
        <v>0.228734893454677</v>
      </c>
    </row>
    <row r="185" customFormat="false" ht="12.75" hidden="false" customHeight="false" outlineLevel="0" collapsed="false">
      <c r="G185" s="0" t="n">
        <v>176</v>
      </c>
      <c r="H185" s="586" t="n">
        <f aca="false">VIN_min+(VIN_max-VIN_min)*(G185/200)</f>
        <v>44.72</v>
      </c>
      <c r="I185" s="385" t="str">
        <f aca="false">IF(H185&gt;VIN_BB_to_buck, "BUCK", IF(H185&lt;VIN_boost_to_BB,"BOOST","BUCK-BST"))</f>
        <v>BUCK</v>
      </c>
      <c r="J185" s="419" t="n">
        <f aca="false">IF(I185="BOOST",2, IF(I185="BUCK", 1,3))</f>
        <v>1</v>
      </c>
      <c r="K185" s="0" t="n">
        <f aca="false">Iout</f>
        <v>6</v>
      </c>
      <c r="L185" s="385" t="n">
        <f aca="false">Vout*K185/(H185*Efficiency)</f>
        <v>1.78890876565295</v>
      </c>
      <c r="M185" s="385" t="n">
        <f aca="false">Iout/(1-O185)</f>
        <v>6</v>
      </c>
      <c r="N185" s="488" t="n">
        <f aca="false">CHOOSE(J185,(Vout+(Rdson2+Rs+Rdcr)*K185)/(H185+(Rs+Rdson2-Rdson1)*K185),1,IF(H185&lt;Vout,D_max_buck_BB,Vout/H185*(1-D_min_boost_exitBB_to_buck)))</f>
        <v>0.270333720514653</v>
      </c>
      <c r="O185" s="488" t="n">
        <f aca="false">CHOOSE(J185,0,(Vout+(Rdson3+Rdcr)*L185-H185)/(Vout+(Rdson3-Rdson4-Rs)*L185),IF(H185&gt;Vout,D_min_boost_exitBB_to_buck, (Vout-H185*D_max_buck_BB)/Vout))</f>
        <v>0</v>
      </c>
      <c r="P185" s="385" t="n">
        <f aca="false">MAX(0, CHOOSE(J185, (H185-(Rdson1+Rdcr)*K185-Vout)*N185/(Fsw*Lf), (H185-(Rdson4+Rdcr+Rs)*L185)*O185/(Fsw*Lf), IF(H185&lt;Vout, (H185-(Rdson4+Rdcr+Rs)*L185)*O185/(0.5*Fsw*Lf),(H185-(Rdson1+Rdcr)*K185-Vout)*N185/(0.5*Fsw*Lf))))</f>
        <v>6.26286540015285</v>
      </c>
      <c r="Q185" s="488" t="n">
        <f aca="false">CHOOSE(J185, SQRT(K185^2+(P185^2)/12), SQRT(L185^2+(P185^2)/12), SQRT(M185^2+(P185^2)/12))</f>
        <v>6.26646819069849</v>
      </c>
      <c r="R185" s="488" t="n">
        <f aca="false">(Q185^2*Rdcr*(1+Ltc*Ta-Ltc*25))/(1-Q185^2*Rdcr*Ltc*ThetaCa)</f>
        <v>0.132949043563854</v>
      </c>
      <c r="S185" s="488" t="n">
        <f aca="false">7.759*10^-3*Fsw^0.9458*(0.00787*P185)^2.304</f>
        <v>1.1432941723339</v>
      </c>
      <c r="T185" s="488" t="n">
        <f aca="false">R185+S185</f>
        <v>1.27624321589775</v>
      </c>
      <c r="U185" s="385" t="n">
        <f aca="false">IF(H185&gt;Vout, P185/SQRT(12), SQRT(O185/(1-O185))*SQRT(K185^2+(P185^2)/12))</f>
        <v>1.80793351233832</v>
      </c>
      <c r="V185" s="488" t="n">
        <f aca="false">RCoutEsr*U185^2</f>
        <v>0.0163431179251799</v>
      </c>
      <c r="W185" s="488" t="n">
        <f aca="false">V185</f>
        <v>0.0163431179251799</v>
      </c>
      <c r="X185" s="488" t="n">
        <f aca="false">IF(H185&gt;Vout, SQRT(N185*(1-N185))*SQRT(K185^2+(P185^2)/12), P185/SQRT(12))</f>
        <v>2.78314022609599</v>
      </c>
      <c r="Y185" s="587" t="n">
        <f aca="false">RCinEsr*X185^2</f>
        <v>0.0154917390362272</v>
      </c>
      <c r="Z185" s="588" t="n">
        <f aca="false">Y185</f>
        <v>0.0154917390362272</v>
      </c>
      <c r="AA185" s="488" t="n">
        <f aca="false">CHOOSE(J185, SQRT(N185)*SQRT(K185^2+(P185^2)/12), SQRT(L185^2+(P185^2)/12), SQRT(N185)*SQRT(M185^2+(P185^2)/12))</f>
        <v>3.25816407095042</v>
      </c>
      <c r="AB185" s="488" t="n">
        <f aca="false">Rdson1*AA185^2</f>
        <v>0.0605091087454238</v>
      </c>
      <c r="AC185" s="488" t="n">
        <f aca="false">CHOOSE(J185, (H185*K185/2)*(Fsw)*(Tr_buck+Tf_buck), 0, (H185*M185/2)*(Fsw/2)*(Tr_buck+Tf_buck))</f>
        <v>0.273247540889527</v>
      </c>
      <c r="AD185" s="0" t="n">
        <f aca="false">IF(H185&gt;Vout, IF(K185&gt;P185/2,0,ABS(K185-P185/2)*Vsd_Q1*Deadtime*Fsw),0)</f>
        <v>0</v>
      </c>
      <c r="AE185" s="488" t="n">
        <f aca="false">(AD185+AC185+AB185*(1+RdsonTopTc*Ta-RdsonTopTc*25))/(1-AB185*RdsonTopTc*ThetaJA_Q1)</f>
        <v>0.337845191926429</v>
      </c>
      <c r="AF185" s="488" t="n">
        <f aca="false">CHOOSE(J185, SQRT((1-N185))*SQRT(K185^2+(P185^2)/12), 0, SQRT((1-N185))*SQRT(M185^2+(P185^2)/12))</f>
        <v>5.3528488183213</v>
      </c>
      <c r="AG185" s="488" t="n">
        <f aca="false">Rdson2*AF185^2</f>
        <v>0.163322045689281</v>
      </c>
      <c r="AH185" s="488" t="n">
        <f aca="false">CHOOSE(J185, IF(K185&lt;P185/2,Deadtime*Fsw*IF(VfdSky_Q2&gt;0,0,Vsd_Q2)*(K185+P185/2),2*Deadtime*Fsw*IF(VfdSky_Q2&gt;0,0,Vsd_Q2)*K185),0, IF(K185&lt;P185/2,Deadtime*Fsw/2*IF(VfdSky_Q2&gt;0,0,Vsd_Q2)*(K185+P185/2),2*Deadtime*Fsw/2*IF(VfdSky_Q2&gt;0,0,Vsd_Q2)*K185))</f>
        <v>0.144</v>
      </c>
      <c r="AI185" s="488" t="n">
        <f aca="false">(AH185+AG185*(1+RdsonBotTc*Ta-RdsonBotTc*25))/(1-AG185*RdsonBotTc*ThetaJA_Q2)</f>
        <v>0.317699512550116</v>
      </c>
      <c r="AJ185" s="488" t="n">
        <f aca="false">CHOOSE(J185, 0, SQRT(O185)*SQRT(L185^2+(P185^2)/12), SQRT(O185)*SQRT(M185^2+(P185^2)/12))</f>
        <v>0</v>
      </c>
      <c r="AK185" s="488" t="n">
        <f aca="false">Rdson4*AJ185^2</f>
        <v>0</v>
      </c>
      <c r="AL185" s="488" t="n">
        <f aca="false">CHOOSE(J185, 0, (Vout*L185/2)*(Fsw)*(Tr_boost+Tf_boost), (Vout*Iout/2)*(Fsw/2)*(Tr_boost+Tf_boost))</f>
        <v>0</v>
      </c>
      <c r="AM185" s="0" t="n">
        <f aca="false">IF(H185&gt;Vout, 0, IF(L185&gt;P185/2,0,ABS(L185-P185/2)*Vsd_Q4*Deadtime*Fsw))</f>
        <v>0</v>
      </c>
      <c r="AN185" s="488" t="n">
        <f aca="false">(AM185+AL185+AK185*(1+RdsonTopTc*Ta-RdsonTopTc*25))/(1-AK185*RdsonTopTc*ThetaJA_Q4)</f>
        <v>0</v>
      </c>
      <c r="AO185" s="488" t="n">
        <f aca="false">CHOOSE(J185, SQRT(Iout^2+(P185^2)/12), SQRT(1-O185)*SQRT(L185^2+(P185^2)/12), SQRT(1-O185)*SQRT(M185^2+(P185^2)/12))</f>
        <v>6.26646819069849</v>
      </c>
      <c r="AP185" s="488" t="n">
        <f aca="false">Rdson3*AO185^2</f>
        <v>0.0746103848115684</v>
      </c>
      <c r="AQ185" s="488" t="n">
        <f aca="false">CHOOSE(J185, 0, IF(L185&lt;P185/2,Deadtime*Fsw*IF(VfdSky_Q3&gt;0,0,Vsd_Q3)*(L185+P185/2), 2*Deadtime*Fsw*IF(VfdSky_Q3&gt;0,0,Vsd_Q3)*L185), IF(L185&lt;P185/2,Deadtime*Fsw/2*IF(VfdSky_Q3&gt;0,0,Vsd_Q3)*(L185+P185/2), 2*Deadtime*Fsw/2*IF(VfdSky_Q3&gt;0,0,Vsd_Q3)*L185))</f>
        <v>0</v>
      </c>
      <c r="AR185" s="488" t="n">
        <f aca="false">(AQ185+AP185*(1+RdsonBotTc*Ta-RdsonBotTc*25))/(1-AP185*RdsonBotTc*ThetaJA_Q3)</f>
        <v>0.0757405917508457</v>
      </c>
      <c r="AS185" s="488" t="n">
        <f aca="false">CHOOSE(J185, Rdson3*Q185^2, Rdson1*Q185^2, 0)</f>
        <v>0.0746103848115684</v>
      </c>
      <c r="AT185" s="488" t="n">
        <f aca="false">CHOOSE(J185, 2*Deadtime*Fsw*IF(VfdSky_Q2&gt;0,VfdSky_Q2,0)*K185, 2*Deadtime*Fsw*IF(VfdSky_Q3&gt;0,VfdSky_Q3,0)*L185, 2*Deadtime*Fsw/2*IF(VfdSky_Q2&gt;0,VfdSky_Q2,0)*K185+2*Deadtime*Fsw/2*IF(VfdSky_Q3&gt;0,VfdSky_Q3,0)*L185)</f>
        <v>0</v>
      </c>
      <c r="AU185" s="488" t="n">
        <f aca="false">CHOOSE(J185, IF(QrrSky_Q2&gt;0,QrrSky_Q2,Qrr_Q2)*Fsw*(H185-K185*Rdson1), IF(QrrSky_Q3&gt;0,QrrSky_Q3,Qrr_Q3)*Fsw*Vout,  IF(QrrSky_Q2&gt;0,QrrSky_Q2,Qrr_Q2)*Fsw/2*(H185-K185*Rdson1)+IF(QrrSky_Q3&gt;0,QrrSky_Q3,Qrr_Q3)*Fsw/2*Vout)</f>
        <v>0.84456162</v>
      </c>
      <c r="AV185" s="488" t="n">
        <f aca="false">CHOOSE(J185, Rs*AF185^2, Rs*AJ185^2, Rs*(AF185^2+AJ185^2))</f>
        <v>0.22922392377443</v>
      </c>
      <c r="AW185" s="488" t="n">
        <f aca="false">Rshunt_std/1000*Iout^2</f>
        <v>0.14832</v>
      </c>
      <c r="AX185" s="488" t="n">
        <f aca="false">IF(Vout&gt;8, Iq*Vout, Iq*H185)</f>
        <v>0.036</v>
      </c>
      <c r="AY185" s="488" t="n">
        <f aca="false">CHOOSE(J185, (Qg_Q1+Qg_Q2)*Fsw, (Qg_Q3+Qg_Q4)*Fsw, (Qg_Q1+Qg_Q2+Qg_Q3+Qg_Q4)*Fsw/2)*IF(Vout&gt;8, Vout, H185)</f>
        <v>0.0792</v>
      </c>
      <c r="AZ185" s="488" t="n">
        <f aca="false">(Vin-Vdd)*Fsw*(Qg_Q1+Qg_Q2)+(RdsonDRT+RdsonDRT2)*Fsw*Qg_Q1*Vdd/(RdsonDRT+2*Rgate1+RdsonDRT2)+(RdsonDRB+RdsonDRB2)*Fsw*Qg_Q2*Vdd/(RdsonDRB+2*Rgate2+RdsonDRB2)</f>
        <v>0.0522</v>
      </c>
      <c r="BA185" s="488" t="n">
        <f aca="false">SUM(AX185:AY185)</f>
        <v>0.1152</v>
      </c>
      <c r="BB185" s="488" t="n">
        <f aca="false">SUM(T185,W185,Z185,AE185,AI185,AN185,AR185, AT185,AU185,BA185,AV185,AW185)</f>
        <v>3.37666891286098</v>
      </c>
      <c r="BC185" s="419" t="n">
        <f aca="false">Vout*K185</f>
        <v>72</v>
      </c>
      <c r="BD185" s="589" t="n">
        <f aca="false">BC185/(BC185+BB185)</f>
        <v>0.955202731009982</v>
      </c>
      <c r="BE185" s="590" t="n">
        <f aca="false">IF(H185&gt;Vout,ThetaJA_Q1*(AE185+AU185),ThetaJA_Q4*(AN185+AU185))</f>
        <v>59.1203405963215</v>
      </c>
      <c r="BF185" s="590" t="n">
        <f aca="false">IF(H185&gt;Vout, AI185*ThetaJA_Q2, ThetaJA_Q3*AR185)</f>
        <v>15.8849756275058</v>
      </c>
      <c r="BG185" s="536"/>
      <c r="BH185" s="385" t="n">
        <f aca="false">BD185*100</f>
        <v>95.5202731009982</v>
      </c>
      <c r="BI185" s="488" t="n">
        <f aca="false">T185</f>
        <v>1.27624321589775</v>
      </c>
      <c r="BJ185" s="488" t="n">
        <f aca="false">AE185+AI185+AN185+AR185+AU185</f>
        <v>1.57584691622739</v>
      </c>
      <c r="BK185" s="488" t="n">
        <f aca="false">AI185+AU185*0.33</f>
        <v>0.596404847150116</v>
      </c>
      <c r="BL185" s="488" t="n">
        <f aca="false">AV185</f>
        <v>0.22922392377443</v>
      </c>
    </row>
    <row r="186" customFormat="false" ht="12.75" hidden="false" customHeight="false" outlineLevel="0" collapsed="false">
      <c r="G186" s="0" t="n">
        <v>177</v>
      </c>
      <c r="H186" s="586" t="n">
        <f aca="false">VIN_min+(VIN_max-VIN_min)*(G186/200)</f>
        <v>44.94</v>
      </c>
      <c r="I186" s="385" t="str">
        <f aca="false">IF(H186&gt;VIN_BB_to_buck, "BUCK", IF(H186&lt;VIN_boost_to_BB,"BOOST","BUCK-BST"))</f>
        <v>BUCK</v>
      </c>
      <c r="J186" s="419" t="n">
        <f aca="false">IF(I186="BOOST",2, IF(I186="BUCK", 1,3))</f>
        <v>1</v>
      </c>
      <c r="K186" s="0" t="n">
        <f aca="false">Iout</f>
        <v>6</v>
      </c>
      <c r="L186" s="385" t="n">
        <f aca="false">Vout*K186/(H186*Efficiency)</f>
        <v>1.78015131286159</v>
      </c>
      <c r="M186" s="385" t="n">
        <f aca="false">Iout/(1-O186)</f>
        <v>6</v>
      </c>
      <c r="N186" s="488" t="n">
        <f aca="false">CHOOSE(J186,(Vout+(Rdson2+Rs+Rdcr)*K186)/(H186+(Rs+Rdson2-Rdson1)*K186),1,IF(H186&lt;Vout,D_max_buck_BB,Vout/H186*(1-D_min_boost_exitBB_to_buck)))</f>
        <v>0.269011736463057</v>
      </c>
      <c r="O186" s="488" t="n">
        <f aca="false">CHOOSE(J186,0,(Vout+(Rdson3+Rdcr)*L186-H186)/(Vout+(Rdson3-Rdson4-Rs)*L186),IF(H186&gt;Vout,D_min_boost_exitBB_to_buck, (Vout-H186*D_max_buck_BB)/Vout))</f>
        <v>0</v>
      </c>
      <c r="P186" s="385" t="n">
        <f aca="false">MAX(0, CHOOSE(J186, (H186-(Rdson1+Rdcr)*K186-Vout)*N186/(Fsw*Lf), (H186-(Rdson4+Rdcr+Rs)*L186)*O186/(Fsw*Lf), IF(H186&lt;Vout, (H186-(Rdson4+Rdcr+Rs)*L186)*O186/(0.5*Fsw*Lf),(H186-(Rdson1+Rdcr)*K186-Vout)*N186/(0.5*Fsw*Lf))))</f>
        <v>6.27421224241358</v>
      </c>
      <c r="Q186" s="488" t="n">
        <f aca="false">CHOOSE(J186, SQRT(K186^2+(P186^2)/12), SQRT(L186^2+(P186^2)/12), SQRT(M186^2+(P186^2)/12))</f>
        <v>6.26741400195522</v>
      </c>
      <c r="R186" s="488" t="n">
        <f aca="false">(Q186^2*Rdcr*(1+Ltc*Ta-Ltc*25))/(1-Q186^2*Rdcr*Ltc*ThetaCa)</f>
        <v>0.132989606160709</v>
      </c>
      <c r="S186" s="488" t="n">
        <f aca="false">7.759*10^-3*Fsw^0.9458*(0.00787*P186)^2.304</f>
        <v>1.1480722721134</v>
      </c>
      <c r="T186" s="488" t="n">
        <f aca="false">R186+S186</f>
        <v>1.28106187827411</v>
      </c>
      <c r="U186" s="385" t="n">
        <f aca="false">IF(H186&gt;Vout, P186/SQRT(12), SQRT(O186/(1-O186))*SQRT(K186^2+(P186^2)/12))</f>
        <v>1.81120906355516</v>
      </c>
      <c r="V186" s="488" t="n">
        <f aca="false">RCoutEsr*U186^2</f>
        <v>0.0164023913595219</v>
      </c>
      <c r="W186" s="488" t="n">
        <f aca="false">V186</f>
        <v>0.0164023913595219</v>
      </c>
      <c r="X186" s="488" t="n">
        <f aca="false">IF(H186&gt;Vout, SQRT(N186*(1-N186))*SQRT(K186^2+(P186^2)/12), P186/SQRT(12))</f>
        <v>2.77926014433911</v>
      </c>
      <c r="Y186" s="587" t="n">
        <f aca="false">RCinEsr*X186^2</f>
        <v>0.0154485738998237</v>
      </c>
      <c r="Z186" s="588" t="n">
        <f aca="false">Y186</f>
        <v>0.0154485738998237</v>
      </c>
      <c r="AA186" s="488" t="n">
        <f aca="false">CHOOSE(J186, SQRT(N186)*SQRT(K186^2+(P186^2)/12), SQRT(L186^2+(P186^2)/12), SQRT(N186)*SQRT(M186^2+(P186^2)/12))</f>
        <v>3.25067833982761</v>
      </c>
      <c r="AB186" s="488" t="n">
        <f aca="false">Rdson1*AA186^2</f>
        <v>0.0602313851134389</v>
      </c>
      <c r="AC186" s="488" t="n">
        <f aca="false">CHOOSE(J186, (H186*K186/2)*(Fsw)*(Tr_buck+Tf_buck), 0, (H186*M186/2)*(Fsw/2)*(Tr_buck+Tf_buck))</f>
        <v>0.274591781922525</v>
      </c>
      <c r="AD186" s="0" t="n">
        <f aca="false">IF(H186&gt;Vout, IF(K186&gt;P186/2,0,ABS(K186-P186/2)*Vsd_Q1*Deadtime*Fsw),0)</f>
        <v>0</v>
      </c>
      <c r="AE186" s="488" t="n">
        <f aca="false">(AD186+AC186+AB186*(1+RdsonTopTc*Ta-RdsonTopTc*25))/(1-AB186*RdsonTopTc*ThetaJA_Q1)</f>
        <v>0.338905719214191</v>
      </c>
      <c r="AF186" s="488" t="n">
        <f aca="false">CHOOSE(J186, SQRT((1-N186))*SQRT(K186^2+(P186^2)/12), 0, SQRT((1-N186))*SQRT(M186^2+(P186^2)/12))</f>
        <v>5.35850432517134</v>
      </c>
      <c r="AG186" s="488" t="n">
        <f aca="false">Rdson2*AF186^2</f>
        <v>0.163667341036416</v>
      </c>
      <c r="AH186" s="488" t="n">
        <f aca="false">CHOOSE(J186, IF(K186&lt;P186/2,Deadtime*Fsw*IF(VfdSky_Q2&gt;0,0,Vsd_Q2)*(K186+P186/2),2*Deadtime*Fsw*IF(VfdSky_Q2&gt;0,0,Vsd_Q2)*K186),0, IF(K186&lt;P186/2,Deadtime*Fsw/2*IF(VfdSky_Q2&gt;0,0,Vsd_Q2)*(K186+P186/2),2*Deadtime*Fsw/2*IF(VfdSky_Q2&gt;0,0,Vsd_Q2)*K186))</f>
        <v>0.144</v>
      </c>
      <c r="AI186" s="488" t="n">
        <f aca="false">(AH186+AG186*(1+RdsonBotTc*Ta-RdsonBotTc*25))/(1-AG186*RdsonBotTc*ThetaJA_Q2)</f>
        <v>0.318079175618937</v>
      </c>
      <c r="AJ186" s="488" t="n">
        <f aca="false">CHOOSE(J186, 0, SQRT(O186)*SQRT(L186^2+(P186^2)/12), SQRT(O186)*SQRT(M186^2+(P186^2)/12))</f>
        <v>0</v>
      </c>
      <c r="AK186" s="488" t="n">
        <f aca="false">Rdson4*AJ186^2</f>
        <v>0</v>
      </c>
      <c r="AL186" s="488" t="n">
        <f aca="false">CHOOSE(J186, 0, (Vout*L186/2)*(Fsw)*(Tr_boost+Tf_boost), (Vout*Iout/2)*(Fsw/2)*(Tr_boost+Tf_boost))</f>
        <v>0</v>
      </c>
      <c r="AM186" s="0" t="n">
        <f aca="false">IF(H186&gt;Vout, 0, IF(L186&gt;P186/2,0,ABS(L186-P186/2)*Vsd_Q4*Deadtime*Fsw))</f>
        <v>0</v>
      </c>
      <c r="AN186" s="488" t="n">
        <f aca="false">(AM186+AL186+AK186*(1+RdsonTopTc*Ta-RdsonTopTc*25))/(1-AK186*RdsonTopTc*ThetaJA_Q4)</f>
        <v>0</v>
      </c>
      <c r="AO186" s="488" t="n">
        <f aca="false">CHOOSE(J186, SQRT(Iout^2+(P186^2)/12), SQRT(1-O186)*SQRT(L186^2+(P186^2)/12), SQRT(1-O186)*SQRT(M186^2+(P186^2)/12))</f>
        <v>6.26741400195522</v>
      </c>
      <c r="AP186" s="488" t="n">
        <f aca="false">Rdson3*AO186^2</f>
        <v>0.0746329087166183</v>
      </c>
      <c r="AQ186" s="488" t="n">
        <f aca="false">CHOOSE(J186, 0, IF(L186&lt;P186/2,Deadtime*Fsw*IF(VfdSky_Q3&gt;0,0,Vsd_Q3)*(L186+P186/2), 2*Deadtime*Fsw*IF(VfdSky_Q3&gt;0,0,Vsd_Q3)*L186), IF(L186&lt;P186/2,Deadtime*Fsw/2*IF(VfdSky_Q3&gt;0,0,Vsd_Q3)*(L186+P186/2), 2*Deadtime*Fsw/2*IF(VfdSky_Q3&gt;0,0,Vsd_Q3)*L186))</f>
        <v>0</v>
      </c>
      <c r="AR186" s="488" t="n">
        <f aca="false">(AQ186+AP186*(1+RdsonBotTc*Ta-RdsonBotTc*25))/(1-AP186*RdsonBotTc*ThetaJA_Q3)</f>
        <v>0.0757638033200603</v>
      </c>
      <c r="AS186" s="488" t="n">
        <f aca="false">CHOOSE(J186, Rdson3*Q186^2, Rdson1*Q186^2, 0)</f>
        <v>0.0746329087166183</v>
      </c>
      <c r="AT186" s="488" t="n">
        <f aca="false">CHOOSE(J186, 2*Deadtime*Fsw*IF(VfdSky_Q2&gt;0,VfdSky_Q2,0)*K186, 2*Deadtime*Fsw*IF(VfdSky_Q3&gt;0,VfdSky_Q3,0)*L186, 2*Deadtime*Fsw/2*IF(VfdSky_Q2&gt;0,VfdSky_Q2,0)*K186+2*Deadtime*Fsw/2*IF(VfdSky_Q3&gt;0,VfdSky_Q3,0)*L186)</f>
        <v>0</v>
      </c>
      <c r="AU186" s="488" t="n">
        <f aca="false">CHOOSE(J186, IF(QrrSky_Q2&gt;0,QrrSky_Q2,Qrr_Q2)*Fsw*(H186-K186*Rdson1), IF(QrrSky_Q3&gt;0,QrrSky_Q3,Qrr_Q3)*Fsw*Vout,  IF(QrrSky_Q2&gt;0,QrrSky_Q2,Qrr_Q2)*Fsw/2*(H186-K186*Rdson1)+IF(QrrSky_Q3&gt;0,QrrSky_Q3,Qrr_Q3)*Fsw/2*Vout)</f>
        <v>0.84871962</v>
      </c>
      <c r="AV186" s="488" t="n">
        <f aca="false">CHOOSE(J186, Rs*AF186^2, Rs*AJ186^2, Rs*(AF186^2+AJ186^2))</f>
        <v>0.22970854882304</v>
      </c>
      <c r="AW186" s="488" t="n">
        <f aca="false">Rshunt_std/1000*Iout^2</f>
        <v>0.14832</v>
      </c>
      <c r="AX186" s="488" t="n">
        <f aca="false">IF(Vout&gt;8, Iq*Vout, Iq*H186)</f>
        <v>0.036</v>
      </c>
      <c r="AY186" s="488" t="n">
        <f aca="false">CHOOSE(J186, (Qg_Q1+Qg_Q2)*Fsw, (Qg_Q3+Qg_Q4)*Fsw, (Qg_Q1+Qg_Q2+Qg_Q3+Qg_Q4)*Fsw/2)*IF(Vout&gt;8, Vout, H186)</f>
        <v>0.0792</v>
      </c>
      <c r="AZ186" s="488" t="n">
        <f aca="false">(Vin-Vdd)*Fsw*(Qg_Q1+Qg_Q2)+(RdsonDRT+RdsonDRT2)*Fsw*Qg_Q1*Vdd/(RdsonDRT+2*Rgate1+RdsonDRT2)+(RdsonDRB+RdsonDRB2)*Fsw*Qg_Q2*Vdd/(RdsonDRB+2*Rgate2+RdsonDRB2)</f>
        <v>0.0522</v>
      </c>
      <c r="BA186" s="488" t="n">
        <f aca="false">SUM(AX186:AY186)</f>
        <v>0.1152</v>
      </c>
      <c r="BB186" s="488" t="n">
        <f aca="false">SUM(T186,W186,Z186,AE186,AI186,AN186,AR186, AT186,AU186,BA186,AV186,AW186)</f>
        <v>3.38760971050969</v>
      </c>
      <c r="BC186" s="419" t="n">
        <f aca="false">Vout*K186</f>
        <v>72</v>
      </c>
      <c r="BD186" s="589" t="n">
        <f aca="false">BC186/(BC186+BB186)</f>
        <v>0.955064105049647</v>
      </c>
      <c r="BE186" s="590" t="n">
        <f aca="false">IF(H186&gt;Vout,ThetaJA_Q1*(AE186+AU186),ThetaJA_Q4*(AN186+AU186))</f>
        <v>59.3812669607096</v>
      </c>
      <c r="BF186" s="590" t="n">
        <f aca="false">IF(H186&gt;Vout, AI186*ThetaJA_Q2, ThetaJA_Q3*AR186)</f>
        <v>15.9039587809469</v>
      </c>
      <c r="BG186" s="536"/>
      <c r="BH186" s="385" t="n">
        <f aca="false">BD186*100</f>
        <v>95.5064105049647</v>
      </c>
      <c r="BI186" s="488" t="n">
        <f aca="false">T186</f>
        <v>1.28106187827411</v>
      </c>
      <c r="BJ186" s="488" t="n">
        <f aca="false">AE186+AI186+AN186+AR186+AU186</f>
        <v>1.58146831815319</v>
      </c>
      <c r="BK186" s="488" t="n">
        <f aca="false">AI186+AU186*0.33</f>
        <v>0.598156650218937</v>
      </c>
      <c r="BL186" s="488" t="n">
        <f aca="false">AV186</f>
        <v>0.22970854882304</v>
      </c>
    </row>
    <row r="187" customFormat="false" ht="12.75" hidden="false" customHeight="false" outlineLevel="0" collapsed="false">
      <c r="G187" s="0" t="n">
        <v>178</v>
      </c>
      <c r="H187" s="586" t="n">
        <f aca="false">VIN_min+(VIN_max-VIN_min)*(G187/200)</f>
        <v>45.16</v>
      </c>
      <c r="I187" s="385" t="str">
        <f aca="false">IF(H187&gt;VIN_BB_to_buck, "BUCK", IF(H187&lt;VIN_boost_to_BB,"BOOST","BUCK-BST"))</f>
        <v>BUCK</v>
      </c>
      <c r="J187" s="419" t="n">
        <f aca="false">IF(I187="BOOST",2, IF(I187="BUCK", 1,3))</f>
        <v>1</v>
      </c>
      <c r="K187" s="0" t="n">
        <f aca="false">Iout</f>
        <v>6</v>
      </c>
      <c r="L187" s="385" t="n">
        <f aca="false">Vout*K187/(H187*Efficiency)</f>
        <v>1.77147918511957</v>
      </c>
      <c r="M187" s="385" t="n">
        <f aca="false">Iout/(1-O187)</f>
        <v>6</v>
      </c>
      <c r="N187" s="488" t="n">
        <f aca="false">CHOOSE(J187,(Vout+(Rdson2+Rs+Rdcr)*K187)/(H187+(Rs+Rdson2-Rdson1)*K187),1,IF(H187&lt;Vout,D_max_buck_BB,Vout/H187*(1-D_min_boost_exitBB_to_buck)))</f>
        <v>0.267702619005486</v>
      </c>
      <c r="O187" s="488" t="n">
        <f aca="false">CHOOSE(J187,0,(Vout+(Rdson3+Rdcr)*L187-H187)/(Vout+(Rdson3-Rdson4-Rs)*L187),IF(H187&gt;Vout,D_min_boost_exitBB_to_buck, (Vout-H187*D_max_buck_BB)/Vout))</f>
        <v>0</v>
      </c>
      <c r="P187" s="385" t="n">
        <f aca="false">MAX(0, CHOOSE(J187, (H187-(Rdson1+Rdcr)*K187-Vout)*N187/(Fsw*Lf), (H187-(Rdson4+Rdcr+Rs)*L187)*O187/(Fsw*Lf), IF(H187&lt;Vout, (H187-(Rdson4+Rdcr+Rs)*L187)*O187/(0.5*Fsw*Lf),(H187-(Rdson1+Rdcr)*K187-Vout)*N187/(0.5*Fsw*Lf))))</f>
        <v>6.28544864823398</v>
      </c>
      <c r="Q187" s="488" t="n">
        <f aca="false">CHOOSE(J187, SQRT(K187^2+(P187^2)/12), SQRT(L187^2+(P187^2)/12), SQRT(M187^2+(P187^2)/12))</f>
        <v>6.26835215393957</v>
      </c>
      <c r="R187" s="488" t="n">
        <f aca="false">(Q187^2*Rdcr*(1+Ltc*Ta-Ltc*25))/(1-Q187^2*Rdcr*Ltc*ThetaCa)</f>
        <v>0.133029846582634</v>
      </c>
      <c r="S187" s="488" t="n">
        <f aca="false">7.759*10^-3*Fsw^0.9458*(0.00787*P187)^2.304</f>
        <v>1.15281498480938</v>
      </c>
      <c r="T187" s="488" t="n">
        <f aca="false">R187+S187</f>
        <v>1.28584483139201</v>
      </c>
      <c r="U187" s="385" t="n">
        <f aca="false">IF(H187&gt;Vout, P187/SQRT(12), SQRT(O187/(1-O187))*SQRT(K187^2+(P187^2)/12))</f>
        <v>1.81445273451773</v>
      </c>
      <c r="V187" s="488" t="n">
        <f aca="false">RCoutEsr*U187^2</f>
        <v>0.0164611936289943</v>
      </c>
      <c r="W187" s="488" t="n">
        <f aca="false">V187</f>
        <v>0.0164611936289943</v>
      </c>
      <c r="X187" s="488" t="n">
        <f aca="false">IF(H187&gt;Vout, SQRT(N187*(1-N187))*SQRT(K187^2+(P187^2)/12), P187/SQRT(12))</f>
        <v>2.77538628274909</v>
      </c>
      <c r="Y187" s="587" t="n">
        <f aca="false">RCinEsr*X187^2</f>
        <v>0.0154055380369437</v>
      </c>
      <c r="Z187" s="588" t="n">
        <f aca="false">Y187</f>
        <v>0.0154055380369437</v>
      </c>
      <c r="AA187" s="488" t="n">
        <f aca="false">CHOOSE(J187, SQRT(N187)*SQRT(K187^2+(P187^2)/12), SQRT(L187^2+(P187^2)/12), SQRT(N187)*SQRT(M187^2+(P187^2)/12))</f>
        <v>3.24324455036698</v>
      </c>
      <c r="AB187" s="488" t="n">
        <f aca="false">Rdson1*AA187^2</f>
        <v>0.0599562207168652</v>
      </c>
      <c r="AC187" s="488" t="n">
        <f aca="false">CHOOSE(J187, (H187*K187/2)*(Fsw)*(Tr_buck+Tf_buck), 0, (H187*M187/2)*(Fsw/2)*(Tr_buck+Tf_buck))</f>
        <v>0.275936022955524</v>
      </c>
      <c r="AD187" s="0" t="n">
        <f aca="false">IF(H187&gt;Vout, IF(K187&gt;P187/2,0,ABS(K187-P187/2)*Vsd_Q1*Deadtime*Fsw),0)</f>
        <v>0</v>
      </c>
      <c r="AE187" s="488" t="n">
        <f aca="false">(AD187+AC187+AB187*(1+RdsonTopTc*Ta-RdsonTopTc*25))/(1-AB187*RdsonTopTc*ThetaJA_Q1)</f>
        <v>0.33996889367763</v>
      </c>
      <c r="AF187" s="488" t="n">
        <f aca="false">CHOOSE(J187, SQRT((1-N187))*SQRT(K187^2+(P187^2)/12), 0, SQRT((1-N187))*SQRT(M187^2+(P187^2)/12))</f>
        <v>5.36410323468087</v>
      </c>
      <c r="AG187" s="488" t="n">
        <f aca="false">Rdson2*AF187^2</f>
        <v>0.164009540020188</v>
      </c>
      <c r="AH187" s="488" t="n">
        <f aca="false">CHOOSE(J187, IF(K187&lt;P187/2,Deadtime*Fsw*IF(VfdSky_Q2&gt;0,0,Vsd_Q2)*(K187+P187/2),2*Deadtime*Fsw*IF(VfdSky_Q2&gt;0,0,Vsd_Q2)*K187),0, IF(K187&lt;P187/2,Deadtime*Fsw/2*IF(VfdSky_Q2&gt;0,0,Vsd_Q2)*(K187+P187/2),2*Deadtime*Fsw/2*IF(VfdSky_Q2&gt;0,0,Vsd_Q2)*K187))</f>
        <v>0.144</v>
      </c>
      <c r="AI187" s="488" t="n">
        <f aca="false">(AH187+AG187*(1+RdsonBotTc*Ta-RdsonBotTc*25))/(1-AG187*RdsonBotTc*ThetaJA_Q2)</f>
        <v>0.318455487628768</v>
      </c>
      <c r="AJ187" s="488" t="n">
        <f aca="false">CHOOSE(J187, 0, SQRT(O187)*SQRT(L187^2+(P187^2)/12), SQRT(O187)*SQRT(M187^2+(P187^2)/12))</f>
        <v>0</v>
      </c>
      <c r="AK187" s="488" t="n">
        <f aca="false">Rdson4*AJ187^2</f>
        <v>0</v>
      </c>
      <c r="AL187" s="488" t="n">
        <f aca="false">CHOOSE(J187, 0, (Vout*L187/2)*(Fsw)*(Tr_boost+Tf_boost), (Vout*Iout/2)*(Fsw/2)*(Tr_boost+Tf_boost))</f>
        <v>0</v>
      </c>
      <c r="AM187" s="0" t="n">
        <f aca="false">IF(H187&gt;Vout, 0, IF(L187&gt;P187/2,0,ABS(L187-P187/2)*Vsd_Q4*Deadtime*Fsw))</f>
        <v>0</v>
      </c>
      <c r="AN187" s="488" t="n">
        <f aca="false">(AM187+AL187+AK187*(1+RdsonTopTc*Ta-RdsonTopTc*25))/(1-AK187*RdsonTopTc*ThetaJA_Q4)</f>
        <v>0</v>
      </c>
      <c r="AO187" s="488" t="n">
        <f aca="false">CHOOSE(J187, SQRT(Iout^2+(P187^2)/12), SQRT(1-O187)*SQRT(L187^2+(P187^2)/12), SQRT(1-O187)*SQRT(M187^2+(P187^2)/12))</f>
        <v>6.26835215393957</v>
      </c>
      <c r="AP187" s="488" t="n">
        <f aca="false">Rdson3*AO187^2</f>
        <v>0.0746552535790179</v>
      </c>
      <c r="AQ187" s="488" t="n">
        <f aca="false">CHOOSE(J187, 0, IF(L187&lt;P187/2,Deadtime*Fsw*IF(VfdSky_Q3&gt;0,0,Vsd_Q3)*(L187+P187/2), 2*Deadtime*Fsw*IF(VfdSky_Q3&gt;0,0,Vsd_Q3)*L187), IF(L187&lt;P187/2,Deadtime*Fsw/2*IF(VfdSky_Q3&gt;0,0,Vsd_Q3)*(L187+P187/2), 2*Deadtime*Fsw/2*IF(VfdSky_Q3&gt;0,0,Vsd_Q3)*L187))</f>
        <v>0</v>
      </c>
      <c r="AR187" s="488" t="n">
        <f aca="false">(AQ187+AP187*(1+RdsonBotTc*Ta-RdsonBotTc*25))/(1-AP187*RdsonBotTc*ThetaJA_Q3)</f>
        <v>0.0757868305901494</v>
      </c>
      <c r="AS187" s="488" t="n">
        <f aca="false">CHOOSE(J187, Rdson3*Q187^2, Rdson1*Q187^2, 0)</f>
        <v>0.0746552535790179</v>
      </c>
      <c r="AT187" s="488" t="n">
        <f aca="false">CHOOSE(J187, 2*Deadtime*Fsw*IF(VfdSky_Q2&gt;0,VfdSky_Q2,0)*K187, 2*Deadtime*Fsw*IF(VfdSky_Q3&gt;0,VfdSky_Q3,0)*L187, 2*Deadtime*Fsw/2*IF(VfdSky_Q2&gt;0,VfdSky_Q2,0)*K187+2*Deadtime*Fsw/2*IF(VfdSky_Q3&gt;0,VfdSky_Q3,0)*L187)</f>
        <v>0</v>
      </c>
      <c r="AU187" s="488" t="n">
        <f aca="false">CHOOSE(J187, IF(QrrSky_Q2&gt;0,QrrSky_Q2,Qrr_Q2)*Fsw*(H187-K187*Rdson1), IF(QrrSky_Q3&gt;0,QrrSky_Q3,Qrr_Q3)*Fsw*Vout,  IF(QrrSky_Q2&gt;0,QrrSky_Q2,Qrr_Q2)*Fsw/2*(H187-K187*Rdson1)+IF(QrrSky_Q3&gt;0,QrrSky_Q3,Qrr_Q3)*Fsw/2*Vout)</f>
        <v>0.85287762</v>
      </c>
      <c r="AV187" s="488" t="n">
        <f aca="false">CHOOSE(J187, Rs*AF187^2, Rs*AJ187^2, Rs*(AF187^2+AJ187^2))</f>
        <v>0.23018882809851</v>
      </c>
      <c r="AW187" s="488" t="n">
        <f aca="false">Rshunt_std/1000*Iout^2</f>
        <v>0.14832</v>
      </c>
      <c r="AX187" s="488" t="n">
        <f aca="false">IF(Vout&gt;8, Iq*Vout, Iq*H187)</f>
        <v>0.036</v>
      </c>
      <c r="AY187" s="488" t="n">
        <f aca="false">CHOOSE(J187, (Qg_Q1+Qg_Q2)*Fsw, (Qg_Q3+Qg_Q4)*Fsw, (Qg_Q1+Qg_Q2+Qg_Q3+Qg_Q4)*Fsw/2)*IF(Vout&gt;8, Vout, H187)</f>
        <v>0.0792</v>
      </c>
      <c r="AZ187" s="488" t="n">
        <f aca="false">(Vin-Vdd)*Fsw*(Qg_Q1+Qg_Q2)+(RdsonDRT+RdsonDRT2)*Fsw*Qg_Q1*Vdd/(RdsonDRT+2*Rgate1+RdsonDRT2)+(RdsonDRB+RdsonDRB2)*Fsw*Qg_Q2*Vdd/(RdsonDRB+2*Rgate2+RdsonDRB2)</f>
        <v>0.0522</v>
      </c>
      <c r="BA187" s="488" t="n">
        <f aca="false">SUM(AX187:AY187)</f>
        <v>0.1152</v>
      </c>
      <c r="BB187" s="488" t="n">
        <f aca="false">SUM(T187,W187,Z187,AE187,AI187,AN187,AR187, AT187,AU187,BA187,AV187,AW187)</f>
        <v>3.39850922305301</v>
      </c>
      <c r="BC187" s="419" t="n">
        <f aca="false">Vout*K187</f>
        <v>72</v>
      </c>
      <c r="BD187" s="589" t="n">
        <f aca="false">BC187/(BC187+BB187)</f>
        <v>0.954926042198008</v>
      </c>
      <c r="BE187" s="590" t="n">
        <f aca="false">IF(H187&gt;Vout,ThetaJA_Q1*(AE187+AU187),ThetaJA_Q4*(AN187+AU187))</f>
        <v>59.6423256838815</v>
      </c>
      <c r="BF187" s="590" t="n">
        <f aca="false">IF(H187&gt;Vout, AI187*ThetaJA_Q2, ThetaJA_Q3*AR187)</f>
        <v>15.9227743814384</v>
      </c>
      <c r="BG187" s="536"/>
      <c r="BH187" s="385" t="n">
        <f aca="false">BD187*100</f>
        <v>95.4926042198008</v>
      </c>
      <c r="BI187" s="488" t="n">
        <f aca="false">T187</f>
        <v>1.28584483139201</v>
      </c>
      <c r="BJ187" s="488" t="n">
        <f aca="false">AE187+AI187+AN187+AR187+AU187</f>
        <v>1.58708883189655</v>
      </c>
      <c r="BK187" s="488" t="n">
        <f aca="false">AI187+AU187*0.33</f>
        <v>0.599905102228768</v>
      </c>
      <c r="BL187" s="488" t="n">
        <f aca="false">AV187</f>
        <v>0.23018882809851</v>
      </c>
    </row>
    <row r="188" customFormat="false" ht="12.75" hidden="false" customHeight="false" outlineLevel="0" collapsed="false">
      <c r="G188" s="0" t="n">
        <v>179</v>
      </c>
      <c r="H188" s="586" t="n">
        <f aca="false">VIN_min+(VIN_max-VIN_min)*(G188/200)</f>
        <v>45.38</v>
      </c>
      <c r="I188" s="385" t="str">
        <f aca="false">IF(H188&gt;VIN_BB_to_buck, "BUCK", IF(H188&lt;VIN_boost_to_BB,"BOOST","BUCK-BST"))</f>
        <v>BUCK</v>
      </c>
      <c r="J188" s="419" t="n">
        <f aca="false">IF(I188="BOOST",2, IF(I188="BUCK", 1,3))</f>
        <v>1</v>
      </c>
      <c r="K188" s="0" t="n">
        <f aca="false">Iout</f>
        <v>6</v>
      </c>
      <c r="L188" s="385" t="n">
        <f aca="false">Vout*K188/(H188*Efficiency)</f>
        <v>1.76289114147201</v>
      </c>
      <c r="M188" s="385" t="n">
        <f aca="false">Iout/(1-O188)</f>
        <v>6</v>
      </c>
      <c r="N188" s="488" t="n">
        <f aca="false">CHOOSE(J188,(Vout+(Rdson2+Rs+Rdcr)*K188)/(H188+(Rs+Rdson2-Rdson1)*K188),1,IF(H188&lt;Vout,D_max_buck_BB,Vout/H188*(1-D_min_boost_exitBB_to_buck)))</f>
        <v>0.266406181209827</v>
      </c>
      <c r="O188" s="488" t="n">
        <f aca="false">CHOOSE(J188,0,(Vout+(Rdson3+Rdcr)*L188-H188)/(Vout+(Rdson3-Rdson4-Rs)*L188),IF(H188&gt;Vout,D_min_boost_exitBB_to_buck, (Vout-H188*D_max_buck_BB)/Vout))</f>
        <v>0</v>
      </c>
      <c r="P188" s="385" t="n">
        <f aca="false">MAX(0, CHOOSE(J188, (H188-(Rdson1+Rdcr)*K188-Vout)*N188/(Fsw*Lf), (H188-(Rdson4+Rdcr+Rs)*L188)*O188/(Fsw*Lf), IF(H188&lt;Vout, (H188-(Rdson4+Rdcr+Rs)*L188)*O188/(0.5*Fsw*Lf),(H188-(Rdson1+Rdcr)*K188-Vout)*N188/(0.5*Fsw*Lf))))</f>
        <v>6.29657622208817</v>
      </c>
      <c r="Q188" s="488" t="n">
        <f aca="false">CHOOSE(J188, SQRT(K188^2+(P188^2)/12), SQRT(L188^2+(P188^2)/12), SQRT(M188^2+(P188^2)/12))</f>
        <v>6.26928273489457</v>
      </c>
      <c r="R188" s="488" t="n">
        <f aca="false">(Q188^2*Rdcr*(1+Ltc*Ta-Ltc*25))/(1-Q188^2*Rdcr*Ltc*ThetaCa)</f>
        <v>0.133069768461862</v>
      </c>
      <c r="S188" s="488" t="n">
        <f aca="false">7.759*10^-3*Fsw^0.9458*(0.00787*P188)^2.304</f>
        <v>1.15752266974152</v>
      </c>
      <c r="T188" s="488" t="n">
        <f aca="false">R188+S188</f>
        <v>1.29059243820338</v>
      </c>
      <c r="U188" s="385" t="n">
        <f aca="false">IF(H188&gt;Vout, P188/SQRT(12), SQRT(O188/(1-O188))*SQRT(K188^2+(P188^2)/12))</f>
        <v>1.8176649883978</v>
      </c>
      <c r="V188" s="488" t="n">
        <f aca="false">RCoutEsr*U188^2</f>
        <v>0.0165195300502359</v>
      </c>
      <c r="W188" s="488" t="n">
        <f aca="false">V188</f>
        <v>0.0165195300502359</v>
      </c>
      <c r="X188" s="488" t="n">
        <f aca="false">IF(H188&gt;Vout, SQRT(N188*(1-N188))*SQRT(K188^2+(P188^2)/12), P188/SQRT(12))</f>
        <v>2.77151884899426</v>
      </c>
      <c r="Y188" s="587" t="n">
        <f aca="false">RCinEsr*X188^2</f>
        <v>0.0153626334606609</v>
      </c>
      <c r="Z188" s="588" t="n">
        <f aca="false">Y188</f>
        <v>0.0153626334606609</v>
      </c>
      <c r="AA188" s="488" t="n">
        <f aca="false">CHOOSE(J188, SQRT(N188)*SQRT(K188^2+(P188^2)/12), SQRT(L188^2+(P188^2)/12), SQRT(N188)*SQRT(M188^2+(P188^2)/12))</f>
        <v>3.23586209637658</v>
      </c>
      <c r="AB188" s="488" t="n">
        <f aca="false">Rdson1*AA188^2</f>
        <v>0.0596835799885697</v>
      </c>
      <c r="AC188" s="488" t="n">
        <f aca="false">CHOOSE(J188, (H188*K188/2)*(Fsw)*(Tr_buck+Tf_buck), 0, (H188*M188/2)*(Fsw/2)*(Tr_buck+Tf_buck))</f>
        <v>0.277280263988522</v>
      </c>
      <c r="AD188" s="0" t="n">
        <f aca="false">IF(H188&gt;Vout, IF(K188&gt;P188/2,0,ABS(K188-P188/2)*Vsd_Q1*Deadtime*Fsw),0)</f>
        <v>0</v>
      </c>
      <c r="AE188" s="488" t="n">
        <f aca="false">(AD188+AC188+AB188*(1+RdsonTopTc*Ta-RdsonTopTc*25))/(1-AB188*RdsonTopTc*ThetaJA_Q1)</f>
        <v>0.341034678074641</v>
      </c>
      <c r="AF188" s="488" t="n">
        <f aca="false">CHOOSE(J188, SQRT((1-N188))*SQRT(K188^2+(P188^2)/12), 0, SQRT((1-N188))*SQRT(M188^2+(P188^2)/12))</f>
        <v>5.36964640393393</v>
      </c>
      <c r="AG188" s="488" t="n">
        <f aca="false">Rdson2*AF188^2</f>
        <v>0.164348684268699</v>
      </c>
      <c r="AH188" s="488" t="n">
        <f aca="false">CHOOSE(J188, IF(K188&lt;P188/2,Deadtime*Fsw*IF(VfdSky_Q2&gt;0,0,Vsd_Q2)*(K188+P188/2),2*Deadtime*Fsw*IF(VfdSky_Q2&gt;0,0,Vsd_Q2)*K188),0, IF(K188&lt;P188/2,Deadtime*Fsw/2*IF(VfdSky_Q2&gt;0,0,Vsd_Q2)*(K188+P188/2),2*Deadtime*Fsw/2*IF(VfdSky_Q2&gt;0,0,Vsd_Q2)*K188))</f>
        <v>0.144</v>
      </c>
      <c r="AI188" s="488" t="n">
        <f aca="false">(AH188+AG188*(1+RdsonBotTc*Ta-RdsonBotTc*25))/(1-AG188*RdsonBotTc*ThetaJA_Q2)</f>
        <v>0.318828492932877</v>
      </c>
      <c r="AJ188" s="488" t="n">
        <f aca="false">CHOOSE(J188, 0, SQRT(O188)*SQRT(L188^2+(P188^2)/12), SQRT(O188)*SQRT(M188^2+(P188^2)/12))</f>
        <v>0</v>
      </c>
      <c r="AK188" s="488" t="n">
        <f aca="false">Rdson4*AJ188^2</f>
        <v>0</v>
      </c>
      <c r="AL188" s="488" t="n">
        <f aca="false">CHOOSE(J188, 0, (Vout*L188/2)*(Fsw)*(Tr_boost+Tf_boost), (Vout*Iout/2)*(Fsw/2)*(Tr_boost+Tf_boost))</f>
        <v>0</v>
      </c>
      <c r="AM188" s="0" t="n">
        <f aca="false">IF(H188&gt;Vout, 0, IF(L188&gt;P188/2,0,ABS(L188-P188/2)*Vsd_Q4*Deadtime*Fsw))</f>
        <v>0</v>
      </c>
      <c r="AN188" s="488" t="n">
        <f aca="false">(AM188+AL188+AK188*(1+RdsonTopTc*Ta-RdsonTopTc*25))/(1-AK188*RdsonTopTc*ThetaJA_Q4)</f>
        <v>0</v>
      </c>
      <c r="AO188" s="488" t="n">
        <f aca="false">CHOOSE(J188, SQRT(Iout^2+(P188^2)/12), SQRT(1-O188)*SQRT(L188^2+(P188^2)/12), SQRT(1-O188)*SQRT(M188^2+(P188^2)/12))</f>
        <v>6.26928273489457</v>
      </c>
      <c r="AP188" s="488" t="n">
        <f aca="false">Rdson3*AO188^2</f>
        <v>0.0746774214190896</v>
      </c>
      <c r="AQ188" s="488" t="n">
        <f aca="false">CHOOSE(J188, 0, IF(L188&lt;P188/2,Deadtime*Fsw*IF(VfdSky_Q3&gt;0,0,Vsd_Q3)*(L188+P188/2), 2*Deadtime*Fsw*IF(VfdSky_Q3&gt;0,0,Vsd_Q3)*L188), IF(L188&lt;P188/2,Deadtime*Fsw/2*IF(VfdSky_Q3&gt;0,0,Vsd_Q3)*(L188+P188/2), 2*Deadtime*Fsw/2*IF(VfdSky_Q3&gt;0,0,Vsd_Q3)*L188))</f>
        <v>0</v>
      </c>
      <c r="AR188" s="488" t="n">
        <f aca="false">(AQ188+AP188*(1+RdsonBotTc*Ta-RdsonBotTc*25))/(1-AP188*RdsonBotTc*ThetaJA_Q3)</f>
        <v>0.0758096756381445</v>
      </c>
      <c r="AS188" s="488" t="n">
        <f aca="false">CHOOSE(J188, Rdson3*Q188^2, Rdson1*Q188^2, 0)</f>
        <v>0.0746774214190896</v>
      </c>
      <c r="AT188" s="488" t="n">
        <f aca="false">CHOOSE(J188, 2*Deadtime*Fsw*IF(VfdSky_Q2&gt;0,VfdSky_Q2,0)*K188, 2*Deadtime*Fsw*IF(VfdSky_Q3&gt;0,VfdSky_Q3,0)*L188, 2*Deadtime*Fsw/2*IF(VfdSky_Q2&gt;0,VfdSky_Q2,0)*K188+2*Deadtime*Fsw/2*IF(VfdSky_Q3&gt;0,VfdSky_Q3,0)*L188)</f>
        <v>0</v>
      </c>
      <c r="AU188" s="488" t="n">
        <f aca="false">CHOOSE(J188, IF(QrrSky_Q2&gt;0,QrrSky_Q2,Qrr_Q2)*Fsw*(H188-K188*Rdson1), IF(QrrSky_Q3&gt;0,QrrSky_Q3,Qrr_Q3)*Fsw*Vout,  IF(QrrSky_Q2&gt;0,QrrSky_Q2,Qrr_Q2)*Fsw/2*(H188-K188*Rdson1)+IF(QrrSky_Q3&gt;0,QrrSky_Q3,Qrr_Q3)*Fsw/2*Vout)</f>
        <v>0.85703562</v>
      </c>
      <c r="AV188" s="488" t="n">
        <f aca="false">CHOOSE(J188, Rs*AF188^2, Rs*AJ188^2, Rs*(AF188^2+AJ188^2))</f>
        <v>0.230664820026245</v>
      </c>
      <c r="AW188" s="488" t="n">
        <f aca="false">Rshunt_std/1000*Iout^2</f>
        <v>0.14832</v>
      </c>
      <c r="AX188" s="488" t="n">
        <f aca="false">IF(Vout&gt;8, Iq*Vout, Iq*H188)</f>
        <v>0.036</v>
      </c>
      <c r="AY188" s="488" t="n">
        <f aca="false">CHOOSE(J188, (Qg_Q1+Qg_Q2)*Fsw, (Qg_Q3+Qg_Q4)*Fsw, (Qg_Q1+Qg_Q2+Qg_Q3+Qg_Q4)*Fsw/2)*IF(Vout&gt;8, Vout, H188)</f>
        <v>0.0792</v>
      </c>
      <c r="AZ188" s="488" t="n">
        <f aca="false">(Vin-Vdd)*Fsw*(Qg_Q1+Qg_Q2)+(RdsonDRT+RdsonDRT2)*Fsw*Qg_Q1*Vdd/(RdsonDRT+2*Rgate1+RdsonDRT2)+(RdsonDRB+RdsonDRB2)*Fsw*Qg_Q2*Vdd/(RdsonDRB+2*Rgate2+RdsonDRB2)</f>
        <v>0.0522</v>
      </c>
      <c r="BA188" s="488" t="n">
        <f aca="false">SUM(AX188:AY188)</f>
        <v>0.1152</v>
      </c>
      <c r="BB188" s="488" t="n">
        <f aca="false">SUM(T188,W188,Z188,AE188,AI188,AN188,AR188, AT188,AU188,BA188,AV188,AW188)</f>
        <v>3.40936788838619</v>
      </c>
      <c r="BC188" s="419" t="n">
        <f aca="false">Vout*K188</f>
        <v>72</v>
      </c>
      <c r="BD188" s="589" t="n">
        <f aca="false">BC188/(BC188+BB188)</f>
        <v>0.954788536439764</v>
      </c>
      <c r="BE188" s="590" t="n">
        <f aca="false">IF(H188&gt;Vout,ThetaJA_Q1*(AE188+AU188),ThetaJA_Q4*(AN188+AU188))</f>
        <v>59.903514903732</v>
      </c>
      <c r="BF188" s="590" t="n">
        <f aca="false">IF(H188&gt;Vout, AI188*ThetaJA_Q2, ThetaJA_Q3*AR188)</f>
        <v>15.9414246466439</v>
      </c>
      <c r="BG188" s="536"/>
      <c r="BH188" s="385" t="n">
        <f aca="false">BD188*100</f>
        <v>95.4788536439764</v>
      </c>
      <c r="BI188" s="488" t="n">
        <f aca="false">T188</f>
        <v>1.29059243820338</v>
      </c>
      <c r="BJ188" s="488" t="n">
        <f aca="false">AE188+AI188+AN188+AR188+AU188</f>
        <v>1.59270846664566</v>
      </c>
      <c r="BK188" s="488" t="n">
        <f aca="false">AI188+AU188*0.33</f>
        <v>0.601650247532877</v>
      </c>
      <c r="BL188" s="488" t="n">
        <f aca="false">AV188</f>
        <v>0.230664820026245</v>
      </c>
    </row>
    <row r="189" customFormat="false" ht="12.75" hidden="false" customHeight="false" outlineLevel="0" collapsed="false">
      <c r="G189" s="0" t="n">
        <v>180</v>
      </c>
      <c r="H189" s="586" t="n">
        <f aca="false">VIN_min+(VIN_max-VIN_min)*(G189/200)</f>
        <v>45.6</v>
      </c>
      <c r="I189" s="385" t="str">
        <f aca="false">IF(H189&gt;VIN_BB_to_buck, "BUCK", IF(H189&lt;VIN_boost_to_BB,"BOOST","BUCK-BST"))</f>
        <v>BUCK</v>
      </c>
      <c r="J189" s="419" t="n">
        <f aca="false">IF(I189="BOOST",2, IF(I189="BUCK", 1,3))</f>
        <v>1</v>
      </c>
      <c r="K189" s="0" t="n">
        <f aca="false">Iout</f>
        <v>6</v>
      </c>
      <c r="L189" s="385" t="n">
        <f aca="false">Vout*K189/(H189*Efficiency)</f>
        <v>1.75438596491228</v>
      </c>
      <c r="M189" s="385" t="n">
        <f aca="false">Iout/(1-O189)</f>
        <v>6</v>
      </c>
      <c r="N189" s="488" t="n">
        <f aca="false">CHOOSE(J189,(Vout+(Rdson2+Rs+Rdcr)*K189)/(H189+(Rs+Rdson2-Rdson1)*K189),1,IF(H189&lt;Vout,D_max_buck_BB,Vout/H189*(1-D_min_boost_exitBB_to_buck)))</f>
        <v>0.265122239747634</v>
      </c>
      <c r="O189" s="488" t="n">
        <f aca="false">CHOOSE(J189,0,(Vout+(Rdson3+Rdcr)*L189-H189)/(Vout+(Rdson3-Rdson4-Rs)*L189),IF(H189&gt;Vout,D_min_boost_exitBB_to_buck, (Vout-H189*D_max_buck_BB)/Vout))</f>
        <v>0</v>
      </c>
      <c r="P189" s="385" t="n">
        <f aca="false">MAX(0, CHOOSE(J189, (H189-(Rdson1+Rdcr)*K189-Vout)*N189/(Fsw*Lf), (H189-(Rdson4+Rdcr+Rs)*L189)*O189/(Fsw*Lf), IF(H189&lt;Vout, (H189-(Rdson4+Rdcr+Rs)*L189)*O189/(0.5*Fsw*Lf),(H189-(Rdson1+Rdcr)*K189-Vout)*N189/(0.5*Fsw*Lf))))</f>
        <v>6.3075965375193</v>
      </c>
      <c r="Q189" s="488" t="n">
        <f aca="false">CHOOSE(J189, SQRT(K189^2+(P189^2)/12), SQRT(L189^2+(P189^2)/12), SQRT(M189^2+(P189^2)/12))</f>
        <v>6.27020583181635</v>
      </c>
      <c r="R189" s="488" t="n">
        <f aca="false">(Q189^2*Rdcr*(1+Ltc*Ta-Ltc*25))/(1-Q189^2*Rdcr*Ltc*ThetaCa)</f>
        <v>0.133109375380697</v>
      </c>
      <c r="S189" s="488" t="n">
        <f aca="false">7.759*10^-3*Fsw^0.9458*(0.00787*P189)^2.304</f>
        <v>1.16219568215208</v>
      </c>
      <c r="T189" s="488" t="n">
        <f aca="false">R189+S189</f>
        <v>1.29530505753277</v>
      </c>
      <c r="U189" s="385" t="n">
        <f aca="false">IF(H189&gt;Vout, P189/SQRT(12), SQRT(O189/(1-O189))*SQRT(K189^2+(P189^2)/12))</f>
        <v>1.82084627943816</v>
      </c>
      <c r="V189" s="488" t="n">
        <f aca="false">RCoutEsr*U189^2</f>
        <v>0.0165774058667189</v>
      </c>
      <c r="W189" s="488" t="n">
        <f aca="false">V189</f>
        <v>0.0165774058667189</v>
      </c>
      <c r="X189" s="488" t="n">
        <f aca="false">IF(H189&gt;Vout, SQRT(N189*(1-N189))*SQRT(K189^2+(P189^2)/12), P189/SQRT(12))</f>
        <v>2.76765804207777</v>
      </c>
      <c r="Y189" s="587" t="n">
        <f aca="false">RCinEsr*X189^2</f>
        <v>0.0153198620757555</v>
      </c>
      <c r="Z189" s="588" t="n">
        <f aca="false">Y189</f>
        <v>0.0153198620757555</v>
      </c>
      <c r="AA189" s="488" t="n">
        <f aca="false">CHOOSE(J189, SQRT(N189)*SQRT(K189^2+(P189^2)/12), SQRT(L189^2+(P189^2)/12), SQRT(N189)*SQRT(M189^2+(P189^2)/12))</f>
        <v>3.22853038168032</v>
      </c>
      <c r="AB189" s="488" t="n">
        <f aca="false">Rdson1*AA189^2</f>
        <v>0.0594134280249672</v>
      </c>
      <c r="AC189" s="488" t="n">
        <f aca="false">CHOOSE(J189, (H189*K189/2)*(Fsw)*(Tr_buck+Tf_buck), 0, (H189*M189/2)*(Fsw/2)*(Tr_buck+Tf_buck))</f>
        <v>0.278624505021521</v>
      </c>
      <c r="AD189" s="0" t="n">
        <f aca="false">IF(H189&gt;Vout, IF(K189&gt;P189/2,0,ABS(K189-P189/2)*Vsd_Q1*Deadtime*Fsw),0)</f>
        <v>0</v>
      </c>
      <c r="AE189" s="488" t="n">
        <f aca="false">(AD189+AC189+AB189*(1+RdsonTopTc*Ta-RdsonTopTc*25))/(1-AB189*RdsonTopTc*ThetaJA_Q1)</f>
        <v>0.3421030358662</v>
      </c>
      <c r="AF189" s="488" t="n">
        <f aca="false">CHOOSE(J189, SQRT((1-N189))*SQRT(K189^2+(P189^2)/12), 0, SQRT((1-N189))*SQRT(M189^2+(P189^2)/12))</f>
        <v>5.37513467253714</v>
      </c>
      <c r="AG189" s="488" t="n">
        <f aca="false">Rdson2*AF189^2</f>
        <v>0.164684814663092</v>
      </c>
      <c r="AH189" s="488" t="n">
        <f aca="false">CHOOSE(J189, IF(K189&lt;P189/2,Deadtime*Fsw*IF(VfdSky_Q2&gt;0,0,Vsd_Q2)*(K189+P189/2),2*Deadtime*Fsw*IF(VfdSky_Q2&gt;0,0,Vsd_Q2)*K189),0, IF(K189&lt;P189/2,Deadtime*Fsw/2*IF(VfdSky_Q2&gt;0,0,Vsd_Q2)*(K189+P189/2),2*Deadtime*Fsw/2*IF(VfdSky_Q2&gt;0,0,Vsd_Q2)*K189))</f>
        <v>0.144</v>
      </c>
      <c r="AI189" s="488" t="n">
        <f aca="false">(AH189+AG189*(1+RdsonBotTc*Ta-RdsonBotTc*25))/(1-AG189*RdsonBotTc*ThetaJA_Q2)</f>
        <v>0.319198235100764</v>
      </c>
      <c r="AJ189" s="488" t="n">
        <f aca="false">CHOOSE(J189, 0, SQRT(O189)*SQRT(L189^2+(P189^2)/12), SQRT(O189)*SQRT(M189^2+(P189^2)/12))</f>
        <v>0</v>
      </c>
      <c r="AK189" s="488" t="n">
        <f aca="false">Rdson4*AJ189^2</f>
        <v>0</v>
      </c>
      <c r="AL189" s="488" t="n">
        <f aca="false">CHOOSE(J189, 0, (Vout*L189/2)*(Fsw)*(Tr_boost+Tf_boost), (Vout*Iout/2)*(Fsw/2)*(Tr_boost+Tf_boost))</f>
        <v>0</v>
      </c>
      <c r="AM189" s="0" t="n">
        <f aca="false">IF(H189&gt;Vout, 0, IF(L189&gt;P189/2,0,ABS(L189-P189/2)*Vsd_Q4*Deadtime*Fsw))</f>
        <v>0</v>
      </c>
      <c r="AN189" s="488" t="n">
        <f aca="false">(AM189+AL189+AK189*(1+RdsonTopTc*Ta-RdsonTopTc*25))/(1-AK189*RdsonTopTc*ThetaJA_Q4)</f>
        <v>0</v>
      </c>
      <c r="AO189" s="488" t="n">
        <f aca="false">CHOOSE(J189, SQRT(Iout^2+(P189^2)/12), SQRT(1-O189)*SQRT(L189^2+(P189^2)/12), SQRT(1-O189)*SQRT(M189^2+(P189^2)/12))</f>
        <v>6.27020583181635</v>
      </c>
      <c r="AP189" s="488" t="n">
        <f aca="false">Rdson3*AO189^2</f>
        <v>0.0746994142293532</v>
      </c>
      <c r="AQ189" s="488" t="n">
        <f aca="false">CHOOSE(J189, 0, IF(L189&lt;P189/2,Deadtime*Fsw*IF(VfdSky_Q3&gt;0,0,Vsd_Q3)*(L189+P189/2), 2*Deadtime*Fsw*IF(VfdSky_Q3&gt;0,0,Vsd_Q3)*L189), IF(L189&lt;P189/2,Deadtime*Fsw/2*IF(VfdSky_Q3&gt;0,0,Vsd_Q3)*(L189+P189/2), 2*Deadtime*Fsw/2*IF(VfdSky_Q3&gt;0,0,Vsd_Q3)*L189))</f>
        <v>0</v>
      </c>
      <c r="AR189" s="488" t="n">
        <f aca="false">(AQ189+AP189*(1+RdsonBotTc*Ta-RdsonBotTc*25))/(1-AP189*RdsonBotTc*ThetaJA_Q3)</f>
        <v>0.0758323405125387</v>
      </c>
      <c r="AS189" s="488" t="n">
        <f aca="false">CHOOSE(J189, Rdson3*Q189^2, Rdson1*Q189^2, 0)</f>
        <v>0.0746994142293532</v>
      </c>
      <c r="AT189" s="488" t="n">
        <f aca="false">CHOOSE(J189, 2*Deadtime*Fsw*IF(VfdSky_Q2&gt;0,VfdSky_Q2,0)*K189, 2*Deadtime*Fsw*IF(VfdSky_Q3&gt;0,VfdSky_Q3,0)*L189, 2*Deadtime*Fsw/2*IF(VfdSky_Q2&gt;0,VfdSky_Q2,0)*K189+2*Deadtime*Fsw/2*IF(VfdSky_Q3&gt;0,VfdSky_Q3,0)*L189)</f>
        <v>0</v>
      </c>
      <c r="AU189" s="488" t="n">
        <f aca="false">CHOOSE(J189, IF(QrrSky_Q2&gt;0,QrrSky_Q2,Qrr_Q2)*Fsw*(H189-K189*Rdson1), IF(QrrSky_Q3&gt;0,QrrSky_Q3,Qrr_Q3)*Fsw*Vout,  IF(QrrSky_Q2&gt;0,QrrSky_Q2,Qrr_Q2)*Fsw/2*(H189-K189*Rdson1)+IF(QrrSky_Q3&gt;0,QrrSky_Q3,Qrr_Q3)*Fsw/2*Vout)</f>
        <v>0.86119362</v>
      </c>
      <c r="AV189" s="488" t="n">
        <f aca="false">CHOOSE(J189, Rs*AF189^2, Rs*AJ189^2, Rs*(AF189^2+AJ189^2))</f>
        <v>0.231136581983288</v>
      </c>
      <c r="AW189" s="488" t="n">
        <f aca="false">Rshunt_std/1000*Iout^2</f>
        <v>0.14832</v>
      </c>
      <c r="AX189" s="488" t="n">
        <f aca="false">IF(Vout&gt;8, Iq*Vout, Iq*H189)</f>
        <v>0.036</v>
      </c>
      <c r="AY189" s="488" t="n">
        <f aca="false">CHOOSE(J189, (Qg_Q1+Qg_Q2)*Fsw, (Qg_Q3+Qg_Q4)*Fsw, (Qg_Q1+Qg_Q2+Qg_Q3+Qg_Q4)*Fsw/2)*IF(Vout&gt;8, Vout, H189)</f>
        <v>0.0792</v>
      </c>
      <c r="AZ189" s="488" t="n">
        <f aca="false">(Vin-Vdd)*Fsw*(Qg_Q1+Qg_Q2)+(RdsonDRT+RdsonDRT2)*Fsw*Qg_Q1*Vdd/(RdsonDRT+2*Rgate1+RdsonDRT2)+(RdsonDRB+RdsonDRB2)*Fsw*Qg_Q2*Vdd/(RdsonDRB+2*Rgate2+RdsonDRB2)</f>
        <v>0.0522</v>
      </c>
      <c r="BA189" s="488" t="n">
        <f aca="false">SUM(AX189:AY189)</f>
        <v>0.1152</v>
      </c>
      <c r="BB189" s="488" t="n">
        <f aca="false">SUM(T189,W189,Z189,AE189,AI189,AN189,AR189, AT189,AU189,BA189,AV189,AW189)</f>
        <v>3.42018613893804</v>
      </c>
      <c r="BC189" s="419" t="n">
        <f aca="false">Vout*K189</f>
        <v>72</v>
      </c>
      <c r="BD189" s="589" t="n">
        <f aca="false">BC189/(BC189+BB189)</f>
        <v>0.954651581837289</v>
      </c>
      <c r="BE189" s="590" t="n">
        <f aca="false">IF(H189&gt;Vout,ThetaJA_Q1*(AE189+AU189),ThetaJA_Q4*(AN189+AU189))</f>
        <v>60.16483279331</v>
      </c>
      <c r="BF189" s="590" t="n">
        <f aca="false">IF(H189&gt;Vout, AI189*ThetaJA_Q2, ThetaJA_Q3*AR189)</f>
        <v>15.9599117550382</v>
      </c>
      <c r="BG189" s="536"/>
      <c r="BH189" s="385" t="n">
        <f aca="false">BD189*100</f>
        <v>95.4651581837289</v>
      </c>
      <c r="BI189" s="488" t="n">
        <f aca="false">T189</f>
        <v>1.29530505753277</v>
      </c>
      <c r="BJ189" s="488" t="n">
        <f aca="false">AE189+AI189+AN189+AR189+AU189</f>
        <v>1.5983272314795</v>
      </c>
      <c r="BK189" s="488" t="n">
        <f aca="false">AI189+AU189*0.33</f>
        <v>0.603392129700764</v>
      </c>
      <c r="BL189" s="488" t="n">
        <f aca="false">AV189</f>
        <v>0.231136581983288</v>
      </c>
    </row>
    <row r="190" customFormat="false" ht="12.75" hidden="false" customHeight="false" outlineLevel="0" collapsed="false">
      <c r="G190" s="0" t="n">
        <v>181</v>
      </c>
      <c r="H190" s="586" t="n">
        <f aca="false">VIN_min+(VIN_max-VIN_min)*(G190/200)</f>
        <v>45.82</v>
      </c>
      <c r="I190" s="385" t="str">
        <f aca="false">IF(H190&gt;VIN_BB_to_buck, "BUCK", IF(H190&lt;VIN_boost_to_BB,"BOOST","BUCK-BST"))</f>
        <v>BUCK</v>
      </c>
      <c r="J190" s="419" t="n">
        <f aca="false">IF(I190="BOOST",2, IF(I190="BUCK", 1,3))</f>
        <v>1</v>
      </c>
      <c r="K190" s="0" t="n">
        <f aca="false">Iout</f>
        <v>6</v>
      </c>
      <c r="L190" s="385" t="n">
        <f aca="false">Vout*K190/(H190*Efficiency)</f>
        <v>1.74596246180707</v>
      </c>
      <c r="M190" s="385" t="n">
        <f aca="false">Iout/(1-O190)</f>
        <v>6</v>
      </c>
      <c r="N190" s="488" t="n">
        <f aca="false">CHOOSE(J190,(Vout+(Rdson2+Rs+Rdcr)*K190)/(H190+(Rs+Rdson2-Rdson1)*K190),1,IF(H190&lt;Vout,D_max_buck_BB,Vout/H190*(1-D_min_boost_exitBB_to_buck)))</f>
        <v>0.263850614807709</v>
      </c>
      <c r="O190" s="488" t="n">
        <f aca="false">CHOOSE(J190,0,(Vout+(Rdson3+Rdcr)*L190-H190)/(Vout+(Rdson3-Rdson4-Rs)*L190),IF(H190&gt;Vout,D_min_boost_exitBB_to_buck, (Vout-H190*D_max_buck_BB)/Vout))</f>
        <v>0</v>
      </c>
      <c r="P190" s="385" t="n">
        <f aca="false">MAX(0, CHOOSE(J190, (H190-(Rdson1+Rdcr)*K190-Vout)*N190/(Fsw*Lf), (H190-(Rdson4+Rdcr+Rs)*L190)*O190/(Fsw*Lf), IF(H190&lt;Vout, (H190-(Rdson4+Rdcr+Rs)*L190)*O190/(0.5*Fsw*Lf),(H190-(Rdson1+Rdcr)*K190-Vout)*N190/(0.5*Fsw*Lf))))</f>
        <v>6.31851113788132</v>
      </c>
      <c r="Q190" s="488" t="n">
        <f aca="false">CHOOSE(J190, SQRT(K190^2+(P190^2)/12), SQRT(L190^2+(P190^2)/12), SQRT(M190^2+(P190^2)/12))</f>
        <v>6.27112153047291</v>
      </c>
      <c r="R190" s="488" t="n">
        <f aca="false">(Q190^2*Rdcr*(1+Ltc*Ta-Ltc*25))/(1-Q190^2*Rdcr*Ltc*ThetaCa)</f>
        <v>0.133148670872231</v>
      </c>
      <c r="S190" s="488" t="n">
        <f aca="false">7.759*10^-3*Fsw^0.9458*(0.00787*P190)^2.304</f>
        <v>1.16683437323862</v>
      </c>
      <c r="T190" s="488" t="n">
        <f aca="false">R190+S190</f>
        <v>1.29998304411085</v>
      </c>
      <c r="U190" s="385" t="n">
        <f aca="false">IF(H190&gt;Vout, P190/SQRT(12), SQRT(O190/(1-O190))*SQRT(K190^2+(P190^2)/12))</f>
        <v>1.82399705316671</v>
      </c>
      <c r="V190" s="488" t="n">
        <f aca="false">RCoutEsr*U190^2</f>
        <v>0.0166348262498043</v>
      </c>
      <c r="W190" s="488" t="n">
        <f aca="false">V190</f>
        <v>0.0166348262498043</v>
      </c>
      <c r="X190" s="488" t="n">
        <f aca="false">IF(H190&gt;Vout, SQRT(N190*(1-N190))*SQRT(K190^2+(P190^2)/12), P190/SQRT(12))</f>
        <v>2.76380405264787</v>
      </c>
      <c r="Y190" s="587" t="n">
        <f aca="false">RCinEsr*X190^2</f>
        <v>0.0152772256828656</v>
      </c>
      <c r="Z190" s="588" t="n">
        <f aca="false">Y190</f>
        <v>0.0152772256828656</v>
      </c>
      <c r="AA190" s="488" t="n">
        <f aca="false">CHOOSE(J190, SQRT(N190)*SQRT(K190^2+(P190^2)/12), SQRT(L190^2+(P190^2)/12), SQRT(N190)*SQRT(M190^2+(P190^2)/12))</f>
        <v>3.22124881990255</v>
      </c>
      <c r="AB190" s="488" t="n">
        <f aca="false">Rdson1*AA190^2</f>
        <v>0.0591457305704244</v>
      </c>
      <c r="AC190" s="488" t="n">
        <f aca="false">CHOOSE(J190, (H190*K190/2)*(Fsw)*(Tr_buck+Tf_buck), 0, (H190*M190/2)*(Fsw/2)*(Tr_buck+Tf_buck))</f>
        <v>0.279968746054519</v>
      </c>
      <c r="AD190" s="0" t="n">
        <f aca="false">IF(H190&gt;Vout, IF(K190&gt;P190/2,0,ABS(K190-P190/2)*Vsd_Q1*Deadtime*Fsw),0)</f>
        <v>0</v>
      </c>
      <c r="AE190" s="488" t="n">
        <f aca="false">(AD190+AC190+AB190*(1+RdsonTopTc*Ta-RdsonTopTc*25))/(1-AB190*RdsonTopTc*ThetaJA_Q1)</f>
        <v>0.343173931199649</v>
      </c>
      <c r="AF190" s="488" t="n">
        <f aca="false">CHOOSE(J190, SQRT((1-N190))*SQRT(K190^2+(P190^2)/12), 0, SQRT((1-N190))*SQRT(M190^2+(P190^2)/12))</f>
        <v>5.3805688630699</v>
      </c>
      <c r="AG190" s="488" t="n">
        <f aca="false">Rdson2*AF190^2</f>
        <v>0.165017971354352</v>
      </c>
      <c r="AH190" s="488" t="n">
        <f aca="false">CHOOSE(J190, IF(K190&lt;P190/2,Deadtime*Fsw*IF(VfdSky_Q2&gt;0,0,Vsd_Q2)*(K190+P190/2),2*Deadtime*Fsw*IF(VfdSky_Q2&gt;0,0,Vsd_Q2)*K190),0, IF(K190&lt;P190/2,Deadtime*Fsw/2*IF(VfdSky_Q2&gt;0,0,Vsd_Q2)*(K190+P190/2),2*Deadtime*Fsw/2*IF(VfdSky_Q2&gt;0,0,Vsd_Q2)*K190))</f>
        <v>0.144</v>
      </c>
      <c r="AI190" s="488" t="n">
        <f aca="false">(AH190+AG190*(1+RdsonBotTc*Ta-RdsonBotTc*25))/(1-AG190*RdsonBotTc*ThetaJA_Q2)</f>
        <v>0.319564756935522</v>
      </c>
      <c r="AJ190" s="488" t="n">
        <f aca="false">CHOOSE(J190, 0, SQRT(O190)*SQRT(L190^2+(P190^2)/12), SQRT(O190)*SQRT(M190^2+(P190^2)/12))</f>
        <v>0</v>
      </c>
      <c r="AK190" s="488" t="n">
        <f aca="false">Rdson4*AJ190^2</f>
        <v>0</v>
      </c>
      <c r="AL190" s="488" t="n">
        <f aca="false">CHOOSE(J190, 0, (Vout*L190/2)*(Fsw)*(Tr_boost+Tf_boost), (Vout*Iout/2)*(Fsw/2)*(Tr_boost+Tf_boost))</f>
        <v>0</v>
      </c>
      <c r="AM190" s="0" t="n">
        <f aca="false">IF(H190&gt;Vout, 0, IF(L190&gt;P190/2,0,ABS(L190-P190/2)*Vsd_Q4*Deadtime*Fsw))</f>
        <v>0</v>
      </c>
      <c r="AN190" s="488" t="n">
        <f aca="false">(AM190+AL190+AK190*(1+RdsonTopTc*Ta-RdsonTopTc*25))/(1-AK190*RdsonTopTc*ThetaJA_Q4)</f>
        <v>0</v>
      </c>
      <c r="AO190" s="488" t="n">
        <f aca="false">CHOOSE(J190, SQRT(Iout^2+(P190^2)/12), SQRT(1-O190)*SQRT(L190^2+(P190^2)/12), SQRT(1-O190)*SQRT(M190^2+(P190^2)/12))</f>
        <v>6.27112153047291</v>
      </c>
      <c r="AP190" s="488" t="n">
        <f aca="false">Rdson3*AO190^2</f>
        <v>0.0747212339749256</v>
      </c>
      <c r="AQ190" s="488" t="n">
        <f aca="false">CHOOSE(J190, 0, IF(L190&lt;P190/2,Deadtime*Fsw*IF(VfdSky_Q3&gt;0,0,Vsd_Q3)*(L190+P190/2), 2*Deadtime*Fsw*IF(VfdSky_Q3&gt;0,0,Vsd_Q3)*L190), IF(L190&lt;P190/2,Deadtime*Fsw/2*IF(VfdSky_Q3&gt;0,0,Vsd_Q3)*(L190+P190/2), 2*Deadtime*Fsw/2*IF(VfdSky_Q3&gt;0,0,Vsd_Q3)*L190))</f>
        <v>0</v>
      </c>
      <c r="AR190" s="488" t="n">
        <f aca="false">(AQ190+AP190*(1+RdsonBotTc*Ta-RdsonBotTc*25))/(1-AP190*RdsonBotTc*ThetaJA_Q3)</f>
        <v>0.075854827233697</v>
      </c>
      <c r="AS190" s="488" t="n">
        <f aca="false">CHOOSE(J190, Rdson3*Q190^2, Rdson1*Q190^2, 0)</f>
        <v>0.0747212339749256</v>
      </c>
      <c r="AT190" s="488" t="n">
        <f aca="false">CHOOSE(J190, 2*Deadtime*Fsw*IF(VfdSky_Q2&gt;0,VfdSky_Q2,0)*K190, 2*Deadtime*Fsw*IF(VfdSky_Q3&gt;0,VfdSky_Q3,0)*L190, 2*Deadtime*Fsw/2*IF(VfdSky_Q2&gt;0,VfdSky_Q2,0)*K190+2*Deadtime*Fsw/2*IF(VfdSky_Q3&gt;0,VfdSky_Q3,0)*L190)</f>
        <v>0</v>
      </c>
      <c r="AU190" s="488" t="n">
        <f aca="false">CHOOSE(J190, IF(QrrSky_Q2&gt;0,QrrSky_Q2,Qrr_Q2)*Fsw*(H190-K190*Rdson1), IF(QrrSky_Q3&gt;0,QrrSky_Q3,Qrr_Q3)*Fsw*Vout,  IF(QrrSky_Q2&gt;0,QrrSky_Q2,Qrr_Q2)*Fsw/2*(H190-K190*Rdson1)+IF(QrrSky_Q3&gt;0,QrrSky_Q3,Qrr_Q3)*Fsw/2*Vout)</f>
        <v>0.86535162</v>
      </c>
      <c r="AV190" s="488" t="n">
        <f aca="false">CHOOSE(J190, Rs*AF190^2, Rs*AJ190^2, Rs*(AF190^2+AJ190^2))</f>
        <v>0.231604170321898</v>
      </c>
      <c r="AW190" s="488" t="n">
        <f aca="false">Rshunt_std/1000*Iout^2</f>
        <v>0.14832</v>
      </c>
      <c r="AX190" s="488" t="n">
        <f aca="false">IF(Vout&gt;8, Iq*Vout, Iq*H190)</f>
        <v>0.036</v>
      </c>
      <c r="AY190" s="488" t="n">
        <f aca="false">CHOOSE(J190, (Qg_Q1+Qg_Q2)*Fsw, (Qg_Q3+Qg_Q4)*Fsw, (Qg_Q1+Qg_Q2+Qg_Q3+Qg_Q4)*Fsw/2)*IF(Vout&gt;8, Vout, H190)</f>
        <v>0.0792</v>
      </c>
      <c r="AZ190" s="488" t="n">
        <f aca="false">(Vin-Vdd)*Fsw*(Qg_Q1+Qg_Q2)+(RdsonDRT+RdsonDRT2)*Fsw*Qg_Q1*Vdd/(RdsonDRT+2*Rgate1+RdsonDRT2)+(RdsonDRB+RdsonDRB2)*Fsw*Qg_Q2*Vdd/(RdsonDRB+2*Rgate2+RdsonDRB2)</f>
        <v>0.0522</v>
      </c>
      <c r="BA190" s="488" t="n">
        <f aca="false">SUM(AX190:AY190)</f>
        <v>0.1152</v>
      </c>
      <c r="BB190" s="488" t="n">
        <f aca="false">SUM(T190,W190,Z190,AE190,AI190,AN190,AR190, AT190,AU190,BA190,AV190,AW190)</f>
        <v>3.43096440173428</v>
      </c>
      <c r="BC190" s="419" t="n">
        <f aca="false">Vout*K190</f>
        <v>72</v>
      </c>
      <c r="BD190" s="589" t="n">
        <f aca="false">BC190/(BC190+BB190)</f>
        <v>0.95451517252966</v>
      </c>
      <c r="BE190" s="590" t="n">
        <f aca="false">IF(H190&gt;Vout,ThetaJA_Q1*(AE190+AU190),ThetaJA_Q4*(AN190+AU190))</f>
        <v>60.4262775599825</v>
      </c>
      <c r="BF190" s="590" t="n">
        <f aca="false">IF(H190&gt;Vout, AI190*ThetaJA_Q2, ThetaJA_Q3*AR190)</f>
        <v>15.9782378467761</v>
      </c>
      <c r="BG190" s="536"/>
      <c r="BH190" s="385" t="n">
        <f aca="false">BD190*100</f>
        <v>95.4515172529659</v>
      </c>
      <c r="BI190" s="488" t="n">
        <f aca="false">T190</f>
        <v>1.29998304411085</v>
      </c>
      <c r="BJ190" s="488" t="n">
        <f aca="false">AE190+AI190+AN190+AR190+AU190</f>
        <v>1.60394513536887</v>
      </c>
      <c r="BK190" s="488" t="n">
        <f aca="false">AI190+AU190*0.33</f>
        <v>0.605130791535522</v>
      </c>
      <c r="BL190" s="488" t="n">
        <f aca="false">AV190</f>
        <v>0.231604170321898</v>
      </c>
    </row>
    <row r="191" customFormat="false" ht="12.75" hidden="false" customHeight="false" outlineLevel="0" collapsed="false">
      <c r="G191" s="0" t="n">
        <v>182</v>
      </c>
      <c r="H191" s="586" t="n">
        <f aca="false">VIN_min+(VIN_max-VIN_min)*(G191/200)</f>
        <v>46.04</v>
      </c>
      <c r="I191" s="385" t="str">
        <f aca="false">IF(H191&gt;VIN_BB_to_buck, "BUCK", IF(H191&lt;VIN_boost_to_BB,"BOOST","BUCK-BST"))</f>
        <v>BUCK</v>
      </c>
      <c r="J191" s="419" t="n">
        <f aca="false">IF(I191="BOOST",2, IF(I191="BUCK", 1,3))</f>
        <v>1</v>
      </c>
      <c r="K191" s="0" t="n">
        <f aca="false">Iout</f>
        <v>6</v>
      </c>
      <c r="L191" s="385" t="n">
        <f aca="false">Vout*K191/(H191*Efficiency)</f>
        <v>1.73761946133797</v>
      </c>
      <c r="M191" s="385" t="n">
        <f aca="false">Iout/(1-O191)</f>
        <v>6</v>
      </c>
      <c r="N191" s="488" t="n">
        <f aca="false">CHOOSE(J191,(Vout+(Rdson2+Rs+Rdcr)*K191)/(H191+(Rs+Rdson2-Rdson1)*K191),1,IF(H191&lt;Vout,D_max_buck_BB,Vout/H191*(1-D_min_boost_exitBB_to_buck)))</f>
        <v>0.262591130012151</v>
      </c>
      <c r="O191" s="488" t="n">
        <f aca="false">CHOOSE(J191,0,(Vout+(Rdson3+Rdcr)*L191-H191)/(Vout+(Rdson3-Rdson4-Rs)*L191),IF(H191&gt;Vout,D_min_boost_exitBB_to_buck, (Vout-H191*D_max_buck_BB)/Vout))</f>
        <v>0</v>
      </c>
      <c r="P191" s="385" t="n">
        <f aca="false">MAX(0, CHOOSE(J191, (H191-(Rdson1+Rdcr)*K191-Vout)*N191/(Fsw*Lf), (H191-(Rdson4+Rdcr+Rs)*L191)*O191/(Fsw*Lf), IF(H191&lt;Vout, (H191-(Rdson4+Rdcr+Rs)*L191)*O191/(0.5*Fsw*Lf),(H191-(Rdson1+Rdcr)*K191-Vout)*N191/(0.5*Fsw*Lf))))</f>
        <v>6.32932153705954</v>
      </c>
      <c r="Q191" s="488" t="n">
        <f aca="false">CHOOSE(J191, SQRT(K191^2+(P191^2)/12), SQRT(L191^2+(P191^2)/12), SQRT(M191^2+(P191^2)/12))</f>
        <v>6.27202991542269</v>
      </c>
      <c r="R191" s="488" t="n">
        <f aca="false">(Q191^2*Rdcr*(1+Ltc*Ta-Ltc*25))/(1-Q191^2*Rdcr*Ltc*ThetaCa)</f>
        <v>0.133187658421054</v>
      </c>
      <c r="S191" s="488" t="n">
        <f aca="false">7.759*10^-3*Fsw^0.9458*(0.00787*P191)^2.304</f>
        <v>1.17143909018772</v>
      </c>
      <c r="T191" s="488" t="n">
        <f aca="false">R191+S191</f>
        <v>1.30462674860877</v>
      </c>
      <c r="U191" s="385" t="n">
        <f aca="false">IF(H191&gt;Vout, P191/SQRT(12), SQRT(O191/(1-O191))*SQRT(K191^2+(P191^2)/12))</f>
        <v>1.82711774660451</v>
      </c>
      <c r="V191" s="488" t="n">
        <f aca="false">RCoutEsr*U191^2</f>
        <v>0.0166917962997857</v>
      </c>
      <c r="W191" s="488" t="n">
        <f aca="false">V191</f>
        <v>0.0166917962997857</v>
      </c>
      <c r="X191" s="488" t="n">
        <f aca="false">IF(H191&gt;Vout, SQRT(N191*(1-N191))*SQRT(K191^2+(P191^2)/12), P191/SQRT(12))</f>
        <v>2.75995706329639</v>
      </c>
      <c r="Y191" s="587" t="n">
        <f aca="false">RCinEsr*X191^2</f>
        <v>0.0152347259824792</v>
      </c>
      <c r="Z191" s="588" t="n">
        <f aca="false">Y191</f>
        <v>0.0152347259824792</v>
      </c>
      <c r="AA191" s="488" t="n">
        <f aca="false">CHOOSE(J191, SQRT(N191)*SQRT(K191^2+(P191^2)/12), SQRT(L191^2+(P191^2)/12), SQRT(N191)*SQRT(M191^2+(P191^2)/12))</f>
        <v>3.21401683425836</v>
      </c>
      <c r="AB191" s="488" t="n">
        <f aca="false">Rdson1*AA191^2</f>
        <v>0.0588804540021078</v>
      </c>
      <c r="AC191" s="488" t="n">
        <f aca="false">CHOOSE(J191, (H191*K191/2)*(Fsw)*(Tr_buck+Tf_buck), 0, (H191*M191/2)*(Fsw/2)*(Tr_buck+Tf_buck))</f>
        <v>0.281312987087518</v>
      </c>
      <c r="AD191" s="0" t="n">
        <f aca="false">IF(H191&gt;Vout, IF(K191&gt;P191/2,0,ABS(K191-P191/2)*Vsd_Q1*Deadtime*Fsw),0)</f>
        <v>0</v>
      </c>
      <c r="AE191" s="488" t="n">
        <f aca="false">(AD191+AC191+AB191*(1+RdsonTopTc*Ta-RdsonTopTc*25))/(1-AB191*RdsonTopTc*ThetaJA_Q1)</f>
        <v>0.344247328892466</v>
      </c>
      <c r="AF191" s="488" t="n">
        <f aca="false">CHOOSE(J191, SQRT((1-N191))*SQRT(K191^2+(P191^2)/12), 0, SQRT((1-N191))*SQRT(M191^2+(P191^2)/12))</f>
        <v>5.38594978152053</v>
      </c>
      <c r="AG191" s="488" t="n">
        <f aca="false">Rdson2*AF191^2</f>
        <v>0.165348193779648</v>
      </c>
      <c r="AH191" s="488" t="n">
        <f aca="false">CHOOSE(J191, IF(K191&lt;P191/2,Deadtime*Fsw*IF(VfdSky_Q2&gt;0,0,Vsd_Q2)*(K191+P191/2),2*Deadtime*Fsw*IF(VfdSky_Q2&gt;0,0,Vsd_Q2)*K191),0, IF(K191&lt;P191/2,Deadtime*Fsw/2*IF(VfdSky_Q2&gt;0,0,Vsd_Q2)*(K191+P191/2),2*Deadtime*Fsw/2*IF(VfdSky_Q2&gt;0,0,Vsd_Q2)*K191))</f>
        <v>0.144</v>
      </c>
      <c r="AI191" s="488" t="n">
        <f aca="false">(AH191+AG191*(1+RdsonBotTc*Ta-RdsonBotTc*25))/(1-AG191*RdsonBotTc*ThetaJA_Q2)</f>
        <v>0.319928100490748</v>
      </c>
      <c r="AJ191" s="488" t="n">
        <f aca="false">CHOOSE(J191, 0, SQRT(O191)*SQRT(L191^2+(P191^2)/12), SQRT(O191)*SQRT(M191^2+(P191^2)/12))</f>
        <v>0</v>
      </c>
      <c r="AK191" s="488" t="n">
        <f aca="false">Rdson4*AJ191^2</f>
        <v>0</v>
      </c>
      <c r="AL191" s="488" t="n">
        <f aca="false">CHOOSE(J191, 0, (Vout*L191/2)*(Fsw)*(Tr_boost+Tf_boost), (Vout*Iout/2)*(Fsw/2)*(Tr_boost+Tf_boost))</f>
        <v>0</v>
      </c>
      <c r="AM191" s="0" t="n">
        <f aca="false">IF(H191&gt;Vout, 0, IF(L191&gt;P191/2,0,ABS(L191-P191/2)*Vsd_Q4*Deadtime*Fsw))</f>
        <v>0</v>
      </c>
      <c r="AN191" s="488" t="n">
        <f aca="false">(AM191+AL191+AK191*(1+RdsonTopTc*Ta-RdsonTopTc*25))/(1-AK191*RdsonTopTc*ThetaJA_Q4)</f>
        <v>0</v>
      </c>
      <c r="AO191" s="488" t="n">
        <f aca="false">CHOOSE(J191, SQRT(Iout^2+(P191^2)/12), SQRT(1-O191)*SQRT(L191^2+(P191^2)/12), SQRT(1-O191)*SQRT(M191^2+(P191^2)/12))</f>
        <v>6.27202991542269</v>
      </c>
      <c r="AP191" s="488" t="n">
        <f aca="false">Rdson3*AO191^2</f>
        <v>0.0747428825939186</v>
      </c>
      <c r="AQ191" s="488" t="n">
        <f aca="false">CHOOSE(J191, 0, IF(L191&lt;P191/2,Deadtime*Fsw*IF(VfdSky_Q3&gt;0,0,Vsd_Q3)*(L191+P191/2), 2*Deadtime*Fsw*IF(VfdSky_Q3&gt;0,0,Vsd_Q3)*L191), IF(L191&lt;P191/2,Deadtime*Fsw/2*IF(VfdSky_Q3&gt;0,0,Vsd_Q3)*(L191+P191/2), 2*Deadtime*Fsw/2*IF(VfdSky_Q3&gt;0,0,Vsd_Q3)*L191))</f>
        <v>0</v>
      </c>
      <c r="AR191" s="488" t="n">
        <f aca="false">(AQ191+AP191*(1+RdsonBotTc*Ta-RdsonBotTc*25))/(1-AP191*RdsonBotTc*ThetaJA_Q3)</f>
        <v>0.0758771377942624</v>
      </c>
      <c r="AS191" s="488" t="n">
        <f aca="false">CHOOSE(J191, Rdson3*Q191^2, Rdson1*Q191^2, 0)</f>
        <v>0.0747428825939186</v>
      </c>
      <c r="AT191" s="488" t="n">
        <f aca="false">CHOOSE(J191, 2*Deadtime*Fsw*IF(VfdSky_Q2&gt;0,VfdSky_Q2,0)*K191, 2*Deadtime*Fsw*IF(VfdSky_Q3&gt;0,VfdSky_Q3,0)*L191, 2*Deadtime*Fsw/2*IF(VfdSky_Q2&gt;0,VfdSky_Q2,0)*K191+2*Deadtime*Fsw/2*IF(VfdSky_Q3&gt;0,VfdSky_Q3,0)*L191)</f>
        <v>0</v>
      </c>
      <c r="AU191" s="488" t="n">
        <f aca="false">CHOOSE(J191, IF(QrrSky_Q2&gt;0,QrrSky_Q2,Qrr_Q2)*Fsw*(H191-K191*Rdson1), IF(QrrSky_Q3&gt;0,QrrSky_Q3,Qrr_Q3)*Fsw*Vout,  IF(QrrSky_Q2&gt;0,QrrSky_Q2,Qrr_Q2)*Fsw/2*(H191-K191*Rdson1)+IF(QrrSky_Q3&gt;0,QrrSky_Q3,Qrr_Q3)*Fsw/2*Vout)</f>
        <v>0.86950962</v>
      </c>
      <c r="AV191" s="488" t="n">
        <f aca="false">CHOOSE(J191, Rs*AF191^2, Rs*AJ191^2, Rs*(AF191^2+AJ191^2))</f>
        <v>0.232067640392488</v>
      </c>
      <c r="AW191" s="488" t="n">
        <f aca="false">Rshunt_std/1000*Iout^2</f>
        <v>0.14832</v>
      </c>
      <c r="AX191" s="488" t="n">
        <f aca="false">IF(Vout&gt;8, Iq*Vout, Iq*H191)</f>
        <v>0.036</v>
      </c>
      <c r="AY191" s="488" t="n">
        <f aca="false">CHOOSE(J191, (Qg_Q1+Qg_Q2)*Fsw, (Qg_Q3+Qg_Q4)*Fsw, (Qg_Q1+Qg_Q2+Qg_Q3+Qg_Q4)*Fsw/2)*IF(Vout&gt;8, Vout, H191)</f>
        <v>0.0792</v>
      </c>
      <c r="AZ191" s="488" t="n">
        <f aca="false">(Vin-Vdd)*Fsw*(Qg_Q1+Qg_Q2)+(RdsonDRT+RdsonDRT2)*Fsw*Qg_Q1*Vdd/(RdsonDRT+2*Rgate1+RdsonDRT2)+(RdsonDRB+RdsonDRB2)*Fsw*Qg_Q2*Vdd/(RdsonDRB+2*Rgate2+RdsonDRB2)</f>
        <v>0.0522</v>
      </c>
      <c r="BA191" s="488" t="n">
        <f aca="false">SUM(AX191:AY191)</f>
        <v>0.1152</v>
      </c>
      <c r="BB191" s="488" t="n">
        <f aca="false">SUM(T191,W191,Z191,AE191,AI191,AN191,AR191, AT191,AU191,BA191,AV191,AW191)</f>
        <v>3.441703098461</v>
      </c>
      <c r="BC191" s="419" t="n">
        <f aca="false">Vout*K191</f>
        <v>72</v>
      </c>
      <c r="BD191" s="589" t="n">
        <f aca="false">BC191/(BC191+BB191)</f>
        <v>0.954379302731685</v>
      </c>
      <c r="BE191" s="590" t="n">
        <f aca="false">IF(H191&gt;Vout,ThetaJA_Q1*(AE191+AU191),ThetaJA_Q4*(AN191+AU191))</f>
        <v>60.6878474446233</v>
      </c>
      <c r="BF191" s="590" t="n">
        <f aca="false">IF(H191&gt;Vout, AI191*ThetaJA_Q2, ThetaJA_Q3*AR191)</f>
        <v>15.9964050245374</v>
      </c>
      <c r="BG191" s="536"/>
      <c r="BH191" s="385" t="n">
        <f aca="false">BD191*100</f>
        <v>95.4379302731685</v>
      </c>
      <c r="BI191" s="488" t="n">
        <f aca="false">T191</f>
        <v>1.30462674860877</v>
      </c>
      <c r="BJ191" s="488" t="n">
        <f aca="false">AE191+AI191+AN191+AR191+AU191</f>
        <v>1.60956218717748</v>
      </c>
      <c r="BK191" s="488" t="n">
        <f aca="false">AI191+AU191*0.33</f>
        <v>0.606866275090748</v>
      </c>
      <c r="BL191" s="488" t="n">
        <f aca="false">AV191</f>
        <v>0.232067640392488</v>
      </c>
    </row>
    <row r="192" customFormat="false" ht="12.75" hidden="false" customHeight="false" outlineLevel="0" collapsed="false">
      <c r="G192" s="0" t="n">
        <v>183</v>
      </c>
      <c r="H192" s="586" t="n">
        <f aca="false">VIN_min+(VIN_max-VIN_min)*(G192/200)</f>
        <v>46.26</v>
      </c>
      <c r="I192" s="385" t="str">
        <f aca="false">IF(H192&gt;VIN_BB_to_buck, "BUCK", IF(H192&lt;VIN_boost_to_BB,"BOOST","BUCK-BST"))</f>
        <v>BUCK</v>
      </c>
      <c r="J192" s="419" t="n">
        <f aca="false">IF(I192="BOOST",2, IF(I192="BUCK", 1,3))</f>
        <v>1</v>
      </c>
      <c r="K192" s="0" t="n">
        <f aca="false">Iout</f>
        <v>6</v>
      </c>
      <c r="L192" s="385" t="n">
        <f aca="false">Vout*K192/(H192*Efficiency)</f>
        <v>1.72935581495893</v>
      </c>
      <c r="M192" s="385" t="n">
        <f aca="false">Iout/(1-O192)</f>
        <v>6</v>
      </c>
      <c r="N192" s="488" t="n">
        <f aca="false">CHOOSE(J192,(Vout+(Rdson2+Rs+Rdcr)*K192)/(H192+(Rs+Rdson2-Rdson1)*K192),1,IF(H192&lt;Vout,D_max_buck_BB,Vout/H192*(1-D_min_boost_exitBB_to_buck)))</f>
        <v>0.261343612334802</v>
      </c>
      <c r="O192" s="488" t="n">
        <f aca="false">CHOOSE(J192,0,(Vout+(Rdson3+Rdcr)*L192-H192)/(Vout+(Rdson3-Rdson4-Rs)*L192),IF(H192&gt;Vout,D_min_boost_exitBB_to_buck, (Vout-H192*D_max_buck_BB)/Vout))</f>
        <v>0</v>
      </c>
      <c r="P192" s="385" t="n">
        <f aca="false">MAX(0, CHOOSE(J192, (H192-(Rdson1+Rdcr)*K192-Vout)*N192/(Fsw*Lf), (H192-(Rdson4+Rdcr+Rs)*L192)*O192/(Fsw*Lf), IF(H192&lt;Vout, (H192-(Rdson4+Rdcr+Rs)*L192)*O192/(0.5*Fsw*Lf),(H192-(Rdson1+Rdcr)*K192-Vout)*N192/(0.5*Fsw*Lf))))</f>
        <v>6.34002922017059</v>
      </c>
      <c r="Q192" s="488" t="n">
        <f aca="false">CHOOSE(J192, SQRT(K192^2+(P192^2)/12), SQRT(L192^2+(P192^2)/12), SQRT(M192^2+(P192^2)/12))</f>
        <v>6.27293107003295</v>
      </c>
      <c r="R192" s="488" t="n">
        <f aca="false">(Q192^2*Rdcr*(1+Ltc*Ta-Ltc*25))/(1-Q192^2*Rdcr*Ltc*ThetaCa)</f>
        <v>0.13322634146396</v>
      </c>
      <c r="S192" s="488" t="n">
        <f aca="false">7.759*10^-3*Fsw^0.9458*(0.00787*P192)^2.304</f>
        <v>1.17601017620933</v>
      </c>
      <c r="T192" s="488" t="n">
        <f aca="false">R192+S192</f>
        <v>1.30923651767329</v>
      </c>
      <c r="U192" s="385" t="n">
        <f aca="false">IF(H192&gt;Vout, P192/SQRT(12), SQRT(O192/(1-O192))*SQRT(K192^2+(P192^2)/12))</f>
        <v>1.83020878846779</v>
      </c>
      <c r="V192" s="488" t="n">
        <f aca="false">RCoutEsr*U192^2</f>
        <v>0.0167483210469237</v>
      </c>
      <c r="W192" s="488" t="n">
        <f aca="false">V192</f>
        <v>0.0167483210469237</v>
      </c>
      <c r="X192" s="488" t="n">
        <f aca="false">IF(H192&gt;Vout, SQRT(N192*(1-N192))*SQRT(K192^2+(P192^2)/12), P192/SQRT(12))</f>
        <v>2.75611724884587</v>
      </c>
      <c r="Y192" s="587" t="n">
        <f aca="false">RCinEsr*X192^2</f>
        <v>0.0151923645787714</v>
      </c>
      <c r="Z192" s="588" t="n">
        <f aca="false">Y192</f>
        <v>0.0151923645787714</v>
      </c>
      <c r="AA192" s="488" t="n">
        <f aca="false">CHOOSE(J192, SQRT(N192)*SQRT(K192^2+(P192^2)/12), SQRT(L192^2+(P192^2)/12), SQRT(N192)*SQRT(M192^2+(P192^2)/12))</f>
        <v>3.20683385734934</v>
      </c>
      <c r="AB192" s="488" t="n">
        <f aca="false">Rdson1*AA192^2</f>
        <v>0.0586175653152598</v>
      </c>
      <c r="AC192" s="488" t="n">
        <f aca="false">CHOOSE(J192, (H192*K192/2)*(Fsw)*(Tr_buck+Tf_buck), 0, (H192*M192/2)*(Fsw/2)*(Tr_buck+Tf_buck))</f>
        <v>0.282657228120517</v>
      </c>
      <c r="AD192" s="0" t="n">
        <f aca="false">IF(H192&gt;Vout, IF(K192&gt;P192/2,0,ABS(K192-P192/2)*Vsd_Q1*Deadtime*Fsw),0)</f>
        <v>0</v>
      </c>
      <c r="AE192" s="488" t="n">
        <f aca="false">(AD192+AC192+AB192*(1+RdsonTopTc*Ta-RdsonTopTc*25))/(1-AB192*RdsonTopTc*ThetaJA_Q1)</f>
        <v>0.345323194416493</v>
      </c>
      <c r="AF192" s="488" t="n">
        <f aca="false">CHOOSE(J192, SQRT((1-N192))*SQRT(K192^2+(P192^2)/12), 0, SQRT((1-N192))*SQRT(M192^2+(P192^2)/12))</f>
        <v>5.39127821770892</v>
      </c>
      <c r="AG192" s="488" t="n">
        <f aca="false">Rdson2*AF192^2</f>
        <v>0.165675520678233</v>
      </c>
      <c r="AH192" s="488" t="n">
        <f aca="false">CHOOSE(J192, IF(K192&lt;P192/2,Deadtime*Fsw*IF(VfdSky_Q2&gt;0,0,Vsd_Q2)*(K192+P192/2),2*Deadtime*Fsw*IF(VfdSky_Q2&gt;0,0,Vsd_Q2)*K192),0, IF(K192&lt;P192/2,Deadtime*Fsw/2*IF(VfdSky_Q2&gt;0,0,Vsd_Q2)*(K192+P192/2),2*Deadtime*Fsw/2*IF(VfdSky_Q2&gt;0,0,Vsd_Q2)*K192))</f>
        <v>0.144</v>
      </c>
      <c r="AI192" s="488" t="n">
        <f aca="false">(AH192+AG192*(1+RdsonBotTc*Ta-RdsonBotTc*25))/(1-AG192*RdsonBotTc*ThetaJA_Q2)</f>
        <v>0.320288307086991</v>
      </c>
      <c r="AJ192" s="488" t="n">
        <f aca="false">CHOOSE(J192, 0, SQRT(O192)*SQRT(L192^2+(P192^2)/12), SQRT(O192)*SQRT(M192^2+(P192^2)/12))</f>
        <v>0</v>
      </c>
      <c r="AK192" s="488" t="n">
        <f aca="false">Rdson4*AJ192^2</f>
        <v>0</v>
      </c>
      <c r="AL192" s="488" t="n">
        <f aca="false">CHOOSE(J192, 0, (Vout*L192/2)*(Fsw)*(Tr_boost+Tf_boost), (Vout*Iout/2)*(Fsw/2)*(Tr_boost+Tf_boost))</f>
        <v>0</v>
      </c>
      <c r="AM192" s="0" t="n">
        <f aca="false">IF(H192&gt;Vout, 0, IF(L192&gt;P192/2,0,ABS(L192-P192/2)*Vsd_Q4*Deadtime*Fsw))</f>
        <v>0</v>
      </c>
      <c r="AN192" s="488" t="n">
        <f aca="false">(AM192+AL192+AK192*(1+RdsonTopTc*Ta-RdsonTopTc*25))/(1-AK192*RdsonTopTc*ThetaJA_Q4)</f>
        <v>0</v>
      </c>
      <c r="AO192" s="488" t="n">
        <f aca="false">CHOOSE(J192, SQRT(Iout^2+(P192^2)/12), SQRT(1-O192)*SQRT(L192^2+(P192^2)/12), SQRT(1-O192)*SQRT(M192^2+(P192^2)/12))</f>
        <v>6.27293107003295</v>
      </c>
      <c r="AP192" s="488" t="n">
        <f aca="false">Rdson3*AO192^2</f>
        <v>0.074764361997831</v>
      </c>
      <c r="AQ192" s="488" t="n">
        <f aca="false">CHOOSE(J192, 0, IF(L192&lt;P192/2,Deadtime*Fsw*IF(VfdSky_Q3&gt;0,0,Vsd_Q3)*(L192+P192/2), 2*Deadtime*Fsw*IF(VfdSky_Q3&gt;0,0,Vsd_Q3)*L192), IF(L192&lt;P192/2,Deadtime*Fsw/2*IF(VfdSky_Q3&gt;0,0,Vsd_Q3)*(L192+P192/2), 2*Deadtime*Fsw/2*IF(VfdSky_Q3&gt;0,0,Vsd_Q3)*L192))</f>
        <v>0</v>
      </c>
      <c r="AR192" s="488" t="n">
        <f aca="false">(AQ192+AP192*(1+RdsonBotTc*Ta-RdsonBotTc*25))/(1-AP192*RdsonBotTc*ThetaJA_Q3)</f>
        <v>0.0758992741595586</v>
      </c>
      <c r="AS192" s="488" t="n">
        <f aca="false">CHOOSE(J192, Rdson3*Q192^2, Rdson1*Q192^2, 0)</f>
        <v>0.074764361997831</v>
      </c>
      <c r="AT192" s="488" t="n">
        <f aca="false">CHOOSE(J192, 2*Deadtime*Fsw*IF(VfdSky_Q2&gt;0,VfdSky_Q2,0)*K192, 2*Deadtime*Fsw*IF(VfdSky_Q3&gt;0,VfdSky_Q3,0)*L192, 2*Deadtime*Fsw/2*IF(VfdSky_Q2&gt;0,VfdSky_Q2,0)*K192+2*Deadtime*Fsw/2*IF(VfdSky_Q3&gt;0,VfdSky_Q3,0)*L192)</f>
        <v>0</v>
      </c>
      <c r="AU192" s="488" t="n">
        <f aca="false">CHOOSE(J192, IF(QrrSky_Q2&gt;0,QrrSky_Q2,Qrr_Q2)*Fsw*(H192-K192*Rdson1), IF(QrrSky_Q3&gt;0,QrrSky_Q3,Qrr_Q3)*Fsw*Vout,  IF(QrrSky_Q2&gt;0,QrrSky_Q2,Qrr_Q2)*Fsw/2*(H192-K192*Rdson1)+IF(QrrSky_Q3&gt;0,QrrSky_Q3,Qrr_Q3)*Fsw/2*Vout)</f>
        <v>0.87366762</v>
      </c>
      <c r="AV192" s="488" t="n">
        <f aca="false">CHOOSE(J192, Rs*AF192^2, Rs*AJ192^2, Rs*(AF192^2+AJ192^2))</f>
        <v>0.232527046565941</v>
      </c>
      <c r="AW192" s="488" t="n">
        <f aca="false">Rshunt_std/1000*Iout^2</f>
        <v>0.14832</v>
      </c>
      <c r="AX192" s="488" t="n">
        <f aca="false">IF(Vout&gt;8, Iq*Vout, Iq*H192)</f>
        <v>0.036</v>
      </c>
      <c r="AY192" s="488" t="n">
        <f aca="false">CHOOSE(J192, (Qg_Q1+Qg_Q2)*Fsw, (Qg_Q3+Qg_Q4)*Fsw, (Qg_Q1+Qg_Q2+Qg_Q3+Qg_Q4)*Fsw/2)*IF(Vout&gt;8, Vout, H192)</f>
        <v>0.0792</v>
      </c>
      <c r="AZ192" s="488" t="n">
        <f aca="false">(Vin-Vdd)*Fsw*(Qg_Q1+Qg_Q2)+(RdsonDRT+RdsonDRT2)*Fsw*Qg_Q1*Vdd/(RdsonDRT+2*Rgate1+RdsonDRT2)+(RdsonDRB+RdsonDRB2)*Fsw*Qg_Q2*Vdd/(RdsonDRB+2*Rgate2+RdsonDRB2)</f>
        <v>0.0522</v>
      </c>
      <c r="BA192" s="488" t="n">
        <f aca="false">SUM(AX192:AY192)</f>
        <v>0.1152</v>
      </c>
      <c r="BB192" s="488" t="n">
        <f aca="false">SUM(T192,W192,Z192,AE192,AI192,AN192,AR192, AT192,AU192,BA192,AV192,AW192)</f>
        <v>3.45240264552797</v>
      </c>
      <c r="BC192" s="419" t="n">
        <f aca="false">Vout*K192</f>
        <v>72</v>
      </c>
      <c r="BD192" s="589" t="n">
        <f aca="false">BC192/(BC192+BB192)</f>
        <v>0.954243966732946</v>
      </c>
      <c r="BE192" s="590" t="n">
        <f aca="false">IF(H192&gt;Vout,ThetaJA_Q1*(AE192+AU192),ThetaJA_Q4*(AN192+AU192))</f>
        <v>60.9495407208246</v>
      </c>
      <c r="BF192" s="590" t="n">
        <f aca="false">IF(H192&gt;Vout, AI192*ThetaJA_Q2, ThetaJA_Q3*AR192)</f>
        <v>16.0144153543495</v>
      </c>
      <c r="BG192" s="536"/>
      <c r="BH192" s="385" t="n">
        <f aca="false">BD192*100</f>
        <v>95.4243966732946</v>
      </c>
      <c r="BI192" s="488" t="n">
        <f aca="false">T192</f>
        <v>1.30923651767329</v>
      </c>
      <c r="BJ192" s="488" t="n">
        <f aca="false">AE192+AI192+AN192+AR192+AU192</f>
        <v>1.61517839566304</v>
      </c>
      <c r="BK192" s="488" t="n">
        <f aca="false">AI192+AU192*0.33</f>
        <v>0.608598621686991</v>
      </c>
      <c r="BL192" s="488" t="n">
        <f aca="false">AV192</f>
        <v>0.232527046565941</v>
      </c>
    </row>
    <row r="193" customFormat="false" ht="12.75" hidden="false" customHeight="false" outlineLevel="0" collapsed="false">
      <c r="G193" s="0" t="n">
        <v>184</v>
      </c>
      <c r="H193" s="586" t="n">
        <f aca="false">VIN_min+(VIN_max-VIN_min)*(G193/200)</f>
        <v>46.48</v>
      </c>
      <c r="I193" s="385" t="str">
        <f aca="false">IF(H193&gt;VIN_BB_to_buck, "BUCK", IF(H193&lt;VIN_boost_to_BB,"BOOST","BUCK-BST"))</f>
        <v>BUCK</v>
      </c>
      <c r="J193" s="419" t="n">
        <f aca="false">IF(I193="BOOST",2, IF(I193="BUCK", 1,3))</f>
        <v>1</v>
      </c>
      <c r="K193" s="0" t="n">
        <f aca="false">Iout</f>
        <v>6</v>
      </c>
      <c r="L193" s="385" t="n">
        <f aca="false">Vout*K193/(H193*Efficiency)</f>
        <v>1.72117039586919</v>
      </c>
      <c r="M193" s="385" t="n">
        <f aca="false">Iout/(1-O193)</f>
        <v>6</v>
      </c>
      <c r="N193" s="488" t="n">
        <f aca="false">CHOOSE(J193,(Vout+(Rdson2+Rs+Rdcr)*K193)/(H193+(Rs+Rdson2-Rdson1)*K193),1,IF(H193&lt;Vout,D_max_buck_BB,Vout/H193*(1-D_min_boost_exitBB_to_buck)))</f>
        <v>0.260107892022008</v>
      </c>
      <c r="O193" s="488" t="n">
        <f aca="false">CHOOSE(J193,0,(Vout+(Rdson3+Rdcr)*L193-H193)/(Vout+(Rdson3-Rdson4-Rs)*L193),IF(H193&gt;Vout,D_min_boost_exitBB_to_buck, (Vout-H193*D_max_buck_BB)/Vout))</f>
        <v>0</v>
      </c>
      <c r="P193" s="385" t="n">
        <f aca="false">MAX(0, CHOOSE(J193, (H193-(Rdson1+Rdcr)*K193-Vout)*N193/(Fsw*Lf), (H193-(Rdson4+Rdcr+Rs)*L193)*O193/(Fsw*Lf), IF(H193&lt;Vout, (H193-(Rdson4+Rdcr+Rs)*L193)*O193/(0.5*Fsw*Lf),(H193-(Rdson1+Rdcr)*K193-Vout)*N193/(0.5*Fsw*Lf))))</f>
        <v>6.35063564424259</v>
      </c>
      <c r="Q193" s="488" t="n">
        <f aca="false">CHOOSE(J193, SQRT(K193^2+(P193^2)/12), SQRT(L193^2+(P193^2)/12), SQRT(M193^2+(P193^2)/12))</f>
        <v>6.27382507649789</v>
      </c>
      <c r="R193" s="488" t="n">
        <f aca="false">(Q193^2*Rdcr*(1+Ltc*Ta-Ltc*25))/(1-Q193^2*Rdcr*Ltc*ThetaCa)</f>
        <v>0.133264723390645</v>
      </c>
      <c r="S193" s="488" t="n">
        <f aca="false">7.759*10^-3*Fsw^0.9458*(0.00787*P193)^2.304</f>
        <v>1.18054797057182</v>
      </c>
      <c r="T193" s="488" t="n">
        <f aca="false">R193+S193</f>
        <v>1.31381269396246</v>
      </c>
      <c r="U193" s="385" t="n">
        <f aca="false">IF(H193&gt;Vout, P193/SQRT(12), SQRT(O193/(1-O193))*SQRT(K193^2+(P193^2)/12))</f>
        <v>1.83327059936435</v>
      </c>
      <c r="V193" s="488" t="n">
        <f aca="false">RCoutEsr*U193^2</f>
        <v>0.0168044054524685</v>
      </c>
      <c r="W193" s="488" t="n">
        <f aca="false">V193</f>
        <v>0.0168044054524685</v>
      </c>
      <c r="X193" s="488" t="n">
        <f aca="false">IF(H193&gt;Vout, SQRT(N193*(1-N193))*SQRT(K193^2+(P193^2)/12), P193/SQRT(12))</f>
        <v>2.7522847766259</v>
      </c>
      <c r="Y193" s="587" t="n">
        <f aca="false">RCinEsr*X193^2</f>
        <v>0.0151501429832934</v>
      </c>
      <c r="Z193" s="588" t="n">
        <f aca="false">Y193</f>
        <v>0.0151501429832934</v>
      </c>
      <c r="AA193" s="488" t="n">
        <f aca="false">CHOOSE(J193, SQRT(N193)*SQRT(K193^2+(P193^2)/12), SQRT(L193^2+(P193^2)/12), SQRT(N193)*SQRT(M193^2+(P193^2)/12))</f>
        <v>3.1996993309649</v>
      </c>
      <c r="AB193" s="488" t="n">
        <f aca="false">Rdson1*AA193^2</f>
        <v>0.0583570321088903</v>
      </c>
      <c r="AC193" s="488" t="n">
        <f aca="false">CHOOSE(J193, (H193*K193/2)*(Fsw)*(Tr_buck+Tf_buck), 0, (H193*M193/2)*(Fsw/2)*(Tr_buck+Tf_buck))</f>
        <v>0.284001469153515</v>
      </c>
      <c r="AD193" s="0" t="n">
        <f aca="false">IF(H193&gt;Vout, IF(K193&gt;P193/2,0,ABS(K193-P193/2)*Vsd_Q1*Deadtime*Fsw),0)</f>
        <v>0</v>
      </c>
      <c r="AE193" s="488" t="n">
        <f aca="false">(AD193+AC193+AB193*(1+RdsonTopTc*Ta-RdsonTopTc*25))/(1-AB193*RdsonTopTc*ThetaJA_Q1)</f>
        <v>0.34640149388262</v>
      </c>
      <c r="AF193" s="488" t="n">
        <f aca="false">CHOOSE(J193, SQRT((1-N193))*SQRT(K193^2+(P193^2)/12), 0, SQRT((1-N193))*SQRT(M193^2+(P193^2)/12))</f>
        <v>5.39655494569605</v>
      </c>
      <c r="AG193" s="488" t="n">
        <f aca="false">Rdson2*AF193^2</f>
        <v>0.165999990106924</v>
      </c>
      <c r="AH193" s="488" t="n">
        <f aca="false">CHOOSE(J193, IF(K193&lt;P193/2,Deadtime*Fsw*IF(VfdSky_Q2&gt;0,0,Vsd_Q2)*(K193+P193/2),2*Deadtime*Fsw*IF(VfdSky_Q2&gt;0,0,Vsd_Q2)*K193),0, IF(K193&lt;P193/2,Deadtime*Fsw/2*IF(VfdSky_Q2&gt;0,0,Vsd_Q2)*(K193+P193/2),2*Deadtime*Fsw/2*IF(VfdSky_Q2&gt;0,0,Vsd_Q2)*K193))</f>
        <v>0.144</v>
      </c>
      <c r="AI193" s="488" t="n">
        <f aca="false">(AH193+AG193*(1+RdsonBotTc*Ta-RdsonBotTc*25))/(1-AG193*RdsonBotTc*ThetaJA_Q2)</f>
        <v>0.320645417327772</v>
      </c>
      <c r="AJ193" s="488" t="n">
        <f aca="false">CHOOSE(J193, 0, SQRT(O193)*SQRT(L193^2+(P193^2)/12), SQRT(O193)*SQRT(M193^2+(P193^2)/12))</f>
        <v>0</v>
      </c>
      <c r="AK193" s="488" t="n">
        <f aca="false">Rdson4*AJ193^2</f>
        <v>0</v>
      </c>
      <c r="AL193" s="488" t="n">
        <f aca="false">CHOOSE(J193, 0, (Vout*L193/2)*(Fsw)*(Tr_boost+Tf_boost), (Vout*Iout/2)*(Fsw/2)*(Tr_boost+Tf_boost))</f>
        <v>0</v>
      </c>
      <c r="AM193" s="0" t="n">
        <f aca="false">IF(H193&gt;Vout, 0, IF(L193&gt;P193/2,0,ABS(L193-P193/2)*Vsd_Q4*Deadtime*Fsw))</f>
        <v>0</v>
      </c>
      <c r="AN193" s="488" t="n">
        <f aca="false">(AM193+AL193+AK193*(1+RdsonTopTc*Ta-RdsonTopTc*25))/(1-AK193*RdsonTopTc*ThetaJA_Q4)</f>
        <v>0</v>
      </c>
      <c r="AO193" s="488" t="n">
        <f aca="false">CHOOSE(J193, SQRT(Iout^2+(P193^2)/12), SQRT(1-O193)*SQRT(L193^2+(P193^2)/12), SQRT(1-O193)*SQRT(M193^2+(P193^2)/12))</f>
        <v>6.27382507649789</v>
      </c>
      <c r="AP193" s="488" t="n">
        <f aca="false">Rdson3*AO193^2</f>
        <v>0.074785674071938</v>
      </c>
      <c r="AQ193" s="488" t="n">
        <f aca="false">CHOOSE(J193, 0, IF(L193&lt;P193/2,Deadtime*Fsw*IF(VfdSky_Q3&gt;0,0,Vsd_Q3)*(L193+P193/2), 2*Deadtime*Fsw*IF(VfdSky_Q3&gt;0,0,Vsd_Q3)*L193), IF(L193&lt;P193/2,Deadtime*Fsw/2*IF(VfdSky_Q3&gt;0,0,Vsd_Q3)*(L193+P193/2), 2*Deadtime*Fsw/2*IF(VfdSky_Q3&gt;0,0,Vsd_Q3)*L193))</f>
        <v>0</v>
      </c>
      <c r="AR193" s="488" t="n">
        <f aca="false">(AQ193+AP193*(1+RdsonBotTc*Ta-RdsonBotTc*25))/(1-AP193*RdsonBotTc*ThetaJA_Q3)</f>
        <v>0.0759212382679876</v>
      </c>
      <c r="AS193" s="488" t="n">
        <f aca="false">CHOOSE(J193, Rdson3*Q193^2, Rdson1*Q193^2, 0)</f>
        <v>0.074785674071938</v>
      </c>
      <c r="AT193" s="488" t="n">
        <f aca="false">CHOOSE(J193, 2*Deadtime*Fsw*IF(VfdSky_Q2&gt;0,VfdSky_Q2,0)*K193, 2*Deadtime*Fsw*IF(VfdSky_Q3&gt;0,VfdSky_Q3,0)*L193, 2*Deadtime*Fsw/2*IF(VfdSky_Q2&gt;0,VfdSky_Q2,0)*K193+2*Deadtime*Fsw/2*IF(VfdSky_Q3&gt;0,VfdSky_Q3,0)*L193)</f>
        <v>0</v>
      </c>
      <c r="AU193" s="488" t="n">
        <f aca="false">CHOOSE(J193, IF(QrrSky_Q2&gt;0,QrrSky_Q2,Qrr_Q2)*Fsw*(H193-K193*Rdson1), IF(QrrSky_Q3&gt;0,QrrSky_Q3,Qrr_Q3)*Fsw*Vout,  IF(QrrSky_Q2&gt;0,QrrSky_Q2,Qrr_Q2)*Fsw/2*(H193-K193*Rdson1)+IF(QrrSky_Q3&gt;0,QrrSky_Q3,Qrr_Q3)*Fsw/2*Vout)</f>
        <v>0.87782562</v>
      </c>
      <c r="AV193" s="488" t="n">
        <f aca="false">CHOOSE(J193, Rs*AF193^2, Rs*AJ193^2, Rs*(AF193^2+AJ193^2))</f>
        <v>0.232982442255332</v>
      </c>
      <c r="AW193" s="488" t="n">
        <f aca="false">Rshunt_std/1000*Iout^2</f>
        <v>0.14832</v>
      </c>
      <c r="AX193" s="488" t="n">
        <f aca="false">IF(Vout&gt;8, Iq*Vout, Iq*H193)</f>
        <v>0.036</v>
      </c>
      <c r="AY193" s="488" t="n">
        <f aca="false">CHOOSE(J193, (Qg_Q1+Qg_Q2)*Fsw, (Qg_Q3+Qg_Q4)*Fsw, (Qg_Q1+Qg_Q2+Qg_Q3+Qg_Q4)*Fsw/2)*IF(Vout&gt;8, Vout, H193)</f>
        <v>0.0792</v>
      </c>
      <c r="AZ193" s="488" t="n">
        <f aca="false">(Vin-Vdd)*Fsw*(Qg_Q1+Qg_Q2)+(RdsonDRT+RdsonDRT2)*Fsw*Qg_Q1*Vdd/(RdsonDRT+2*Rgate1+RdsonDRT2)+(RdsonDRB+RdsonDRB2)*Fsw*Qg_Q2*Vdd/(RdsonDRB+2*Rgate2+RdsonDRB2)</f>
        <v>0.0522</v>
      </c>
      <c r="BA193" s="488" t="n">
        <f aca="false">SUM(AX193:AY193)</f>
        <v>0.1152</v>
      </c>
      <c r="BB193" s="488" t="n">
        <f aca="false">SUM(T193,W193,Z193,AE193,AI193,AN193,AR193, AT193,AU193,BA193,AV193,AW193)</f>
        <v>3.46306345413194</v>
      </c>
      <c r="BC193" s="419" t="n">
        <f aca="false">Vout*K193</f>
        <v>72</v>
      </c>
      <c r="BD193" s="589" t="n">
        <f aca="false">BC193/(BC193+BB193)</f>
        <v>0.954109158896831</v>
      </c>
      <c r="BE193" s="590" t="n">
        <f aca="false">IF(H193&gt;Vout,ThetaJA_Q1*(AE193+AU193),ThetaJA_Q4*(AN193+AU193))</f>
        <v>61.211355694131</v>
      </c>
      <c r="BF193" s="590" t="n">
        <f aca="false">IF(H193&gt;Vout, AI193*ThetaJA_Q2, ThetaJA_Q3*AR193)</f>
        <v>16.0322708663886</v>
      </c>
      <c r="BG193" s="536"/>
      <c r="BH193" s="385" t="n">
        <f aca="false">BD193*100</f>
        <v>95.4109158896831</v>
      </c>
      <c r="BI193" s="488" t="n">
        <f aca="false">T193</f>
        <v>1.31381269396246</v>
      </c>
      <c r="BJ193" s="488" t="n">
        <f aca="false">AE193+AI193+AN193+AR193+AU193</f>
        <v>1.62079376947838</v>
      </c>
      <c r="BK193" s="488" t="n">
        <f aca="false">AI193+AU193*0.33</f>
        <v>0.610327871927772</v>
      </c>
      <c r="BL193" s="488" t="n">
        <f aca="false">AV193</f>
        <v>0.232982442255332</v>
      </c>
    </row>
    <row r="194" customFormat="false" ht="12.75" hidden="false" customHeight="false" outlineLevel="0" collapsed="false">
      <c r="G194" s="0" t="n">
        <v>185</v>
      </c>
      <c r="H194" s="586" t="n">
        <f aca="false">VIN_min+(VIN_max-VIN_min)*(G194/200)</f>
        <v>46.7</v>
      </c>
      <c r="I194" s="385" t="str">
        <f aca="false">IF(H194&gt;VIN_BB_to_buck, "BUCK", IF(H194&lt;VIN_boost_to_BB,"BOOST","BUCK-BST"))</f>
        <v>BUCK</v>
      </c>
      <c r="J194" s="419" t="n">
        <f aca="false">IF(I194="BOOST",2, IF(I194="BUCK", 1,3))</f>
        <v>1</v>
      </c>
      <c r="K194" s="0" t="n">
        <f aca="false">Iout</f>
        <v>6</v>
      </c>
      <c r="L194" s="385" t="n">
        <f aca="false">Vout*K194/(H194*Efficiency)</f>
        <v>1.71306209850107</v>
      </c>
      <c r="M194" s="385" t="n">
        <f aca="false">Iout/(1-O194)</f>
        <v>6</v>
      </c>
      <c r="N194" s="488" t="n">
        <f aca="false">CHOOSE(J194,(Vout+(Rdson2+Rs+Rdcr)*K194)/(H194+(Rs+Rdson2-Rdson1)*K194),1,IF(H194&lt;Vout,D_max_buck_BB,Vout/H194*(1-D_min_boost_exitBB_to_buck)))</f>
        <v>0.258883802515616</v>
      </c>
      <c r="O194" s="488" t="n">
        <f aca="false">CHOOSE(J194,0,(Vout+(Rdson3+Rdcr)*L194-H194)/(Vout+(Rdson3-Rdson4-Rs)*L194),IF(H194&gt;Vout,D_min_boost_exitBB_to_buck, (Vout-H194*D_max_buck_BB)/Vout))</f>
        <v>0</v>
      </c>
      <c r="P194" s="385" t="n">
        <f aca="false">MAX(0, CHOOSE(J194, (H194-(Rdson1+Rdcr)*K194-Vout)*N194/(Fsw*Lf), (H194-(Rdson4+Rdcr+Rs)*L194)*O194/(Fsw*Lf), IF(H194&lt;Vout, (H194-(Rdson4+Rdcr+Rs)*L194)*O194/(0.5*Fsw*Lf),(H194-(Rdson1+Rdcr)*K194-Vout)*N194/(0.5*Fsw*Lf))))</f>
        <v>6.36114223887607</v>
      </c>
      <c r="Q194" s="488" t="n">
        <f aca="false">CHOOSE(J194, SQRT(K194^2+(P194^2)/12), SQRT(L194^2+(P194^2)/12), SQRT(M194^2+(P194^2)/12))</f>
        <v>6.27471201585654</v>
      </c>
      <c r="R194" s="488" t="n">
        <f aca="false">(Q194^2*Rdcr*(1+Ltc*Ta-Ltc*25))/(1-Q194^2*Rdcr*Ltc*ThetaCa)</f>
        <v>0.133302807544394</v>
      </c>
      <c r="S194" s="488" t="n">
        <f aca="false">7.759*10^-3*Fsw^0.9458*(0.00787*P194)^2.304</f>
        <v>1.18505280863759</v>
      </c>
      <c r="T194" s="488" t="n">
        <f aca="false">R194+S194</f>
        <v>1.31835561618198</v>
      </c>
      <c r="U194" s="385" t="n">
        <f aca="false">IF(H194&gt;Vout, P194/SQRT(12), SQRT(O194/(1-O194))*SQRT(K194^2+(P194^2)/12))</f>
        <v>1.8363035919843</v>
      </c>
      <c r="V194" s="488" t="n">
        <f aca="false">RCoutEsr*U194^2</f>
        <v>0.0168600544096722</v>
      </c>
      <c r="W194" s="488" t="n">
        <f aca="false">V194</f>
        <v>0.0168600544096722</v>
      </c>
      <c r="X194" s="488" t="n">
        <f aca="false">IF(H194&gt;Vout, SQRT(N194*(1-N194))*SQRT(K194^2+(P194^2)/12), P194/SQRT(12))</f>
        <v>2.74845980673906</v>
      </c>
      <c r="Y194" s="587" t="n">
        <f aca="false">RCinEsr*X194^2</f>
        <v>0.0151080626185202</v>
      </c>
      <c r="Z194" s="588" t="n">
        <f aca="false">Y194</f>
        <v>0.0151080626185202</v>
      </c>
      <c r="AA194" s="488" t="n">
        <f aca="false">CHOOSE(J194, SQRT(N194)*SQRT(K194^2+(P194^2)/12), SQRT(L194^2+(P194^2)/12), SQRT(N194)*SQRT(M194^2+(P194^2)/12))</f>
        <v>3.19261270588861</v>
      </c>
      <c r="AB194" s="488" t="n">
        <f aca="false">Rdson1*AA194^2</f>
        <v>0.0580988225718679</v>
      </c>
      <c r="AC194" s="488" t="n">
        <f aca="false">CHOOSE(J194, (H194*K194/2)*(Fsw)*(Tr_buck+Tf_buck), 0, (H194*M194/2)*(Fsw/2)*(Tr_buck+Tf_buck))</f>
        <v>0.285345710186514</v>
      </c>
      <c r="AD194" s="0" t="n">
        <f aca="false">IF(H194&gt;Vout, IF(K194&gt;P194/2,0,ABS(K194-P194/2)*Vsd_Q1*Deadtime*Fsw),0)</f>
        <v>0</v>
      </c>
      <c r="AE194" s="488" t="n">
        <f aca="false">(AD194+AC194+AB194*(1+RdsonTopTc*Ta-RdsonTopTc*25))/(1-AB194*RdsonTopTc*ThetaJA_Q1)</f>
        <v>0.3474821940259</v>
      </c>
      <c r="AF194" s="488" t="n">
        <f aca="false">CHOOSE(J194, SQRT((1-N194))*SQRT(K194^2+(P194^2)/12), 0, SQRT((1-N194))*SQRT(M194^2+(P194^2)/12))</f>
        <v>5.40178072418097</v>
      </c>
      <c r="AG194" s="488" t="n">
        <f aca="false">Rdson2*AF194^2</f>
        <v>0.166321639455158</v>
      </c>
      <c r="AH194" s="488" t="n">
        <f aca="false">CHOOSE(J194, IF(K194&lt;P194/2,Deadtime*Fsw*IF(VfdSky_Q2&gt;0,0,Vsd_Q2)*(K194+P194/2),2*Deadtime*Fsw*IF(VfdSky_Q2&gt;0,0,Vsd_Q2)*K194),0, IF(K194&lt;P194/2,Deadtime*Fsw/2*IF(VfdSky_Q2&gt;0,0,Vsd_Q2)*(K194+P194/2),2*Deadtime*Fsw/2*IF(VfdSky_Q2&gt;0,0,Vsd_Q2)*K194))</f>
        <v>0.144</v>
      </c>
      <c r="AI194" s="488" t="n">
        <f aca="false">(AH194+AG194*(1+RdsonBotTc*Ta-RdsonBotTc*25))/(1-AG194*RdsonBotTc*ThetaJA_Q2)</f>
        <v>0.320999471115182</v>
      </c>
      <c r="AJ194" s="488" t="n">
        <f aca="false">CHOOSE(J194, 0, SQRT(O194)*SQRT(L194^2+(P194^2)/12), SQRT(O194)*SQRT(M194^2+(P194^2)/12))</f>
        <v>0</v>
      </c>
      <c r="AK194" s="488" t="n">
        <f aca="false">Rdson4*AJ194^2</f>
        <v>0</v>
      </c>
      <c r="AL194" s="488" t="n">
        <f aca="false">CHOOSE(J194, 0, (Vout*L194/2)*(Fsw)*(Tr_boost+Tf_boost), (Vout*Iout/2)*(Fsw/2)*(Tr_boost+Tf_boost))</f>
        <v>0</v>
      </c>
      <c r="AM194" s="0" t="n">
        <f aca="false">IF(H194&gt;Vout, 0, IF(L194&gt;P194/2,0,ABS(L194-P194/2)*Vsd_Q4*Deadtime*Fsw))</f>
        <v>0</v>
      </c>
      <c r="AN194" s="488" t="n">
        <f aca="false">(AM194+AL194+AK194*(1+RdsonTopTc*Ta-RdsonTopTc*25))/(1-AK194*RdsonTopTc*ThetaJA_Q4)</f>
        <v>0</v>
      </c>
      <c r="AO194" s="488" t="n">
        <f aca="false">CHOOSE(J194, SQRT(Iout^2+(P194^2)/12), SQRT(1-O194)*SQRT(L194^2+(P194^2)/12), SQRT(1-O194)*SQRT(M194^2+(P194^2)/12))</f>
        <v>6.27471201585654</v>
      </c>
      <c r="AP194" s="488" t="n">
        <f aca="false">Rdson3*AO194^2</f>
        <v>0.0748068206756754</v>
      </c>
      <c r="AQ194" s="488" t="n">
        <f aca="false">CHOOSE(J194, 0, IF(L194&lt;P194/2,Deadtime*Fsw*IF(VfdSky_Q3&gt;0,0,Vsd_Q3)*(L194+P194/2), 2*Deadtime*Fsw*IF(VfdSky_Q3&gt;0,0,Vsd_Q3)*L194), IF(L194&lt;P194/2,Deadtime*Fsw/2*IF(VfdSky_Q3&gt;0,0,Vsd_Q3)*(L194+P194/2), 2*Deadtime*Fsw/2*IF(VfdSky_Q3&gt;0,0,Vsd_Q3)*L194))</f>
        <v>0</v>
      </c>
      <c r="AR194" s="488" t="n">
        <f aca="false">(AQ194+AP194*(1+RdsonBotTc*Ta-RdsonBotTc*25))/(1-AP194*RdsonBotTc*ThetaJA_Q3)</f>
        <v>0.0759430320314238</v>
      </c>
      <c r="AS194" s="488" t="n">
        <f aca="false">CHOOSE(J194, Rdson3*Q194^2, Rdson1*Q194^2, 0)</f>
        <v>0.0748068206756754</v>
      </c>
      <c r="AT194" s="488" t="n">
        <f aca="false">CHOOSE(J194, 2*Deadtime*Fsw*IF(VfdSky_Q2&gt;0,VfdSky_Q2,0)*K194, 2*Deadtime*Fsw*IF(VfdSky_Q3&gt;0,VfdSky_Q3,0)*L194, 2*Deadtime*Fsw/2*IF(VfdSky_Q2&gt;0,VfdSky_Q2,0)*K194+2*Deadtime*Fsw/2*IF(VfdSky_Q3&gt;0,VfdSky_Q3,0)*L194)</f>
        <v>0</v>
      </c>
      <c r="AU194" s="488" t="n">
        <f aca="false">CHOOSE(J194, IF(QrrSky_Q2&gt;0,QrrSky_Q2,Qrr_Q2)*Fsw*(H194-K194*Rdson1), IF(QrrSky_Q3&gt;0,QrrSky_Q3,Qrr_Q3)*Fsw*Vout,  IF(QrrSky_Q2&gt;0,QrrSky_Q2,Qrr_Q2)*Fsw/2*(H194-K194*Rdson1)+IF(QrrSky_Q3&gt;0,QrrSky_Q3,Qrr_Q3)*Fsw/2*Vout)</f>
        <v>0.88198362</v>
      </c>
      <c r="AV194" s="488" t="n">
        <f aca="false">CHOOSE(J194, Rs*AF194^2, Rs*AJ194^2, Rs*(AF194^2+AJ194^2))</f>
        <v>0.233433879937064</v>
      </c>
      <c r="AW194" s="488" t="n">
        <f aca="false">Rshunt_std/1000*Iout^2</f>
        <v>0.14832</v>
      </c>
      <c r="AX194" s="488" t="n">
        <f aca="false">IF(Vout&gt;8, Iq*Vout, Iq*H194)</f>
        <v>0.036</v>
      </c>
      <c r="AY194" s="488" t="n">
        <f aca="false">CHOOSE(J194, (Qg_Q1+Qg_Q2)*Fsw, (Qg_Q3+Qg_Q4)*Fsw, (Qg_Q1+Qg_Q2+Qg_Q3+Qg_Q4)*Fsw/2)*IF(Vout&gt;8, Vout, H194)</f>
        <v>0.0792</v>
      </c>
      <c r="AZ194" s="488" t="n">
        <f aca="false">(Vin-Vdd)*Fsw*(Qg_Q1+Qg_Q2)+(RdsonDRT+RdsonDRT2)*Fsw*Qg_Q1*Vdd/(RdsonDRT+2*Rgate1+RdsonDRT2)+(RdsonDRB+RdsonDRB2)*Fsw*Qg_Q2*Vdd/(RdsonDRB+2*Rgate2+RdsonDRB2)</f>
        <v>0.0522</v>
      </c>
      <c r="BA194" s="488" t="n">
        <f aca="false">SUM(AX194:AY194)</f>
        <v>0.1152</v>
      </c>
      <c r="BB194" s="488" t="n">
        <f aca="false">SUM(T194,W194,Z194,AE194,AI194,AN194,AR194, AT194,AU194,BA194,AV194,AW194)</f>
        <v>3.47368593031975</v>
      </c>
      <c r="BC194" s="419" t="n">
        <f aca="false">Vout*K194</f>
        <v>72</v>
      </c>
      <c r="BD194" s="589" t="n">
        <f aca="false">BC194/(BC194+BB194)</f>
        <v>0.953974873659585</v>
      </c>
      <c r="BE194" s="590" t="n">
        <f aca="false">IF(H194&gt;Vout,ThetaJA_Q1*(AE194+AU194),ThetaJA_Q4*(AN194+AU194))</f>
        <v>61.473290701295</v>
      </c>
      <c r="BF194" s="590" t="n">
        <f aca="false">IF(H194&gt;Vout, AI194*ThetaJA_Q2, ThetaJA_Q3*AR194)</f>
        <v>16.0499735557591</v>
      </c>
      <c r="BG194" s="536"/>
      <c r="BH194" s="385" t="n">
        <f aca="false">BD194*100</f>
        <v>95.3974873659585</v>
      </c>
      <c r="BI194" s="488" t="n">
        <f aca="false">T194</f>
        <v>1.31835561618198</v>
      </c>
      <c r="BJ194" s="488" t="n">
        <f aca="false">AE194+AI194+AN194+AR194+AU194</f>
        <v>1.62640831717251</v>
      </c>
      <c r="BK194" s="488" t="n">
        <f aca="false">AI194+AU194*0.33</f>
        <v>0.612054065715182</v>
      </c>
      <c r="BL194" s="488" t="n">
        <f aca="false">AV194</f>
        <v>0.233433879937064</v>
      </c>
    </row>
    <row r="195" customFormat="false" ht="12.75" hidden="false" customHeight="false" outlineLevel="0" collapsed="false">
      <c r="G195" s="0" t="n">
        <v>186</v>
      </c>
      <c r="H195" s="586" t="n">
        <f aca="false">VIN_min+(VIN_max-VIN_min)*(G195/200)</f>
        <v>46.92</v>
      </c>
      <c r="I195" s="385" t="str">
        <f aca="false">IF(H195&gt;VIN_BB_to_buck, "BUCK", IF(H195&lt;VIN_boost_to_BB,"BOOST","BUCK-BST"))</f>
        <v>BUCK</v>
      </c>
      <c r="J195" s="419" t="n">
        <f aca="false">IF(I195="BOOST",2, IF(I195="BUCK", 1,3))</f>
        <v>1</v>
      </c>
      <c r="K195" s="0" t="n">
        <f aca="false">Iout</f>
        <v>6</v>
      </c>
      <c r="L195" s="385" t="n">
        <f aca="false">Vout*K195/(H195*Efficiency)</f>
        <v>1.70502983802217</v>
      </c>
      <c r="M195" s="385" t="n">
        <f aca="false">Iout/(1-O195)</f>
        <v>6</v>
      </c>
      <c r="N195" s="488" t="n">
        <f aca="false">CHOOSE(J195,(Vout+(Rdson2+Rs+Rdcr)*K195)/(H195+(Rs+Rdson2-Rdson1)*K195),1,IF(H195&lt;Vout,D_max_buck_BB,Vout/H195*(1-D_min_boost_exitBB_to_buck)))</f>
        <v>0.25767118037813</v>
      </c>
      <c r="O195" s="488" t="n">
        <f aca="false">CHOOSE(J195,0,(Vout+(Rdson3+Rdcr)*L195-H195)/(Vout+(Rdson3-Rdson4-Rs)*L195),IF(H195&gt;Vout,D_min_boost_exitBB_to_buck, (Vout-H195*D_max_buck_BB)/Vout))</f>
        <v>0</v>
      </c>
      <c r="P195" s="385" t="n">
        <f aca="false">MAX(0, CHOOSE(J195, (H195-(Rdson1+Rdcr)*K195-Vout)*N195/(Fsw*Lf), (H195-(Rdson4+Rdcr+Rs)*L195)*O195/(Fsw*Lf), IF(H195&lt;Vout, (H195-(Rdson4+Rdcr+Rs)*L195)*O195/(0.5*Fsw*Lf),(H195-(Rdson1+Rdcr)*K195-Vout)*N195/(0.5*Fsw*Lf))))</f>
        <v>6.37155040688636</v>
      </c>
      <c r="Q195" s="488" t="n">
        <f aca="false">CHOOSE(J195, SQRT(K195^2+(P195^2)/12), SQRT(L195^2+(P195^2)/12), SQRT(M195^2+(P195^2)/12))</f>
        <v>6.27559196801049</v>
      </c>
      <c r="R195" s="488" t="n">
        <f aca="false">(Q195^2*Rdcr*(1+Ltc*Ta-Ltc*25))/(1-Q195^2*Rdcr*Ltc*ThetaCa)</f>
        <v>0.133340597222765</v>
      </c>
      <c r="S195" s="488" t="n">
        <f aca="false">7.759*10^-3*Fsw^0.9458*(0.00787*P195)^2.304</f>
        <v>1.18952502189925</v>
      </c>
      <c r="T195" s="488" t="n">
        <f aca="false">R195+S195</f>
        <v>1.32286561912201</v>
      </c>
      <c r="U195" s="385" t="n">
        <f aca="false">IF(H195&gt;Vout, P195/SQRT(12), SQRT(O195/(1-O195))*SQRT(K195^2+(P195^2)/12))</f>
        <v>1.83930817128555</v>
      </c>
      <c r="V195" s="488" t="n">
        <f aca="false">RCoutEsr*U195^2</f>
        <v>0.016915272744789</v>
      </c>
      <c r="W195" s="488" t="n">
        <f aca="false">V195</f>
        <v>0.016915272744789</v>
      </c>
      <c r="X195" s="488" t="n">
        <f aca="false">IF(H195&gt;Vout, SQRT(N195*(1-N195))*SQRT(K195^2+(P195^2)/12), P195/SQRT(12))</f>
        <v>2.74464249231687</v>
      </c>
      <c r="Y195" s="587" t="n">
        <f aca="false">RCinEsr*X195^2</f>
        <v>0.0150661248212627</v>
      </c>
      <c r="Z195" s="588" t="n">
        <f aca="false">Y195</f>
        <v>0.0150661248212627</v>
      </c>
      <c r="AA195" s="488" t="n">
        <f aca="false">CHOOSE(J195, SQRT(N195)*SQRT(K195^2+(P195^2)/12), SQRT(L195^2+(P195^2)/12), SQRT(N195)*SQRT(M195^2+(P195^2)/12))</f>
        <v>3.18557344170971</v>
      </c>
      <c r="AB195" s="488" t="n">
        <f aca="false">Rdson1*AA195^2</f>
        <v>0.0578429054693995</v>
      </c>
      <c r="AC195" s="488" t="n">
        <f aca="false">CHOOSE(J195, (H195*K195/2)*(Fsw)*(Tr_buck+Tf_buck), 0, (H195*M195/2)*(Fsw/2)*(Tr_buck+Tf_buck))</f>
        <v>0.286689951219512</v>
      </c>
      <c r="AD195" s="0" t="n">
        <f aca="false">IF(H195&gt;Vout, IF(K195&gt;P195/2,0,ABS(K195-P195/2)*Vsd_Q1*Deadtime*Fsw),0)</f>
        <v>0</v>
      </c>
      <c r="AE195" s="488" t="n">
        <f aca="false">(AD195+AC195+AB195*(1+RdsonTopTc*Ta-RdsonTopTc*25))/(1-AB195*RdsonTopTc*ThetaJA_Q1)</f>
        <v>0.348565262191079</v>
      </c>
      <c r="AF195" s="488" t="n">
        <f aca="false">CHOOSE(J195, SQRT((1-N195))*SQRT(K195^2+(P195^2)/12), 0, SQRT((1-N195))*SQRT(M195^2+(P195^2)/12))</f>
        <v>5.40695629688567</v>
      </c>
      <c r="AG195" s="488" t="n">
        <f aca="false">Rdson2*AF195^2</f>
        <v>0.16664050545966</v>
      </c>
      <c r="AH195" s="488" t="n">
        <f aca="false">CHOOSE(J195, IF(K195&lt;P195/2,Deadtime*Fsw*IF(VfdSky_Q2&gt;0,0,Vsd_Q2)*(K195+P195/2),2*Deadtime*Fsw*IF(VfdSky_Q2&gt;0,0,Vsd_Q2)*K195),0, IF(K195&lt;P195/2,Deadtime*Fsw/2*IF(VfdSky_Q2&gt;0,0,Vsd_Q2)*(K195+P195/2),2*Deadtime*Fsw/2*IF(VfdSky_Q2&gt;0,0,Vsd_Q2)*K195))</f>
        <v>0.144</v>
      </c>
      <c r="AI195" s="488" t="n">
        <f aca="false">(AH195+AG195*(1+RdsonBotTc*Ta-RdsonBotTc*25))/(1-AG195*RdsonBotTc*ThetaJA_Q2)</f>
        <v>0.321350507665065</v>
      </c>
      <c r="AJ195" s="488" t="n">
        <f aca="false">CHOOSE(J195, 0, SQRT(O195)*SQRT(L195^2+(P195^2)/12), SQRT(O195)*SQRT(M195^2+(P195^2)/12))</f>
        <v>0</v>
      </c>
      <c r="AK195" s="488" t="n">
        <f aca="false">Rdson4*AJ195^2</f>
        <v>0</v>
      </c>
      <c r="AL195" s="488" t="n">
        <f aca="false">CHOOSE(J195, 0, (Vout*L195/2)*(Fsw)*(Tr_boost+Tf_boost), (Vout*Iout/2)*(Fsw/2)*(Tr_boost+Tf_boost))</f>
        <v>0</v>
      </c>
      <c r="AM195" s="0" t="n">
        <f aca="false">IF(H195&gt;Vout, 0, IF(L195&gt;P195/2,0,ABS(L195-P195/2)*Vsd_Q4*Deadtime*Fsw))</f>
        <v>0</v>
      </c>
      <c r="AN195" s="488" t="n">
        <f aca="false">(AM195+AL195+AK195*(1+RdsonTopTc*Ta-RdsonTopTc*25))/(1-AK195*RdsonTopTc*ThetaJA_Q4)</f>
        <v>0</v>
      </c>
      <c r="AO195" s="488" t="n">
        <f aca="false">CHOOSE(J195, SQRT(Iout^2+(P195^2)/12), SQRT(1-O195)*SQRT(L195^2+(P195^2)/12), SQRT(1-O195)*SQRT(M195^2+(P195^2)/12))</f>
        <v>6.27559196801049</v>
      </c>
      <c r="AP195" s="488" t="n">
        <f aca="false">Rdson3*AO195^2</f>
        <v>0.0748278036430198</v>
      </c>
      <c r="AQ195" s="488" t="n">
        <f aca="false">CHOOSE(J195, 0, IF(L195&lt;P195/2,Deadtime*Fsw*IF(VfdSky_Q3&gt;0,0,Vsd_Q3)*(L195+P195/2), 2*Deadtime*Fsw*IF(VfdSky_Q3&gt;0,0,Vsd_Q3)*L195), IF(L195&lt;P195/2,Deadtime*Fsw/2*IF(VfdSky_Q3&gt;0,0,Vsd_Q3)*(L195+P195/2), 2*Deadtime*Fsw/2*IF(VfdSky_Q3&gt;0,0,Vsd_Q3)*L195))</f>
        <v>0</v>
      </c>
      <c r="AR195" s="488" t="n">
        <f aca="false">(AQ195+AP195*(1+RdsonBotTc*Ta-RdsonBotTc*25))/(1-AP195*RdsonBotTc*ThetaJA_Q3)</f>
        <v>0.0759646573356034</v>
      </c>
      <c r="AS195" s="488" t="n">
        <f aca="false">CHOOSE(J195, Rdson3*Q195^2, Rdson1*Q195^2, 0)</f>
        <v>0.0748278036430198</v>
      </c>
      <c r="AT195" s="488" t="n">
        <f aca="false">CHOOSE(J195, 2*Deadtime*Fsw*IF(VfdSky_Q2&gt;0,VfdSky_Q2,0)*K195, 2*Deadtime*Fsw*IF(VfdSky_Q3&gt;0,VfdSky_Q3,0)*L195, 2*Deadtime*Fsw/2*IF(VfdSky_Q2&gt;0,VfdSky_Q2,0)*K195+2*Deadtime*Fsw/2*IF(VfdSky_Q3&gt;0,VfdSky_Q3,0)*L195)</f>
        <v>0</v>
      </c>
      <c r="AU195" s="488" t="n">
        <f aca="false">CHOOSE(J195, IF(QrrSky_Q2&gt;0,QrrSky_Q2,Qrr_Q2)*Fsw*(H195-K195*Rdson1), IF(QrrSky_Q3&gt;0,QrrSky_Q3,Qrr_Q3)*Fsw*Vout,  IF(QrrSky_Q2&gt;0,QrrSky_Q2,Qrr_Q2)*Fsw/2*(H195-K195*Rdson1)+IF(QrrSky_Q3&gt;0,QrrSky_Q3,Qrr_Q3)*Fsw/2*Vout)</f>
        <v>0.88614162</v>
      </c>
      <c r="AV195" s="488" t="n">
        <f aca="false">CHOOSE(J195, Rs*AF195^2, Rs*AJ195^2, Rs*(AF195^2+AJ195^2))</f>
        <v>0.233881411171453</v>
      </c>
      <c r="AW195" s="488" t="n">
        <f aca="false">Rshunt_std/1000*Iout^2</f>
        <v>0.14832</v>
      </c>
      <c r="AX195" s="488" t="n">
        <f aca="false">IF(Vout&gt;8, Iq*Vout, Iq*H195)</f>
        <v>0.036</v>
      </c>
      <c r="AY195" s="488" t="n">
        <f aca="false">CHOOSE(J195, (Qg_Q1+Qg_Q2)*Fsw, (Qg_Q3+Qg_Q4)*Fsw, (Qg_Q1+Qg_Q2+Qg_Q3+Qg_Q4)*Fsw/2)*IF(Vout&gt;8, Vout, H195)</f>
        <v>0.0792</v>
      </c>
      <c r="AZ195" s="488" t="n">
        <f aca="false">(Vin-Vdd)*Fsw*(Qg_Q1+Qg_Q2)+(RdsonDRT+RdsonDRT2)*Fsw*Qg_Q1*Vdd/(RdsonDRT+2*Rgate1+RdsonDRT2)+(RdsonDRB+RdsonDRB2)*Fsw*Qg_Q2*Vdd/(RdsonDRB+2*Rgate2+RdsonDRB2)</f>
        <v>0.0522</v>
      </c>
      <c r="BA195" s="488" t="n">
        <f aca="false">SUM(AX195:AY195)</f>
        <v>0.1152</v>
      </c>
      <c r="BB195" s="488" t="n">
        <f aca="false">SUM(T195,W195,Z195,AE195,AI195,AN195,AR195, AT195,AU195,BA195,AV195,AW195)</f>
        <v>3.48427047505126</v>
      </c>
      <c r="BC195" s="419" t="n">
        <f aca="false">Vout*K195</f>
        <v>72</v>
      </c>
      <c r="BD195" s="589" t="n">
        <f aca="false">BC195/(BC195+BB195)</f>
        <v>0.953841105529358</v>
      </c>
      <c r="BE195" s="590" t="n">
        <f aca="false">IF(H195&gt;Vout,ThetaJA_Q1*(AE195+AU195),ThetaJA_Q4*(AN195+AU195))</f>
        <v>61.7353441095539</v>
      </c>
      <c r="BF195" s="590" t="n">
        <f aca="false">IF(H195&gt;Vout, AI195*ThetaJA_Q2, ThetaJA_Q3*AR195)</f>
        <v>16.0675253832533</v>
      </c>
      <c r="BG195" s="536"/>
      <c r="BH195" s="385" t="n">
        <f aca="false">BD195*100</f>
        <v>95.3841105529358</v>
      </c>
      <c r="BI195" s="488" t="n">
        <f aca="false">T195</f>
        <v>1.32286561912201</v>
      </c>
      <c r="BJ195" s="488" t="n">
        <f aca="false">AE195+AI195+AN195+AR195+AU195</f>
        <v>1.63202204719175</v>
      </c>
      <c r="BK195" s="488" t="n">
        <f aca="false">AI195+AU195*0.33</f>
        <v>0.613777242265065</v>
      </c>
      <c r="BL195" s="488" t="n">
        <f aca="false">AV195</f>
        <v>0.233881411171453</v>
      </c>
    </row>
    <row r="196" customFormat="false" ht="12.75" hidden="false" customHeight="false" outlineLevel="0" collapsed="false">
      <c r="G196" s="0" t="n">
        <v>187</v>
      </c>
      <c r="H196" s="586" t="n">
        <f aca="false">VIN_min+(VIN_max-VIN_min)*(G196/200)</f>
        <v>47.14</v>
      </c>
      <c r="I196" s="385" t="str">
        <f aca="false">IF(H196&gt;VIN_BB_to_buck, "BUCK", IF(H196&lt;VIN_boost_to_BB,"BOOST","BUCK-BST"))</f>
        <v>BUCK</v>
      </c>
      <c r="J196" s="419" t="n">
        <f aca="false">IF(I196="BOOST",2, IF(I196="BUCK", 1,3))</f>
        <v>1</v>
      </c>
      <c r="K196" s="0" t="n">
        <f aca="false">Iout</f>
        <v>6</v>
      </c>
      <c r="L196" s="385" t="n">
        <f aca="false">Vout*K196/(H196*Efficiency)</f>
        <v>1.69707254985151</v>
      </c>
      <c r="M196" s="385" t="n">
        <f aca="false">Iout/(1-O196)</f>
        <v>6</v>
      </c>
      <c r="N196" s="488" t="n">
        <f aca="false">CHOOSE(J196,(Vout+(Rdson2+Rs+Rdcr)*K196)/(H196+(Rs+Rdson2-Rdson1)*K196),1,IF(H196&lt;Vout,D_max_buck_BB,Vout/H196*(1-D_min_boost_exitBB_to_buck)))</f>
        <v>0.256469865219971</v>
      </c>
      <c r="O196" s="488" t="n">
        <f aca="false">CHOOSE(J196,0,(Vout+(Rdson3+Rdcr)*L196-H196)/(Vout+(Rdson3-Rdson4-Rs)*L196),IF(H196&gt;Vout,D_min_boost_exitBB_to_buck, (Vout-H196*D_max_buck_BB)/Vout))</f>
        <v>0</v>
      </c>
      <c r="P196" s="385" t="n">
        <f aca="false">MAX(0, CHOOSE(J196, (H196-(Rdson1+Rdcr)*K196-Vout)*N196/(Fsw*Lf), (H196-(Rdson4+Rdcr+Rs)*L196)*O196/(Fsw*Lf), IF(H196&lt;Vout, (H196-(Rdson4+Rdcr+Rs)*L196)*O196/(0.5*Fsw*Lf),(H196-(Rdson1+Rdcr)*K196-Vout)*N196/(0.5*Fsw*Lf))))</f>
        <v>6.3818615249279</v>
      </c>
      <c r="Q196" s="488" t="n">
        <f aca="false">CHOOSE(J196, SQRT(K196^2+(P196^2)/12), SQRT(L196^2+(P196^2)/12), SQRT(M196^2+(P196^2)/12))</f>
        <v>6.27646501174132</v>
      </c>
      <c r="R196" s="488" t="n">
        <f aca="false">(Q196^2*Rdcr*(1+Ltc*Ta-Ltc*25))/(1-Q196^2*Rdcr*Ltc*ThetaCa)</f>
        <v>0.13337809567826</v>
      </c>
      <c r="S196" s="488" t="n">
        <f aca="false">7.759*10^-3*Fsw^0.9458*(0.00787*P196)^2.304</f>
        <v>1.1939649380162</v>
      </c>
      <c r="T196" s="488" t="n">
        <f aca="false">R196+S196</f>
        <v>1.32734303369446</v>
      </c>
      <c r="U196" s="385" t="n">
        <f aca="false">IF(H196&gt;Vout, P196/SQRT(12), SQRT(O196/(1-O196))*SQRT(K196^2+(P196^2)/12))</f>
        <v>1.84228473467402</v>
      </c>
      <c r="V196" s="488" t="n">
        <f aca="false">RCoutEsr*U196^2</f>
        <v>0.0169700652180646</v>
      </c>
      <c r="W196" s="488" t="n">
        <f aca="false">V196</f>
        <v>0.0169700652180646</v>
      </c>
      <c r="X196" s="488" t="n">
        <f aca="false">IF(H196&gt;Vout, SQRT(N196*(1-N196))*SQRT(K196^2+(P196^2)/12), P196/SQRT(12))</f>
        <v>2.74083297976625</v>
      </c>
      <c r="Y196" s="587" t="n">
        <f aca="false">RCinEsr*X196^2</f>
        <v>0.0150243308459487</v>
      </c>
      <c r="Z196" s="588" t="n">
        <f aca="false">Y196</f>
        <v>0.0150243308459487</v>
      </c>
      <c r="AA196" s="488" t="n">
        <f aca="false">CHOOSE(J196, SQRT(N196)*SQRT(K196^2+(P196^2)/12), SQRT(L196^2+(P196^2)/12), SQRT(N196)*SQRT(M196^2+(P196^2)/12))</f>
        <v>3.17858100663947</v>
      </c>
      <c r="AB196" s="488" t="n">
        <f aca="false">Rdson1*AA196^2</f>
        <v>0.0575892501298844</v>
      </c>
      <c r="AC196" s="488" t="n">
        <f aca="false">CHOOSE(J196, (H196*K196/2)*(Fsw)*(Tr_buck+Tf_buck), 0, (H196*M196/2)*(Fsw/2)*(Tr_buck+Tf_buck))</f>
        <v>0.288034192252511</v>
      </c>
      <c r="AD196" s="0" t="n">
        <f aca="false">IF(H196&gt;Vout, IF(K196&gt;P196/2,0,ABS(K196-P196/2)*Vsd_Q1*Deadtime*Fsw),0)</f>
        <v>0</v>
      </c>
      <c r="AE196" s="488" t="n">
        <f aca="false">(AD196+AC196+AB196*(1+RdsonTopTc*Ta-RdsonTopTc*25))/(1-AB196*RdsonTopTc*ThetaJA_Q1)</f>
        <v>0.349650666318535</v>
      </c>
      <c r="AF196" s="488" t="n">
        <f aca="false">CHOOSE(J196, SQRT((1-N196))*SQRT(K196^2+(P196^2)/12), 0, SQRT((1-N196))*SQRT(M196^2+(P196^2)/12))</f>
        <v>5.41208239292823</v>
      </c>
      <c r="AG196" s="488" t="n">
        <f aca="false">Rdson2*AF196^2</f>
        <v>0.166956624218709</v>
      </c>
      <c r="AH196" s="488" t="n">
        <f aca="false">CHOOSE(J196, IF(K196&lt;P196/2,Deadtime*Fsw*IF(VfdSky_Q2&gt;0,0,Vsd_Q2)*(K196+P196/2),2*Deadtime*Fsw*IF(VfdSky_Q2&gt;0,0,Vsd_Q2)*K196),0, IF(K196&lt;P196/2,Deadtime*Fsw/2*IF(VfdSky_Q2&gt;0,0,Vsd_Q2)*(K196+P196/2),2*Deadtime*Fsw/2*IF(VfdSky_Q2&gt;0,0,Vsd_Q2)*K196))</f>
        <v>0.144</v>
      </c>
      <c r="AI196" s="488" t="n">
        <f aca="false">(AH196+AG196*(1+RdsonBotTc*Ta-RdsonBotTc*25))/(1-AG196*RdsonBotTc*ThetaJA_Q2)</f>
        <v>0.321698565521814</v>
      </c>
      <c r="AJ196" s="488" t="n">
        <f aca="false">CHOOSE(J196, 0, SQRT(O196)*SQRT(L196^2+(P196^2)/12), SQRT(O196)*SQRT(M196^2+(P196^2)/12))</f>
        <v>0</v>
      </c>
      <c r="AK196" s="488" t="n">
        <f aca="false">Rdson4*AJ196^2</f>
        <v>0</v>
      </c>
      <c r="AL196" s="488" t="n">
        <f aca="false">CHOOSE(J196, 0, (Vout*L196/2)*(Fsw)*(Tr_boost+Tf_boost), (Vout*Iout/2)*(Fsw/2)*(Tr_boost+Tf_boost))</f>
        <v>0</v>
      </c>
      <c r="AM196" s="0" t="n">
        <f aca="false">IF(H196&gt;Vout, 0, IF(L196&gt;P196/2,0,ABS(L196-P196/2)*Vsd_Q4*Deadtime*Fsw))</f>
        <v>0</v>
      </c>
      <c r="AN196" s="488" t="n">
        <f aca="false">(AM196+AL196+AK196*(1+RdsonTopTc*Ta-RdsonTopTc*25))/(1-AK196*RdsonTopTc*ThetaJA_Q4)</f>
        <v>0</v>
      </c>
      <c r="AO196" s="488" t="n">
        <f aca="false">CHOOSE(J196, SQRT(Iout^2+(P196^2)/12), SQRT(1-O196)*SQRT(L196^2+(P196^2)/12), SQRT(1-O196)*SQRT(M196^2+(P196^2)/12))</f>
        <v>6.27646501174132</v>
      </c>
      <c r="AP196" s="488" t="n">
        <f aca="false">Rdson3*AO196^2</f>
        <v>0.0748486247828646</v>
      </c>
      <c r="AQ196" s="488" t="n">
        <f aca="false">CHOOSE(J196, 0, IF(L196&lt;P196/2,Deadtime*Fsw*IF(VfdSky_Q3&gt;0,0,Vsd_Q3)*(L196+P196/2), 2*Deadtime*Fsw*IF(VfdSky_Q3&gt;0,0,Vsd_Q3)*L196), IF(L196&lt;P196/2,Deadtime*Fsw/2*IF(VfdSky_Q3&gt;0,0,Vsd_Q3)*(L196+P196/2), 2*Deadtime*Fsw/2*IF(VfdSky_Q3&gt;0,0,Vsd_Q3)*L196))</f>
        <v>0</v>
      </c>
      <c r="AR196" s="488" t="n">
        <f aca="false">(AQ196+AP196*(1+RdsonBotTc*Ta-RdsonBotTc*25))/(1-AP196*RdsonBotTc*ThetaJA_Q3)</f>
        <v>0.0759861160405092</v>
      </c>
      <c r="AS196" s="488" t="n">
        <f aca="false">CHOOSE(J196, Rdson3*Q196^2, Rdson1*Q196^2, 0)</f>
        <v>0.0748486247828646</v>
      </c>
      <c r="AT196" s="488" t="n">
        <f aca="false">CHOOSE(J196, 2*Deadtime*Fsw*IF(VfdSky_Q2&gt;0,VfdSky_Q2,0)*K196, 2*Deadtime*Fsw*IF(VfdSky_Q3&gt;0,VfdSky_Q3,0)*L196, 2*Deadtime*Fsw/2*IF(VfdSky_Q2&gt;0,VfdSky_Q2,0)*K196+2*Deadtime*Fsw/2*IF(VfdSky_Q3&gt;0,VfdSky_Q3,0)*L196)</f>
        <v>0</v>
      </c>
      <c r="AU196" s="488" t="n">
        <f aca="false">CHOOSE(J196, IF(QrrSky_Q2&gt;0,QrrSky_Q2,Qrr_Q2)*Fsw*(H196-K196*Rdson1), IF(QrrSky_Q3&gt;0,QrrSky_Q3,Qrr_Q3)*Fsw*Vout,  IF(QrrSky_Q2&gt;0,QrrSky_Q2,Qrr_Q2)*Fsw/2*(H196-K196*Rdson1)+IF(QrrSky_Q3&gt;0,QrrSky_Q3,Qrr_Q3)*Fsw/2*Vout)</f>
        <v>0.89029962</v>
      </c>
      <c r="AV196" s="488" t="n">
        <f aca="false">CHOOSE(J196, Rs*AF196^2, Rs*AJ196^2, Rs*(AF196^2+AJ196^2))</f>
        <v>0.23432508662275</v>
      </c>
      <c r="AW196" s="488" t="n">
        <f aca="false">Rshunt_std/1000*Iout^2</f>
        <v>0.14832</v>
      </c>
      <c r="AX196" s="488" t="n">
        <f aca="false">IF(Vout&gt;8, Iq*Vout, Iq*H196)</f>
        <v>0.036</v>
      </c>
      <c r="AY196" s="488" t="n">
        <f aca="false">CHOOSE(J196, (Qg_Q1+Qg_Q2)*Fsw, (Qg_Q3+Qg_Q4)*Fsw, (Qg_Q1+Qg_Q2+Qg_Q3+Qg_Q4)*Fsw/2)*IF(Vout&gt;8, Vout, H196)</f>
        <v>0.0792</v>
      </c>
      <c r="AZ196" s="488" t="n">
        <f aca="false">(Vin-Vdd)*Fsw*(Qg_Q1+Qg_Q2)+(RdsonDRT+RdsonDRT2)*Fsw*Qg_Q1*Vdd/(RdsonDRT+2*Rgate1+RdsonDRT2)+(RdsonDRB+RdsonDRB2)*Fsw*Qg_Q2*Vdd/(RdsonDRB+2*Rgate2+RdsonDRB2)</f>
        <v>0.0522</v>
      </c>
      <c r="BA196" s="488" t="n">
        <f aca="false">SUM(AX196:AY196)</f>
        <v>0.1152</v>
      </c>
      <c r="BB196" s="488" t="n">
        <f aca="false">SUM(T196,W196,Z196,AE196,AI196,AN196,AR196, AT196,AU196,BA196,AV196,AW196)</f>
        <v>3.49481748426208</v>
      </c>
      <c r="BC196" s="419" t="n">
        <f aca="false">Vout*K196</f>
        <v>72</v>
      </c>
      <c r="BD196" s="589" t="n">
        <f aca="false">BC196/(BC196+BB196)</f>
        <v>0.953707849085262</v>
      </c>
      <c r="BE196" s="590" t="n">
        <f aca="false">IF(H196&gt;Vout,ThetaJA_Q1*(AE196+AU196),ThetaJA_Q4*(AN196+AU196))</f>
        <v>61.9975143159268</v>
      </c>
      <c r="BF196" s="590" t="n">
        <f aca="false">IF(H196&gt;Vout, AI196*ThetaJA_Q2, ThetaJA_Q3*AR196)</f>
        <v>16.0849282760907</v>
      </c>
      <c r="BG196" s="536"/>
      <c r="BH196" s="385" t="n">
        <f aca="false">BD196*100</f>
        <v>95.3707849085262</v>
      </c>
      <c r="BI196" s="488" t="n">
        <f aca="false">T196</f>
        <v>1.32734303369446</v>
      </c>
      <c r="BJ196" s="488" t="n">
        <f aca="false">AE196+AI196+AN196+AR196+AU196</f>
        <v>1.63763496788086</v>
      </c>
      <c r="BK196" s="488" t="n">
        <f aca="false">AI196+AU196*0.33</f>
        <v>0.615497440121814</v>
      </c>
      <c r="BL196" s="488" t="n">
        <f aca="false">AV196</f>
        <v>0.23432508662275</v>
      </c>
    </row>
    <row r="197" customFormat="false" ht="12.75" hidden="false" customHeight="false" outlineLevel="0" collapsed="false">
      <c r="G197" s="0" t="n">
        <v>188</v>
      </c>
      <c r="H197" s="586" t="n">
        <f aca="false">VIN_min+(VIN_max-VIN_min)*(G197/200)</f>
        <v>47.36</v>
      </c>
      <c r="I197" s="385" t="str">
        <f aca="false">IF(H197&gt;VIN_BB_to_buck, "BUCK", IF(H197&lt;VIN_boost_to_BB,"BOOST","BUCK-BST"))</f>
        <v>BUCK</v>
      </c>
      <c r="J197" s="419" t="n">
        <f aca="false">IF(I197="BOOST",2, IF(I197="BUCK", 1,3))</f>
        <v>1</v>
      </c>
      <c r="K197" s="0" t="n">
        <f aca="false">Iout</f>
        <v>6</v>
      </c>
      <c r="L197" s="385" t="n">
        <f aca="false">Vout*K197/(H197*Efficiency)</f>
        <v>1.68918918918919</v>
      </c>
      <c r="M197" s="385" t="n">
        <f aca="false">Iout/(1-O197)</f>
        <v>6</v>
      </c>
      <c r="N197" s="488" t="n">
        <f aca="false">CHOOSE(J197,(Vout+(Rdson2+Rs+Rdcr)*K197)/(H197+(Rs+Rdson2-Rdson1)*K197),1,IF(H197&lt;Vout,D_max_buck_BB,Vout/H197*(1-D_min_boost_exitBB_to_buck)))</f>
        <v>0.255279699628755</v>
      </c>
      <c r="O197" s="488" t="n">
        <f aca="false">CHOOSE(J197,0,(Vout+(Rdson3+Rdcr)*L197-H197)/(Vout+(Rdson3-Rdson4-Rs)*L197),IF(H197&gt;Vout,D_min_boost_exitBB_to_buck, (Vout-H197*D_max_buck_BB)/Vout))</f>
        <v>0</v>
      </c>
      <c r="P197" s="385" t="n">
        <f aca="false">MAX(0, CHOOSE(J197, (H197-(Rdson1+Rdcr)*K197-Vout)*N197/(Fsw*Lf), (H197-(Rdson4+Rdcr+Rs)*L197)*O197/(Fsw*Lf), IF(H197&lt;Vout, (H197-(Rdson4+Rdcr+Rs)*L197)*O197/(0.5*Fsw*Lf),(H197-(Rdson1+Rdcr)*K197-Vout)*N197/(0.5*Fsw*Lf))))</f>
        <v>6.39207694410136</v>
      </c>
      <c r="Q197" s="488" t="n">
        <f aca="false">CHOOSE(J197, SQRT(K197^2+(P197^2)/12), SQRT(L197^2+(P197^2)/12), SQRT(M197^2+(P197^2)/12))</f>
        <v>6.27733122472781</v>
      </c>
      <c r="R197" s="488" t="n">
        <f aca="false">(Q197^2*Rdcr*(1+Ltc*Ta-Ltc*25))/(1-Q197^2*Rdcr*Ltc*ThetaCa)</f>
        <v>0.133415306118994</v>
      </c>
      <c r="S197" s="488" t="n">
        <f aca="false">7.759*10^-3*Fsw^0.9458*(0.00787*P197)^2.304</f>
        <v>1.19837288085164</v>
      </c>
      <c r="T197" s="488" t="n">
        <f aca="false">R197+S197</f>
        <v>1.33178818697063</v>
      </c>
      <c r="U197" s="385" t="n">
        <f aca="false">IF(H197&gt;Vout, P197/SQRT(12), SQRT(O197/(1-O197))*SQRT(K197^2+(P197^2)/12))</f>
        <v>1.84523367217886</v>
      </c>
      <c r="V197" s="488" t="n">
        <f aca="false">RCoutEsr*U197^2</f>
        <v>0.0170244365247134</v>
      </c>
      <c r="W197" s="488" t="n">
        <f aca="false">V197</f>
        <v>0.0170244365247134</v>
      </c>
      <c r="X197" s="488" t="n">
        <f aca="false">IF(H197&gt;Vout, SQRT(N197*(1-N197))*SQRT(K197^2+(P197^2)/12), P197/SQRT(12))</f>
        <v>2.73703140900678</v>
      </c>
      <c r="Y197" s="587" t="n">
        <f aca="false">RCinEsr*X197^2</f>
        <v>0.0149826818677793</v>
      </c>
      <c r="Z197" s="588" t="n">
        <f aca="false">Y197</f>
        <v>0.0149826818677793</v>
      </c>
      <c r="AA197" s="488" t="n">
        <f aca="false">CHOOSE(J197, SQRT(N197)*SQRT(K197^2+(P197^2)/12), SQRT(L197^2+(P197^2)/12), SQRT(N197)*SQRT(M197^2+(P197^2)/12))</f>
        <v>3.1716348773323</v>
      </c>
      <c r="AB197" s="488" t="n">
        <f aca="false">Rdson1*AA197^2</f>
        <v>0.057337826432131</v>
      </c>
      <c r="AC197" s="488" t="n">
        <f aca="false">CHOOSE(J197, (H197*K197/2)*(Fsw)*(Tr_buck+Tf_buck), 0, (H197*M197/2)*(Fsw/2)*(Tr_buck+Tf_buck))</f>
        <v>0.289378433285509</v>
      </c>
      <c r="AD197" s="0" t="n">
        <f aca="false">IF(H197&gt;Vout, IF(K197&gt;P197/2,0,ABS(K197-P197/2)*Vsd_Q1*Deadtime*Fsw),0)</f>
        <v>0</v>
      </c>
      <c r="AE197" s="488" t="n">
        <f aca="false">(AD197+AC197+AB197*(1+RdsonTopTc*Ta-RdsonTopTc*25))/(1-AB197*RdsonTopTc*ThetaJA_Q1)</f>
        <v>0.350738374930612</v>
      </c>
      <c r="AF197" s="488" t="n">
        <f aca="false">CHOOSE(J197, SQRT((1-N197))*SQRT(K197^2+(P197^2)/12), 0, SQRT((1-N197))*SQRT(M197^2+(P197^2)/12))</f>
        <v>5.41715972718472</v>
      </c>
      <c r="AG197" s="488" t="n">
        <f aca="false">Rdson2*AF197^2</f>
        <v>0.167270031206042</v>
      </c>
      <c r="AH197" s="488" t="n">
        <f aca="false">CHOOSE(J197, IF(K197&lt;P197/2,Deadtime*Fsw*IF(VfdSky_Q2&gt;0,0,Vsd_Q2)*(K197+P197/2),2*Deadtime*Fsw*IF(VfdSky_Q2&gt;0,0,Vsd_Q2)*K197),0, IF(K197&lt;P197/2,Deadtime*Fsw/2*IF(VfdSky_Q2&gt;0,0,Vsd_Q2)*(K197+P197/2),2*Deadtime*Fsw/2*IF(VfdSky_Q2&gt;0,0,Vsd_Q2)*K197))</f>
        <v>0.144</v>
      </c>
      <c r="AI197" s="488" t="n">
        <f aca="false">(AH197+AG197*(1+RdsonBotTc*Ta-RdsonBotTc*25))/(1-AG197*RdsonBotTc*ThetaJA_Q2)</f>
        <v>0.322043682572774</v>
      </c>
      <c r="AJ197" s="488" t="n">
        <f aca="false">CHOOSE(J197, 0, SQRT(O197)*SQRT(L197^2+(P197^2)/12), SQRT(O197)*SQRT(M197^2+(P197^2)/12))</f>
        <v>0</v>
      </c>
      <c r="AK197" s="488" t="n">
        <f aca="false">Rdson4*AJ197^2</f>
        <v>0</v>
      </c>
      <c r="AL197" s="488" t="n">
        <f aca="false">CHOOSE(J197, 0, (Vout*L197/2)*(Fsw)*(Tr_boost+Tf_boost), (Vout*Iout/2)*(Fsw/2)*(Tr_boost+Tf_boost))</f>
        <v>0</v>
      </c>
      <c r="AM197" s="0" t="n">
        <f aca="false">IF(H197&gt;Vout, 0, IF(L197&gt;P197/2,0,ABS(L197-P197/2)*Vsd_Q4*Deadtime*Fsw))</f>
        <v>0</v>
      </c>
      <c r="AN197" s="488" t="n">
        <f aca="false">(AM197+AL197+AK197*(1+RdsonTopTc*Ta-RdsonTopTc*25))/(1-AK197*RdsonTopTc*ThetaJA_Q4)</f>
        <v>0</v>
      </c>
      <c r="AO197" s="488" t="n">
        <f aca="false">CHOOSE(J197, SQRT(Iout^2+(P197^2)/12), SQRT(1-O197)*SQRT(L197^2+(P197^2)/12), SQRT(1-O197)*SQRT(M197^2+(P197^2)/12))</f>
        <v>6.27733122472781</v>
      </c>
      <c r="AP197" s="488" t="n">
        <f aca="false">Rdson3*AO197^2</f>
        <v>0.0748692858793911</v>
      </c>
      <c r="AQ197" s="488" t="n">
        <f aca="false">CHOOSE(J197, 0, IF(L197&lt;P197/2,Deadtime*Fsw*IF(VfdSky_Q3&gt;0,0,Vsd_Q3)*(L197+P197/2), 2*Deadtime*Fsw*IF(VfdSky_Q3&gt;0,0,Vsd_Q3)*L197), IF(L197&lt;P197/2,Deadtime*Fsw/2*IF(VfdSky_Q3&gt;0,0,Vsd_Q3)*(L197+P197/2), 2*Deadtime*Fsw/2*IF(VfdSky_Q3&gt;0,0,Vsd_Q3)*L197))</f>
        <v>0</v>
      </c>
      <c r="AR197" s="488" t="n">
        <f aca="false">(AQ197+AP197*(1+RdsonBotTc*Ta-RdsonBotTc*25))/(1-AP197*RdsonBotTc*ThetaJA_Q3)</f>
        <v>0.0760074099807513</v>
      </c>
      <c r="AS197" s="488" t="n">
        <f aca="false">CHOOSE(J197, Rdson3*Q197^2, Rdson1*Q197^2, 0)</f>
        <v>0.0748692858793911</v>
      </c>
      <c r="AT197" s="488" t="n">
        <f aca="false">CHOOSE(J197, 2*Deadtime*Fsw*IF(VfdSky_Q2&gt;0,VfdSky_Q2,0)*K197, 2*Deadtime*Fsw*IF(VfdSky_Q3&gt;0,VfdSky_Q3,0)*L197, 2*Deadtime*Fsw/2*IF(VfdSky_Q2&gt;0,VfdSky_Q2,0)*K197+2*Deadtime*Fsw/2*IF(VfdSky_Q3&gt;0,VfdSky_Q3,0)*L197)</f>
        <v>0</v>
      </c>
      <c r="AU197" s="488" t="n">
        <f aca="false">CHOOSE(J197, IF(QrrSky_Q2&gt;0,QrrSky_Q2,Qrr_Q2)*Fsw*(H197-K197*Rdson1), IF(QrrSky_Q3&gt;0,QrrSky_Q3,Qrr_Q3)*Fsw*Vout,  IF(QrrSky_Q2&gt;0,QrrSky_Q2,Qrr_Q2)*Fsw/2*(H197-K197*Rdson1)+IF(QrrSky_Q3&gt;0,QrrSky_Q3,Qrr_Q3)*Fsw/2*Vout)</f>
        <v>0.89445762</v>
      </c>
      <c r="AV197" s="488" t="n">
        <f aca="false">CHOOSE(J197, Rs*AF197^2, Rs*AJ197^2, Rs*(AF197^2+AJ197^2))</f>
        <v>0.234764956078656</v>
      </c>
      <c r="AW197" s="488" t="n">
        <f aca="false">Rshunt_std/1000*Iout^2</f>
        <v>0.14832</v>
      </c>
      <c r="AX197" s="488" t="n">
        <f aca="false">IF(Vout&gt;8, Iq*Vout, Iq*H197)</f>
        <v>0.036</v>
      </c>
      <c r="AY197" s="488" t="n">
        <f aca="false">CHOOSE(J197, (Qg_Q1+Qg_Q2)*Fsw, (Qg_Q3+Qg_Q4)*Fsw, (Qg_Q1+Qg_Q2+Qg_Q3+Qg_Q4)*Fsw/2)*IF(Vout&gt;8, Vout, H197)</f>
        <v>0.0792</v>
      </c>
      <c r="AZ197" s="488" t="n">
        <f aca="false">(Vin-Vdd)*Fsw*(Qg_Q1+Qg_Q2)+(RdsonDRT+RdsonDRT2)*Fsw*Qg_Q1*Vdd/(RdsonDRT+2*Rgate1+RdsonDRT2)+(RdsonDRB+RdsonDRB2)*Fsw*Qg_Q2*Vdd/(RdsonDRB+2*Rgate2+RdsonDRB2)</f>
        <v>0.0522</v>
      </c>
      <c r="BA197" s="488" t="n">
        <f aca="false">SUM(AX197:AY197)</f>
        <v>0.1152</v>
      </c>
      <c r="BB197" s="488" t="n">
        <f aca="false">SUM(T197,W197,Z197,AE197,AI197,AN197,AR197, AT197,AU197,BA197,AV197,AW197)</f>
        <v>3.50532734892591</v>
      </c>
      <c r="BC197" s="419" t="n">
        <f aca="false">Vout*K197</f>
        <v>72</v>
      </c>
      <c r="BD197" s="589" t="n">
        <f aca="false">BC197/(BC197+BB197)</f>
        <v>0.953575098976433</v>
      </c>
      <c r="BE197" s="590" t="n">
        <f aca="false">IF(H197&gt;Vout,ThetaJA_Q1*(AE197+AU197),ThetaJA_Q4*(AN197+AU197))</f>
        <v>62.2597997465306</v>
      </c>
      <c r="BF197" s="590" t="n">
        <f aca="false">IF(H197&gt;Vout, AI197*ThetaJA_Q2, ThetaJA_Q3*AR197)</f>
        <v>16.1021841286387</v>
      </c>
      <c r="BG197" s="536"/>
      <c r="BH197" s="385" t="n">
        <f aca="false">BD197*100</f>
        <v>95.3575098976433</v>
      </c>
      <c r="BI197" s="488" t="n">
        <f aca="false">T197</f>
        <v>1.33178818697063</v>
      </c>
      <c r="BJ197" s="488" t="n">
        <f aca="false">AE197+AI197+AN197+AR197+AU197</f>
        <v>1.64324708748414</v>
      </c>
      <c r="BK197" s="488" t="n">
        <f aca="false">AI197+AU197*0.33</f>
        <v>0.617214697172774</v>
      </c>
      <c r="BL197" s="488" t="n">
        <f aca="false">AV197</f>
        <v>0.234764956078656</v>
      </c>
    </row>
    <row r="198" customFormat="false" ht="12.75" hidden="false" customHeight="false" outlineLevel="0" collapsed="false">
      <c r="G198" s="0" t="n">
        <v>189</v>
      </c>
      <c r="H198" s="586" t="n">
        <f aca="false">VIN_min+(VIN_max-VIN_min)*(G198/200)</f>
        <v>47.58</v>
      </c>
      <c r="I198" s="385" t="str">
        <f aca="false">IF(H198&gt;VIN_BB_to_buck, "BUCK", IF(H198&lt;VIN_boost_to_BB,"BOOST","BUCK-BST"))</f>
        <v>BUCK</v>
      </c>
      <c r="J198" s="419" t="n">
        <f aca="false">IF(I198="BOOST",2, IF(I198="BUCK", 1,3))</f>
        <v>1</v>
      </c>
      <c r="K198" s="0" t="n">
        <f aca="false">Iout</f>
        <v>6</v>
      </c>
      <c r="L198" s="385" t="n">
        <f aca="false">Vout*K198/(H198*Efficiency)</f>
        <v>1.68137873055906</v>
      </c>
      <c r="M198" s="385" t="n">
        <f aca="false">Iout/(1-O198)</f>
        <v>6</v>
      </c>
      <c r="N198" s="488" t="n">
        <f aca="false">CHOOSE(J198,(Vout+(Rdson2+Rs+Rdcr)*K198)/(H198+(Rs+Rdson2-Rdson1)*K198),1,IF(H198&lt;Vout,D_max_buck_BB,Vout/H198*(1-D_min_boost_exitBB_to_buck)))</f>
        <v>0.254100529100529</v>
      </c>
      <c r="O198" s="488" t="n">
        <f aca="false">CHOOSE(J198,0,(Vout+(Rdson3+Rdcr)*L198-H198)/(Vout+(Rdson3-Rdson4-Rs)*L198),IF(H198&gt;Vout,D_min_boost_exitBB_to_buck, (Vout-H198*D_max_buck_BB)/Vout))</f>
        <v>0</v>
      </c>
      <c r="P198" s="385" t="n">
        <f aca="false">MAX(0, CHOOSE(J198, (H198-(Rdson1+Rdcr)*K198-Vout)*N198/(Fsw*Lf), (H198-(Rdson4+Rdcr+Rs)*L198)*O198/(Fsw*Lf), IF(H198&lt;Vout, (H198-(Rdson4+Rdcr+Rs)*L198)*O198/(0.5*Fsw*Lf),(H198-(Rdson1+Rdcr)*K198-Vout)*N198/(0.5*Fsw*Lf))))</f>
        <v>6.40219799054374</v>
      </c>
      <c r="Q198" s="488" t="n">
        <f aca="false">CHOOSE(J198, SQRT(K198^2+(P198^2)/12), SQRT(L198^2+(P198^2)/12), SQRT(M198^2+(P198^2)/12))</f>
        <v>6.27819068356297</v>
      </c>
      <c r="R198" s="488" t="n">
        <f aca="false">(Q198^2*Rdcr*(1+Ltc*Ta-Ltc*25))/(1-Q198^2*Rdcr*Ltc*ThetaCa)</f>
        <v>0.133452231709353</v>
      </c>
      <c r="S198" s="488" t="n">
        <f aca="false">7.759*10^-3*Fsw^0.9458*(0.00787*P198)^2.304</f>
        <v>1.2027491705099</v>
      </c>
      <c r="T198" s="488" t="n">
        <f aca="false">R198+S198</f>
        <v>1.33620140221925</v>
      </c>
      <c r="U198" s="385" t="n">
        <f aca="false">IF(H198&gt;Vout, P198/SQRT(12), SQRT(O198/(1-O198))*SQRT(K198^2+(P198^2)/12))</f>
        <v>1.84815536662285</v>
      </c>
      <c r="V198" s="488" t="n">
        <f aca="false">RCoutEsr*U198^2</f>
        <v>0.0170783912958843</v>
      </c>
      <c r="W198" s="488" t="n">
        <f aca="false">V198</f>
        <v>0.0170783912958843</v>
      </c>
      <c r="X198" s="488" t="n">
        <f aca="false">IF(H198&gt;Vout, SQRT(N198*(1-N198))*SQRT(K198^2+(P198^2)/12), P198/SQRT(12))</f>
        <v>2.73323791369919</v>
      </c>
      <c r="Y198" s="587" t="n">
        <f aca="false">RCinEsr*X198^2</f>
        <v>0.0149411789857654</v>
      </c>
      <c r="Z198" s="588" t="n">
        <f aca="false">Y198</f>
        <v>0.0149411789857654</v>
      </c>
      <c r="AA198" s="488" t="n">
        <f aca="false">CHOOSE(J198, SQRT(N198)*SQRT(K198^2+(P198^2)/12), SQRT(L198^2+(P198^2)/12), SQRT(N198)*SQRT(M198^2+(P198^2)/12))</f>
        <v>3.16473453871143</v>
      </c>
      <c r="AB198" s="488" t="n">
        <f aca="false">Rdson1*AA198^2</f>
        <v>0.0570886047929244</v>
      </c>
      <c r="AC198" s="488" t="n">
        <f aca="false">CHOOSE(J198, (H198*K198/2)*(Fsw)*(Tr_buck+Tf_buck), 0, (H198*M198/2)*(Fsw/2)*(Tr_buck+Tf_buck))</f>
        <v>0.290722674318508</v>
      </c>
      <c r="AD198" s="0" t="n">
        <f aca="false">IF(H198&gt;Vout, IF(K198&gt;P198/2,0,ABS(K198-P198/2)*Vsd_Q1*Deadtime*Fsw),0)</f>
        <v>0</v>
      </c>
      <c r="AE198" s="488" t="n">
        <f aca="false">(AD198+AC198+AB198*(1+RdsonTopTc*Ta-RdsonTopTc*25))/(1-AB198*RdsonTopTc*ThetaJA_Q1)</f>
        <v>0.351828357118327</v>
      </c>
      <c r="AF198" s="488" t="n">
        <f aca="false">CHOOSE(J198, SQRT((1-N198))*SQRT(K198^2+(P198^2)/12), 0, SQRT((1-N198))*SQRT(M198^2+(P198^2)/12))</f>
        <v>5.42218900064022</v>
      </c>
      <c r="AG198" s="488" t="n">
        <f aca="false">Rdson2*AF198^2</f>
        <v>0.167580761284384</v>
      </c>
      <c r="AH198" s="488" t="n">
        <f aca="false">CHOOSE(J198, IF(K198&lt;P198/2,Deadtime*Fsw*IF(VfdSky_Q2&gt;0,0,Vsd_Q2)*(K198+P198/2),2*Deadtime*Fsw*IF(VfdSky_Q2&gt;0,0,Vsd_Q2)*K198),0, IF(K198&lt;P198/2,Deadtime*Fsw/2*IF(VfdSky_Q2&gt;0,0,Vsd_Q2)*(K198+P198/2),2*Deadtime*Fsw/2*IF(VfdSky_Q2&gt;0,0,Vsd_Q2)*K198))</f>
        <v>0.144</v>
      </c>
      <c r="AI198" s="488" t="n">
        <f aca="false">(AH198+AG198*(1+RdsonBotTc*Ta-RdsonBotTc*25))/(1-AG198*RdsonBotTc*ThetaJA_Q2)</f>
        <v>0.322385896062277</v>
      </c>
      <c r="AJ198" s="488" t="n">
        <f aca="false">CHOOSE(J198, 0, SQRT(O198)*SQRT(L198^2+(P198^2)/12), SQRT(O198)*SQRT(M198^2+(P198^2)/12))</f>
        <v>0</v>
      </c>
      <c r="AK198" s="488" t="n">
        <f aca="false">Rdson4*AJ198^2</f>
        <v>0</v>
      </c>
      <c r="AL198" s="488" t="n">
        <f aca="false">CHOOSE(J198, 0, (Vout*L198/2)*(Fsw)*(Tr_boost+Tf_boost), (Vout*Iout/2)*(Fsw/2)*(Tr_boost+Tf_boost))</f>
        <v>0</v>
      </c>
      <c r="AM198" s="0" t="n">
        <f aca="false">IF(H198&gt;Vout, 0, IF(L198&gt;P198/2,0,ABS(L198-P198/2)*Vsd_Q4*Deadtime*Fsw))</f>
        <v>0</v>
      </c>
      <c r="AN198" s="488" t="n">
        <f aca="false">(AM198+AL198+AK198*(1+RdsonTopTc*Ta-RdsonTopTc*25))/(1-AK198*RdsonTopTc*ThetaJA_Q4)</f>
        <v>0</v>
      </c>
      <c r="AO198" s="488" t="n">
        <f aca="false">CHOOSE(J198, SQRT(Iout^2+(P198^2)/12), SQRT(1-O198)*SQRT(L198^2+(P198^2)/12), SQRT(1-O198)*SQRT(M198^2+(P198^2)/12))</f>
        <v>6.27819068356297</v>
      </c>
      <c r="AP198" s="488" t="n">
        <f aca="false">Rdson3*AO198^2</f>
        <v>0.074889788692436</v>
      </c>
      <c r="AQ198" s="488" t="n">
        <f aca="false">CHOOSE(J198, 0, IF(L198&lt;P198/2,Deadtime*Fsw*IF(VfdSky_Q3&gt;0,0,Vsd_Q3)*(L198+P198/2), 2*Deadtime*Fsw*IF(VfdSky_Q3&gt;0,0,Vsd_Q3)*L198), IF(L198&lt;P198/2,Deadtime*Fsw/2*IF(VfdSky_Q3&gt;0,0,Vsd_Q3)*(L198+P198/2), 2*Deadtime*Fsw/2*IF(VfdSky_Q3&gt;0,0,Vsd_Q3)*L198))</f>
        <v>0</v>
      </c>
      <c r="AR198" s="488" t="n">
        <f aca="false">(AQ198+AP198*(1+RdsonBotTc*Ta-RdsonBotTc*25))/(1-AP198*RdsonBotTc*ThetaJA_Q3)</f>
        <v>0.0760285409659428</v>
      </c>
      <c r="AS198" s="488" t="n">
        <f aca="false">CHOOSE(J198, Rdson3*Q198^2, Rdson1*Q198^2, 0)</f>
        <v>0.074889788692436</v>
      </c>
      <c r="AT198" s="488" t="n">
        <f aca="false">CHOOSE(J198, 2*Deadtime*Fsw*IF(VfdSky_Q2&gt;0,VfdSky_Q2,0)*K198, 2*Deadtime*Fsw*IF(VfdSky_Q3&gt;0,VfdSky_Q3,0)*L198, 2*Deadtime*Fsw/2*IF(VfdSky_Q2&gt;0,VfdSky_Q2,0)*K198+2*Deadtime*Fsw/2*IF(VfdSky_Q3&gt;0,VfdSky_Q3,0)*L198)</f>
        <v>0</v>
      </c>
      <c r="AU198" s="488" t="n">
        <f aca="false">CHOOSE(J198, IF(QrrSky_Q2&gt;0,QrrSky_Q2,Qrr_Q2)*Fsw*(H198-K198*Rdson1), IF(QrrSky_Q3&gt;0,QrrSky_Q3,Qrr_Q3)*Fsw*Vout,  IF(QrrSky_Q2&gt;0,QrrSky_Q2,Qrr_Q2)*Fsw/2*(H198-K198*Rdson1)+IF(QrrSky_Q3&gt;0,QrrSky_Q3,Qrr_Q3)*Fsw/2*Vout)</f>
        <v>0.89861562</v>
      </c>
      <c r="AV198" s="488" t="n">
        <f aca="false">CHOOSE(J198, Rs*AF198^2, Rs*AJ198^2, Rs*(AF198^2+AJ198^2))</f>
        <v>0.23520106846931</v>
      </c>
      <c r="AW198" s="488" t="n">
        <f aca="false">Rshunt_std/1000*Iout^2</f>
        <v>0.14832</v>
      </c>
      <c r="AX198" s="488" t="n">
        <f aca="false">IF(Vout&gt;8, Iq*Vout, Iq*H198)</f>
        <v>0.036</v>
      </c>
      <c r="AY198" s="488" t="n">
        <f aca="false">CHOOSE(J198, (Qg_Q1+Qg_Q2)*Fsw, (Qg_Q3+Qg_Q4)*Fsw, (Qg_Q1+Qg_Q2+Qg_Q3+Qg_Q4)*Fsw/2)*IF(Vout&gt;8, Vout, H198)</f>
        <v>0.0792</v>
      </c>
      <c r="AZ198" s="488" t="n">
        <f aca="false">(Vin-Vdd)*Fsw*(Qg_Q1+Qg_Q2)+(RdsonDRT+RdsonDRT2)*Fsw*Qg_Q1*Vdd/(RdsonDRT+2*Rgate1+RdsonDRT2)+(RdsonDRB+RdsonDRB2)*Fsw*Qg_Q2*Vdd/(RdsonDRB+2*Rgate2+RdsonDRB2)</f>
        <v>0.0522</v>
      </c>
      <c r="BA198" s="488" t="n">
        <f aca="false">SUM(AX198:AY198)</f>
        <v>0.1152</v>
      </c>
      <c r="BB198" s="488" t="n">
        <f aca="false">SUM(T198,W198,Z198,AE198,AI198,AN198,AR198, AT198,AU198,BA198,AV198,AW198)</f>
        <v>3.51580045511676</v>
      </c>
      <c r="BC198" s="419" t="n">
        <f aca="false">Vout*K198</f>
        <v>72</v>
      </c>
      <c r="BD198" s="589" t="n">
        <f aca="false">BC198/(BC198+BB198)</f>
        <v>0.953442849921105</v>
      </c>
      <c r="BE198" s="590" t="n">
        <f aca="false">IF(H198&gt;Vout,ThetaJA_Q1*(AE198+AU198),ThetaJA_Q4*(AN198+AU198))</f>
        <v>62.5221988559163</v>
      </c>
      <c r="BF198" s="590" t="n">
        <f aca="false">IF(H198&gt;Vout, AI198*ThetaJA_Q2, ThetaJA_Q3*AR198)</f>
        <v>16.1192948031138</v>
      </c>
      <c r="BG198" s="536"/>
      <c r="BH198" s="385" t="n">
        <f aca="false">BD198*100</f>
        <v>95.3442849921105</v>
      </c>
      <c r="BI198" s="488" t="n">
        <f aca="false">T198</f>
        <v>1.33620140221925</v>
      </c>
      <c r="BJ198" s="488" t="n">
        <f aca="false">AE198+AI198+AN198+AR198+AU198</f>
        <v>1.64885841414655</v>
      </c>
      <c r="BK198" s="488" t="n">
        <f aca="false">AI198+AU198*0.33</f>
        <v>0.618929050662276</v>
      </c>
      <c r="BL198" s="488" t="n">
        <f aca="false">AV198</f>
        <v>0.23520106846931</v>
      </c>
    </row>
    <row r="199" customFormat="false" ht="12.75" hidden="false" customHeight="false" outlineLevel="0" collapsed="false">
      <c r="G199" s="0" t="n">
        <v>190</v>
      </c>
      <c r="H199" s="586" t="n">
        <f aca="false">VIN_min+(VIN_max-VIN_min)*(G199/200)</f>
        <v>47.8</v>
      </c>
      <c r="I199" s="385" t="str">
        <f aca="false">IF(H199&gt;VIN_BB_to_buck, "BUCK", IF(H199&lt;VIN_boost_to_BB,"BOOST","BUCK-BST"))</f>
        <v>BUCK</v>
      </c>
      <c r="J199" s="419" t="n">
        <f aca="false">IF(I199="BOOST",2, IF(I199="BUCK", 1,3))</f>
        <v>1</v>
      </c>
      <c r="K199" s="0" t="n">
        <f aca="false">Iout</f>
        <v>6</v>
      </c>
      <c r="L199" s="385" t="n">
        <f aca="false">Vout*K199/(H199*Efficiency)</f>
        <v>1.67364016736402</v>
      </c>
      <c r="M199" s="385" t="n">
        <f aca="false">Iout/(1-O199)</f>
        <v>6</v>
      </c>
      <c r="N199" s="488" t="n">
        <f aca="false">CHOOSE(J199,(Vout+(Rdson2+Rs+Rdcr)*K199)/(H199+(Rs+Rdson2-Rdson1)*K199),1,IF(H199&lt;Vout,D_max_buck_BB,Vout/H199*(1-D_min_boost_exitBB_to_buck)))</f>
        <v>0.252932201972914</v>
      </c>
      <c r="O199" s="488" t="n">
        <f aca="false">CHOOSE(J199,0,(Vout+(Rdson3+Rdcr)*L199-H199)/(Vout+(Rdson3-Rdson4-Rs)*L199),IF(H199&gt;Vout,D_min_boost_exitBB_to_buck, (Vout-H199*D_max_buck_BB)/Vout))</f>
        <v>0</v>
      </c>
      <c r="P199" s="385" t="n">
        <f aca="false">MAX(0, CHOOSE(J199, (H199-(Rdson1+Rdcr)*K199-Vout)*N199/(Fsw*Lf), (H199-(Rdson4+Rdcr+Rs)*L199)*O199/(Fsw*Lf), IF(H199&lt;Vout, (H199-(Rdson4+Rdcr+Rs)*L199)*O199/(0.5*Fsw*Lf),(H199-(Rdson1+Rdcr)*K199-Vout)*N199/(0.5*Fsw*Lf))))</f>
        <v>6.41222596600227</v>
      </c>
      <c r="Q199" s="488" t="n">
        <f aca="false">CHOOSE(J199, SQRT(K199^2+(P199^2)/12), SQRT(L199^2+(P199^2)/12), SQRT(M199^2+(P199^2)/12))</f>
        <v>6.2790434637708</v>
      </c>
      <c r="R199" s="488" t="n">
        <f aca="false">(Q199^2*Rdcr*(1+Ltc*Ta-Ltc*25))/(1-Q199^2*Rdcr*Ltc*ThetaCa)</f>
        <v>0.133488875570642</v>
      </c>
      <c r="S199" s="488" t="n">
        <f aca="false">7.759*10^-3*Fsw^0.9458*(0.00787*P199)^2.304</f>
        <v>1.20709412337409</v>
      </c>
      <c r="T199" s="488" t="n">
        <f aca="false">R199+S199</f>
        <v>1.34058299894474</v>
      </c>
      <c r="U199" s="385" t="n">
        <f aca="false">IF(H199&gt;Vout, P199/SQRT(12), SQRT(O199/(1-O199))*SQRT(K199^2+(P199^2)/12))</f>
        <v>1.85105019378806</v>
      </c>
      <c r="V199" s="488" t="n">
        <f aca="false">RCoutEsr*U199^2</f>
        <v>0.0171319340996141</v>
      </c>
      <c r="W199" s="488" t="n">
        <f aca="false">V199</f>
        <v>0.0171319340996141</v>
      </c>
      <c r="X199" s="488" t="n">
        <f aca="false">IF(H199&gt;Vout, SQRT(N199*(1-N199))*SQRT(K199^2+(P199^2)/12), P199/SQRT(12))</f>
        <v>2.72945262146543</v>
      </c>
      <c r="Y199" s="587" t="n">
        <f aca="false">RCinEsr*X199^2</f>
        <v>0.014899823225649</v>
      </c>
      <c r="Z199" s="588" t="n">
        <f aca="false">Y199</f>
        <v>0.014899823225649</v>
      </c>
      <c r="AA199" s="488" t="n">
        <f aca="false">CHOOSE(J199, SQRT(N199)*SQRT(K199^2+(P199^2)/12), SQRT(L199^2+(P199^2)/12), SQRT(N199)*SQRT(M199^2+(P199^2)/12))</f>
        <v>3.15787948379905</v>
      </c>
      <c r="AB199" s="488" t="n">
        <f aca="false">Rdson1*AA199^2</f>
        <v>0.0568415561549341</v>
      </c>
      <c r="AC199" s="488" t="n">
        <f aca="false">CHOOSE(J199, (H199*K199/2)*(Fsw)*(Tr_buck+Tf_buck), 0, (H199*M199/2)*(Fsw/2)*(Tr_buck+Tf_buck))</f>
        <v>0.292066915351506</v>
      </c>
      <c r="AD199" s="0" t="n">
        <f aca="false">IF(H199&gt;Vout, IF(K199&gt;P199/2,0,ABS(K199-P199/2)*Vsd_Q1*Deadtime*Fsw),0)</f>
        <v>0</v>
      </c>
      <c r="AE199" s="488" t="n">
        <f aca="false">(AD199+AC199+AB199*(1+RdsonTopTc*Ta-RdsonTopTc*25))/(1-AB199*RdsonTopTc*ThetaJA_Q1)</f>
        <v>0.352920582528445</v>
      </c>
      <c r="AF199" s="488" t="n">
        <f aca="false">CHOOSE(J199, SQRT((1-N199))*SQRT(K199^2+(P199^2)/12), 0, SQRT((1-N199))*SQRT(M199^2+(P199^2)/12))</f>
        <v>5.42717090072939</v>
      </c>
      <c r="AG199" s="488" t="n">
        <f aca="false">Rdson2*AF199^2</f>
        <v>0.167888848718626</v>
      </c>
      <c r="AH199" s="488" t="n">
        <f aca="false">CHOOSE(J199, IF(K199&lt;P199/2,Deadtime*Fsw*IF(VfdSky_Q2&gt;0,0,Vsd_Q2)*(K199+P199/2),2*Deadtime*Fsw*IF(VfdSky_Q2&gt;0,0,Vsd_Q2)*K199),0, IF(K199&lt;P199/2,Deadtime*Fsw/2*IF(VfdSky_Q2&gt;0,0,Vsd_Q2)*(K199+P199/2),2*Deadtime*Fsw/2*IF(VfdSky_Q2&gt;0,0,Vsd_Q2)*K199))</f>
        <v>0.144</v>
      </c>
      <c r="AI199" s="488" t="n">
        <f aca="false">(AH199+AG199*(1+RdsonBotTc*Ta-RdsonBotTc*25))/(1-AG199*RdsonBotTc*ThetaJA_Q2)</f>
        <v>0.322725242605315</v>
      </c>
      <c r="AJ199" s="488" t="n">
        <f aca="false">CHOOSE(J199, 0, SQRT(O199)*SQRT(L199^2+(P199^2)/12), SQRT(O199)*SQRT(M199^2+(P199^2)/12))</f>
        <v>0</v>
      </c>
      <c r="AK199" s="488" t="n">
        <f aca="false">Rdson4*AJ199^2</f>
        <v>0</v>
      </c>
      <c r="AL199" s="488" t="n">
        <f aca="false">CHOOSE(J199, 0, (Vout*L199/2)*(Fsw)*(Tr_boost+Tf_boost), (Vout*Iout/2)*(Fsw/2)*(Tr_boost+Tf_boost))</f>
        <v>0</v>
      </c>
      <c r="AM199" s="0" t="n">
        <f aca="false">IF(H199&gt;Vout, 0, IF(L199&gt;P199/2,0,ABS(L199-P199/2)*Vsd_Q4*Deadtime*Fsw))</f>
        <v>0</v>
      </c>
      <c r="AN199" s="488" t="n">
        <f aca="false">(AM199+AL199+AK199*(1+RdsonTopTc*Ta-RdsonTopTc*25))/(1-AK199*RdsonTopTc*ThetaJA_Q4)</f>
        <v>0</v>
      </c>
      <c r="AO199" s="488" t="n">
        <f aca="false">CHOOSE(J199, SQRT(Iout^2+(P199^2)/12), SQRT(1-O199)*SQRT(L199^2+(P199^2)/12), SQRT(1-O199)*SQRT(M199^2+(P199^2)/12))</f>
        <v>6.2790434637708</v>
      </c>
      <c r="AP199" s="488" t="n">
        <f aca="false">Rdson3*AO199^2</f>
        <v>0.0749101349578533</v>
      </c>
      <c r="AQ199" s="488" t="n">
        <f aca="false">CHOOSE(J199, 0, IF(L199&lt;P199/2,Deadtime*Fsw*IF(VfdSky_Q3&gt;0,0,Vsd_Q3)*(L199+P199/2), 2*Deadtime*Fsw*IF(VfdSky_Q3&gt;0,0,Vsd_Q3)*L199), IF(L199&lt;P199/2,Deadtime*Fsw/2*IF(VfdSky_Q3&gt;0,0,Vsd_Q3)*(L199+P199/2), 2*Deadtime*Fsw/2*IF(VfdSky_Q3&gt;0,0,Vsd_Q3)*L199))</f>
        <v>0</v>
      </c>
      <c r="AR199" s="488" t="n">
        <f aca="false">(AQ199+AP199*(1+RdsonBotTc*Ta-RdsonBotTc*25))/(1-AP199*RdsonBotTc*ThetaJA_Q3)</f>
        <v>0.0760495107810711</v>
      </c>
      <c r="AS199" s="488" t="n">
        <f aca="false">CHOOSE(J199, Rdson3*Q199^2, Rdson1*Q199^2, 0)</f>
        <v>0.0749101349578533</v>
      </c>
      <c r="AT199" s="488" t="n">
        <f aca="false">CHOOSE(J199, 2*Deadtime*Fsw*IF(VfdSky_Q2&gt;0,VfdSky_Q2,0)*K199, 2*Deadtime*Fsw*IF(VfdSky_Q3&gt;0,VfdSky_Q3,0)*L199, 2*Deadtime*Fsw/2*IF(VfdSky_Q2&gt;0,VfdSky_Q2,0)*K199+2*Deadtime*Fsw/2*IF(VfdSky_Q3&gt;0,VfdSky_Q3,0)*L199)</f>
        <v>0</v>
      </c>
      <c r="AU199" s="488" t="n">
        <f aca="false">CHOOSE(J199, IF(QrrSky_Q2&gt;0,QrrSky_Q2,Qrr_Q2)*Fsw*(H199-K199*Rdson1), IF(QrrSky_Q3&gt;0,QrrSky_Q3,Qrr_Q3)*Fsw*Vout,  IF(QrrSky_Q2&gt;0,QrrSky_Q2,Qrr_Q2)*Fsw/2*(H199-K199*Rdson1)+IF(QrrSky_Q3&gt;0,QrrSky_Q3,Qrr_Q3)*Fsw/2*Vout)</f>
        <v>0.90277362</v>
      </c>
      <c r="AV199" s="488" t="n">
        <f aca="false">CHOOSE(J199, Rs*AF199^2, Rs*AJ199^2, Rs*(AF199^2+AJ199^2))</f>
        <v>0.235633471885791</v>
      </c>
      <c r="AW199" s="488" t="n">
        <f aca="false">Rshunt_std/1000*Iout^2</f>
        <v>0.14832</v>
      </c>
      <c r="AX199" s="488" t="n">
        <f aca="false">IF(Vout&gt;8, Iq*Vout, Iq*H199)</f>
        <v>0.036</v>
      </c>
      <c r="AY199" s="488" t="n">
        <f aca="false">CHOOSE(J199, (Qg_Q1+Qg_Q2)*Fsw, (Qg_Q3+Qg_Q4)*Fsw, (Qg_Q1+Qg_Q2+Qg_Q3+Qg_Q4)*Fsw/2)*IF(Vout&gt;8, Vout, H199)</f>
        <v>0.0792</v>
      </c>
      <c r="AZ199" s="488" t="n">
        <f aca="false">(Vin-Vdd)*Fsw*(Qg_Q1+Qg_Q2)+(RdsonDRT+RdsonDRT2)*Fsw*Qg_Q1*Vdd/(RdsonDRT+2*Rgate1+RdsonDRT2)+(RdsonDRB+RdsonDRB2)*Fsw*Qg_Q2*Vdd/(RdsonDRB+2*Rgate2+RdsonDRB2)</f>
        <v>0.0522</v>
      </c>
      <c r="BA199" s="488" t="n">
        <f aca="false">SUM(AX199:AY199)</f>
        <v>0.1152</v>
      </c>
      <c r="BB199" s="488" t="n">
        <f aca="false">SUM(T199,W199,Z199,AE199,AI199,AN199,AR199, AT199,AU199,BA199,AV199,AW199)</f>
        <v>3.52623718407062</v>
      </c>
      <c r="BC199" s="419" t="n">
        <f aca="false">Vout*K199</f>
        <v>72</v>
      </c>
      <c r="BD199" s="589" t="n">
        <f aca="false">BC199/(BC199+BB199)</f>
        <v>0.953311096705684</v>
      </c>
      <c r="BE199" s="590" t="n">
        <f aca="false">IF(H199&gt;Vout,ThetaJA_Q1*(AE199+AU199),ThetaJA_Q4*(AN199+AU199))</f>
        <v>62.7847101264223</v>
      </c>
      <c r="BF199" s="590" t="n">
        <f aca="false">IF(H199&gt;Vout, AI199*ThetaJA_Q2, ThetaJA_Q3*AR199)</f>
        <v>16.1362621302658</v>
      </c>
      <c r="BG199" s="536"/>
      <c r="BH199" s="385" t="n">
        <f aca="false">BD199*100</f>
        <v>95.3311096705684</v>
      </c>
      <c r="BI199" s="488" t="n">
        <f aca="false">T199</f>
        <v>1.34058299894474</v>
      </c>
      <c r="BJ199" s="488" t="n">
        <f aca="false">AE199+AI199+AN199+AR199+AU199</f>
        <v>1.65446895591483</v>
      </c>
      <c r="BK199" s="488" t="n">
        <f aca="false">AI199+AU199*0.33</f>
        <v>0.620640537205315</v>
      </c>
      <c r="BL199" s="488" t="n">
        <f aca="false">AV199</f>
        <v>0.235633471885791</v>
      </c>
    </row>
    <row r="200" customFormat="false" ht="12.75" hidden="false" customHeight="false" outlineLevel="0" collapsed="false">
      <c r="G200" s="0" t="n">
        <v>191</v>
      </c>
      <c r="H200" s="586" t="n">
        <f aca="false">VIN_min+(VIN_max-VIN_min)*(G200/200)</f>
        <v>48.02</v>
      </c>
      <c r="I200" s="385" t="str">
        <f aca="false">IF(H200&gt;VIN_BB_to_buck, "BUCK", IF(H200&lt;VIN_boost_to_BB,"BOOST","BUCK-BST"))</f>
        <v>BUCK</v>
      </c>
      <c r="J200" s="419" t="n">
        <f aca="false">IF(I200="BOOST",2, IF(I200="BUCK", 1,3))</f>
        <v>1</v>
      </c>
      <c r="K200" s="0" t="n">
        <f aca="false">Iout</f>
        <v>6</v>
      </c>
      <c r="L200" s="385" t="n">
        <f aca="false">Vout*K200/(H200*Efficiency)</f>
        <v>1.66597251145356</v>
      </c>
      <c r="M200" s="385" t="n">
        <f aca="false">Iout/(1-O200)</f>
        <v>6</v>
      </c>
      <c r="N200" s="488" t="n">
        <f aca="false">CHOOSE(J200,(Vout+(Rdson2+Rs+Rdcr)*K200)/(H200+(Rs+Rdson2-Rdson1)*K200),1,IF(H200&lt;Vout,D_max_buck_BB,Vout/H200*(1-D_min_boost_exitBB_to_buck)))</f>
        <v>0.251774569360073</v>
      </c>
      <c r="O200" s="488" t="n">
        <f aca="false">CHOOSE(J200,0,(Vout+(Rdson3+Rdcr)*L200-H200)/(Vout+(Rdson3-Rdson4-Rs)*L200),IF(H200&gt;Vout,D_min_boost_exitBB_to_buck, (Vout-H200*D_max_buck_BB)/Vout))</f>
        <v>0</v>
      </c>
      <c r="P200" s="385" t="n">
        <f aca="false">MAX(0, CHOOSE(J200, (H200-(Rdson1+Rdcr)*K200-Vout)*N200/(Fsw*Lf), (H200-(Rdson4+Rdcr+Rs)*L200)*O200/(Fsw*Lf), IF(H200&lt;Vout, (H200-(Rdson4+Rdcr+Rs)*L200)*O200/(0.5*Fsw*Lf),(H200-(Rdson1+Rdcr)*K200-Vout)*N200/(0.5*Fsw*Lf))))</f>
        <v>6.42216214839262</v>
      </c>
      <c r="Q200" s="488" t="n">
        <f aca="false">CHOOSE(J200, SQRT(K200^2+(P200^2)/12), SQRT(L200^2+(P200^2)/12), SQRT(M200^2+(P200^2)/12))</f>
        <v>6.27988963982281</v>
      </c>
      <c r="R200" s="488" t="n">
        <f aca="false">(Q200^2*Rdcr*(1+Ltc*Ta-Ltc*25))/(1-Q200^2*Rdcr*Ltc*ThetaCa)</f>
        <v>0.133525240781727</v>
      </c>
      <c r="S200" s="488" t="n">
        <f aca="false">7.759*10^-3*Fsw^0.9458*(0.00787*P200)^2.304</f>
        <v>1.21140805214395</v>
      </c>
      <c r="T200" s="488" t="n">
        <f aca="false">R200+S200</f>
        <v>1.34493329292568</v>
      </c>
      <c r="U200" s="385" t="n">
        <f aca="false">IF(H200&gt;Vout, P200/SQRT(12), SQRT(O200/(1-O200))*SQRT(K200^2+(P200^2)/12))</f>
        <v>1.85391852257695</v>
      </c>
      <c r="V200" s="488" t="n">
        <f aca="false">RCoutEsr*U200^2</f>
        <v>0.0171850694417695</v>
      </c>
      <c r="W200" s="488" t="n">
        <f aca="false">V200</f>
        <v>0.0171850694417695</v>
      </c>
      <c r="X200" s="488" t="n">
        <f aca="false">IF(H200&gt;Vout, SQRT(N200*(1-N200))*SQRT(K200^2+(P200^2)/12), P200/SQRT(12))</f>
        <v>2.72567565410063</v>
      </c>
      <c r="Y200" s="587" t="n">
        <f aca="false">RCinEsr*X200^2</f>
        <v>0.0148586155427138</v>
      </c>
      <c r="Z200" s="588" t="n">
        <f aca="false">Y200</f>
        <v>0.0148586155427138</v>
      </c>
      <c r="AA200" s="488" t="n">
        <f aca="false">CHOOSE(J200, SQRT(N200)*SQRT(K200^2+(P200^2)/12), SQRT(L200^2+(P200^2)/12), SQRT(N200)*SQRT(M200^2+(P200^2)/12))</f>
        <v>3.15106921355078</v>
      </c>
      <c r="AB200" s="488" t="n">
        <f aca="false">Rdson1*AA200^2</f>
        <v>0.0565966519749489</v>
      </c>
      <c r="AC200" s="488" t="n">
        <f aca="false">CHOOSE(J200, (H200*K200/2)*(Fsw)*(Tr_buck+Tf_buck), 0, (H200*M200/2)*(Fsw/2)*(Tr_buck+Tf_buck))</f>
        <v>0.293411156384505</v>
      </c>
      <c r="AD200" s="0" t="n">
        <f aca="false">IF(H200&gt;Vout, IF(K200&gt;P200/2,0,ABS(K200-P200/2)*Vsd_Q1*Deadtime*Fsw),0)</f>
        <v>0</v>
      </c>
      <c r="AE200" s="488" t="n">
        <f aca="false">(AD200+AC200+AB200*(1+RdsonTopTc*Ta-RdsonTopTc*25))/(1-AB200*RdsonTopTc*ThetaJA_Q1)</f>
        <v>0.354015021350914</v>
      </c>
      <c r="AF200" s="488" t="n">
        <f aca="false">CHOOSE(J200, SQRT((1-N200))*SQRT(K200^2+(P200^2)/12), 0, SQRT((1-N200))*SQRT(M200^2+(P200^2)/12))</f>
        <v>5.43210610166686</v>
      </c>
      <c r="AG200" s="488" t="n">
        <f aca="false">Rdson2*AF200^2</f>
        <v>0.168194327188668</v>
      </c>
      <c r="AH200" s="488" t="n">
        <f aca="false">CHOOSE(J200, IF(K200&lt;P200/2,Deadtime*Fsw*IF(VfdSky_Q2&gt;0,0,Vsd_Q2)*(K200+P200/2),2*Deadtime*Fsw*IF(VfdSky_Q2&gt;0,0,Vsd_Q2)*K200),0, IF(K200&lt;P200/2,Deadtime*Fsw/2*IF(VfdSky_Q2&gt;0,0,Vsd_Q2)*(K200+P200/2),2*Deadtime*Fsw/2*IF(VfdSky_Q2&gt;0,0,Vsd_Q2)*K200))</f>
        <v>0.144</v>
      </c>
      <c r="AI200" s="488" t="n">
        <f aca="false">(AH200+AG200*(1+RdsonBotTc*Ta-RdsonBotTc*25))/(1-AG200*RdsonBotTc*ThetaJA_Q2)</f>
        <v>0.323061758200865</v>
      </c>
      <c r="AJ200" s="488" t="n">
        <f aca="false">CHOOSE(J200, 0, SQRT(O200)*SQRT(L200^2+(P200^2)/12), SQRT(O200)*SQRT(M200^2+(P200^2)/12))</f>
        <v>0</v>
      </c>
      <c r="AK200" s="488" t="n">
        <f aca="false">Rdson4*AJ200^2</f>
        <v>0</v>
      </c>
      <c r="AL200" s="488" t="n">
        <f aca="false">CHOOSE(J200, 0, (Vout*L200/2)*(Fsw)*(Tr_boost+Tf_boost), (Vout*Iout/2)*(Fsw/2)*(Tr_boost+Tf_boost))</f>
        <v>0</v>
      </c>
      <c r="AM200" s="0" t="n">
        <f aca="false">IF(H200&gt;Vout, 0, IF(L200&gt;P200/2,0,ABS(L200-P200/2)*Vsd_Q4*Deadtime*Fsw))</f>
        <v>0</v>
      </c>
      <c r="AN200" s="488" t="n">
        <f aca="false">(AM200+AL200+AK200*(1+RdsonTopTc*Ta-RdsonTopTc*25))/(1-AK200*RdsonTopTc*ThetaJA_Q4)</f>
        <v>0</v>
      </c>
      <c r="AO200" s="488" t="n">
        <f aca="false">CHOOSE(J200, SQRT(Iout^2+(P200^2)/12), SQRT(1-O200)*SQRT(L200^2+(P200^2)/12), SQRT(1-O200)*SQRT(M200^2+(P200^2)/12))</f>
        <v>6.27988963982281</v>
      </c>
      <c r="AP200" s="488" t="n">
        <f aca="false">Rdson3*AO200^2</f>
        <v>0.0749303263878724</v>
      </c>
      <c r="AQ200" s="488" t="n">
        <f aca="false">CHOOSE(J200, 0, IF(L200&lt;P200/2,Deadtime*Fsw*IF(VfdSky_Q3&gt;0,0,Vsd_Q3)*(L200+P200/2), 2*Deadtime*Fsw*IF(VfdSky_Q3&gt;0,0,Vsd_Q3)*L200), IF(L200&lt;P200/2,Deadtime*Fsw/2*IF(VfdSky_Q3&gt;0,0,Vsd_Q3)*(L200+P200/2), 2*Deadtime*Fsw/2*IF(VfdSky_Q3&gt;0,0,Vsd_Q3)*L200))</f>
        <v>0</v>
      </c>
      <c r="AR200" s="488" t="n">
        <f aca="false">(AQ200+AP200*(1+RdsonBotTc*Ta-RdsonBotTc*25))/(1-AP200*RdsonBotTc*ThetaJA_Q3)</f>
        <v>0.0760703211868648</v>
      </c>
      <c r="AS200" s="488" t="n">
        <f aca="false">CHOOSE(J200, Rdson3*Q200^2, Rdson1*Q200^2, 0)</f>
        <v>0.0749303263878724</v>
      </c>
      <c r="AT200" s="488" t="n">
        <f aca="false">CHOOSE(J200, 2*Deadtime*Fsw*IF(VfdSky_Q2&gt;0,VfdSky_Q2,0)*K200, 2*Deadtime*Fsw*IF(VfdSky_Q3&gt;0,VfdSky_Q3,0)*L200, 2*Deadtime*Fsw/2*IF(VfdSky_Q2&gt;0,VfdSky_Q2,0)*K200+2*Deadtime*Fsw/2*IF(VfdSky_Q3&gt;0,VfdSky_Q3,0)*L200)</f>
        <v>0</v>
      </c>
      <c r="AU200" s="488" t="n">
        <f aca="false">CHOOSE(J200, IF(QrrSky_Q2&gt;0,QrrSky_Q2,Qrr_Q2)*Fsw*(H200-K200*Rdson1), IF(QrrSky_Q3&gt;0,QrrSky_Q3,Qrr_Q3)*Fsw*Vout,  IF(QrrSky_Q2&gt;0,QrrSky_Q2,Qrr_Q2)*Fsw/2*(H200-K200*Rdson1)+IF(QrrSky_Q3&gt;0,QrrSky_Q3,Qrr_Q3)*Fsw/2*Vout)</f>
        <v>0.90693162</v>
      </c>
      <c r="AV200" s="488" t="n">
        <f aca="false">CHOOSE(J200, Rs*AF200^2, Rs*AJ200^2, Rs*(AF200^2+AJ200^2))</f>
        <v>0.236062213598131</v>
      </c>
      <c r="AW200" s="488" t="n">
        <f aca="false">Rshunt_std/1000*Iout^2</f>
        <v>0.14832</v>
      </c>
      <c r="AX200" s="488" t="n">
        <f aca="false">IF(Vout&gt;8, Iq*Vout, Iq*H200)</f>
        <v>0.036</v>
      </c>
      <c r="AY200" s="488" t="n">
        <f aca="false">CHOOSE(J200, (Qg_Q1+Qg_Q2)*Fsw, (Qg_Q3+Qg_Q4)*Fsw, (Qg_Q1+Qg_Q2+Qg_Q3+Qg_Q4)*Fsw/2)*IF(Vout&gt;8, Vout, H200)</f>
        <v>0.0792</v>
      </c>
      <c r="AZ200" s="488" t="n">
        <f aca="false">(Vin-Vdd)*Fsw*(Qg_Q1+Qg_Q2)+(RdsonDRT+RdsonDRT2)*Fsw*Qg_Q1*Vdd/(RdsonDRT+2*Rgate1+RdsonDRT2)+(RdsonDRB+RdsonDRB2)*Fsw*Qg_Q2*Vdd/(RdsonDRB+2*Rgate2+RdsonDRB2)</f>
        <v>0.0522</v>
      </c>
      <c r="BA200" s="488" t="n">
        <f aca="false">SUM(AX200:AY200)</f>
        <v>0.1152</v>
      </c>
      <c r="BB200" s="488" t="n">
        <f aca="false">SUM(T200,W200,Z200,AE200,AI200,AN200,AR200, AT200,AU200,BA200,AV200,AW200)</f>
        <v>3.53663791224694</v>
      </c>
      <c r="BC200" s="419" t="n">
        <f aca="false">Vout*K200</f>
        <v>72</v>
      </c>
      <c r="BD200" s="589" t="n">
        <f aca="false">BC200/(BC200+BB200)</f>
        <v>0.953179834183836</v>
      </c>
      <c r="BE200" s="590" t="n">
        <f aca="false">IF(H200&gt;Vout,ThetaJA_Q1*(AE200+AU200),ThetaJA_Q4*(AN200+AU200))</f>
        <v>63.0473320675457</v>
      </c>
      <c r="BF200" s="590" t="n">
        <f aca="false">IF(H200&gt;Vout, AI200*ThetaJA_Q2, ThetaJA_Q3*AR200)</f>
        <v>16.1530879100432</v>
      </c>
      <c r="BG200" s="536"/>
      <c r="BH200" s="385" t="n">
        <f aca="false">BD200*100</f>
        <v>95.3179834183836</v>
      </c>
      <c r="BI200" s="488" t="n">
        <f aca="false">T200</f>
        <v>1.34493329292568</v>
      </c>
      <c r="BJ200" s="488" t="n">
        <f aca="false">AE200+AI200+AN200+AR200+AU200</f>
        <v>1.66007872073864</v>
      </c>
      <c r="BK200" s="488" t="n">
        <f aca="false">AI200+AU200*0.33</f>
        <v>0.622349192800865</v>
      </c>
      <c r="BL200" s="488" t="n">
        <f aca="false">AV200</f>
        <v>0.236062213598131</v>
      </c>
    </row>
    <row r="201" customFormat="false" ht="12.75" hidden="false" customHeight="false" outlineLevel="0" collapsed="false">
      <c r="G201" s="0" t="n">
        <v>192</v>
      </c>
      <c r="H201" s="586" t="n">
        <f aca="false">VIN_min+(VIN_max-VIN_min)*(G201/200)</f>
        <v>48.24</v>
      </c>
      <c r="I201" s="385" t="str">
        <f aca="false">IF(H201&gt;VIN_BB_to_buck, "BUCK", IF(H201&lt;VIN_boost_to_BB,"BOOST","BUCK-BST"))</f>
        <v>BUCK</v>
      </c>
      <c r="J201" s="419" t="n">
        <f aca="false">IF(I201="BOOST",2, IF(I201="BUCK", 1,3))</f>
        <v>1</v>
      </c>
      <c r="K201" s="0" t="n">
        <f aca="false">Iout</f>
        <v>6</v>
      </c>
      <c r="L201" s="385" t="n">
        <f aca="false">Vout*K201/(H201*Efficiency)</f>
        <v>1.65837479270315</v>
      </c>
      <c r="M201" s="385" t="n">
        <f aca="false">Iout/(1-O201)</f>
        <v>6</v>
      </c>
      <c r="N201" s="488" t="n">
        <f aca="false">CHOOSE(J201,(Vout+(Rdson2+Rs+Rdcr)*K201)/(H201+(Rs+Rdson2-Rdson1)*K201),1,IF(H201&lt;Vout,D_max_buck_BB,Vout/H201*(1-D_min_boost_exitBB_to_buck)))</f>
        <v>0.250627485089463</v>
      </c>
      <c r="O201" s="488" t="n">
        <f aca="false">CHOOSE(J201,0,(Vout+(Rdson3+Rdcr)*L201-H201)/(Vout+(Rdson3-Rdson4-Rs)*L201),IF(H201&gt;Vout,D_min_boost_exitBB_to_buck, (Vout-H201*D_max_buck_BB)/Vout))</f>
        <v>0</v>
      </c>
      <c r="P201" s="385" t="n">
        <f aca="false">MAX(0, CHOOSE(J201, (H201-(Rdson1+Rdcr)*K201-Vout)*N201/(Fsw*Lf), (H201-(Rdson4+Rdcr+Rs)*L201)*O201/(Fsw*Lf), IF(H201&lt;Vout, (H201-(Rdson4+Rdcr+Rs)*L201)*O201/(0.5*Fsw*Lf),(H201-(Rdson1+Rdcr)*K201-Vout)*N201/(0.5*Fsw*Lf))))</f>
        <v>6.4320077923417</v>
      </c>
      <c r="Q201" s="488" t="n">
        <f aca="false">CHOOSE(J201, SQRT(K201^2+(P201^2)/12), SQRT(L201^2+(P201^2)/12), SQRT(M201^2+(P201^2)/12))</f>
        <v>6.28072928515434</v>
      </c>
      <c r="R201" s="488" t="n">
        <f aca="false">(Q201^2*Rdcr*(1+Ltc*Ta-Ltc*25))/(1-Q201^2*Rdcr*Ltc*ThetaCa)</f>
        <v>0.133561330379671</v>
      </c>
      <c r="S201" s="488" t="n">
        <f aca="false">7.759*10^-3*Fsw^0.9458*(0.00787*P201)^2.304</f>
        <v>1.21569126587389</v>
      </c>
      <c r="T201" s="488" t="n">
        <f aca="false">R201+S201</f>
        <v>1.34925259625356</v>
      </c>
      <c r="U201" s="385" t="n">
        <f aca="false">IF(H201&gt;Vout, P201/SQRT(12), SQRT(O201/(1-O201))*SQRT(K201^2+(P201^2)/12))</f>
        <v>1.85676071516912</v>
      </c>
      <c r="V201" s="488" t="n">
        <f aca="false">RCoutEsr*U201^2</f>
        <v>0.0172378017669768</v>
      </c>
      <c r="W201" s="488" t="n">
        <f aca="false">V201</f>
        <v>0.0172378017669768</v>
      </c>
      <c r="X201" s="488" t="n">
        <f aca="false">IF(H201&gt;Vout, SQRT(N201*(1-N201))*SQRT(K201^2+(P201^2)/12), P201/SQRT(12))</f>
        <v>2.72190712777734</v>
      </c>
      <c r="Y201" s="587" t="n">
        <f aca="false">RCinEsr*X201^2</f>
        <v>0.0148175568244902</v>
      </c>
      <c r="Z201" s="588" t="n">
        <f aca="false">Y201</f>
        <v>0.0148175568244902</v>
      </c>
      <c r="AA201" s="488" t="n">
        <f aca="false">CHOOSE(J201, SQRT(N201)*SQRT(K201^2+(P201^2)/12), SQRT(L201^2+(P201^2)/12), SQRT(N201)*SQRT(M201^2+(P201^2)/12))</f>
        <v>3.14430323669431</v>
      </c>
      <c r="AB201" s="488" t="n">
        <f aca="false">Rdson1*AA201^2</f>
        <v>0.0563538642124319</v>
      </c>
      <c r="AC201" s="488" t="n">
        <f aca="false">CHOOSE(J201, (H201*K201/2)*(Fsw)*(Tr_buck+Tf_buck), 0, (H201*M201/2)*(Fsw/2)*(Tr_buck+Tf_buck))</f>
        <v>0.294755397417504</v>
      </c>
      <c r="AD201" s="0" t="n">
        <f aca="false">IF(H201&gt;Vout, IF(K201&gt;P201/2,0,ABS(K201-P201/2)*Vsd_Q1*Deadtime*Fsw),0)</f>
        <v>0</v>
      </c>
      <c r="AE201" s="488" t="n">
        <f aca="false">(AD201+AC201+AB201*(1+RdsonTopTc*Ta-RdsonTopTc*25))/(1-AB201*RdsonTopTc*ThetaJA_Q1)</f>
        <v>0.355111644306637</v>
      </c>
      <c r="AF201" s="488" t="n">
        <f aca="false">CHOOSE(J201, SQRT((1-N201))*SQRT(K201^2+(P201^2)/12), 0, SQRT((1-N201))*SQRT(M201^2+(P201^2)/12))</f>
        <v>5.43699526476795</v>
      </c>
      <c r="AG201" s="488" t="n">
        <f aca="false">Rdson2*AF201^2</f>
        <v>0.168497229801922</v>
      </c>
      <c r="AH201" s="488" t="n">
        <f aca="false">CHOOSE(J201, IF(K201&lt;P201/2,Deadtime*Fsw*IF(VfdSky_Q2&gt;0,0,Vsd_Q2)*(K201+P201/2),2*Deadtime*Fsw*IF(VfdSky_Q2&gt;0,0,Vsd_Q2)*K201),0, IF(K201&lt;P201/2,Deadtime*Fsw/2*IF(VfdSky_Q2&gt;0,0,Vsd_Q2)*(K201+P201/2),2*Deadtime*Fsw/2*IF(VfdSky_Q2&gt;0,0,Vsd_Q2)*K201))</f>
        <v>0.144</v>
      </c>
      <c r="AI201" s="488" t="n">
        <f aca="false">(AH201+AG201*(1+RdsonBotTc*Ta-RdsonBotTc*25))/(1-AG201*RdsonBotTc*ThetaJA_Q2)</f>
        <v>0.323395478244867</v>
      </c>
      <c r="AJ201" s="488" t="n">
        <f aca="false">CHOOSE(J201, 0, SQRT(O201)*SQRT(L201^2+(P201^2)/12), SQRT(O201)*SQRT(M201^2+(P201^2)/12))</f>
        <v>0</v>
      </c>
      <c r="AK201" s="488" t="n">
        <f aca="false">Rdson4*AJ201^2</f>
        <v>0</v>
      </c>
      <c r="AL201" s="488" t="n">
        <f aca="false">CHOOSE(J201, 0, (Vout*L201/2)*(Fsw)*(Tr_boost+Tf_boost), (Vout*Iout/2)*(Fsw/2)*(Tr_boost+Tf_boost))</f>
        <v>0</v>
      </c>
      <c r="AM201" s="0" t="n">
        <f aca="false">IF(H201&gt;Vout, 0, IF(L201&gt;P201/2,0,ABS(L201-P201/2)*Vsd_Q4*Deadtime*Fsw))</f>
        <v>0</v>
      </c>
      <c r="AN201" s="488" t="n">
        <f aca="false">(AM201+AL201+AK201*(1+RdsonTopTc*Ta-RdsonTopTc*25))/(1-AK201*RdsonTopTc*ThetaJA_Q4)</f>
        <v>0</v>
      </c>
      <c r="AO201" s="488" t="n">
        <f aca="false">CHOOSE(J201, SQRT(Iout^2+(P201^2)/12), SQRT(1-O201)*SQRT(L201^2+(P201^2)/12), SQRT(1-O201)*SQRT(M201^2+(P201^2)/12))</f>
        <v>6.28072928515434</v>
      </c>
      <c r="AP201" s="488" t="n">
        <f aca="false">Rdson3*AO201^2</f>
        <v>0.0749503646714512</v>
      </c>
      <c r="AQ201" s="488" t="n">
        <f aca="false">CHOOSE(J201, 0, IF(L201&lt;P201/2,Deadtime*Fsw*IF(VfdSky_Q3&gt;0,0,Vsd_Q3)*(L201+P201/2), 2*Deadtime*Fsw*IF(VfdSky_Q3&gt;0,0,Vsd_Q3)*L201), IF(L201&lt;P201/2,Deadtime*Fsw/2*IF(VfdSky_Q3&gt;0,0,Vsd_Q3)*(L201+P201/2), 2*Deadtime*Fsw/2*IF(VfdSky_Q3&gt;0,0,Vsd_Q3)*L201))</f>
        <v>0</v>
      </c>
      <c r="AR201" s="488" t="n">
        <f aca="false">(AQ201+AP201*(1+RdsonBotTc*Ta-RdsonBotTc*25))/(1-AP201*RdsonBotTc*ThetaJA_Q3)</f>
        <v>0.0760909739201555</v>
      </c>
      <c r="AS201" s="488" t="n">
        <f aca="false">CHOOSE(J201, Rdson3*Q201^2, Rdson1*Q201^2, 0)</f>
        <v>0.0749503646714512</v>
      </c>
      <c r="AT201" s="488" t="n">
        <f aca="false">CHOOSE(J201, 2*Deadtime*Fsw*IF(VfdSky_Q2&gt;0,VfdSky_Q2,0)*K201, 2*Deadtime*Fsw*IF(VfdSky_Q3&gt;0,VfdSky_Q3,0)*L201, 2*Deadtime*Fsw/2*IF(VfdSky_Q2&gt;0,VfdSky_Q2,0)*K201+2*Deadtime*Fsw/2*IF(VfdSky_Q3&gt;0,VfdSky_Q3,0)*L201)</f>
        <v>0</v>
      </c>
      <c r="AU201" s="488" t="n">
        <f aca="false">CHOOSE(J201, IF(QrrSky_Q2&gt;0,QrrSky_Q2,Qrr_Q2)*Fsw*(H201-K201*Rdson1), IF(QrrSky_Q3&gt;0,QrrSky_Q3,Qrr_Q3)*Fsw*Vout,  IF(QrrSky_Q2&gt;0,QrrSky_Q2,Qrr_Q2)*Fsw/2*(H201-K201*Rdson1)+IF(QrrSky_Q3&gt;0,QrrSky_Q3,Qrr_Q3)*Fsw/2*Vout)</f>
        <v>0.91108962</v>
      </c>
      <c r="AV201" s="488" t="n">
        <f aca="false">CHOOSE(J201, Rs*AF201^2, Rs*AJ201^2, Rs*(AF201^2+AJ201^2))</f>
        <v>0.236487340072873</v>
      </c>
      <c r="AW201" s="488" t="n">
        <f aca="false">Rshunt_std/1000*Iout^2</f>
        <v>0.14832</v>
      </c>
      <c r="AX201" s="488" t="n">
        <f aca="false">IF(Vout&gt;8, Iq*Vout, Iq*H201)</f>
        <v>0.036</v>
      </c>
      <c r="AY201" s="488" t="n">
        <f aca="false">CHOOSE(J201, (Qg_Q1+Qg_Q2)*Fsw, (Qg_Q3+Qg_Q4)*Fsw, (Qg_Q1+Qg_Q2+Qg_Q3+Qg_Q4)*Fsw/2)*IF(Vout&gt;8, Vout, H201)</f>
        <v>0.0792</v>
      </c>
      <c r="AZ201" s="488" t="n">
        <f aca="false">(Vin-Vdd)*Fsw*(Qg_Q1+Qg_Q2)+(RdsonDRT+RdsonDRT2)*Fsw*Qg_Q1*Vdd/(RdsonDRT+2*Rgate1+RdsonDRT2)+(RdsonDRB+RdsonDRB2)*Fsw*Qg_Q2*Vdd/(RdsonDRB+2*Rgate2+RdsonDRB2)</f>
        <v>0.0522</v>
      </c>
      <c r="BA201" s="488" t="n">
        <f aca="false">SUM(AX201:AY201)</f>
        <v>0.1152</v>
      </c>
      <c r="BB201" s="488" t="n">
        <f aca="false">SUM(T201,W201,Z201,AE201,AI201,AN201,AR201, AT201,AU201,BA201,AV201,AW201)</f>
        <v>3.54700301138956</v>
      </c>
      <c r="BC201" s="419" t="n">
        <f aca="false">Vout*K201</f>
        <v>72</v>
      </c>
      <c r="BD201" s="589" t="n">
        <f aca="false">BC201/(BC201+BB201)</f>
        <v>0.953049057275577</v>
      </c>
      <c r="BE201" s="590" t="n">
        <f aca="false">IF(H201&gt;Vout,ThetaJA_Q1*(AE201+AU201),ThetaJA_Q4*(AN201+AU201))</f>
        <v>63.3100632153319</v>
      </c>
      <c r="BF201" s="590" t="n">
        <f aca="false">IF(H201&gt;Vout, AI201*ThetaJA_Q2, ThetaJA_Q3*AR201)</f>
        <v>16.1697739122434</v>
      </c>
      <c r="BG201" s="536"/>
      <c r="BH201" s="385" t="n">
        <f aca="false">BD201*100</f>
        <v>95.3049057275577</v>
      </c>
      <c r="BI201" s="488" t="n">
        <f aca="false">T201</f>
        <v>1.34925259625356</v>
      </c>
      <c r="BJ201" s="488" t="n">
        <f aca="false">AE201+AI201+AN201+AR201+AU201</f>
        <v>1.66568771647166</v>
      </c>
      <c r="BK201" s="488" t="n">
        <f aca="false">AI201+AU201*0.33</f>
        <v>0.624055052844867</v>
      </c>
      <c r="BL201" s="488" t="n">
        <f aca="false">AV201</f>
        <v>0.236487340072873</v>
      </c>
    </row>
    <row r="202" customFormat="false" ht="12.75" hidden="false" customHeight="false" outlineLevel="0" collapsed="false">
      <c r="G202" s="0" t="n">
        <v>193</v>
      </c>
      <c r="H202" s="586" t="n">
        <f aca="false">VIN_min+(VIN_max-VIN_min)*(G202/200)</f>
        <v>48.46</v>
      </c>
      <c r="I202" s="385" t="str">
        <f aca="false">IF(H202&gt;VIN_BB_to_buck, "BUCK", IF(H202&lt;VIN_boost_to_BB,"BOOST","BUCK-BST"))</f>
        <v>BUCK</v>
      </c>
      <c r="J202" s="419" t="n">
        <f aca="false">IF(I202="BOOST",2, IF(I202="BUCK", 1,3))</f>
        <v>1</v>
      </c>
      <c r="K202" s="0" t="n">
        <f aca="false">Iout</f>
        <v>6</v>
      </c>
      <c r="L202" s="385" t="n">
        <f aca="false">Vout*K202/(H202*Efficiency)</f>
        <v>1.65084605860503</v>
      </c>
      <c r="M202" s="385" t="n">
        <f aca="false">Iout/(1-O202)</f>
        <v>6</v>
      </c>
      <c r="N202" s="488" t="n">
        <f aca="false">CHOOSE(J202,(Vout+(Rdson2+Rs+Rdcr)*K202)/(H202+(Rs+Rdson2-Rdson1)*K202),1,IF(H202&lt;Vout,D_max_buck_BB,Vout/H202*(1-D_min_boost_exitBB_to_buck)))</f>
        <v>0.249490805640307</v>
      </c>
      <c r="O202" s="488" t="n">
        <f aca="false">CHOOSE(J202,0,(Vout+(Rdson3+Rdcr)*L202-H202)/(Vout+(Rdson3-Rdson4-Rs)*L202),IF(H202&gt;Vout,D_min_boost_exitBB_to_buck, (Vout-H202*D_max_buck_BB)/Vout))</f>
        <v>0</v>
      </c>
      <c r="P202" s="385" t="n">
        <f aca="false">MAX(0, CHOOSE(J202, (H202-(Rdson1+Rdcr)*K202-Vout)*N202/(Fsw*Lf), (H202-(Rdson4+Rdcr+Rs)*L202)*O202/(Fsw*Lf), IF(H202&lt;Vout, (H202-(Rdson4+Rdcr+Rs)*L202)*O202/(0.5*Fsw*Lf),(H202-(Rdson1+Rdcr)*K202-Vout)*N202/(0.5*Fsw*Lf))))</f>
        <v>6.44176412971583</v>
      </c>
      <c r="Q202" s="488" t="n">
        <f aca="false">CHOOSE(J202, SQRT(K202^2+(P202^2)/12), SQRT(L202^2+(P202^2)/12), SQRT(M202^2+(P202^2)/12))</f>
        <v>6.28156247218061</v>
      </c>
      <c r="R202" s="488" t="n">
        <f aca="false">(Q202^2*Rdcr*(1+Ltc*Ta-Ltc*25))/(1-Q202^2*Rdcr*Ltc*ThetaCa)</f>
        <v>0.133597147360357</v>
      </c>
      <c r="S202" s="488" t="n">
        <f aca="false">7.759*10^-3*Fsw^0.9458*(0.00787*P202)^2.304</f>
        <v>1.21994407001124</v>
      </c>
      <c r="T202" s="488" t="n">
        <f aca="false">R202+S202</f>
        <v>1.3535412173716</v>
      </c>
      <c r="U202" s="385" t="n">
        <f aca="false">IF(H202&gt;Vout, P202/SQRT(12), SQRT(O202/(1-O202))*SQRT(K202^2+(P202^2)/12))</f>
        <v>1.85957712717375</v>
      </c>
      <c r="V202" s="488" t="n">
        <f aca="false">RCoutEsr*U202^2</f>
        <v>0.017290135459539</v>
      </c>
      <c r="W202" s="488" t="n">
        <f aca="false">V202</f>
        <v>0.017290135459539</v>
      </c>
      <c r="X202" s="488" t="n">
        <f aca="false">IF(H202&gt;Vout, SQRT(N202*(1-N202))*SQRT(K202^2+(P202^2)/12), P202/SQRT(12))</f>
        <v>2.71814715324228</v>
      </c>
      <c r="Y202" s="587" t="n">
        <f aca="false">RCinEsr*X202^2</f>
        <v>0.0147766478933582</v>
      </c>
      <c r="Z202" s="588" t="n">
        <f aca="false">Y202</f>
        <v>0.0147766478933582</v>
      </c>
      <c r="AA202" s="488" t="n">
        <f aca="false">CHOOSE(J202, SQRT(N202)*SQRT(K202^2+(P202^2)/12), SQRT(L202^2+(P202^2)/12), SQRT(N202)*SQRT(M202^2+(P202^2)/12))</f>
        <v>3.13758106957209</v>
      </c>
      <c r="AB202" s="488" t="n">
        <f aca="false">Rdson1*AA202^2</f>
        <v>0.0561131653183816</v>
      </c>
      <c r="AC202" s="488" t="n">
        <f aca="false">CHOOSE(J202, (H202*K202/2)*(Fsw)*(Tr_buck+Tf_buck), 0, (H202*M202/2)*(Fsw/2)*(Tr_buck+Tf_buck))</f>
        <v>0.296099638450502</v>
      </c>
      <c r="AD202" s="0" t="n">
        <f aca="false">IF(H202&gt;Vout, IF(K202&gt;P202/2,0,ABS(K202-P202/2)*Vsd_Q1*Deadtime*Fsw),0)</f>
        <v>0</v>
      </c>
      <c r="AE202" s="488" t="n">
        <f aca="false">(AD202+AC202+AB202*(1+RdsonTopTc*Ta-RdsonTopTc*25))/(1-AB202*RdsonTopTc*ThetaJA_Q1)</f>
        <v>0.35621042263558</v>
      </c>
      <c r="AF202" s="488" t="n">
        <f aca="false">CHOOSE(J202, SQRT((1-N202))*SQRT(K202^2+(P202^2)/12), 0, SQRT((1-N202))*SQRT(M202^2+(P202^2)/12))</f>
        <v>5.44183903875985</v>
      </c>
      <c r="AG202" s="488" t="n">
        <f aca="false">Rdson2*AF202^2</f>
        <v>0.168797589105493</v>
      </c>
      <c r="AH202" s="488" t="n">
        <f aca="false">CHOOSE(J202, IF(K202&lt;P202/2,Deadtime*Fsw*IF(VfdSky_Q2&gt;0,0,Vsd_Q2)*(K202+P202/2),2*Deadtime*Fsw*IF(VfdSky_Q2&gt;0,0,Vsd_Q2)*K202),0, IF(K202&lt;P202/2,Deadtime*Fsw/2*IF(VfdSky_Q2&gt;0,0,Vsd_Q2)*(K202+P202/2),2*Deadtime*Fsw/2*IF(VfdSky_Q2&gt;0,0,Vsd_Q2)*K202))</f>
        <v>0.144</v>
      </c>
      <c r="AI202" s="488" t="n">
        <f aca="false">(AH202+AG202*(1+RdsonBotTc*Ta-RdsonBotTc*25))/(1-AG202*RdsonBotTc*ThetaJA_Q2)</f>
        <v>0.323726437542883</v>
      </c>
      <c r="AJ202" s="488" t="n">
        <f aca="false">CHOOSE(J202, 0, SQRT(O202)*SQRT(L202^2+(P202^2)/12), SQRT(O202)*SQRT(M202^2+(P202^2)/12))</f>
        <v>0</v>
      </c>
      <c r="AK202" s="488" t="n">
        <f aca="false">Rdson4*AJ202^2</f>
        <v>0</v>
      </c>
      <c r="AL202" s="488" t="n">
        <f aca="false">CHOOSE(J202, 0, (Vout*L202/2)*(Fsw)*(Tr_boost+Tf_boost), (Vout*Iout/2)*(Fsw/2)*(Tr_boost+Tf_boost))</f>
        <v>0</v>
      </c>
      <c r="AM202" s="0" t="n">
        <f aca="false">IF(H202&gt;Vout, 0, IF(L202&gt;P202/2,0,ABS(L202-P202/2)*Vsd_Q4*Deadtime*Fsw))</f>
        <v>0</v>
      </c>
      <c r="AN202" s="488" t="n">
        <f aca="false">(AM202+AL202+AK202*(1+RdsonTopTc*Ta-RdsonTopTc*25))/(1-AK202*RdsonTopTc*ThetaJA_Q4)</f>
        <v>0</v>
      </c>
      <c r="AO202" s="488" t="n">
        <f aca="false">CHOOSE(J202, SQRT(Iout^2+(P202^2)/12), SQRT(1-O202)*SQRT(L202^2+(P202^2)/12), SQRT(1-O202)*SQRT(M202^2+(P202^2)/12))</f>
        <v>6.28156247218061</v>
      </c>
      <c r="AP202" s="488" t="n">
        <f aca="false">Rdson3*AO202^2</f>
        <v>0.0749702514746248</v>
      </c>
      <c r="AQ202" s="488" t="n">
        <f aca="false">CHOOSE(J202, 0, IF(L202&lt;P202/2,Deadtime*Fsw*IF(VfdSky_Q3&gt;0,0,Vsd_Q3)*(L202+P202/2), 2*Deadtime*Fsw*IF(VfdSky_Q3&gt;0,0,Vsd_Q3)*L202), IF(L202&lt;P202/2,Deadtime*Fsw/2*IF(VfdSky_Q3&gt;0,0,Vsd_Q3)*(L202+P202/2), 2*Deadtime*Fsw/2*IF(VfdSky_Q3&gt;0,0,Vsd_Q3)*L202))</f>
        <v>0</v>
      </c>
      <c r="AR202" s="488" t="n">
        <f aca="false">(AQ202+AP202*(1+RdsonBotTc*Ta-RdsonBotTc*25))/(1-AP202*RdsonBotTc*ThetaJA_Q3)</f>
        <v>0.0761114706942349</v>
      </c>
      <c r="AS202" s="488" t="n">
        <f aca="false">CHOOSE(J202, Rdson3*Q202^2, Rdson1*Q202^2, 0)</f>
        <v>0.0749702514746248</v>
      </c>
      <c r="AT202" s="488" t="n">
        <f aca="false">CHOOSE(J202, 2*Deadtime*Fsw*IF(VfdSky_Q2&gt;0,VfdSky_Q2,0)*K202, 2*Deadtime*Fsw*IF(VfdSky_Q3&gt;0,VfdSky_Q3,0)*L202, 2*Deadtime*Fsw/2*IF(VfdSky_Q2&gt;0,VfdSky_Q2,0)*K202+2*Deadtime*Fsw/2*IF(VfdSky_Q3&gt;0,VfdSky_Q3,0)*L202)</f>
        <v>0</v>
      </c>
      <c r="AU202" s="488" t="n">
        <f aca="false">CHOOSE(J202, IF(QrrSky_Q2&gt;0,QrrSky_Q2,Qrr_Q2)*Fsw*(H202-K202*Rdson1), IF(QrrSky_Q3&gt;0,QrrSky_Q3,Qrr_Q3)*Fsw*Vout,  IF(QrrSky_Q2&gt;0,QrrSky_Q2,Qrr_Q2)*Fsw/2*(H202-K202*Rdson1)+IF(QrrSky_Q3&gt;0,QrrSky_Q3,Qrr_Q3)*Fsw/2*Vout)</f>
        <v>0.91524762</v>
      </c>
      <c r="AV202" s="488" t="n">
        <f aca="false">CHOOSE(J202, Rs*AF202^2, Rs*AJ202^2, Rs*(AF202^2+AJ202^2))</f>
        <v>0.236908896990165</v>
      </c>
      <c r="AW202" s="488" t="n">
        <f aca="false">Rshunt_std/1000*Iout^2</f>
        <v>0.14832</v>
      </c>
      <c r="AX202" s="488" t="n">
        <f aca="false">IF(Vout&gt;8, Iq*Vout, Iq*H202)</f>
        <v>0.036</v>
      </c>
      <c r="AY202" s="488" t="n">
        <f aca="false">CHOOSE(J202, (Qg_Q1+Qg_Q2)*Fsw, (Qg_Q3+Qg_Q4)*Fsw, (Qg_Q1+Qg_Q2+Qg_Q3+Qg_Q4)*Fsw/2)*IF(Vout&gt;8, Vout, H202)</f>
        <v>0.0792</v>
      </c>
      <c r="AZ202" s="488" t="n">
        <f aca="false">(Vin-Vdd)*Fsw*(Qg_Q1+Qg_Q2)+(RdsonDRT+RdsonDRT2)*Fsw*Qg_Q1*Vdd/(RdsonDRT+2*Rgate1+RdsonDRT2)+(RdsonDRB+RdsonDRB2)*Fsw*Qg_Q2*Vdd/(RdsonDRB+2*Rgate2+RdsonDRB2)</f>
        <v>0.0522</v>
      </c>
      <c r="BA202" s="488" t="n">
        <f aca="false">SUM(AX202:AY202)</f>
        <v>0.1152</v>
      </c>
      <c r="BB202" s="488" t="n">
        <f aca="false">SUM(T202,W202,Z202,AE202,AI202,AN202,AR202, AT202,AU202,BA202,AV202,AW202)</f>
        <v>3.55733284858736</v>
      </c>
      <c r="BC202" s="419" t="n">
        <f aca="false">Vout*K202</f>
        <v>72</v>
      </c>
      <c r="BD202" s="589" t="n">
        <f aca="false">BC202/(BC202+BB202)</f>
        <v>0.952918760966377</v>
      </c>
      <c r="BE202" s="590" t="n">
        <f aca="false">IF(H202&gt;Vout,ThetaJA_Q1*(AE202+AU202),ThetaJA_Q4*(AN202+AU202))</f>
        <v>63.572902131779</v>
      </c>
      <c r="BF202" s="590" t="n">
        <f aca="false">IF(H202&gt;Vout, AI202*ThetaJA_Q2, ThetaJA_Q3*AR202)</f>
        <v>16.1863218771441</v>
      </c>
      <c r="BG202" s="536"/>
      <c r="BH202" s="385" t="n">
        <f aca="false">BD202*100</f>
        <v>95.2918760966377</v>
      </c>
      <c r="BI202" s="488" t="n">
        <f aca="false">T202</f>
        <v>1.3535412173716</v>
      </c>
      <c r="BJ202" s="488" t="n">
        <f aca="false">AE202+AI202+AN202+AR202+AU202</f>
        <v>1.6712959508727</v>
      </c>
      <c r="BK202" s="488" t="n">
        <f aca="false">AI202+AU202*0.33</f>
        <v>0.625758152142883</v>
      </c>
      <c r="BL202" s="488" t="n">
        <f aca="false">AV202</f>
        <v>0.236908896990165</v>
      </c>
    </row>
    <row r="203" customFormat="false" ht="12.75" hidden="false" customHeight="false" outlineLevel="0" collapsed="false">
      <c r="G203" s="0" t="n">
        <v>194</v>
      </c>
      <c r="H203" s="586" t="n">
        <f aca="false">VIN_min+(VIN_max-VIN_min)*(G203/200)</f>
        <v>48.68</v>
      </c>
      <c r="I203" s="385" t="str">
        <f aca="false">IF(H203&gt;VIN_BB_to_buck, "BUCK", IF(H203&lt;VIN_boost_to_BB,"BOOST","BUCK-BST"))</f>
        <v>BUCK</v>
      </c>
      <c r="J203" s="419" t="n">
        <f aca="false">IF(I203="BOOST",2, IF(I203="BUCK", 1,3))</f>
        <v>1</v>
      </c>
      <c r="K203" s="0" t="n">
        <f aca="false">Iout</f>
        <v>6</v>
      </c>
      <c r="L203" s="385" t="n">
        <f aca="false">Vout*K203/(H203*Efficiency)</f>
        <v>1.64338537387017</v>
      </c>
      <c r="M203" s="385" t="n">
        <f aca="false">Iout/(1-O203)</f>
        <v>6</v>
      </c>
      <c r="N203" s="488" t="n">
        <f aca="false">CHOOSE(J203,(Vout+(Rdson2+Rs+Rdcr)*K203)/(H203+(Rs+Rdson2-Rdson1)*K203),1,IF(H203&lt;Vout,D_max_buck_BB,Vout/H203*(1-D_min_boost_exitBB_to_buck)))</f>
        <v>0.24836439008373</v>
      </c>
      <c r="O203" s="488" t="n">
        <f aca="false">CHOOSE(J203,0,(Vout+(Rdson3+Rdcr)*L203-H203)/(Vout+(Rdson3-Rdson4-Rs)*L203),IF(H203&gt;Vout,D_min_boost_exitBB_to_buck, (Vout-H203*D_max_buck_BB)/Vout))</f>
        <v>0</v>
      </c>
      <c r="P203" s="385" t="n">
        <f aca="false">MAX(0, CHOOSE(J203, (H203-(Rdson1+Rdcr)*K203-Vout)*N203/(Fsw*Lf), (H203-(Rdson4+Rdcr+Rs)*L203)*O203/(Fsw*Lf), IF(H203&lt;Vout, (H203-(Rdson4+Rdcr+Rs)*L203)*O203/(0.5*Fsw*Lf),(H203-(Rdson1+Rdcr)*K203-Vout)*N203/(0.5*Fsw*Lf))))</f>
        <v>6.45143237013452</v>
      </c>
      <c r="Q203" s="488" t="n">
        <f aca="false">CHOOSE(J203, SQRT(K203^2+(P203^2)/12), SQRT(L203^2+(P203^2)/12), SQRT(M203^2+(P203^2)/12))</f>
        <v>6.28238927231259</v>
      </c>
      <c r="R203" s="488" t="n">
        <f aca="false">(Q203^2*Rdcr*(1+Ltc*Ta-Ltc*25))/(1-Q203^2*Rdcr*Ltc*ThetaCa)</f>
        <v>0.133632694679106</v>
      </c>
      <c r="S203" s="488" t="n">
        <f aca="false">7.759*10^-3*Fsw^0.9458*(0.00787*P203)^2.304</f>
        <v>1.22416676643453</v>
      </c>
      <c r="T203" s="488" t="n">
        <f aca="false">R203+S203</f>
        <v>1.35779946111364</v>
      </c>
      <c r="U203" s="385" t="n">
        <f aca="false">IF(H203&gt;Vout, P203/SQRT(12), SQRT(O203/(1-O203))*SQRT(K203^2+(P203^2)/12))</f>
        <v>1.86236810777792</v>
      </c>
      <c r="V203" s="488" t="n">
        <f aca="false">RCoutEsr*U203^2</f>
        <v>0.0173420748443415</v>
      </c>
      <c r="W203" s="488" t="n">
        <f aca="false">V203</f>
        <v>0.0173420748443415</v>
      </c>
      <c r="X203" s="488" t="n">
        <f aca="false">IF(H203&gt;Vout, SQRT(N203*(1-N203))*SQRT(K203^2+(P203^2)/12), P203/SQRT(12))</f>
        <v>2.71439583600594</v>
      </c>
      <c r="Y203" s="587" t="n">
        <f aca="false">RCinEsr*X203^2</f>
        <v>0.0147358895090528</v>
      </c>
      <c r="Z203" s="588" t="n">
        <f aca="false">Y203</f>
        <v>0.0147358895090528</v>
      </c>
      <c r="AA203" s="488" t="n">
        <f aca="false">CHOOSE(J203, SQRT(N203)*SQRT(K203^2+(P203^2)/12), SQRT(L203^2+(P203^2)/12), SQRT(N203)*SQRT(M203^2+(P203^2)/12))</f>
        <v>3.13090223598798</v>
      </c>
      <c r="AB203" s="488" t="n">
        <f aca="false">Rdson1*AA203^2</f>
        <v>0.0558745282244929</v>
      </c>
      <c r="AC203" s="488" t="n">
        <f aca="false">CHOOSE(J203, (H203*K203/2)*(Fsw)*(Tr_buck+Tf_buck), 0, (H203*M203/2)*(Fsw/2)*(Tr_buck+Tf_buck))</f>
        <v>0.297443879483501</v>
      </c>
      <c r="AD203" s="0" t="n">
        <f aca="false">IF(H203&gt;Vout, IF(K203&gt;P203/2,0,ABS(K203-P203/2)*Vsd_Q1*Deadtime*Fsw),0)</f>
        <v>0</v>
      </c>
      <c r="AE203" s="488" t="n">
        <f aca="false">(AD203+AC203+AB203*(1+RdsonTopTc*Ta-RdsonTopTc*25))/(1-AB203*RdsonTopTc*ThetaJA_Q1)</f>
        <v>0.357311328085199</v>
      </c>
      <c r="AF203" s="488" t="n">
        <f aca="false">CHOOSE(J203, SQRT((1-N203))*SQRT(K203^2+(P203^2)/12), 0, SQRT((1-N203))*SQRT(M203^2+(P203^2)/12))</f>
        <v>5.44663806008383</v>
      </c>
      <c r="AG203" s="488" t="n">
        <f aca="false">Rdson2*AF203^2</f>
        <v>0.169095437098056</v>
      </c>
      <c r="AH203" s="488" t="n">
        <f aca="false">CHOOSE(J203, IF(K203&lt;P203/2,Deadtime*Fsw*IF(VfdSky_Q2&gt;0,0,Vsd_Q2)*(K203+P203/2),2*Deadtime*Fsw*IF(VfdSky_Q2&gt;0,0,Vsd_Q2)*K203),0, IF(K203&lt;P203/2,Deadtime*Fsw/2*IF(VfdSky_Q2&gt;0,0,Vsd_Q2)*(K203+P203/2),2*Deadtime*Fsw/2*IF(VfdSky_Q2&gt;0,0,Vsd_Q2)*K203))</f>
        <v>0.144</v>
      </c>
      <c r="AI203" s="488" t="n">
        <f aca="false">(AH203+AG203*(1+RdsonBotTc*Ta-RdsonBotTc*25))/(1-AG203*RdsonBotTc*ThetaJA_Q2)</f>
        <v>0.324054670322424</v>
      </c>
      <c r="AJ203" s="488" t="n">
        <f aca="false">CHOOSE(J203, 0, SQRT(O203)*SQRT(L203^2+(P203^2)/12), SQRT(O203)*SQRT(M203^2+(P203^2)/12))</f>
        <v>0</v>
      </c>
      <c r="AK203" s="488" t="n">
        <f aca="false">Rdson4*AJ203^2</f>
        <v>0</v>
      </c>
      <c r="AL203" s="488" t="n">
        <f aca="false">CHOOSE(J203, 0, (Vout*L203/2)*(Fsw)*(Tr_boost+Tf_boost), (Vout*Iout/2)*(Fsw/2)*(Tr_boost+Tf_boost))</f>
        <v>0</v>
      </c>
      <c r="AM203" s="0" t="n">
        <f aca="false">IF(H203&gt;Vout, 0, IF(L203&gt;P203/2,0,ABS(L203-P203/2)*Vsd_Q4*Deadtime*Fsw))</f>
        <v>0</v>
      </c>
      <c r="AN203" s="488" t="n">
        <f aca="false">(AM203+AL203+AK203*(1+RdsonTopTc*Ta-RdsonTopTc*25))/(1-AK203*RdsonTopTc*ThetaJA_Q4)</f>
        <v>0</v>
      </c>
      <c r="AO203" s="488" t="n">
        <f aca="false">CHOOSE(J203, SQRT(Iout^2+(P203^2)/12), SQRT(1-O203)*SQRT(L203^2+(P203^2)/12), SQRT(1-O203)*SQRT(M203^2+(P203^2)/12))</f>
        <v>6.28238927231259</v>
      </c>
      <c r="AP203" s="488" t="n">
        <f aca="false">Rdson3*AO203^2</f>
        <v>0.0749899884408498</v>
      </c>
      <c r="AQ203" s="488" t="n">
        <f aca="false">CHOOSE(J203, 0, IF(L203&lt;P203/2,Deadtime*Fsw*IF(VfdSky_Q3&gt;0,0,Vsd_Q3)*(L203+P203/2), 2*Deadtime*Fsw*IF(VfdSky_Q3&gt;0,0,Vsd_Q3)*L203), IF(L203&lt;P203/2,Deadtime*Fsw/2*IF(VfdSky_Q3&gt;0,0,Vsd_Q3)*(L203+P203/2), 2*Deadtime*Fsw/2*IF(VfdSky_Q3&gt;0,0,Vsd_Q3)*L203))</f>
        <v>0</v>
      </c>
      <c r="AR203" s="488" t="n">
        <f aca="false">(AQ203+AP203*(1+RdsonBotTc*Ta-RdsonBotTc*25))/(1-AP203*RdsonBotTc*ThetaJA_Q3)</f>
        <v>0.0761318131992077</v>
      </c>
      <c r="AS203" s="488" t="n">
        <f aca="false">CHOOSE(J203, Rdson3*Q203^2, Rdson1*Q203^2, 0)</f>
        <v>0.0749899884408498</v>
      </c>
      <c r="AT203" s="488" t="n">
        <f aca="false">CHOOSE(J203, 2*Deadtime*Fsw*IF(VfdSky_Q2&gt;0,VfdSky_Q2,0)*K203, 2*Deadtime*Fsw*IF(VfdSky_Q3&gt;0,VfdSky_Q3,0)*L203, 2*Deadtime*Fsw/2*IF(VfdSky_Q2&gt;0,VfdSky_Q2,0)*K203+2*Deadtime*Fsw/2*IF(VfdSky_Q3&gt;0,VfdSky_Q3,0)*L203)</f>
        <v>0</v>
      </c>
      <c r="AU203" s="488" t="n">
        <f aca="false">CHOOSE(J203, IF(QrrSky_Q2&gt;0,QrrSky_Q2,Qrr_Q2)*Fsw*(H203-K203*Rdson1), IF(QrrSky_Q3&gt;0,QrrSky_Q3,Qrr_Q3)*Fsw*Vout,  IF(QrrSky_Q2&gt;0,QrrSky_Q2,Qrr_Q2)*Fsw/2*(H203-K203*Rdson1)+IF(QrrSky_Q3&gt;0,QrrSky_Q3,Qrr_Q3)*Fsw/2*Vout)</f>
        <v>0.91940562</v>
      </c>
      <c r="AV203" s="488" t="n">
        <f aca="false">CHOOSE(J203, Rs*AF203^2, Rs*AJ203^2, Rs*(AF203^2+AJ203^2))</f>
        <v>0.23732692926043</v>
      </c>
      <c r="AW203" s="488" t="n">
        <f aca="false">Rshunt_std/1000*Iout^2</f>
        <v>0.14832</v>
      </c>
      <c r="AX203" s="488" t="n">
        <f aca="false">IF(Vout&gt;8, Iq*Vout, Iq*H203)</f>
        <v>0.036</v>
      </c>
      <c r="AY203" s="488" t="n">
        <f aca="false">CHOOSE(J203, (Qg_Q1+Qg_Q2)*Fsw, (Qg_Q3+Qg_Q4)*Fsw, (Qg_Q1+Qg_Q2+Qg_Q3+Qg_Q4)*Fsw/2)*IF(Vout&gt;8, Vout, H203)</f>
        <v>0.0792</v>
      </c>
      <c r="AZ203" s="488" t="n">
        <f aca="false">(Vin-Vdd)*Fsw*(Qg_Q1+Qg_Q2)+(RdsonDRT+RdsonDRT2)*Fsw*Qg_Q1*Vdd/(RdsonDRT+2*Rgate1+RdsonDRT2)+(RdsonDRB+RdsonDRB2)*Fsw*Qg_Q2*Vdd/(RdsonDRB+2*Rgate2+RdsonDRB2)</f>
        <v>0.0522</v>
      </c>
      <c r="BA203" s="488" t="n">
        <f aca="false">SUM(AX203:AY203)</f>
        <v>0.1152</v>
      </c>
      <c r="BB203" s="488" t="n">
        <f aca="false">SUM(T203,W203,Z203,AE203,AI203,AN203,AR203, AT203,AU203,BA203,AV203,AW203)</f>
        <v>3.5676277863343</v>
      </c>
      <c r="BC203" s="419" t="n">
        <f aca="false">Vout*K203</f>
        <v>72</v>
      </c>
      <c r="BD203" s="589" t="n">
        <f aca="false">BC203/(BC203+BB203)</f>
        <v>0.952788940306269</v>
      </c>
      <c r="BE203" s="590" t="n">
        <f aca="false">IF(H203&gt;Vout,ThetaJA_Q1*(AE203+AU203),ThetaJA_Q4*(AN203+AU203))</f>
        <v>63.83584740426</v>
      </c>
      <c r="BF203" s="590" t="n">
        <f aca="false">IF(H203&gt;Vout, AI203*ThetaJA_Q2, ThetaJA_Q3*AR203)</f>
        <v>16.2027335161212</v>
      </c>
      <c r="BG203" s="536"/>
      <c r="BH203" s="385" t="n">
        <f aca="false">BD203*100</f>
        <v>95.2788940306269</v>
      </c>
      <c r="BI203" s="488" t="n">
        <f aca="false">T203</f>
        <v>1.35779946111364</v>
      </c>
      <c r="BJ203" s="488" t="n">
        <f aca="false">AE203+AI203+AN203+AR203+AU203</f>
        <v>1.67690343160683</v>
      </c>
      <c r="BK203" s="488" t="n">
        <f aca="false">AI203+AU203*0.33</f>
        <v>0.627458524922424</v>
      </c>
      <c r="BL203" s="488" t="n">
        <f aca="false">AV203</f>
        <v>0.23732692926043</v>
      </c>
    </row>
    <row r="204" customFormat="false" ht="12.75" hidden="false" customHeight="false" outlineLevel="0" collapsed="false">
      <c r="G204" s="0" t="n">
        <v>195</v>
      </c>
      <c r="H204" s="586" t="n">
        <f aca="false">VIN_min+(VIN_max-VIN_min)*(G204/200)</f>
        <v>48.9</v>
      </c>
      <c r="I204" s="385" t="str">
        <f aca="false">IF(H204&gt;VIN_BB_to_buck, "BUCK", IF(H204&lt;VIN_boost_to_BB,"BOOST","BUCK-BST"))</f>
        <v>BUCK</v>
      </c>
      <c r="J204" s="419" t="n">
        <f aca="false">IF(I204="BOOST",2, IF(I204="BUCK", 1,3))</f>
        <v>1</v>
      </c>
      <c r="K204" s="0" t="n">
        <f aca="false">Iout</f>
        <v>6</v>
      </c>
      <c r="L204" s="385" t="n">
        <f aca="false">Vout*K204/(H204*Efficiency)</f>
        <v>1.6359918200409</v>
      </c>
      <c r="M204" s="385" t="n">
        <f aca="false">Iout/(1-O204)</f>
        <v>6</v>
      </c>
      <c r="N204" s="488" t="n">
        <f aca="false">CHOOSE(J204,(Vout+(Rdson2+Rs+Rdcr)*K204)/(H204+(Rs+Rdson2-Rdson1)*K204),1,IF(H204&lt;Vout,D_max_buck_BB,Vout/H204*(1-D_min_boost_exitBB_to_buck)))</f>
        <v>0.247248100024516</v>
      </c>
      <c r="O204" s="488" t="n">
        <f aca="false">CHOOSE(J204,0,(Vout+(Rdson3+Rdcr)*L204-H204)/(Vout+(Rdson3-Rdson4-Rs)*L204),IF(H204&gt;Vout,D_min_boost_exitBB_to_buck, (Vout-H204*D_max_buck_BB)/Vout))</f>
        <v>0</v>
      </c>
      <c r="P204" s="385" t="n">
        <f aca="false">MAX(0, CHOOSE(J204, (H204-(Rdson1+Rdcr)*K204-Vout)*N204/(Fsw*Lf), (H204-(Rdson4+Rdcr+Rs)*L204)*O204/(Fsw*Lf), IF(H204&lt;Vout, (H204-(Rdson4+Rdcr+Rs)*L204)*O204/(0.5*Fsw*Lf),(H204-(Rdson1+Rdcr)*K204-Vout)*N204/(0.5*Fsw*Lf))))</f>
        <v>6.46101370147043</v>
      </c>
      <c r="Q204" s="488" t="n">
        <f aca="false">CHOOSE(J204, SQRT(K204^2+(P204^2)/12), SQRT(L204^2+(P204^2)/12), SQRT(M204^2+(P204^2)/12))</f>
        <v>6.28320975597258</v>
      </c>
      <c r="R204" s="488" t="n">
        <f aca="false">(Q204^2*Rdcr*(1+Ltc*Ta-Ltc*25))/(1-Q204^2*Rdcr*Ltc*ThetaCa)</f>
        <v>0.133667975251285</v>
      </c>
      <c r="S204" s="488" t="n">
        <f aca="false">7.759*10^-3*Fsw^0.9458*(0.00787*P204)^2.304</f>
        <v>1.22835965349192</v>
      </c>
      <c r="T204" s="488" t="n">
        <f aca="false">R204+S204</f>
        <v>1.3620276287432</v>
      </c>
      <c r="U204" s="385" t="n">
        <f aca="false">IF(H204&gt;Vout, P204/SQRT(12), SQRT(O204/(1-O204))*SQRT(K204^2+(P204^2)/12))</f>
        <v>1.86513399989091</v>
      </c>
      <c r="V204" s="488" t="n">
        <f aca="false">RCoutEsr*U204^2</f>
        <v>0.0173936241877452</v>
      </c>
      <c r="W204" s="488" t="n">
        <f aca="false">V204</f>
        <v>0.0173936241877452</v>
      </c>
      <c r="X204" s="488" t="n">
        <f aca="false">IF(H204&gt;Vout, SQRT(N204*(1-N204))*SQRT(K204^2+(P204^2)/12), P204/SQRT(12))</f>
        <v>2.71065327652537</v>
      </c>
      <c r="Y204" s="587" t="n">
        <f aca="false">RCinEsr*X204^2</f>
        <v>0.0146952823710754</v>
      </c>
      <c r="Z204" s="588" t="n">
        <f aca="false">Y204</f>
        <v>0.0146952823710754</v>
      </c>
      <c r="AA204" s="488" t="n">
        <f aca="false">CHOOSE(J204, SQRT(N204)*SQRT(K204^2+(P204^2)/12), SQRT(L204^2+(P204^2)/12), SQRT(N204)*SQRT(M204^2+(P204^2)/12))</f>
        <v>3.1242662670577</v>
      </c>
      <c r="AB204" s="488" t="n">
        <f aca="false">Rdson1*AA204^2</f>
        <v>0.0556379263326056</v>
      </c>
      <c r="AC204" s="488" t="n">
        <f aca="false">CHOOSE(J204, (H204*K204/2)*(Fsw)*(Tr_buck+Tf_buck), 0, (H204*M204/2)*(Fsw/2)*(Tr_buck+Tf_buck))</f>
        <v>0.298788120516499</v>
      </c>
      <c r="AD204" s="0" t="n">
        <f aca="false">IF(H204&gt;Vout, IF(K204&gt;P204/2,0,ABS(K204-P204/2)*Vsd_Q1*Deadtime*Fsw),0)</f>
        <v>0</v>
      </c>
      <c r="AE204" s="488" t="n">
        <f aca="false">(AD204+AC204+AB204*(1+RdsonTopTc*Ta-RdsonTopTc*25))/(1-AB204*RdsonTopTc*ThetaJA_Q1)</f>
        <v>0.358414332899184</v>
      </c>
      <c r="AF204" s="488" t="n">
        <f aca="false">CHOOSE(J204, SQRT((1-N204))*SQRT(K204^2+(P204^2)/12), 0, SQRT((1-N204))*SQRT(M204^2+(P204^2)/12))</f>
        <v>5.45139295318861</v>
      </c>
      <c r="AG204" s="488" t="n">
        <f aca="false">Rdson2*AF204^2</f>
        <v>0.169390805241424</v>
      </c>
      <c r="AH204" s="488" t="n">
        <f aca="false">CHOOSE(J204, IF(K204&lt;P204/2,Deadtime*Fsw*IF(VfdSky_Q2&gt;0,0,Vsd_Q2)*(K204+P204/2),2*Deadtime*Fsw*IF(VfdSky_Q2&gt;0,0,Vsd_Q2)*K204),0, IF(K204&lt;P204/2,Deadtime*Fsw/2*IF(VfdSky_Q2&gt;0,0,Vsd_Q2)*(K204+P204/2),2*Deadtime*Fsw/2*IF(VfdSky_Q2&gt;0,0,Vsd_Q2)*K204))</f>
        <v>0.144</v>
      </c>
      <c r="AI204" s="488" t="n">
        <f aca="false">(AH204+AG204*(1+RdsonBotTc*Ta-RdsonBotTc*25))/(1-AG204*RdsonBotTc*ThetaJA_Q2)</f>
        <v>0.32438021024498</v>
      </c>
      <c r="AJ204" s="488" t="n">
        <f aca="false">CHOOSE(J204, 0, SQRT(O204)*SQRT(L204^2+(P204^2)/12), SQRT(O204)*SQRT(M204^2+(P204^2)/12))</f>
        <v>0</v>
      </c>
      <c r="AK204" s="488" t="n">
        <f aca="false">Rdson4*AJ204^2</f>
        <v>0</v>
      </c>
      <c r="AL204" s="488" t="n">
        <f aca="false">CHOOSE(J204, 0, (Vout*L204/2)*(Fsw)*(Tr_boost+Tf_boost), (Vout*Iout/2)*(Fsw/2)*(Tr_boost+Tf_boost))</f>
        <v>0</v>
      </c>
      <c r="AM204" s="0" t="n">
        <f aca="false">IF(H204&gt;Vout, 0, IF(L204&gt;P204/2,0,ABS(L204-P204/2)*Vsd_Q4*Deadtime*Fsw))</f>
        <v>0</v>
      </c>
      <c r="AN204" s="488" t="n">
        <f aca="false">(AM204+AL204+AK204*(1+RdsonTopTc*Ta-RdsonTopTc*25))/(1-AK204*RdsonTopTc*ThetaJA_Q4)</f>
        <v>0</v>
      </c>
      <c r="AO204" s="488" t="n">
        <f aca="false">CHOOSE(J204, SQRT(Iout^2+(P204^2)/12), SQRT(1-O204)*SQRT(L204^2+(P204^2)/12), SQRT(1-O204)*SQRT(M204^2+(P204^2)/12))</f>
        <v>6.28320975597258</v>
      </c>
      <c r="AP204" s="488" t="n">
        <f aca="false">Rdson3*AO204^2</f>
        <v>0.0750095771913432</v>
      </c>
      <c r="AQ204" s="488" t="n">
        <f aca="false">CHOOSE(J204, 0, IF(L204&lt;P204/2,Deadtime*Fsw*IF(VfdSky_Q3&gt;0,0,Vsd_Q3)*(L204+P204/2), 2*Deadtime*Fsw*IF(VfdSky_Q3&gt;0,0,Vsd_Q3)*L204), IF(L204&lt;P204/2,Deadtime*Fsw/2*IF(VfdSky_Q3&gt;0,0,Vsd_Q3)*(L204+P204/2), 2*Deadtime*Fsw/2*IF(VfdSky_Q3&gt;0,0,Vsd_Q3)*L204))</f>
        <v>0</v>
      </c>
      <c r="AR204" s="488" t="n">
        <f aca="false">(AQ204+AP204*(1+RdsonBotTc*Ta-RdsonBotTc*25))/(1-AP204*RdsonBotTc*ThetaJA_Q3)</f>
        <v>0.0761520031023393</v>
      </c>
      <c r="AS204" s="488" t="n">
        <f aca="false">CHOOSE(J204, Rdson3*Q204^2, Rdson1*Q204^2, 0)</f>
        <v>0.0750095771913432</v>
      </c>
      <c r="AT204" s="488" t="n">
        <f aca="false">CHOOSE(J204, 2*Deadtime*Fsw*IF(VfdSky_Q2&gt;0,VfdSky_Q2,0)*K204, 2*Deadtime*Fsw*IF(VfdSky_Q3&gt;0,VfdSky_Q3,0)*L204, 2*Deadtime*Fsw/2*IF(VfdSky_Q2&gt;0,VfdSky_Q2,0)*K204+2*Deadtime*Fsw/2*IF(VfdSky_Q3&gt;0,VfdSky_Q3,0)*L204)</f>
        <v>0</v>
      </c>
      <c r="AU204" s="488" t="n">
        <f aca="false">CHOOSE(J204, IF(QrrSky_Q2&gt;0,QrrSky_Q2,Qrr_Q2)*Fsw*(H204-K204*Rdson1), IF(QrrSky_Q3&gt;0,QrrSky_Q3,Qrr_Q3)*Fsw*Vout,  IF(QrrSky_Q2&gt;0,QrrSky_Q2,Qrr_Q2)*Fsw/2*(H204-K204*Rdson1)+IF(QrrSky_Q3&gt;0,QrrSky_Q3,Qrr_Q3)*Fsw/2*Vout)</f>
        <v>0.92356362</v>
      </c>
      <c r="AV204" s="488" t="n">
        <f aca="false">CHOOSE(J204, Rs*AF204^2, Rs*AJ204^2, Rs*(AF204^2+AJ204^2))</f>
        <v>0.237741481040595</v>
      </c>
      <c r="AW204" s="488" t="n">
        <f aca="false">Rshunt_std/1000*Iout^2</f>
        <v>0.14832</v>
      </c>
      <c r="AX204" s="488" t="n">
        <f aca="false">IF(Vout&gt;8, Iq*Vout, Iq*H204)</f>
        <v>0.036</v>
      </c>
      <c r="AY204" s="488" t="n">
        <f aca="false">CHOOSE(J204, (Qg_Q1+Qg_Q2)*Fsw, (Qg_Q3+Qg_Q4)*Fsw, (Qg_Q1+Qg_Q2+Qg_Q3+Qg_Q4)*Fsw/2)*IF(Vout&gt;8, Vout, H204)</f>
        <v>0.0792</v>
      </c>
      <c r="AZ204" s="488" t="n">
        <f aca="false">(Vin-Vdd)*Fsw*(Qg_Q1+Qg_Q2)+(RdsonDRT+RdsonDRT2)*Fsw*Qg_Q1*Vdd/(RdsonDRT+2*Rgate1+RdsonDRT2)+(RdsonDRB+RdsonDRB2)*Fsw*Qg_Q2*Vdd/(RdsonDRB+2*Rgate2+RdsonDRB2)</f>
        <v>0.0522</v>
      </c>
      <c r="BA204" s="488" t="n">
        <f aca="false">SUM(AX204:AY204)</f>
        <v>0.1152</v>
      </c>
      <c r="BB204" s="488" t="n">
        <f aca="false">SUM(T204,W204,Z204,AE204,AI204,AN204,AR204, AT204,AU204,BA204,AV204,AW204)</f>
        <v>3.57788818258912</v>
      </c>
      <c r="BC204" s="419" t="n">
        <f aca="false">Vout*K204</f>
        <v>72</v>
      </c>
      <c r="BD204" s="589" t="n">
        <f aca="false">BC204/(BC204+BB204)</f>
        <v>0.952659590408966</v>
      </c>
      <c r="BE204" s="590" t="n">
        <f aca="false">IF(H204&gt;Vout,ThetaJA_Q1*(AE204+AU204),ThetaJA_Q4*(AN204+AU204))</f>
        <v>64.0988976449592</v>
      </c>
      <c r="BF204" s="590" t="n">
        <f aca="false">IF(H204&gt;Vout, AI204*ThetaJA_Q2, ThetaJA_Q3*AR204)</f>
        <v>16.219010512249</v>
      </c>
      <c r="BG204" s="536"/>
      <c r="BH204" s="385" t="n">
        <f aca="false">BD204*100</f>
        <v>95.2659590408966</v>
      </c>
      <c r="BI204" s="488" t="n">
        <f aca="false">T204</f>
        <v>1.3620276287432</v>
      </c>
      <c r="BJ204" s="488" t="n">
        <f aca="false">AE204+AI204+AN204+AR204+AU204</f>
        <v>1.6825101662465</v>
      </c>
      <c r="BK204" s="488" t="n">
        <f aca="false">AI204+AU204*0.33</f>
        <v>0.62915620484498</v>
      </c>
      <c r="BL204" s="488" t="n">
        <f aca="false">AV204</f>
        <v>0.237741481040595</v>
      </c>
    </row>
    <row r="205" customFormat="false" ht="12.75" hidden="false" customHeight="false" outlineLevel="0" collapsed="false">
      <c r="G205" s="0" t="n">
        <v>196</v>
      </c>
      <c r="H205" s="586" t="n">
        <f aca="false">VIN_min+(VIN_max-VIN_min)*(G205/200)</f>
        <v>49.12</v>
      </c>
      <c r="I205" s="385" t="str">
        <f aca="false">IF(H205&gt;VIN_BB_to_buck, "BUCK", IF(H205&lt;VIN_boost_to_BB,"BOOST","BUCK-BST"))</f>
        <v>BUCK</v>
      </c>
      <c r="J205" s="419" t="n">
        <f aca="false">IF(I205="BOOST",2, IF(I205="BUCK", 1,3))</f>
        <v>1</v>
      </c>
      <c r="K205" s="0" t="n">
        <f aca="false">Iout</f>
        <v>6</v>
      </c>
      <c r="L205" s="385" t="n">
        <f aca="false">Vout*K205/(H205*Efficiency)</f>
        <v>1.62866449511401</v>
      </c>
      <c r="M205" s="385" t="n">
        <f aca="false">Iout/(1-O205)</f>
        <v>6</v>
      </c>
      <c r="N205" s="488" t="n">
        <f aca="false">CHOOSE(J205,(Vout+(Rdson2+Rs+Rdcr)*K205)/(H205+(Rs+Rdson2-Rdson1)*K205),1,IF(H205&lt;Vout,D_max_buck_BB,Vout/H205*(1-D_min_boost_exitBB_to_buck)))</f>
        <v>0.246141799544419</v>
      </c>
      <c r="O205" s="488" t="n">
        <f aca="false">CHOOSE(J205,0,(Vout+(Rdson3+Rdcr)*L205-H205)/(Vout+(Rdson3-Rdson4-Rs)*L205),IF(H205&gt;Vout,D_min_boost_exitBB_to_buck, (Vout-H205*D_max_buck_BB)/Vout))</f>
        <v>0</v>
      </c>
      <c r="P205" s="385" t="n">
        <f aca="false">MAX(0, CHOOSE(J205, (H205-(Rdson1+Rdcr)*K205-Vout)*N205/(Fsw*Lf), (H205-(Rdson4+Rdcr+Rs)*L205)*O205/(Fsw*Lf), IF(H205&lt;Vout, (H205-(Rdson4+Rdcr+Rs)*L205)*O205/(0.5*Fsw*Lf),(H205-(Rdson1+Rdcr)*K205-Vout)*N205/(0.5*Fsw*Lf))))</f>
        <v>6.47050929033587</v>
      </c>
      <c r="Q205" s="488" t="n">
        <f aca="false">CHOOSE(J205, SQRT(K205^2+(P205^2)/12), SQRT(L205^2+(P205^2)/12), SQRT(M205^2+(P205^2)/12))</f>
        <v>6.28402399260964</v>
      </c>
      <c r="R205" s="488" t="n">
        <f aca="false">(Q205^2*Rdcr*(1+Ltc*Ta-Ltc*25))/(1-Q205^2*Rdcr*Ltc*ThetaCa)</f>
        <v>0.133702991952912</v>
      </c>
      <c r="S205" s="488" t="n">
        <f aca="false">7.759*10^-3*Fsw^0.9458*(0.00787*P205)^2.304</f>
        <v>1.23252302603957</v>
      </c>
      <c r="T205" s="488" t="n">
        <f aca="false">R205+S205</f>
        <v>1.36622601799248</v>
      </c>
      <c r="U205" s="385" t="n">
        <f aca="false">IF(H205&gt;Vout, P205/SQRT(12), SQRT(O205/(1-O205))*SQRT(K205^2+(P205^2)/12))</f>
        <v>1.86787514028469</v>
      </c>
      <c r="V205" s="488" t="n">
        <f aca="false">RCoutEsr*U205^2</f>
        <v>0.0174447876984678</v>
      </c>
      <c r="W205" s="488" t="n">
        <f aca="false">V205</f>
        <v>0.0174447876984678</v>
      </c>
      <c r="X205" s="488" t="n">
        <f aca="false">IF(H205&gt;Vout, SQRT(N205*(1-N205))*SQRT(K205^2+(P205^2)/12), P205/SQRT(12))</f>
        <v>2.70691957038024</v>
      </c>
      <c r="Y205" s="587" t="n">
        <f aca="false">RCinEsr*X205^2</f>
        <v>0.0146548271210151</v>
      </c>
      <c r="Z205" s="588" t="n">
        <f aca="false">Y205</f>
        <v>0.0146548271210151</v>
      </c>
      <c r="AA205" s="488" t="n">
        <f aca="false">CHOOSE(J205, SQRT(N205)*SQRT(K205^2+(P205^2)/12), SQRT(L205^2+(P205^2)/12), SQRT(N205)*SQRT(M205^2+(P205^2)/12))</f>
        <v>3.11767270106298</v>
      </c>
      <c r="AB205" s="488" t="n">
        <f aca="false">Rdson1*AA205^2</f>
        <v>0.055403333504434</v>
      </c>
      <c r="AC205" s="488" t="n">
        <f aca="false">CHOOSE(J205, (H205*K205/2)*(Fsw)*(Tr_buck+Tf_buck), 0, (H205*M205/2)*(Fsw/2)*(Tr_buck+Tf_buck))</f>
        <v>0.300132361549498</v>
      </c>
      <c r="AD205" s="0" t="n">
        <f aca="false">IF(H205&gt;Vout, IF(K205&gt;P205/2,0,ABS(K205-P205/2)*Vsd_Q1*Deadtime*Fsw),0)</f>
        <v>0</v>
      </c>
      <c r="AE205" s="488" t="n">
        <f aca="false">(AD205+AC205+AB205*(1+RdsonTopTc*Ta-RdsonTopTc*25))/(1-AB205*RdsonTopTc*ThetaJA_Q1)</f>
        <v>0.359519409806497</v>
      </c>
      <c r="AF205" s="488" t="n">
        <f aca="false">CHOOSE(J205, SQRT((1-N205))*SQRT(K205^2+(P205^2)/12), 0, SQRT((1-N205))*SQRT(M205^2+(P205^2)/12))</f>
        <v>5.45610433081519</v>
      </c>
      <c r="AG205" s="488" t="n">
        <f aca="false">Rdson2*AF205^2</f>
        <v>0.169683724471819</v>
      </c>
      <c r="AH205" s="488" t="n">
        <f aca="false">CHOOSE(J205, IF(K205&lt;P205/2,Deadtime*Fsw*IF(VfdSky_Q2&gt;0,0,Vsd_Q2)*(K205+P205/2),2*Deadtime*Fsw*IF(VfdSky_Q2&gt;0,0,Vsd_Q2)*K205),0, IF(K205&lt;P205/2,Deadtime*Fsw/2*IF(VfdSky_Q2&gt;0,0,Vsd_Q2)*(K205+P205/2),2*Deadtime*Fsw/2*IF(VfdSky_Q2&gt;0,0,Vsd_Q2)*K205))</f>
        <v>0.144</v>
      </c>
      <c r="AI205" s="488" t="n">
        <f aca="false">(AH205+AG205*(1+RdsonBotTc*Ta-RdsonBotTc*25))/(1-AG205*RdsonBotTc*ThetaJA_Q2)</f>
        <v>0.324703090417738</v>
      </c>
      <c r="AJ205" s="488" t="n">
        <f aca="false">CHOOSE(J205, 0, SQRT(O205)*SQRT(L205^2+(P205^2)/12), SQRT(O205)*SQRT(M205^2+(P205^2)/12))</f>
        <v>0</v>
      </c>
      <c r="AK205" s="488" t="n">
        <f aca="false">Rdson4*AJ205^2</f>
        <v>0</v>
      </c>
      <c r="AL205" s="488" t="n">
        <f aca="false">CHOOSE(J205, 0, (Vout*L205/2)*(Fsw)*(Tr_boost+Tf_boost), (Vout*Iout/2)*(Fsw/2)*(Tr_boost+Tf_boost))</f>
        <v>0</v>
      </c>
      <c r="AM205" s="0" t="n">
        <f aca="false">IF(H205&gt;Vout, 0, IF(L205&gt;P205/2,0,ABS(L205-P205/2)*Vsd_Q4*Deadtime*Fsw))</f>
        <v>0</v>
      </c>
      <c r="AN205" s="488" t="n">
        <f aca="false">(AM205+AL205+AK205*(1+RdsonTopTc*Ta-RdsonTopTc*25))/(1-AK205*RdsonTopTc*ThetaJA_Q4)</f>
        <v>0</v>
      </c>
      <c r="AO205" s="488" t="n">
        <f aca="false">CHOOSE(J205, SQRT(Iout^2+(P205^2)/12), SQRT(1-O205)*SQRT(L205^2+(P205^2)/12), SQRT(1-O205)*SQRT(M205^2+(P205^2)/12))</f>
        <v>6.28402399260964</v>
      </c>
      <c r="AP205" s="488" t="n">
        <f aca="false">Rdson3*AO205^2</f>
        <v>0.0750290193254178</v>
      </c>
      <c r="AQ205" s="488" t="n">
        <f aca="false">CHOOSE(J205, 0, IF(L205&lt;P205/2,Deadtime*Fsw*IF(VfdSky_Q3&gt;0,0,Vsd_Q3)*(L205+P205/2), 2*Deadtime*Fsw*IF(VfdSky_Q3&gt;0,0,Vsd_Q3)*L205), IF(L205&lt;P205/2,Deadtime*Fsw/2*IF(VfdSky_Q3&gt;0,0,Vsd_Q3)*(L205+P205/2), 2*Deadtime*Fsw/2*IF(VfdSky_Q3&gt;0,0,Vsd_Q3)*L205))</f>
        <v>0</v>
      </c>
      <c r="AR205" s="488" t="n">
        <f aca="false">(AQ205+AP205*(1+RdsonBotTc*Ta-RdsonBotTc*25))/(1-AP205*RdsonBotTc*ThetaJA_Q3)</f>
        <v>0.076172042048399</v>
      </c>
      <c r="AS205" s="488" t="n">
        <f aca="false">CHOOSE(J205, Rdson3*Q205^2, Rdson1*Q205^2, 0)</f>
        <v>0.0750290193254178</v>
      </c>
      <c r="AT205" s="488" t="n">
        <f aca="false">CHOOSE(J205, 2*Deadtime*Fsw*IF(VfdSky_Q2&gt;0,VfdSky_Q2,0)*K205, 2*Deadtime*Fsw*IF(VfdSky_Q3&gt;0,VfdSky_Q3,0)*L205, 2*Deadtime*Fsw/2*IF(VfdSky_Q2&gt;0,VfdSky_Q2,0)*K205+2*Deadtime*Fsw/2*IF(VfdSky_Q3&gt;0,VfdSky_Q3,0)*L205)</f>
        <v>0</v>
      </c>
      <c r="AU205" s="488" t="n">
        <f aca="false">CHOOSE(J205, IF(QrrSky_Q2&gt;0,QrrSky_Q2,Qrr_Q2)*Fsw*(H205-K205*Rdson1), IF(QrrSky_Q3&gt;0,QrrSky_Q3,Qrr_Q3)*Fsw*Vout,  IF(QrrSky_Q2&gt;0,QrrSky_Q2,Qrr_Q2)*Fsw/2*(H205-K205*Rdson1)+IF(QrrSky_Q3&gt;0,QrrSky_Q3,Qrr_Q3)*Fsw/2*Vout)</f>
        <v>0.92772162</v>
      </c>
      <c r="AV205" s="488" t="n">
        <f aca="false">CHOOSE(J205, Rs*AF205^2, Rs*AJ205^2, Rs*(AF205^2+AJ205^2))</f>
        <v>0.238152595749922</v>
      </c>
      <c r="AW205" s="488" t="n">
        <f aca="false">Rshunt_std/1000*Iout^2</f>
        <v>0.14832</v>
      </c>
      <c r="AX205" s="488" t="n">
        <f aca="false">IF(Vout&gt;8, Iq*Vout, Iq*H205)</f>
        <v>0.036</v>
      </c>
      <c r="AY205" s="488" t="n">
        <f aca="false">CHOOSE(J205, (Qg_Q1+Qg_Q2)*Fsw, (Qg_Q3+Qg_Q4)*Fsw, (Qg_Q1+Qg_Q2+Qg_Q3+Qg_Q4)*Fsw/2)*IF(Vout&gt;8, Vout, H205)</f>
        <v>0.0792</v>
      </c>
      <c r="AZ205" s="488" t="n">
        <f aca="false">(Vin-Vdd)*Fsw*(Qg_Q1+Qg_Q2)+(RdsonDRT+RdsonDRT2)*Fsw*Qg_Q1*Vdd/(RdsonDRT+2*Rgate1+RdsonDRT2)+(RdsonDRB+RdsonDRB2)*Fsw*Qg_Q2*Vdd/(RdsonDRB+2*Rgate2+RdsonDRB2)</f>
        <v>0.0522</v>
      </c>
      <c r="BA205" s="488" t="n">
        <f aca="false">SUM(AX205:AY205)</f>
        <v>0.1152</v>
      </c>
      <c r="BB205" s="488" t="n">
        <f aca="false">SUM(T205,W205,Z205,AE205,AI205,AN205,AR205, AT205,AU205,BA205,AV205,AW205)</f>
        <v>3.58811439083452</v>
      </c>
      <c r="BC205" s="419" t="n">
        <f aca="false">Vout*K205</f>
        <v>72</v>
      </c>
      <c r="BD205" s="589" t="n">
        <f aca="false">BC205/(BC205+BB205)</f>
        <v>0.952530706450992</v>
      </c>
      <c r="BE205" s="590" t="n">
        <f aca="false">IF(H205&gt;Vout,ThetaJA_Q1*(AE205+AU205),ThetaJA_Q4*(AN205+AU205))</f>
        <v>64.3620514903249</v>
      </c>
      <c r="BF205" s="590" t="n">
        <f aca="false">IF(H205&gt;Vout, AI205*ThetaJA_Q2, ThetaJA_Q3*AR205)</f>
        <v>16.2351545208869</v>
      </c>
      <c r="BG205" s="536"/>
      <c r="BH205" s="385" t="n">
        <f aca="false">BD205*100</f>
        <v>95.2530706450992</v>
      </c>
      <c r="BI205" s="488" t="n">
        <f aca="false">T205</f>
        <v>1.36622601799248</v>
      </c>
      <c r="BJ205" s="488" t="n">
        <f aca="false">AE205+AI205+AN205+AR205+AU205</f>
        <v>1.68811616227263</v>
      </c>
      <c r="BK205" s="488" t="n">
        <f aca="false">AI205+AU205*0.33</f>
        <v>0.630851225017738</v>
      </c>
      <c r="BL205" s="488" t="n">
        <f aca="false">AV205</f>
        <v>0.238152595749922</v>
      </c>
    </row>
    <row r="206" customFormat="false" ht="12.75" hidden="false" customHeight="false" outlineLevel="0" collapsed="false">
      <c r="G206" s="0" t="n">
        <v>197</v>
      </c>
      <c r="H206" s="586" t="n">
        <f aca="false">VIN_min+(VIN_max-VIN_min)*(G206/200)</f>
        <v>49.34</v>
      </c>
      <c r="I206" s="385" t="str">
        <f aca="false">IF(H206&gt;VIN_BB_to_buck, "BUCK", IF(H206&lt;VIN_boost_to_BB,"BOOST","BUCK-BST"))</f>
        <v>BUCK</v>
      </c>
      <c r="J206" s="419" t="n">
        <f aca="false">IF(I206="BOOST",2, IF(I206="BUCK", 1,3))</f>
        <v>1</v>
      </c>
      <c r="K206" s="0" t="n">
        <f aca="false">Iout</f>
        <v>6</v>
      </c>
      <c r="L206" s="385" t="n">
        <f aca="false">Vout*K206/(H206*Efficiency)</f>
        <v>1.6214025131739</v>
      </c>
      <c r="M206" s="385" t="n">
        <f aca="false">Iout/(1-O206)</f>
        <v>6</v>
      </c>
      <c r="N206" s="488" t="n">
        <f aca="false">CHOOSE(J206,(Vout+(Rdson2+Rs+Rdcr)*K206)/(H206+(Rs+Rdson2-Rdson1)*K206),1,IF(H206&lt;Vout,D_max_buck_BB,Vout/H206*(1-D_min_boost_exitBB_to_buck)))</f>
        <v>0.245045355146999</v>
      </c>
      <c r="O206" s="488" t="n">
        <f aca="false">CHOOSE(J206,0,(Vout+(Rdson3+Rdcr)*L206-H206)/(Vout+(Rdson3-Rdson4-Rs)*L206),IF(H206&gt;Vout,D_min_boost_exitBB_to_buck, (Vout-H206*D_max_buck_BB)/Vout))</f>
        <v>0</v>
      </c>
      <c r="P206" s="385" t="n">
        <f aca="false">MAX(0, CHOOSE(J206, (H206-(Rdson1+Rdcr)*K206-Vout)*N206/(Fsw*Lf), (H206-(Rdson4+Rdcr+Rs)*L206)*O206/(Fsw*Lf), IF(H206&lt;Vout, (H206-(Rdson4+Rdcr+Rs)*L206)*O206/(0.5*Fsw*Lf),(H206-(Rdson1+Rdcr)*K206-Vout)*N206/(0.5*Fsw*Lf))))</f>
        <v>6.47992028255636</v>
      </c>
      <c r="Q206" s="488" t="n">
        <f aca="false">CHOOSE(J206, SQRT(K206^2+(P206^2)/12), SQRT(L206^2+(P206^2)/12), SQRT(M206^2+(P206^2)/12))</f>
        <v>6.28483205071468</v>
      </c>
      <c r="R206" s="488" t="n">
        <f aca="false">(Q206^2*Rdcr*(1+Ltc*Ta-Ltc*25))/(1-Q206^2*Rdcr*Ltc*ThetaCa)</f>
        <v>0.133737747621241</v>
      </c>
      <c r="S206" s="488" t="n">
        <f aca="false">7.759*10^-3*Fsw^0.9458*(0.00787*P206)^2.304</f>
        <v>1.23665717548014</v>
      </c>
      <c r="T206" s="488" t="n">
        <f aca="false">R206+S206</f>
        <v>1.37039492310138</v>
      </c>
      <c r="U206" s="385" t="n">
        <f aca="false">IF(H206&gt;Vout, P206/SQRT(12), SQRT(O206/(1-O206))*SQRT(K206^2+(P206^2)/12))</f>
        <v>1.87059185973062</v>
      </c>
      <c r="V206" s="488" t="n">
        <f aca="false">RCoutEsr*U206^2</f>
        <v>0.0174955695284522</v>
      </c>
      <c r="W206" s="488" t="n">
        <f aca="false">V206</f>
        <v>0.0174955695284522</v>
      </c>
      <c r="X206" s="488" t="n">
        <f aca="false">IF(H206&gt;Vout, SQRT(N206*(1-N206))*SQRT(K206^2+(P206^2)/12), P206/SQRT(12))</f>
        <v>2.70319480844275</v>
      </c>
      <c r="Y206" s="587" t="n">
        <f aca="false">RCinEsr*X206^2</f>
        <v>0.0146145243447836</v>
      </c>
      <c r="Z206" s="588" t="n">
        <f aca="false">Y206</f>
        <v>0.0146145243447836</v>
      </c>
      <c r="AA206" s="488" t="n">
        <f aca="false">CHOOSE(J206, SQRT(N206)*SQRT(K206^2+(P206^2)/12), SQRT(L206^2+(P206^2)/12), SQRT(N206)*SQRT(M206^2+(P206^2)/12))</f>
        <v>3.11112108330931</v>
      </c>
      <c r="AB206" s="488" t="n">
        <f aca="false">Rdson1*AA206^2</f>
        <v>0.0551707240515666</v>
      </c>
      <c r="AC206" s="488" t="n">
        <f aca="false">CHOOSE(J206, (H206*K206/2)*(Fsw)*(Tr_buck+Tf_buck), 0, (H206*M206/2)*(Fsw/2)*(Tr_buck+Tf_buck))</f>
        <v>0.301476602582496</v>
      </c>
      <c r="AD206" s="0" t="n">
        <f aca="false">IF(H206&gt;Vout, IF(K206&gt;P206/2,0,ABS(K206-P206/2)*Vsd_Q1*Deadtime*Fsw),0)</f>
        <v>0</v>
      </c>
      <c r="AE206" s="488" t="n">
        <f aca="false">(AD206+AC206+AB206*(1+RdsonTopTc*Ta-RdsonTopTc*25))/(1-AB206*RdsonTopTc*ThetaJA_Q1)</f>
        <v>0.36062653201071</v>
      </c>
      <c r="AF206" s="488" t="n">
        <f aca="false">CHOOSE(J206, SQRT((1-N206))*SQRT(K206^2+(P206^2)/12), 0, SQRT((1-N206))*SQRT(M206^2+(P206^2)/12))</f>
        <v>5.46077279427361</v>
      </c>
      <c r="AG206" s="488" t="n">
        <f aca="false">Rdson2*AF206^2</f>
        <v>0.169974225210869</v>
      </c>
      <c r="AH206" s="488" t="n">
        <f aca="false">CHOOSE(J206, IF(K206&lt;P206/2,Deadtime*Fsw*IF(VfdSky_Q2&gt;0,0,Vsd_Q2)*(K206+P206/2),2*Deadtime*Fsw*IF(VfdSky_Q2&gt;0,0,Vsd_Q2)*K206),0, IF(K206&lt;P206/2,Deadtime*Fsw/2*IF(VfdSky_Q2&gt;0,0,Vsd_Q2)*(K206+P206/2),2*Deadtime*Fsw/2*IF(VfdSky_Q2&gt;0,0,Vsd_Q2)*K206))</f>
        <v>0.144</v>
      </c>
      <c r="AI206" s="488" t="n">
        <f aca="false">(AH206+AG206*(1+RdsonBotTc*Ta-RdsonBotTc*25))/(1-AG206*RdsonBotTc*ThetaJA_Q2)</f>
        <v>0.325023343405012</v>
      </c>
      <c r="AJ206" s="488" t="n">
        <f aca="false">CHOOSE(J206, 0, SQRT(O206)*SQRT(L206^2+(P206^2)/12), SQRT(O206)*SQRT(M206^2+(P206^2)/12))</f>
        <v>0</v>
      </c>
      <c r="AK206" s="488" t="n">
        <f aca="false">Rdson4*AJ206^2</f>
        <v>0</v>
      </c>
      <c r="AL206" s="488" t="n">
        <f aca="false">CHOOSE(J206, 0, (Vout*L206/2)*(Fsw)*(Tr_boost+Tf_boost), (Vout*Iout/2)*(Fsw/2)*(Tr_boost+Tf_boost))</f>
        <v>0</v>
      </c>
      <c r="AM206" s="0" t="n">
        <f aca="false">IF(H206&gt;Vout, 0, IF(L206&gt;P206/2,0,ABS(L206-P206/2)*Vsd_Q4*Deadtime*Fsw))</f>
        <v>0</v>
      </c>
      <c r="AN206" s="488" t="n">
        <f aca="false">(AM206+AL206+AK206*(1+RdsonTopTc*Ta-RdsonTopTc*25))/(1-AK206*RdsonTopTc*ThetaJA_Q4)</f>
        <v>0</v>
      </c>
      <c r="AO206" s="488" t="n">
        <f aca="false">CHOOSE(J206, SQRT(Iout^2+(P206^2)/12), SQRT(1-O206)*SQRT(L206^2+(P206^2)/12), SQRT(1-O206)*SQRT(M206^2+(P206^2)/12))</f>
        <v>6.28483205071468</v>
      </c>
      <c r="AP206" s="488" t="n">
        <f aca="false">Rdson3*AO206^2</f>
        <v>0.0750483164208119</v>
      </c>
      <c r="AQ206" s="488" t="n">
        <f aca="false">CHOOSE(J206, 0, IF(L206&lt;P206/2,Deadtime*Fsw*IF(VfdSky_Q3&gt;0,0,Vsd_Q3)*(L206+P206/2), 2*Deadtime*Fsw*IF(VfdSky_Q3&gt;0,0,Vsd_Q3)*L206), IF(L206&lt;P206/2,Deadtime*Fsw/2*IF(VfdSky_Q3&gt;0,0,Vsd_Q3)*(L206+P206/2), 2*Deadtime*Fsw/2*IF(VfdSky_Q3&gt;0,0,Vsd_Q3)*L206))</f>
        <v>0</v>
      </c>
      <c r="AR206" s="488" t="n">
        <f aca="false">(AQ206+AP206*(1+RdsonBotTc*Ta-RdsonBotTc*25))/(1-AP206*RdsonBotTc*ThetaJA_Q3)</f>
        <v>0.0761919316599984</v>
      </c>
      <c r="AS206" s="488" t="n">
        <f aca="false">CHOOSE(J206, Rdson3*Q206^2, Rdson1*Q206^2, 0)</f>
        <v>0.0750483164208119</v>
      </c>
      <c r="AT206" s="488" t="n">
        <f aca="false">CHOOSE(J206, 2*Deadtime*Fsw*IF(VfdSky_Q2&gt;0,VfdSky_Q2,0)*K206, 2*Deadtime*Fsw*IF(VfdSky_Q3&gt;0,VfdSky_Q3,0)*L206, 2*Deadtime*Fsw/2*IF(VfdSky_Q2&gt;0,VfdSky_Q2,0)*K206+2*Deadtime*Fsw/2*IF(VfdSky_Q3&gt;0,VfdSky_Q3,0)*L206)</f>
        <v>0</v>
      </c>
      <c r="AU206" s="488" t="n">
        <f aca="false">CHOOSE(J206, IF(QrrSky_Q2&gt;0,QrrSky_Q2,Qrr_Q2)*Fsw*(H206-K206*Rdson1), IF(QrrSky_Q3&gt;0,QrrSky_Q3,Qrr_Q3)*Fsw*Vout,  IF(QrrSky_Q2&gt;0,QrrSky_Q2,Qrr_Q2)*Fsw/2*(H206-K206*Rdson1)+IF(QrrSky_Q3&gt;0,QrrSky_Q3,Qrr_Q3)*Fsw/2*Vout)</f>
        <v>0.93187962</v>
      </c>
      <c r="AV206" s="488" t="n">
        <f aca="false">CHOOSE(J206, Rs*AF206^2, Rs*AJ206^2, Rs*(AF206^2+AJ206^2))</f>
        <v>0.23856031608543</v>
      </c>
      <c r="AW206" s="488" t="n">
        <f aca="false">Rshunt_std/1000*Iout^2</f>
        <v>0.14832</v>
      </c>
      <c r="AX206" s="488" t="n">
        <f aca="false">IF(Vout&gt;8, Iq*Vout, Iq*H206)</f>
        <v>0.036</v>
      </c>
      <c r="AY206" s="488" t="n">
        <f aca="false">CHOOSE(J206, (Qg_Q1+Qg_Q2)*Fsw, (Qg_Q3+Qg_Q4)*Fsw, (Qg_Q1+Qg_Q2+Qg_Q3+Qg_Q4)*Fsw/2)*IF(Vout&gt;8, Vout, H206)</f>
        <v>0.0792</v>
      </c>
      <c r="AZ206" s="488" t="n">
        <f aca="false">(Vin-Vdd)*Fsw*(Qg_Q1+Qg_Q2)+(RdsonDRT+RdsonDRT2)*Fsw*Qg_Q1*Vdd/(RdsonDRT+2*Rgate1+RdsonDRT2)+(RdsonDRB+RdsonDRB2)*Fsw*Qg_Q2*Vdd/(RdsonDRB+2*Rgate2+RdsonDRB2)</f>
        <v>0.0522</v>
      </c>
      <c r="BA206" s="488" t="n">
        <f aca="false">SUM(AX206:AY206)</f>
        <v>0.1152</v>
      </c>
      <c r="BB206" s="488" t="n">
        <f aca="false">SUM(T206,W206,Z206,AE206,AI206,AN206,AR206, AT206,AU206,BA206,AV206,AW206)</f>
        <v>3.59830676013576</v>
      </c>
      <c r="BC206" s="419" t="n">
        <f aca="false">Vout*K206</f>
        <v>72</v>
      </c>
      <c r="BD206" s="589" t="n">
        <f aca="false">BC206/(BC206+BB206)</f>
        <v>0.952402283670814</v>
      </c>
      <c r="BE206" s="590" t="n">
        <f aca="false">IF(H206&gt;Vout,ThetaJA_Q1*(AE206+AU206),ThetaJA_Q4*(AN206+AU206))</f>
        <v>64.6253076005355</v>
      </c>
      <c r="BF206" s="590" t="n">
        <f aca="false">IF(H206&gt;Vout, AI206*ThetaJA_Q2, ThetaJA_Q3*AR206)</f>
        <v>16.2511671702506</v>
      </c>
      <c r="BG206" s="536"/>
      <c r="BH206" s="385" t="n">
        <f aca="false">BD206*100</f>
        <v>95.2402283670813</v>
      </c>
      <c r="BI206" s="488" t="n">
        <f aca="false">T206</f>
        <v>1.37039492310138</v>
      </c>
      <c r="BJ206" s="488" t="n">
        <f aca="false">AE206+AI206+AN206+AR206+AU206</f>
        <v>1.69372142707572</v>
      </c>
      <c r="BK206" s="488" t="n">
        <f aca="false">AI206+AU206*0.33</f>
        <v>0.632543618005012</v>
      </c>
      <c r="BL206" s="488" t="n">
        <f aca="false">AV206</f>
        <v>0.23856031608543</v>
      </c>
    </row>
    <row r="207" customFormat="false" ht="12.75" hidden="false" customHeight="false" outlineLevel="0" collapsed="false">
      <c r="G207" s="0" t="n">
        <v>198</v>
      </c>
      <c r="H207" s="586" t="n">
        <f aca="false">VIN_min+(VIN_max-VIN_min)*(G207/200)</f>
        <v>49.56</v>
      </c>
      <c r="I207" s="385" t="str">
        <f aca="false">IF(H207&gt;VIN_BB_to_buck, "BUCK", IF(H207&lt;VIN_boost_to_BB,"BOOST","BUCK-BST"))</f>
        <v>BUCK</v>
      </c>
      <c r="J207" s="419" t="n">
        <f aca="false">IF(I207="BOOST",2, IF(I207="BUCK", 1,3))</f>
        <v>1</v>
      </c>
      <c r="K207" s="0" t="n">
        <f aca="false">Iout</f>
        <v>6</v>
      </c>
      <c r="L207" s="385" t="n">
        <f aca="false">Vout*K207/(H207*Efficiency)</f>
        <v>1.61420500403551</v>
      </c>
      <c r="M207" s="385" t="n">
        <f aca="false">Iout/(1-O207)</f>
        <v>6</v>
      </c>
      <c r="N207" s="488" t="n">
        <f aca="false">CHOOSE(J207,(Vout+(Rdson2+Rs+Rdcr)*K207)/(H207+(Rs+Rdson2-Rdson1)*K207),1,IF(H207&lt;Vout,D_max_buck_BB,Vout/H207*(1-D_min_boost_exitBB_to_buck)))</f>
        <v>0.243958635703919</v>
      </c>
      <c r="O207" s="488" t="n">
        <f aca="false">CHOOSE(J207,0,(Vout+(Rdson3+Rdcr)*L207-H207)/(Vout+(Rdson3-Rdson4-Rs)*L207),IF(H207&gt;Vout,D_min_boost_exitBB_to_buck, (Vout-H207*D_max_buck_BB)/Vout))</f>
        <v>0</v>
      </c>
      <c r="P207" s="385" t="n">
        <f aca="false">MAX(0, CHOOSE(J207, (H207-(Rdson1+Rdcr)*K207-Vout)*N207/(Fsw*Lf), (H207-(Rdson4+Rdcr+Rs)*L207)*O207/(Fsw*Lf), IF(H207&lt;Vout, (H207-(Rdson4+Rdcr+Rs)*L207)*O207/(0.5*Fsw*Lf),(H207-(Rdson1+Rdcr)*K207-Vout)*N207/(0.5*Fsw*Lf))))</f>
        <v>6.48924780363154</v>
      </c>
      <c r="Q207" s="488" t="n">
        <f aca="false">CHOOSE(J207, SQRT(K207^2+(P207^2)/12), SQRT(L207^2+(P207^2)/12), SQRT(M207^2+(P207^2)/12))</f>
        <v>6.28563399783544</v>
      </c>
      <c r="R207" s="488" t="n">
        <f aca="false">(Q207^2*Rdcr*(1+Ltc*Ta-Ltc*25))/(1-Q207^2*Rdcr*Ltc*ThetaCa)</f>
        <v>0.133772245055351</v>
      </c>
      <c r="S207" s="488" t="n">
        <f aca="false">7.759*10^-3*Fsw^0.9458*(0.00787*P207)^2.304</f>
        <v>1.24076238980114</v>
      </c>
      <c r="T207" s="488" t="n">
        <f aca="false">R207+S207</f>
        <v>1.37453463485649</v>
      </c>
      <c r="U207" s="385" t="n">
        <f aca="false">IF(H207&gt;Vout, P207/SQRT(12), SQRT(O207/(1-O207))*SQRT(K207^2+(P207^2)/12))</f>
        <v>1.87328448313243</v>
      </c>
      <c r="V207" s="488" t="n">
        <f aca="false">RCoutEsr*U207^2</f>
        <v>0.0175459737737236</v>
      </c>
      <c r="W207" s="488" t="n">
        <f aca="false">V207</f>
        <v>0.0175459737737236</v>
      </c>
      <c r="X207" s="488" t="n">
        <f aca="false">IF(H207&gt;Vout, SQRT(N207*(1-N207))*SQRT(K207^2+(P207^2)/12), P207/SQRT(12))</f>
        <v>2.69947907704127</v>
      </c>
      <c r="Y207" s="587" t="n">
        <f aca="false">RCinEsr*X207^2</f>
        <v>0.0145743745747671</v>
      </c>
      <c r="Z207" s="588" t="n">
        <f aca="false">Y207</f>
        <v>0.0145743745747671</v>
      </c>
      <c r="AA207" s="488" t="n">
        <f aca="false">CHOOSE(J207, SQRT(N207)*SQRT(K207^2+(P207^2)/12), SQRT(L207^2+(P207^2)/12), SQRT(N207)*SQRT(M207^2+(P207^2)/12))</f>
        <v>3.1046109659872</v>
      </c>
      <c r="AB207" s="488" t="n">
        <f aca="false">Rdson1*AA207^2</f>
        <v>0.0549400727257293</v>
      </c>
      <c r="AC207" s="488" t="n">
        <f aca="false">CHOOSE(J207, (H207*K207/2)*(Fsw)*(Tr_buck+Tf_buck), 0, (H207*M207/2)*(Fsw/2)*(Tr_buck+Tf_buck))</f>
        <v>0.302820843615495</v>
      </c>
      <c r="AD207" s="0" t="n">
        <f aca="false">IF(H207&gt;Vout, IF(K207&gt;P207/2,0,ABS(K207-P207/2)*Vsd_Q1*Deadtime*Fsw),0)</f>
        <v>0</v>
      </c>
      <c r="AE207" s="488" t="n">
        <f aca="false">(AD207+AC207+AB207*(1+RdsonTopTc*Ta-RdsonTopTc*25))/(1-AB207*RdsonTopTc*ThetaJA_Q1)</f>
        <v>0.36173567317962</v>
      </c>
      <c r="AF207" s="488" t="n">
        <f aca="false">CHOOSE(J207, SQRT((1-N207))*SQRT(K207^2+(P207^2)/12), 0, SQRT((1-N207))*SQRT(M207^2+(P207^2)/12))</f>
        <v>5.46539893371168</v>
      </c>
      <c r="AG207" s="488" t="n">
        <f aca="false">Rdson2*AF207^2</f>
        <v>0.170262337376316</v>
      </c>
      <c r="AH207" s="488" t="n">
        <f aca="false">CHOOSE(J207, IF(K207&lt;P207/2,Deadtime*Fsw*IF(VfdSky_Q2&gt;0,0,Vsd_Q2)*(K207+P207/2),2*Deadtime*Fsw*IF(VfdSky_Q2&gt;0,0,Vsd_Q2)*K207),0, IF(K207&lt;P207/2,Deadtime*Fsw/2*IF(VfdSky_Q2&gt;0,0,Vsd_Q2)*(K207+P207/2),2*Deadtime*Fsw/2*IF(VfdSky_Q2&gt;0,0,Vsd_Q2)*K207))</f>
        <v>0.144</v>
      </c>
      <c r="AI207" s="488" t="n">
        <f aca="false">(AH207+AG207*(1+RdsonBotTc*Ta-RdsonBotTc*25))/(1-AG207*RdsonBotTc*ThetaJA_Q2)</f>
        <v>0.32534100123939</v>
      </c>
      <c r="AJ207" s="488" t="n">
        <f aca="false">CHOOSE(J207, 0, SQRT(O207)*SQRT(L207^2+(P207^2)/12), SQRT(O207)*SQRT(M207^2+(P207^2)/12))</f>
        <v>0</v>
      </c>
      <c r="AK207" s="488" t="n">
        <f aca="false">Rdson4*AJ207^2</f>
        <v>0</v>
      </c>
      <c r="AL207" s="488" t="n">
        <f aca="false">CHOOSE(J207, 0, (Vout*L207/2)*(Fsw)*(Tr_boost+Tf_boost), (Vout*Iout/2)*(Fsw/2)*(Tr_boost+Tf_boost))</f>
        <v>0</v>
      </c>
      <c r="AM207" s="0" t="n">
        <f aca="false">IF(H207&gt;Vout, 0, IF(L207&gt;P207/2,0,ABS(L207-P207/2)*Vsd_Q4*Deadtime*Fsw))</f>
        <v>0</v>
      </c>
      <c r="AN207" s="488" t="n">
        <f aca="false">(AM207+AL207+AK207*(1+RdsonTopTc*Ta-RdsonTopTc*25))/(1-AK207*RdsonTopTc*ThetaJA_Q4)</f>
        <v>0</v>
      </c>
      <c r="AO207" s="488" t="n">
        <f aca="false">CHOOSE(J207, SQRT(Iout^2+(P207^2)/12), SQRT(1-O207)*SQRT(L207^2+(P207^2)/12), SQRT(1-O207)*SQRT(M207^2+(P207^2)/12))</f>
        <v>6.28563399783544</v>
      </c>
      <c r="AP207" s="488" t="n">
        <f aca="false">Rdson3*AO207^2</f>
        <v>0.075067470034015</v>
      </c>
      <c r="AQ207" s="488" t="n">
        <f aca="false">CHOOSE(J207, 0, IF(L207&lt;P207/2,Deadtime*Fsw*IF(VfdSky_Q3&gt;0,0,Vsd_Q3)*(L207+P207/2), 2*Deadtime*Fsw*IF(VfdSky_Q3&gt;0,0,Vsd_Q3)*L207), IF(L207&lt;P207/2,Deadtime*Fsw/2*IF(VfdSky_Q3&gt;0,0,Vsd_Q3)*(L207+P207/2), 2*Deadtime*Fsw/2*IF(VfdSky_Q3&gt;0,0,Vsd_Q3)*L207))</f>
        <v>0</v>
      </c>
      <c r="AR207" s="488" t="n">
        <f aca="false">(AQ207+AP207*(1+RdsonBotTc*Ta-RdsonBotTc*25))/(1-AP207*RdsonBotTc*ThetaJA_Q3)</f>
        <v>0.0762116735379251</v>
      </c>
      <c r="AS207" s="488" t="n">
        <f aca="false">CHOOSE(J207, Rdson3*Q207^2, Rdson1*Q207^2, 0)</f>
        <v>0.075067470034015</v>
      </c>
      <c r="AT207" s="488" t="n">
        <f aca="false">CHOOSE(J207, 2*Deadtime*Fsw*IF(VfdSky_Q2&gt;0,VfdSky_Q2,0)*K207, 2*Deadtime*Fsw*IF(VfdSky_Q3&gt;0,VfdSky_Q3,0)*L207, 2*Deadtime*Fsw/2*IF(VfdSky_Q2&gt;0,VfdSky_Q2,0)*K207+2*Deadtime*Fsw/2*IF(VfdSky_Q3&gt;0,VfdSky_Q3,0)*L207)</f>
        <v>0</v>
      </c>
      <c r="AU207" s="488" t="n">
        <f aca="false">CHOOSE(J207, IF(QrrSky_Q2&gt;0,QrrSky_Q2,Qrr_Q2)*Fsw*(H207-K207*Rdson1), IF(QrrSky_Q3&gt;0,QrrSky_Q3,Qrr_Q3)*Fsw*Vout,  IF(QrrSky_Q2&gt;0,QrrSky_Q2,Qrr_Q2)*Fsw/2*(H207-K207*Rdson1)+IF(QrrSky_Q3&gt;0,QrrSky_Q3,Qrr_Q3)*Fsw/2*Vout)</f>
        <v>0.93603762</v>
      </c>
      <c r="AV207" s="488" t="n">
        <f aca="false">CHOOSE(J207, Rs*AF207^2, Rs*AJ207^2, Rs*(AF207^2+AJ207^2))</f>
        <v>0.238964684036934</v>
      </c>
      <c r="AW207" s="488" t="n">
        <f aca="false">Rshunt_std/1000*Iout^2</f>
        <v>0.14832</v>
      </c>
      <c r="AX207" s="488" t="n">
        <f aca="false">IF(Vout&gt;8, Iq*Vout, Iq*H207)</f>
        <v>0.036</v>
      </c>
      <c r="AY207" s="488" t="n">
        <f aca="false">CHOOSE(J207, (Qg_Q1+Qg_Q2)*Fsw, (Qg_Q3+Qg_Q4)*Fsw, (Qg_Q1+Qg_Q2+Qg_Q3+Qg_Q4)*Fsw/2)*IF(Vout&gt;8, Vout, H207)</f>
        <v>0.0792</v>
      </c>
      <c r="AZ207" s="488" t="n">
        <f aca="false">(Vin-Vdd)*Fsw*(Qg_Q1+Qg_Q2)+(RdsonDRT+RdsonDRT2)*Fsw*Qg_Q1*Vdd/(RdsonDRT+2*Rgate1+RdsonDRT2)+(RdsonDRB+RdsonDRB2)*Fsw*Qg_Q2*Vdd/(RdsonDRB+2*Rgate2+RdsonDRB2)</f>
        <v>0.0522</v>
      </c>
      <c r="BA207" s="488" t="n">
        <f aca="false">SUM(AX207:AY207)</f>
        <v>0.1152</v>
      </c>
      <c r="BB207" s="488" t="n">
        <f aca="false">SUM(T207,W207,Z207,AE207,AI207,AN207,AR207, AT207,AU207,BA207,AV207,AW207)</f>
        <v>3.60846563519885</v>
      </c>
      <c r="BC207" s="419" t="n">
        <f aca="false">Vout*K207</f>
        <v>72</v>
      </c>
      <c r="BD207" s="589" t="n">
        <f aca="false">BC207/(BC207+BB207)</f>
        <v>0.952274317367988</v>
      </c>
      <c r="BE207" s="590" t="n">
        <f aca="false">IF(H207&gt;Vout,ThetaJA_Q1*(AE207+AU207),ThetaJA_Q4*(AN207+AU207))</f>
        <v>64.888664658981</v>
      </c>
      <c r="BF207" s="590" t="n">
        <f aca="false">IF(H207&gt;Vout, AI207*ThetaJA_Q2, ThetaJA_Q3*AR207)</f>
        <v>16.2670500619695</v>
      </c>
      <c r="BG207" s="536"/>
      <c r="BH207" s="385" t="n">
        <f aca="false">BD207*100</f>
        <v>95.2274317367988</v>
      </c>
      <c r="BI207" s="488" t="n">
        <f aca="false">T207</f>
        <v>1.37453463485649</v>
      </c>
      <c r="BJ207" s="488" t="n">
        <f aca="false">AE207+AI207+AN207+AR207+AU207</f>
        <v>1.69932596795693</v>
      </c>
      <c r="BK207" s="488" t="n">
        <f aca="false">AI207+AU207*0.33</f>
        <v>0.63423341583939</v>
      </c>
      <c r="BL207" s="488" t="n">
        <f aca="false">AV207</f>
        <v>0.238964684036934</v>
      </c>
    </row>
    <row r="208" customFormat="false" ht="12.75" hidden="false" customHeight="false" outlineLevel="0" collapsed="false">
      <c r="G208" s="0" t="n">
        <v>199</v>
      </c>
      <c r="H208" s="586" t="n">
        <f aca="false">VIN_min+(VIN_max-VIN_min)*(G208/200)</f>
        <v>49.78</v>
      </c>
      <c r="I208" s="385" t="str">
        <f aca="false">IF(H208&gt;VIN_BB_to_buck, "BUCK", IF(H208&lt;VIN_boost_to_BB,"BOOST","BUCK-BST"))</f>
        <v>BUCK</v>
      </c>
      <c r="J208" s="419" t="n">
        <f aca="false">IF(I208="BOOST",2, IF(I208="BUCK", 1,3))</f>
        <v>1</v>
      </c>
      <c r="K208" s="0" t="n">
        <f aca="false">Iout</f>
        <v>6</v>
      </c>
      <c r="L208" s="385" t="n">
        <f aca="false">Vout*K208/(H208*Efficiency)</f>
        <v>1.60707111289675</v>
      </c>
      <c r="M208" s="385" t="n">
        <f aca="false">Iout/(1-O208)</f>
        <v>6</v>
      </c>
      <c r="N208" s="488" t="n">
        <f aca="false">CHOOSE(J208,(Vout+(Rdson2+Rs+Rdcr)*K208)/(H208+(Rs+Rdson2-Rdson1)*K208),1,IF(H208&lt;Vout,D_max_buck_BB,Vout/H208*(1-D_min_boost_exitBB_to_buck)))</f>
        <v>0.242881512402665</v>
      </c>
      <c r="O208" s="488" t="n">
        <f aca="false">CHOOSE(J208,0,(Vout+(Rdson3+Rdcr)*L208-H208)/(Vout+(Rdson3-Rdson4-Rs)*L208),IF(H208&gt;Vout,D_min_boost_exitBB_to_buck, (Vout-H208*D_max_buck_BB)/Vout))</f>
        <v>0</v>
      </c>
      <c r="P208" s="385" t="n">
        <f aca="false">MAX(0, CHOOSE(J208, (H208-(Rdson1+Rdcr)*K208-Vout)*N208/(Fsw*Lf), (H208-(Rdson4+Rdcr+Rs)*L208)*O208/(Fsw*Lf), IF(H208&lt;Vout, (H208-(Rdson4+Rdcr+Rs)*L208)*O208/(0.5*Fsw*Lf),(H208-(Rdson1+Rdcr)*K208-Vout)*N208/(0.5*Fsw*Lf))))</f>
        <v>6.49849295918385</v>
      </c>
      <c r="Q208" s="488" t="n">
        <f aca="false">CHOOSE(J208, SQRT(K208^2+(P208^2)/12), SQRT(L208^2+(P208^2)/12), SQRT(M208^2+(P208^2)/12))</f>
        <v>6.28642990059118</v>
      </c>
      <c r="R208" s="488" t="n">
        <f aca="false">(Q208^2*Rdcr*(1+Ltc*Ta-Ltc*25))/(1-Q208^2*Rdcr*Ltc*ThetaCa)</f>
        <v>0.133806487016722</v>
      </c>
      <c r="S208" s="488" t="n">
        <f aca="false">7.759*10^-3*Fsw^0.9458*(0.00787*P208)^2.304</f>
        <v>1.24483895361331</v>
      </c>
      <c r="T208" s="488" t="n">
        <f aca="false">R208+S208</f>
        <v>1.37864544063003</v>
      </c>
      <c r="U208" s="385" t="n">
        <f aca="false">IF(H208&gt;Vout, P208/SQRT(12), SQRT(O208/(1-O208))*SQRT(K208^2+(P208^2)/12))</f>
        <v>1.87595332965584</v>
      </c>
      <c r="V208" s="488" t="n">
        <f aca="false">RCoutEsr*U208^2</f>
        <v>0.0175960044752342</v>
      </c>
      <c r="W208" s="488" t="n">
        <f aca="false">V208</f>
        <v>0.0175960044752342</v>
      </c>
      <c r="X208" s="488" t="n">
        <f aca="false">IF(H208&gt;Vout, SQRT(N208*(1-N208))*SQRT(K208^2+(P208^2)/12), P208/SQRT(12))</f>
        <v>2.69577245811823</v>
      </c>
      <c r="Y208" s="587" t="n">
        <f aca="false">RCinEsr*X208^2</f>
        <v>0.0145343782918976</v>
      </c>
      <c r="Z208" s="588" t="n">
        <f aca="false">Y208</f>
        <v>0.0145343782918976</v>
      </c>
      <c r="AA208" s="488" t="n">
        <f aca="false">CHOOSE(J208, SQRT(N208)*SQRT(K208^2+(P208^2)/12), SQRT(L208^2+(P208^2)/12), SQRT(N208)*SQRT(M208^2+(P208^2)/12))</f>
        <v>3.09814190803677</v>
      </c>
      <c r="AB208" s="488" t="n">
        <f aca="false">Rdson1*AA208^2</f>
        <v>0.0547113547093023</v>
      </c>
      <c r="AC208" s="488" t="n">
        <f aca="false">CHOOSE(J208, (H208*K208/2)*(Fsw)*(Tr_buck+Tf_buck), 0, (H208*M208/2)*(Fsw/2)*(Tr_buck+Tf_buck))</f>
        <v>0.304165084648494</v>
      </c>
      <c r="AD208" s="0" t="n">
        <f aca="false">IF(H208&gt;Vout, IF(K208&gt;P208/2,0,ABS(K208-P208/2)*Vsd_Q1*Deadtime*Fsw),0)</f>
        <v>0</v>
      </c>
      <c r="AE208" s="488" t="n">
        <f aca="false">(AD208+AC208+AB208*(1+RdsonTopTc*Ta-RdsonTopTc*25))/(1-AB208*RdsonTopTc*ThetaJA_Q1)</f>
        <v>0.36284680743514</v>
      </c>
      <c r="AF208" s="488" t="n">
        <f aca="false">CHOOSE(J208, SQRT((1-N208))*SQRT(K208^2+(P208^2)/12), 0, SQRT((1-N208))*SQRT(M208^2+(P208^2)/12))</f>
        <v>5.46998332837616</v>
      </c>
      <c r="AG208" s="488" t="n">
        <f aca="false">Rdson2*AF208^2</f>
        <v>0.170548090392465</v>
      </c>
      <c r="AH208" s="488" t="n">
        <f aca="false">CHOOSE(J208, IF(K208&lt;P208/2,Deadtime*Fsw*IF(VfdSky_Q2&gt;0,0,Vsd_Q2)*(K208+P208/2),2*Deadtime*Fsw*IF(VfdSky_Q2&gt;0,0,Vsd_Q2)*K208),0, IF(K208&lt;P208/2,Deadtime*Fsw/2*IF(VfdSky_Q2&gt;0,0,Vsd_Q2)*(K208+P208/2),2*Deadtime*Fsw/2*IF(VfdSky_Q2&gt;0,0,Vsd_Q2)*K208))</f>
        <v>0.144</v>
      </c>
      <c r="AI208" s="488" t="n">
        <f aca="false">(AH208+AG208*(1+RdsonBotTc*Ta-RdsonBotTc*25))/(1-AG208*RdsonBotTc*ThetaJA_Q2)</f>
        <v>0.325656095432604</v>
      </c>
      <c r="AJ208" s="488" t="n">
        <f aca="false">CHOOSE(J208, 0, SQRT(O208)*SQRT(L208^2+(P208^2)/12), SQRT(O208)*SQRT(M208^2+(P208^2)/12))</f>
        <v>0</v>
      </c>
      <c r="AK208" s="488" t="n">
        <f aca="false">Rdson4*AJ208^2</f>
        <v>0</v>
      </c>
      <c r="AL208" s="488" t="n">
        <f aca="false">CHOOSE(J208, 0, (Vout*L208/2)*(Fsw)*(Tr_boost+Tf_boost), (Vout*Iout/2)*(Fsw/2)*(Tr_boost+Tf_boost))</f>
        <v>0</v>
      </c>
      <c r="AM208" s="0" t="n">
        <f aca="false">IF(H208&gt;Vout, 0, IF(L208&gt;P208/2,0,ABS(L208-P208/2)*Vsd_Q4*Deadtime*Fsw))</f>
        <v>0</v>
      </c>
      <c r="AN208" s="488" t="n">
        <f aca="false">(AM208+AL208+AK208*(1+RdsonTopTc*Ta-RdsonTopTc*25))/(1-AK208*RdsonTopTc*ThetaJA_Q4)</f>
        <v>0</v>
      </c>
      <c r="AO208" s="488" t="n">
        <f aca="false">CHOOSE(J208, SQRT(Iout^2+(P208^2)/12), SQRT(1-O208)*SQRT(L208^2+(P208^2)/12), SQRT(1-O208)*SQRT(M208^2+(P208^2)/12))</f>
        <v>6.28642990059118</v>
      </c>
      <c r="AP208" s="488" t="n">
        <f aca="false">Rdson3*AO208^2</f>
        <v>0.075086481700589</v>
      </c>
      <c r="AQ208" s="488" t="n">
        <f aca="false">CHOOSE(J208, 0, IF(L208&lt;P208/2,Deadtime*Fsw*IF(VfdSky_Q3&gt;0,0,Vsd_Q3)*(L208+P208/2), 2*Deadtime*Fsw*IF(VfdSky_Q3&gt;0,0,Vsd_Q3)*L208), IF(L208&lt;P208/2,Deadtime*Fsw/2*IF(VfdSky_Q3&gt;0,0,Vsd_Q3)*(L208+P208/2), 2*Deadtime*Fsw/2*IF(VfdSky_Q3&gt;0,0,Vsd_Q3)*L208))</f>
        <v>0</v>
      </c>
      <c r="AR208" s="488" t="n">
        <f aca="false">(AQ208+AP208*(1+RdsonBotTc*Ta-RdsonBotTc*25))/(1-AP208*RdsonBotTc*ThetaJA_Q3)</f>
        <v>0.0762312692614718</v>
      </c>
      <c r="AS208" s="488" t="n">
        <f aca="false">CHOOSE(J208, Rdson3*Q208^2, Rdson1*Q208^2, 0)</f>
        <v>0.075086481700589</v>
      </c>
      <c r="AT208" s="488" t="n">
        <f aca="false">CHOOSE(J208, 2*Deadtime*Fsw*IF(VfdSky_Q2&gt;0,VfdSky_Q2,0)*K208, 2*Deadtime*Fsw*IF(VfdSky_Q3&gt;0,VfdSky_Q3,0)*L208, 2*Deadtime*Fsw/2*IF(VfdSky_Q2&gt;0,VfdSky_Q2,0)*K208+2*Deadtime*Fsw/2*IF(VfdSky_Q3&gt;0,VfdSky_Q3,0)*L208)</f>
        <v>0</v>
      </c>
      <c r="AU208" s="488" t="n">
        <f aca="false">CHOOSE(J208, IF(QrrSky_Q2&gt;0,QrrSky_Q2,Qrr_Q2)*Fsw*(H208-K208*Rdson1), IF(QrrSky_Q3&gt;0,QrrSky_Q3,Qrr_Q3)*Fsw*Vout,  IF(QrrSky_Q2&gt;0,QrrSky_Q2,Qrr_Q2)*Fsw/2*(H208-K208*Rdson1)+IF(QrrSky_Q3&gt;0,QrrSky_Q3,Qrr_Q3)*Fsw/2*Vout)</f>
        <v>0.94019562</v>
      </c>
      <c r="AV208" s="488" t="n">
        <f aca="false">CHOOSE(J208, Rs*AF208^2, Rs*AJ208^2, Rs*(AF208^2+AJ208^2))</f>
        <v>0.239365740901705</v>
      </c>
      <c r="AW208" s="488" t="n">
        <f aca="false">Rshunt_std/1000*Iout^2</f>
        <v>0.14832</v>
      </c>
      <c r="AX208" s="488" t="n">
        <f aca="false">IF(Vout&gt;8, Iq*Vout, Iq*H208)</f>
        <v>0.036</v>
      </c>
      <c r="AY208" s="488" t="n">
        <f aca="false">CHOOSE(J208, (Qg_Q1+Qg_Q2)*Fsw, (Qg_Q3+Qg_Q4)*Fsw, (Qg_Q1+Qg_Q2+Qg_Q3+Qg_Q4)*Fsw/2)*IF(Vout&gt;8, Vout, H208)</f>
        <v>0.0792</v>
      </c>
      <c r="AZ208" s="488" t="n">
        <f aca="false">(Vin-Vdd)*Fsw*(Qg_Q1+Qg_Q2)+(RdsonDRT+RdsonDRT2)*Fsw*Qg_Q1*Vdd/(RdsonDRT+2*Rgate1+RdsonDRT2)+(RdsonDRB+RdsonDRB2)*Fsw*Qg_Q2*Vdd/(RdsonDRB+2*Rgate2+RdsonDRB2)</f>
        <v>0.0522</v>
      </c>
      <c r="BA208" s="488" t="n">
        <f aca="false">SUM(AX208:AY208)</f>
        <v>0.1152</v>
      </c>
      <c r="BB208" s="488" t="n">
        <f aca="false">SUM(T208,W208,Z208,AE208,AI208,AN208,AR208, AT208,AU208,BA208,AV208,AW208)</f>
        <v>3.61859135642808</v>
      </c>
      <c r="BC208" s="419" t="n">
        <f aca="false">Vout*K208</f>
        <v>72</v>
      </c>
      <c r="BD208" s="589" t="n">
        <f aca="false">BC208/(BC208+BB208)</f>
        <v>0.95214680290232</v>
      </c>
      <c r="BE208" s="590" t="n">
        <f aca="false">IF(H208&gt;Vout,ThetaJA_Q1*(AE208+AU208),ThetaJA_Q4*(AN208+AU208))</f>
        <v>65.152121371757</v>
      </c>
      <c r="BF208" s="590" t="n">
        <f aca="false">IF(H208&gt;Vout, AI208*ThetaJA_Q2, ThetaJA_Q3*AR208)</f>
        <v>16.2828047716302</v>
      </c>
      <c r="BG208" s="536"/>
      <c r="BH208" s="385" t="n">
        <f aca="false">BD208*100</f>
        <v>95.214680290232</v>
      </c>
      <c r="BI208" s="488" t="n">
        <f aca="false">T208</f>
        <v>1.37864544063003</v>
      </c>
      <c r="BJ208" s="488" t="n">
        <f aca="false">AE208+AI208+AN208+AR208+AU208</f>
        <v>1.70492979212922</v>
      </c>
      <c r="BK208" s="488" t="n">
        <f aca="false">AI208+AU208*0.33</f>
        <v>0.635920650032604</v>
      </c>
      <c r="BL208" s="488" t="n">
        <f aca="false">AV208</f>
        <v>0.239365740901705</v>
      </c>
    </row>
    <row r="209" customFormat="false" ht="12.75" hidden="false" customHeight="false" outlineLevel="0" collapsed="false">
      <c r="G209" s="0" t="n">
        <v>200</v>
      </c>
      <c r="H209" s="586" t="n">
        <f aca="false">VIN_min+(VIN_max-VIN_min)*(G209/200)</f>
        <v>50</v>
      </c>
      <c r="I209" s="385" t="str">
        <f aca="false">IF(H209&gt;VIN_BB_to_buck, "BUCK", IF(H209&lt;VIN_boost_to_BB,"BOOST","BUCK-BST"))</f>
        <v>BUCK</v>
      </c>
      <c r="J209" s="419" t="n">
        <f aca="false">IF(I209="BOOST",2, IF(I209="BUCK", 1,3))</f>
        <v>1</v>
      </c>
      <c r="K209" s="0" t="n">
        <f aca="false">Iout</f>
        <v>6</v>
      </c>
      <c r="L209" s="385" t="n">
        <f aca="false">Vout*K209/(H209*Efficiency)</f>
        <v>1.6</v>
      </c>
      <c r="M209" s="385" t="n">
        <f aca="false">Iout/(1-O209)</f>
        <v>6</v>
      </c>
      <c r="N209" s="488" t="n">
        <f aca="false">CHOOSE(J209,(Vout+(Rdson2+Rs+Rdcr)*K209)/(H209+(Rs+Rdson2-Rdson1)*K209),1,IF(H209&lt;Vout,D_max_buck_BB,Vout/H209*(1-D_min_boost_exitBB_to_buck)))</f>
        <v>0.241813858695652</v>
      </c>
      <c r="O209" s="488" t="n">
        <f aca="false">CHOOSE(J209,0,(Vout+(Rdson3+Rdcr)*L209-H209)/(Vout+(Rdson3-Rdson4-Rs)*L209),IF(H209&gt;Vout,D_min_boost_exitBB_to_buck, (Vout-H209*D_max_buck_BB)/Vout))</f>
        <v>0</v>
      </c>
      <c r="P209" s="385" t="n">
        <f aca="false">MAX(0, CHOOSE(J209, (H209-(Rdson1+Rdcr)*K209-Vout)*N209/(Fsw*Lf), (H209-(Rdson4+Rdcr+Rs)*L209)*O209/(Fsw*Lf), IF(H209&lt;Vout, (H209-(Rdson4+Rdcr+Rs)*L209)*O209/(0.5*Fsw*Lf),(H209-(Rdson1+Rdcr)*K209-Vout)*N209/(0.5*Fsw*Lf))))</f>
        <v>6.50765683539547</v>
      </c>
      <c r="Q209" s="488" t="n">
        <f aca="false">CHOOSE(J209, SQRT(K209^2+(P209^2)/12), SQRT(L209^2+(P209^2)/12), SQRT(M209^2+(P209^2)/12))</f>
        <v>6.28721982468715</v>
      </c>
      <c r="R209" s="488" t="n">
        <f aca="false">(Q209^2*Rdcr*(1+Ltc*Ta-Ltc*25))/(1-Q209^2*Rdcr*Ltc*ThetaCa)</f>
        <v>0.133840476229801</v>
      </c>
      <c r="S209" s="488" t="n">
        <f aca="false">7.759*10^-3*Fsw^0.9458*(0.00787*P209)^2.304</f>
        <v>1.24888714818888</v>
      </c>
      <c r="T209" s="488" t="n">
        <f aca="false">R209+S209</f>
        <v>1.38272762441868</v>
      </c>
      <c r="U209" s="385" t="n">
        <f aca="false">IF(H209&gt;Vout, P209/SQRT(12), SQRT(O209/(1-O209))*SQRT(K209^2+(P209^2)/12))</f>
        <v>1.87859871285464</v>
      </c>
      <c r="V209" s="488" t="n">
        <f aca="false">RCoutEsr*U209^2</f>
        <v>0.0176456656196956</v>
      </c>
      <c r="W209" s="488" t="n">
        <f aca="false">V209</f>
        <v>0.0176456656196956</v>
      </c>
      <c r="X209" s="488" t="n">
        <f aca="false">IF(H209&gt;Vout, SQRT(N209*(1-N209))*SQRT(K209^2+(P209^2)/12), P209/SQRT(12))</f>
        <v>2.6920750293824</v>
      </c>
      <c r="Y209" s="587" t="n">
        <f aca="false">RCinEsr*X209^2</f>
        <v>0.0144945359276485</v>
      </c>
      <c r="Z209" s="588" t="n">
        <f aca="false">Y209</f>
        <v>0.0144945359276485</v>
      </c>
      <c r="AA209" s="488" t="n">
        <f aca="false">CHOOSE(J209, SQRT(N209)*SQRT(K209^2+(P209^2)/12), SQRT(L209^2+(P209^2)/12), SQRT(N209)*SQRT(M209^2+(P209^2)/12))</f>
        <v>3.09171347501573</v>
      </c>
      <c r="AB209" s="488" t="n">
        <f aca="false">Rdson1*AA209^2</f>
        <v>0.0544845456060849</v>
      </c>
      <c r="AC209" s="488" t="n">
        <f aca="false">CHOOSE(J209, (H209*K209/2)*(Fsw)*(Tr_buck+Tf_buck), 0, (H209*M209/2)*(Fsw/2)*(Tr_buck+Tf_buck))</f>
        <v>0.305509325681492</v>
      </c>
      <c r="AD209" s="0" t="n">
        <f aca="false">IF(H209&gt;Vout, IF(K209&gt;P209/2,0,ABS(K209-P209/2)*Vsd_Q1*Deadtime*Fsw),0)</f>
        <v>0</v>
      </c>
      <c r="AE209" s="488" t="n">
        <f aca="false">(AD209+AC209+AB209*(1+RdsonTopTc*Ta-RdsonTopTc*25))/(1-AB209*RdsonTopTc*ThetaJA_Q1)</f>
        <v>0.363959909343459</v>
      </c>
      <c r="AF209" s="488" t="n">
        <f aca="false">CHOOSE(J209, SQRT((1-N209))*SQRT(K209^2+(P209^2)/12), 0, SQRT((1-N209))*SQRT(M209^2+(P209^2)/12))</f>
        <v>5.47452654686643</v>
      </c>
      <c r="AG209" s="488" t="n">
        <f aca="false">Rdson2*AF209^2</f>
        <v>0.170831513200368</v>
      </c>
      <c r="AH209" s="488" t="n">
        <f aca="false">CHOOSE(J209, IF(K209&lt;P209/2,Deadtime*Fsw*IF(VfdSky_Q2&gt;0,0,Vsd_Q2)*(K209+P209/2),2*Deadtime*Fsw*IF(VfdSky_Q2&gt;0,0,Vsd_Q2)*K209),0, IF(K209&lt;P209/2,Deadtime*Fsw/2*IF(VfdSky_Q2&gt;0,0,Vsd_Q2)*(K209+P209/2),2*Deadtime*Fsw/2*IF(VfdSky_Q2&gt;0,0,Vsd_Q2)*K209))</f>
        <v>0.144</v>
      </c>
      <c r="AI209" s="488" t="n">
        <f aca="false">(AH209+AG209*(1+RdsonBotTc*Ta-RdsonBotTc*25))/(1-AG209*RdsonBotTc*ThetaJA_Q2)</f>
        <v>0.325968656986135</v>
      </c>
      <c r="AJ209" s="488" t="n">
        <f aca="false">CHOOSE(J209, 0, SQRT(O209)*SQRT(L209^2+(P209^2)/12), SQRT(O209)*SQRT(M209^2+(P209^2)/12))</f>
        <v>0</v>
      </c>
      <c r="AK209" s="488" t="n">
        <f aca="false">Rdson4*AJ209^2</f>
        <v>0</v>
      </c>
      <c r="AL209" s="488" t="n">
        <f aca="false">CHOOSE(J209, 0, (Vout*L209/2)*(Fsw)*(Tr_boost+Tf_boost), (Vout*Iout/2)*(Fsw/2)*(Tr_boost+Tf_boost))</f>
        <v>0</v>
      </c>
      <c r="AM209" s="0" t="n">
        <f aca="false">IF(H209&gt;Vout, 0, IF(L209&gt;P209/2,0,ABS(L209-P209/2)*Vsd_Q4*Deadtime*Fsw))</f>
        <v>0</v>
      </c>
      <c r="AN209" s="488" t="n">
        <f aca="false">(AM209+AL209+AK209*(1+RdsonTopTc*Ta-RdsonTopTc*25))/(1-AK209*RdsonTopTc*ThetaJA_Q4)</f>
        <v>0</v>
      </c>
      <c r="AO209" s="488" t="n">
        <f aca="false">CHOOSE(J209, SQRT(Iout^2+(P209^2)/12), SQRT(1-O209)*SQRT(L209^2+(P209^2)/12), SQRT(1-O209)*SQRT(M209^2+(P209^2)/12))</f>
        <v>6.28721982468715</v>
      </c>
      <c r="AP209" s="488" t="n">
        <f aca="false">Rdson3*AO209^2</f>
        <v>0.0751053529354843</v>
      </c>
      <c r="AQ209" s="488" t="n">
        <f aca="false">CHOOSE(J209, 0, IF(L209&lt;P209/2,Deadtime*Fsw*IF(VfdSky_Q3&gt;0,0,Vsd_Q3)*(L209+P209/2), 2*Deadtime*Fsw*IF(VfdSky_Q3&gt;0,0,Vsd_Q3)*L209), IF(L209&lt;P209/2,Deadtime*Fsw/2*IF(VfdSky_Q3&gt;0,0,Vsd_Q3)*(L209+P209/2), 2*Deadtime*Fsw/2*IF(VfdSky_Q3&gt;0,0,Vsd_Q3)*L209))</f>
        <v>0</v>
      </c>
      <c r="AR209" s="488" t="n">
        <f aca="false">(AQ209+AP209*(1+RdsonBotTc*Ta-RdsonBotTc*25))/(1-AP209*RdsonBotTc*ThetaJA_Q3)</f>
        <v>0.0762507203887609</v>
      </c>
      <c r="AS209" s="488" t="n">
        <f aca="false">CHOOSE(J209, Rdson3*Q209^2, Rdson1*Q209^2, 0)</f>
        <v>0.0751053529354843</v>
      </c>
      <c r="AT209" s="488" t="n">
        <f aca="false">CHOOSE(J209, 2*Deadtime*Fsw*IF(VfdSky_Q2&gt;0,VfdSky_Q2,0)*K209, 2*Deadtime*Fsw*IF(VfdSky_Q3&gt;0,VfdSky_Q3,0)*L209, 2*Deadtime*Fsw/2*IF(VfdSky_Q2&gt;0,VfdSky_Q2,0)*K209+2*Deadtime*Fsw/2*IF(VfdSky_Q3&gt;0,VfdSky_Q3,0)*L209)</f>
        <v>0</v>
      </c>
      <c r="AU209" s="488" t="n">
        <f aca="false">CHOOSE(J209, IF(QrrSky_Q2&gt;0,QrrSky_Q2,Qrr_Q2)*Fsw*(H209-K209*Rdson1), IF(QrrSky_Q3&gt;0,QrrSky_Q3,Qrr_Q3)*Fsw*Vout,  IF(QrrSky_Q2&gt;0,QrrSky_Q2,Qrr_Q2)*Fsw/2*(H209-K209*Rdson1)+IF(QrrSky_Q3&gt;0,QrrSky_Q3,Qrr_Q3)*Fsw/2*Vout)</f>
        <v>0.94435362</v>
      </c>
      <c r="AV209" s="488" t="n">
        <f aca="false">CHOOSE(J209, Rs*AF209^2, Rs*AJ209^2, Rs*(AF209^2+AJ209^2))</f>
        <v>0.239763527298762</v>
      </c>
      <c r="AW209" s="488" t="n">
        <f aca="false">Rshunt_std/1000*Iout^2</f>
        <v>0.14832</v>
      </c>
      <c r="AX209" s="488" t="n">
        <f aca="false">IF(Vout&gt;8, Iq*Vout, Iq*H209)</f>
        <v>0.036</v>
      </c>
      <c r="AY209" s="488" t="n">
        <f aca="false">CHOOSE(J209, (Qg_Q1+Qg_Q2)*Fsw, (Qg_Q3+Qg_Q4)*Fsw, (Qg_Q1+Qg_Q2+Qg_Q3+Qg_Q4)*Fsw/2)*IF(Vout&gt;8, Vout, H209)</f>
        <v>0.0792</v>
      </c>
      <c r="AZ209" s="488" t="n">
        <f aca="false">(Vin-Vdd)*Fsw*(Qg_Q1+Qg_Q2)+(RdsonDRT+RdsonDRT2)*Fsw*Qg_Q1*Vdd/(RdsonDRT+2*Rgate1+RdsonDRT2)+(RdsonDRB+RdsonDRB2)*Fsw*Qg_Q2*Vdd/(RdsonDRB+2*Rgate2+RdsonDRB2)</f>
        <v>0.0522</v>
      </c>
      <c r="BA209" s="488" t="n">
        <f aca="false">SUM(AX209:AY209)</f>
        <v>0.1152</v>
      </c>
      <c r="BB209" s="488" t="n">
        <f aca="false">SUM(T209,W209,Z209,AE209,AI209,AN209,AR209, AT209,AU209,BA209,AV209,AW209)</f>
        <v>3.62868425998314</v>
      </c>
      <c r="BC209" s="419" t="n">
        <f aca="false">Vout*K209</f>
        <v>72</v>
      </c>
      <c r="BD209" s="589" t="n">
        <f aca="false">BC209/(BC209+BB209)</f>
        <v>0.95201973569302</v>
      </c>
      <c r="BE209" s="590" t="n">
        <f aca="false">IF(H209&gt;Vout,ThetaJA_Q1*(AE209+AU209),ThetaJA_Q4*(AN209+AU209))</f>
        <v>65.4156764671729</v>
      </c>
      <c r="BF209" s="590" t="n">
        <f aca="false">IF(H209&gt;Vout, AI209*ThetaJA_Q2, ThetaJA_Q3*AR209)</f>
        <v>16.2984328493067</v>
      </c>
      <c r="BG209" s="536"/>
      <c r="BH209" s="385" t="n">
        <f aca="false">BD209*100</f>
        <v>95.201973569302</v>
      </c>
      <c r="BI209" s="488" t="n">
        <f aca="false">T209</f>
        <v>1.38272762441868</v>
      </c>
      <c r="BJ209" s="488" t="n">
        <f aca="false">AE209+AI209+AN209+AR209+AU209</f>
        <v>1.71053290671835</v>
      </c>
      <c r="BK209" s="488" t="n">
        <f aca="false">AI209+AU209*0.33</f>
        <v>0.637605351586135</v>
      </c>
      <c r="BL209" s="488" t="n">
        <f aca="false">AV209</f>
        <v>0.239763527298762</v>
      </c>
    </row>
  </sheetData>
  <mergeCells count="13">
    <mergeCell ref="A1:D4"/>
    <mergeCell ref="A6:D7"/>
    <mergeCell ref="G7:P7"/>
    <mergeCell ref="Q7:T7"/>
    <mergeCell ref="U7:W7"/>
    <mergeCell ref="X7:Z7"/>
    <mergeCell ref="AA7:AE7"/>
    <mergeCell ref="AF7:AI7"/>
    <mergeCell ref="AJ7:AN7"/>
    <mergeCell ref="AO7:AR7"/>
    <mergeCell ref="AX7:BA7"/>
    <mergeCell ref="BB7:BF7"/>
    <mergeCell ref="BH7:BL7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D050"/>
    <pageSetUpPr fitToPage="false"/>
  </sheetPr>
  <dimension ref="A1:CE2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BH109" activeCellId="0" sqref="BH109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19.86"/>
    <col collapsed="false" customWidth="true" hidden="false" outlineLevel="0" max="2" min="2" style="0" width="13.15"/>
    <col collapsed="false" customWidth="true" hidden="false" outlineLevel="0" max="4" min="4" style="0" width="71.57"/>
    <col collapsed="false" customWidth="true" hidden="false" outlineLevel="0" max="6" min="6" style="0" width="9.14"/>
    <col collapsed="false" customWidth="true" hidden="false" outlineLevel="0" max="7" min="7" style="0" width="6.85"/>
    <col collapsed="false" customWidth="true" hidden="false" outlineLevel="0" max="8" min="8" style="535" width="9.14"/>
    <col collapsed="false" customWidth="true" hidden="false" outlineLevel="0" max="9" min="9" style="0" width="11"/>
    <col collapsed="false" customWidth="true" hidden="false" outlineLevel="0" max="10" min="10" style="0" width="6.71"/>
    <col collapsed="false" customWidth="true" hidden="false" outlineLevel="0" max="11" min="11" style="0" width="8.15"/>
    <col collapsed="false" customWidth="true" hidden="false" outlineLevel="0" max="12" min="12" style="0" width="7.42"/>
    <col collapsed="false" customWidth="true" hidden="false" outlineLevel="0" max="13" min="13" style="0" width="7.15"/>
    <col collapsed="false" customWidth="true" hidden="false" outlineLevel="0" max="14" min="14" style="488" width="10.71"/>
    <col collapsed="false" customWidth="true" hidden="false" outlineLevel="0" max="15" min="15" style="488" width="11.43"/>
    <col collapsed="false" customWidth="true" hidden="false" outlineLevel="0" max="16" min="16" style="385" width="8.86"/>
    <col collapsed="false" customWidth="true" hidden="false" outlineLevel="0" max="17" min="17" style="385" width="8"/>
    <col collapsed="false" customWidth="true" hidden="false" outlineLevel="0" max="18" min="18" style="438" width="9.42"/>
    <col collapsed="false" customWidth="true" hidden="false" outlineLevel="0" max="19" min="19" style="0" width="8"/>
    <col collapsed="false" customWidth="true" hidden="false" outlineLevel="0" max="20" min="20" style="419" width="9.29"/>
    <col collapsed="false" customWidth="true" hidden="false" outlineLevel="0" max="21" min="21" style="385" width="8.86"/>
    <col collapsed="false" customWidth="true" hidden="false" outlineLevel="0" max="22" min="22" style="0" width="9.86"/>
    <col collapsed="false" customWidth="true" hidden="false" outlineLevel="0" max="23" min="23" style="0" width="10.71"/>
    <col collapsed="false" customWidth="true" hidden="false" outlineLevel="0" max="24" min="24" style="438" width="9.71"/>
    <col collapsed="false" customWidth="true" hidden="false" outlineLevel="0" max="25" min="25" style="0" width="10.57"/>
    <col collapsed="false" customWidth="true" hidden="false" outlineLevel="0" max="28" min="27" style="0" width="8.57"/>
    <col collapsed="false" customWidth="true" hidden="false" outlineLevel="0" max="29" min="29" style="0" width="10"/>
    <col collapsed="false" customWidth="true" hidden="false" outlineLevel="0" max="30" min="30" style="0" width="8"/>
    <col collapsed="false" customWidth="true" hidden="false" outlineLevel="0" max="31" min="31" style="0" width="9.86"/>
    <col collapsed="false" customWidth="true" hidden="false" outlineLevel="0" max="33" min="32" style="0" width="8.86"/>
    <col collapsed="false" customWidth="true" hidden="false" outlineLevel="0" max="34" min="34" style="0" width="10.57"/>
    <col collapsed="false" customWidth="true" hidden="false" outlineLevel="0" max="35" min="35" style="0" width="10.29"/>
    <col collapsed="false" customWidth="true" hidden="false" outlineLevel="0" max="37" min="36" style="0" width="8.57"/>
    <col collapsed="false" customWidth="true" hidden="false" outlineLevel="0" max="38" min="38" style="0" width="10"/>
    <col collapsed="false" customWidth="true" hidden="false" outlineLevel="0" max="39" min="39" style="0" width="8"/>
    <col collapsed="false" customWidth="true" hidden="false" outlineLevel="0" max="40" min="40" style="0" width="9.86"/>
    <col collapsed="false" customWidth="true" hidden="false" outlineLevel="0" max="42" min="41" style="0" width="8.86"/>
    <col collapsed="false" customWidth="true" hidden="false" outlineLevel="0" max="43" min="43" style="0" width="10.42"/>
    <col collapsed="false" customWidth="true" hidden="false" outlineLevel="0" max="44" min="44" style="0" width="10.29"/>
    <col collapsed="false" customWidth="true" hidden="false" outlineLevel="0" max="45" min="45" style="438" width="12.29"/>
    <col collapsed="false" customWidth="true" hidden="false" outlineLevel="0" max="46" min="46" style="0" width="13.71"/>
    <col collapsed="false" customWidth="true" hidden="false" outlineLevel="0" max="47" min="47" style="438" width="12"/>
    <col collapsed="false" customWidth="true" hidden="false" outlineLevel="0" max="48" min="48" style="0" width="11.57"/>
    <col collapsed="false" customWidth="true" hidden="false" outlineLevel="0" max="49" min="49" style="0" width="11"/>
    <col collapsed="false" customWidth="true" hidden="false" outlineLevel="0" max="50" min="50" style="0" width="9.29"/>
    <col collapsed="false" customWidth="true" hidden="false" outlineLevel="0" max="52" min="51" style="0" width="10.42"/>
    <col collapsed="false" customWidth="true" hidden="false" outlineLevel="0" max="54" min="54" style="385" width="8.42"/>
    <col collapsed="false" customWidth="true" hidden="false" outlineLevel="0" max="55" min="55" style="419" width="7.29"/>
    <col collapsed="false" customWidth="true" hidden="false" outlineLevel="0" max="56" min="56" style="536" width="10.14"/>
    <col collapsed="false" customWidth="true" hidden="false" outlineLevel="0" max="57" min="57" style="458" width="12.42"/>
    <col collapsed="false" customWidth="true" hidden="false" outlineLevel="0" max="58" min="58" style="458" width="11.43"/>
    <col collapsed="false" customWidth="true" hidden="false" outlineLevel="0" max="59" min="59" style="0" width="3.29"/>
    <col collapsed="false" customWidth="true" hidden="false" outlineLevel="0" max="60" min="60" style="488" width="7.86"/>
    <col collapsed="false" customWidth="true" hidden="false" outlineLevel="0" max="61" min="61" style="438" width="9.14"/>
    <col collapsed="false" customWidth="true" hidden="false" outlineLevel="0" max="62" min="62" style="438" width="10.29"/>
    <col collapsed="false" customWidth="true" hidden="false" outlineLevel="0" max="63" min="63" style="438" width="12.15"/>
    <col collapsed="false" customWidth="true" hidden="false" outlineLevel="0" max="64" min="64" style="438" width="8.86"/>
    <col collapsed="false" customWidth="true" hidden="false" outlineLevel="0" max="65" min="65" style="0" width="7.86"/>
    <col collapsed="false" customWidth="true" hidden="false" outlineLevel="0" max="69" min="69" style="0" width="28.42"/>
    <col collapsed="false" customWidth="true" hidden="false" outlineLevel="0" max="72" min="72" style="0" width="12.42"/>
  </cols>
  <sheetData>
    <row r="1" customFormat="false" ht="12.75" hidden="false" customHeight="true" outlineLevel="0" collapsed="false">
      <c r="A1" s="537" t="s">
        <v>741</v>
      </c>
      <c r="B1" s="537"/>
      <c r="C1" s="537"/>
      <c r="D1" s="537"/>
    </row>
    <row r="2" customFormat="false" ht="12.75" hidden="false" customHeight="true" outlineLevel="0" collapsed="false">
      <c r="A2" s="537"/>
      <c r="B2" s="537"/>
      <c r="C2" s="537"/>
      <c r="D2" s="537"/>
      <c r="H2" s="538" t="n">
        <f aca="false">BD19</f>
        <v>0.943355980675257</v>
      </c>
      <c r="I2" s="320" t="s">
        <v>888</v>
      </c>
      <c r="AI2" s="320"/>
      <c r="AJ2" s="320"/>
    </row>
    <row r="3" customFormat="false" ht="12.75" hidden="false" customHeight="true" outlineLevel="0" collapsed="false">
      <c r="A3" s="537"/>
      <c r="B3" s="537"/>
      <c r="C3" s="537"/>
      <c r="D3" s="537"/>
      <c r="H3" s="538" t="n">
        <f aca="false">BD59</f>
        <v>0.98181561710651</v>
      </c>
      <c r="I3" s="320" t="s">
        <v>889</v>
      </c>
      <c r="AI3" s="320"/>
      <c r="AJ3" s="320"/>
    </row>
    <row r="4" customFormat="false" ht="12.75" hidden="false" customHeight="true" outlineLevel="0" collapsed="false">
      <c r="A4" s="537"/>
      <c r="B4" s="537"/>
      <c r="C4" s="537"/>
      <c r="D4" s="537"/>
      <c r="H4" s="538" t="n">
        <f aca="false">BD109</f>
        <v>0.983829714159565</v>
      </c>
      <c r="I4" s="320" t="s">
        <v>890</v>
      </c>
      <c r="AI4" s="320"/>
      <c r="AJ4" s="320"/>
    </row>
    <row r="5" customFormat="false" ht="12.75" hidden="false" customHeight="false" outlineLevel="0" collapsed="false">
      <c r="A5" s="539"/>
      <c r="B5" s="540"/>
      <c r="C5" s="194"/>
      <c r="D5" s="194"/>
    </row>
    <row r="6" customFormat="false" ht="13.5" hidden="false" customHeight="true" outlineLevel="0" collapsed="false">
      <c r="A6" s="541" t="s">
        <v>745</v>
      </c>
      <c r="B6" s="541"/>
      <c r="C6" s="541"/>
      <c r="D6" s="541"/>
      <c r="N6" s="364"/>
      <c r="O6" s="364"/>
      <c r="P6" s="363"/>
      <c r="AU6" s="542"/>
      <c r="AV6" s="308"/>
      <c r="AW6" s="308"/>
      <c r="AX6" s="308"/>
      <c r="AZ6" s="308"/>
      <c r="BA6" s="308"/>
      <c r="BB6" s="363"/>
      <c r="BV6" s="0" t="n">
        <v>80</v>
      </c>
      <c r="BW6" s="0" t="n">
        <v>100</v>
      </c>
      <c r="BX6" s="0" t="n">
        <v>120</v>
      </c>
      <c r="BY6" s="0" t="n">
        <v>140</v>
      </c>
      <c r="BZ6" s="0" t="n">
        <v>160</v>
      </c>
      <c r="CA6" s="0" t="n">
        <v>180</v>
      </c>
      <c r="CB6" s="0" t="n">
        <v>20</v>
      </c>
      <c r="CC6" s="0" t="n">
        <v>30</v>
      </c>
      <c r="CD6" s="0" t="n">
        <v>40</v>
      </c>
      <c r="CE6" s="0" t="n">
        <v>50</v>
      </c>
    </row>
    <row r="7" customFormat="false" ht="12.75" hidden="false" customHeight="false" outlineLevel="0" collapsed="false">
      <c r="A7" s="541"/>
      <c r="B7" s="541"/>
      <c r="C7" s="541"/>
      <c r="D7" s="541"/>
      <c r="G7" s="543" t="s">
        <v>746</v>
      </c>
      <c r="H7" s="543"/>
      <c r="I7" s="543"/>
      <c r="J7" s="543"/>
      <c r="K7" s="543"/>
      <c r="L7" s="543"/>
      <c r="M7" s="543"/>
      <c r="N7" s="543"/>
      <c r="O7" s="543"/>
      <c r="P7" s="543"/>
      <c r="Q7" s="543" t="s">
        <v>747</v>
      </c>
      <c r="R7" s="543"/>
      <c r="S7" s="543"/>
      <c r="T7" s="543"/>
      <c r="U7" s="544" t="s">
        <v>401</v>
      </c>
      <c r="V7" s="544"/>
      <c r="W7" s="544"/>
      <c r="X7" s="543" t="s">
        <v>423</v>
      </c>
      <c r="Y7" s="543"/>
      <c r="Z7" s="543"/>
      <c r="AA7" s="543" t="s">
        <v>748</v>
      </c>
      <c r="AB7" s="543"/>
      <c r="AC7" s="543"/>
      <c r="AD7" s="543"/>
      <c r="AE7" s="543"/>
      <c r="AF7" s="543" t="s">
        <v>749</v>
      </c>
      <c r="AG7" s="543"/>
      <c r="AH7" s="543"/>
      <c r="AI7" s="543"/>
      <c r="AJ7" s="543" t="s">
        <v>750</v>
      </c>
      <c r="AK7" s="543"/>
      <c r="AL7" s="543"/>
      <c r="AM7" s="543"/>
      <c r="AN7" s="543"/>
      <c r="AO7" s="543" t="s">
        <v>751</v>
      </c>
      <c r="AP7" s="543"/>
      <c r="AQ7" s="543"/>
      <c r="AR7" s="543"/>
      <c r="AS7" s="545" t="s">
        <v>752</v>
      </c>
      <c r="AT7" s="546" t="s">
        <v>753</v>
      </c>
      <c r="AU7" s="547" t="s">
        <v>754</v>
      </c>
      <c r="AV7" s="548" t="s">
        <v>755</v>
      </c>
      <c r="AW7" s="548" t="s">
        <v>756</v>
      </c>
      <c r="AX7" s="549" t="s">
        <v>757</v>
      </c>
      <c r="AY7" s="549"/>
      <c r="AZ7" s="549"/>
      <c r="BA7" s="549"/>
      <c r="BB7" s="550" t="s">
        <v>758</v>
      </c>
      <c r="BC7" s="550"/>
      <c r="BD7" s="550"/>
      <c r="BE7" s="550"/>
      <c r="BF7" s="550"/>
      <c r="BG7" s="551"/>
      <c r="BH7" s="552" t="s">
        <v>759</v>
      </c>
      <c r="BI7" s="552"/>
      <c r="BJ7" s="552"/>
      <c r="BK7" s="552"/>
      <c r="BL7" s="552"/>
      <c r="BM7" s="552"/>
    </row>
    <row r="8" customFormat="false" ht="46.25" hidden="false" customHeight="false" outlineLevel="0" collapsed="false">
      <c r="A8" s="553" t="s">
        <v>760</v>
      </c>
      <c r="B8" s="553"/>
      <c r="C8" s="553"/>
      <c r="D8" s="194"/>
      <c r="G8" s="554" t="s">
        <v>761</v>
      </c>
      <c r="H8" s="555" t="s">
        <v>762</v>
      </c>
      <c r="I8" s="556" t="s">
        <v>763</v>
      </c>
      <c r="J8" s="556" t="s">
        <v>764</v>
      </c>
      <c r="K8" s="557" t="s">
        <v>218</v>
      </c>
      <c r="L8" s="557" t="s">
        <v>306</v>
      </c>
      <c r="M8" s="557" t="s">
        <v>765</v>
      </c>
      <c r="N8" s="558" t="s">
        <v>891</v>
      </c>
      <c r="O8" s="559" t="s">
        <v>892</v>
      </c>
      <c r="P8" s="560" t="s">
        <v>768</v>
      </c>
      <c r="Q8" s="561" t="s">
        <v>769</v>
      </c>
      <c r="R8" s="562" t="s">
        <v>770</v>
      </c>
      <c r="S8" s="557" t="s">
        <v>771</v>
      </c>
      <c r="T8" s="563" t="s">
        <v>772</v>
      </c>
      <c r="U8" s="561" t="s">
        <v>773</v>
      </c>
      <c r="V8" s="564" t="s">
        <v>774</v>
      </c>
      <c r="W8" s="565" t="s">
        <v>775</v>
      </c>
      <c r="X8" s="566" t="s">
        <v>776</v>
      </c>
      <c r="Y8" s="557" t="s">
        <v>777</v>
      </c>
      <c r="Z8" s="565" t="s">
        <v>778</v>
      </c>
      <c r="AA8" s="554" t="s">
        <v>779</v>
      </c>
      <c r="AB8" s="557" t="s">
        <v>780</v>
      </c>
      <c r="AC8" s="557" t="s">
        <v>781</v>
      </c>
      <c r="AD8" s="567" t="s">
        <v>782</v>
      </c>
      <c r="AE8" s="565" t="s">
        <v>783</v>
      </c>
      <c r="AF8" s="554" t="s">
        <v>779</v>
      </c>
      <c r="AG8" s="557" t="s">
        <v>780</v>
      </c>
      <c r="AH8" s="557" t="s">
        <v>784</v>
      </c>
      <c r="AI8" s="568" t="s">
        <v>785</v>
      </c>
      <c r="AJ8" s="554" t="s">
        <v>779</v>
      </c>
      <c r="AK8" s="557" t="s">
        <v>780</v>
      </c>
      <c r="AL8" s="557" t="s">
        <v>781</v>
      </c>
      <c r="AM8" s="567" t="s">
        <v>782</v>
      </c>
      <c r="AN8" s="565" t="s">
        <v>783</v>
      </c>
      <c r="AO8" s="554" t="s">
        <v>779</v>
      </c>
      <c r="AP8" s="557" t="s">
        <v>780</v>
      </c>
      <c r="AQ8" s="557" t="s">
        <v>784</v>
      </c>
      <c r="AR8" s="568" t="s">
        <v>785</v>
      </c>
      <c r="AS8" s="562" t="s">
        <v>786</v>
      </c>
      <c r="AT8" s="565" t="s">
        <v>784</v>
      </c>
      <c r="AU8" s="569" t="s">
        <v>787</v>
      </c>
      <c r="AV8" s="570" t="s">
        <v>788</v>
      </c>
      <c r="AW8" s="570" t="s">
        <v>789</v>
      </c>
      <c r="AX8" s="571" t="s">
        <v>790</v>
      </c>
      <c r="AY8" s="572" t="s">
        <v>791</v>
      </c>
      <c r="AZ8" s="573" t="s">
        <v>792</v>
      </c>
      <c r="BA8" s="574" t="s">
        <v>793</v>
      </c>
      <c r="BB8" s="575" t="s">
        <v>794</v>
      </c>
      <c r="BC8" s="576" t="s">
        <v>222</v>
      </c>
      <c r="BD8" s="577" t="s">
        <v>795</v>
      </c>
      <c r="BE8" s="578" t="str">
        <f aca="false">IF(Vin&gt;Vout, "Buck ''CONTROL'' MOSFET Temp Rise", "Boost ''CONTROL'' MOSFET Temp Rise")</f>
        <v>Boost ''CONTROL'' MOSFET Temp Rise</v>
      </c>
      <c r="BF8" s="578" t="str">
        <f aca="false">IF(Vin&gt;Vout, "Buck ''SYNC'' MOSFET Temp Rise", "Boost ''SYNC'' MOSFET Temp Rise")</f>
        <v>Boost ''SYNC'' MOSFET Temp Rise</v>
      </c>
      <c r="BH8" s="579" t="s">
        <v>798</v>
      </c>
      <c r="BI8" s="580" t="s">
        <v>799</v>
      </c>
      <c r="BJ8" s="580" t="s">
        <v>800</v>
      </c>
      <c r="BK8" s="580" t="str">
        <f aca="false">IF(Vin&gt;Vout, "Buck ''Control'' MOSFET Loss", "Boost ''Control'' MOSFET Loss")</f>
        <v>Boost ''Control'' MOSFET Loss</v>
      </c>
      <c r="BL8" s="580" t="str">
        <f aca="false">IF(Vin&gt;Vout, "Buck ''SYNC'' MOSFET Loss", "Boost ''SYNC'' MOSFET Loss")</f>
        <v>Boost ''SYNC'' MOSFET Loss</v>
      </c>
      <c r="BM8" s="581" t="s">
        <v>801</v>
      </c>
      <c r="BN8" s="581"/>
      <c r="BT8" s="0" t="s">
        <v>644</v>
      </c>
      <c r="BV8" s="0" t="s">
        <v>802</v>
      </c>
      <c r="BW8" s="0" t="s">
        <v>803</v>
      </c>
      <c r="BX8" s="0" t="s">
        <v>804</v>
      </c>
      <c r="BY8" s="0" t="s">
        <v>805</v>
      </c>
      <c r="BZ8" s="0" t="s">
        <v>806</v>
      </c>
      <c r="CA8" s="0" t="s">
        <v>807</v>
      </c>
      <c r="CB8" s="0" t="s">
        <v>808</v>
      </c>
      <c r="CC8" s="0" t="s">
        <v>809</v>
      </c>
      <c r="CD8" s="0" t="s">
        <v>810</v>
      </c>
      <c r="CE8" s="0" t="s">
        <v>811</v>
      </c>
    </row>
    <row r="9" customFormat="false" ht="12.75" hidden="false" customHeight="false" outlineLevel="0" collapsed="false">
      <c r="A9" s="582" t="s">
        <v>607</v>
      </c>
      <c r="B9" s="583" t="s">
        <v>812</v>
      </c>
      <c r="C9" s="584" t="s">
        <v>697</v>
      </c>
      <c r="D9" s="585" t="s">
        <v>134</v>
      </c>
      <c r="G9" s="0" t="n">
        <v>0</v>
      </c>
      <c r="H9" s="586" t="n">
        <f aca="false">Vin</f>
        <v>12</v>
      </c>
      <c r="I9" s="385" t="str">
        <f aca="false">IF(H9&gt;VIN_BB_to_buck, "BUCK", IF(H9&lt;VIN_boost_to_BB,"BOOST","BUCK-BST"))</f>
        <v>BUCK-BST</v>
      </c>
      <c r="J9" s="419" t="n">
        <f aca="false">IF(I9="BOOST",2, IF(I9="BUCK", 1,3))</f>
        <v>3</v>
      </c>
      <c r="K9" s="0" t="n">
        <v>0</v>
      </c>
      <c r="L9" s="385" t="n">
        <f aca="false">Vout*K9/(Vin*Efficiency)</f>
        <v>0</v>
      </c>
      <c r="M9" s="385" t="n">
        <f aca="false">K9/(1-O9)</f>
        <v>0</v>
      </c>
      <c r="N9" s="488" t="n">
        <f aca="false">CHOOSE(J9,(Vout+(Rdson2+Rs+Rdcr)*K9)/(Vin+(Rs+Rdson2-Rdson1)*K9), 1, IF(Vin&lt;Vout, D_max_buck_BB, Vout/Vin*(1-D_min_boost_exitBB_to_buck)))</f>
        <v>0.955</v>
      </c>
      <c r="O9" s="488" t="n">
        <f aca="false">CHOOSE(J9,0,(Vout+(Rdson3+Rdcr)*L9-Vin)/(Vout+(Rdson3-Rdson4-Rs)*L9), IF(Vin&gt;Vout,D_min_boost_exitBB_to_buck, (Vout-Vin*D_max_buck_BB)/Vout))</f>
        <v>0.0450000000000001</v>
      </c>
      <c r="P9" s="385" t="n">
        <f aca="false">MAX(0, CHOOSE(J9, (Vin-(Rdson1+Rdcr)*K9-Vout)*N9/(Fsw*Lf), (Vin-(Rdson4+Rdcr+Rs)*L9)*O9/(Fsw*Lf), IF(Vin&lt;Vout, (Vin-(Rdson4+Rdcr+Rs)*L9)*O9/(0.5*Fsw*Lf),(Vin-(Rdson1+Rdcr)*K9-Vout)*N9/(0.5*Fsw*Lf))))</f>
        <v>0</v>
      </c>
      <c r="Q9" s="385" t="n">
        <f aca="false">CHOOSE(J9, SQRT(K9^2+(P9^2)/12), SQRT(L9^2+(P9^2)/12), SQRT(M9^2+(P9^2)/12))</f>
        <v>0</v>
      </c>
      <c r="R9" s="488" t="n">
        <f aca="false">(Q9^2*Rdcr*(1+Ltc*Ta-Ltc*25))/(1-Q9^2*Rdcr*Ltc*ThetaCa)</f>
        <v>0</v>
      </c>
      <c r="S9" s="488" t="n">
        <f aca="false">ABS(7.759*10^-3*Fsw^0.9458*(0.00787*P9)^2.304)</f>
        <v>0</v>
      </c>
      <c r="T9" s="488" t="n">
        <f aca="false">R9+S9</f>
        <v>0</v>
      </c>
      <c r="U9" s="385" t="n">
        <f aca="false">IF(Vin&gt;Vout, P9/SQRT(12), SQRT(O9/(1-O9))*SQRT(K9^2+(P9^2)/12))</f>
        <v>0</v>
      </c>
      <c r="V9" s="488" t="n">
        <f aca="false">RCoutEsr*U9^2</f>
        <v>0</v>
      </c>
      <c r="W9" s="488" t="n">
        <f aca="false">V9</f>
        <v>0</v>
      </c>
      <c r="X9" s="385" t="n">
        <f aca="false">IF(Vin&gt;Vout, SQRT(N9*(1-N9))*SQRT(K9^2+(P9^2)/12), P9/SQRT(12))</f>
        <v>0</v>
      </c>
      <c r="Y9" s="587" t="n">
        <f aca="false">RCinEsr*X9^2</f>
        <v>0</v>
      </c>
      <c r="Z9" s="588" t="n">
        <f aca="false">Y9</f>
        <v>0</v>
      </c>
      <c r="AA9" s="488" t="n">
        <f aca="false">CHOOSE(J9, SQRT(N9)*SQRT(K9^2+(P9^2)/12), SQRT(L9^2+(P9^2)/12), SQRT(N9)*SQRT(M9^2+(P9^2)/12))</f>
        <v>0</v>
      </c>
      <c r="AB9" s="488" t="n">
        <f aca="false">Rdson1*AA9^2</f>
        <v>0</v>
      </c>
      <c r="AC9" s="488" t="n">
        <f aca="false">CHOOSE(J9, (Vin*K9/2)*(Fsw)*(Tr_buck+Tf_buck), 0, (Vin*K9/2)*(Fsw/2)*(Tr_buck+Tf_buck))</f>
        <v>0</v>
      </c>
      <c r="AD9" s="488" t="n">
        <f aca="false">CHOOSE(J9, IF(K9&gt;P9/2,0,ABS(K9-P9/2)*Vsd_Q1*Deadtime*Fsw),0, IF(K9&gt;P9/2,0,ABS(K9-P9/2)*Vsd_Q1*Deadtime*Fsw/2))</f>
        <v>0</v>
      </c>
      <c r="AE9" s="488" t="n">
        <f aca="false">(AD9+AC9+AB9*(1+RdsonTopTc*Ta-RdsonTopTc*25))/(1-AB9*RdsonTopTc*ThetaJA_Q1)</f>
        <v>0</v>
      </c>
      <c r="AF9" s="488" t="n">
        <f aca="false">CHOOSE(J9, SQRT((1-N9))*SQRT(K9^2+(P9^2)/12), 0, SQRT((1-N9))*SQRT(M9^2+(P9^2)/12))</f>
        <v>0</v>
      </c>
      <c r="AG9" s="488" t="n">
        <f aca="false">Rdson2*AF9^2</f>
        <v>0</v>
      </c>
      <c r="AH9" s="488" t="n">
        <f aca="false">CHOOSE(J9, IF(K9&lt;P9/2,Deadtime*Fsw*IF(VfdSky_Q2&gt;0,0,Vsd_Q2)*(K9+P9/2),2*Deadtime*Fsw*IF(VfdSky_Q2&gt;0,0,Vsd_Q2)*K9),0, IF(K9&lt;P9/2,Deadtime*Fsw/2*IF(VfdSky_Q2&gt;0,0,Vsd_Q2)*(K9+P9/2),2*Deadtime*Fsw/2*IF(VfdSky_Q2&gt;0,0,Vsd_Q2)*K9))</f>
        <v>0</v>
      </c>
      <c r="AI9" s="488" t="n">
        <f aca="false">(AH9+AG9*(1+RdsonBotTc*Ta-RdsonBotTc*25))/(1-AG9*RdsonBotTc*ThetaJA_Q2)</f>
        <v>0</v>
      </c>
      <c r="AJ9" s="488" t="n">
        <f aca="false">CHOOSE(J9, 0, SQRT(O9)*SQRT(L9^2+(P9^2)/12), SQRT(O9)*SQRT(M9^2+(P9^2)/12))</f>
        <v>0</v>
      </c>
      <c r="AK9" s="488" t="n">
        <f aca="false">Rdson4*AJ9^2</f>
        <v>0</v>
      </c>
      <c r="AL9" s="488" t="n">
        <f aca="false">CHOOSE(J9, 0, (Vout*L9/2)*(Fsw)*(Tr_boost+Tf_boost), (Vout*Iout/2)*(Fsw/2)*(Tr_boost+Tf_boost))</f>
        <v>0.0349071770123085</v>
      </c>
      <c r="AM9" s="488" t="n">
        <f aca="false">IF(H9&gt;Vout, 0, IF(L9&gt;P9/2,0,ABS(L9-P9/2)*Vsd_Q4*Deadtime*Fsw))</f>
        <v>0</v>
      </c>
      <c r="AN9" s="488" t="n">
        <f aca="false">(AM9+AL9+AK9*(1+RdsonTopTc*Ta-RdsonTopTc*25))/(1-AK9*RdsonTopTc*ThetaJA_Q4)</f>
        <v>0.0349071770123085</v>
      </c>
      <c r="AO9" s="488" t="n">
        <f aca="false">CHOOSE(J9, SQRT(K9^2+(P9^2)/12), SQRT(1-O9)*SQRT(L9^2+(P9^2)/12), SQRT(1-O9)*SQRT(M9^2+(P9^2)/12))</f>
        <v>0</v>
      </c>
      <c r="AP9" s="488" t="n">
        <f aca="false">Rdson3*AO9^2</f>
        <v>0</v>
      </c>
      <c r="AQ9" s="488" t="n">
        <f aca="false">CHOOSE(J9, 0, IF(L9&lt;P9/2,Deadtime*Fsw*IF(VfdSky_Q3&gt;0,0,Vsd_Q3)*(L9+P9/2), 2*Deadtime*Fsw*IF(VfdSky_Q3&gt;0,0,Vsd_Q3)*L9), IF(L9&lt;P9/2,Deadtime*Fsw/2*IF(VfdSky_Q3&gt;0,0,Vsd_Q3)*(L9+P9/2), 2*Deadtime*Fsw/2*IF(VfdSky_Q3&gt;0,0,Vsd_Q3)*L9))</f>
        <v>0</v>
      </c>
      <c r="AR9" s="488" t="n">
        <f aca="false">(AQ9+AP9*(1+RdsonBotTc*Ta-RdsonBotTc*25))/(1-AP9*RdsonBotTc*ThetaJA_Q3)</f>
        <v>0</v>
      </c>
      <c r="AS9" s="488" t="n">
        <f aca="false">CHOOSE(J9, Rdson3*Q9^2, Rdson1*Q9^2, 0)</f>
        <v>0</v>
      </c>
      <c r="AT9" s="488" t="n">
        <f aca="false">CHOOSE(J9, 2*Deadtime*Fsw*IF(VfdSky_Q2&gt;0,VfdSky_Q2,0)*K9, 2*Deadtime*Fsw*IF(VfdSky_Q3&gt;0,VfdSky_Q3,0)*L9, 2*Deadtime*Fsw/2*IF(VfdSky_Q2&gt;0,VfdSky_Q2,0)*K9+2*Deadtime*Fsw/2*IF(VfdSky_Q3&gt;0,VfdSky_Q3,0)*L9)</f>
        <v>0</v>
      </c>
      <c r="AU9" s="488" t="n">
        <f aca="false">CHOOSE(J9, IF(QrrSky_Q2&gt;0,QrrSky_Q2,Qrr_Q2*K9/Iout)*Fsw*(Vin-K9*Rdson1), IF(QrrSky_Q3&gt;0,QrrSky_Q3,Qrr_Q3)*Fsw*Vout,  IF(QrrSky_Q2&gt;0,QrrSky_Q2,Qrr_Q2*K9/Iout)*Fsw/2*(Vin-K9*Rdson1)+IF(QrrSky_Q3&gt;0,QrrSky_Q3,Qrr_Q3)*Fsw/2*Vout)</f>
        <v>0.0594</v>
      </c>
      <c r="AV9" s="488" t="n">
        <f aca="false">CHOOSE(J9, Rs*AF9^2, Rs*AJ9^2, Rs*(AF9^2+AJ9^2))</f>
        <v>0</v>
      </c>
      <c r="AW9" s="488" t="n">
        <f aca="false">Rshunt_std/1000*Iout^2</f>
        <v>0.14832</v>
      </c>
      <c r="AX9" s="488" t="n">
        <f aca="false">IF(Vout&gt;8, Iq*Vout, Iq*Vin)</f>
        <v>0.036</v>
      </c>
      <c r="AY9" s="488" t="n">
        <f aca="false">CHOOSE(J9, (Qg_Q1+Qg_Q2)*Fsw, (Qg_Q3+Qg_Q4)*Fsw, (Qg_Q1+Qg_Q2+Qg_Q3+Qg_Q4)*Fsw/2)*IF(Vout&gt;8, Vout, Vin)</f>
        <v>0.1188</v>
      </c>
      <c r="AZ9" s="488" t="n">
        <f aca="false">(Vin-Vdd)*Fsw*(Qg_Q1+Qg_Q2)+(RdsonDRT+RdsonDRT2)*Fsw*Qg_Q1*Vdd/(RdsonDRT+2*Rgate1+RdsonDRT2)+(RdsonDRB+RdsonDRB2)*Fsw*Qg_Q2*Vdd/(RdsonDRB+2*Rgate2+RdsonDRB2)</f>
        <v>0.0522</v>
      </c>
      <c r="BA9" s="488" t="n">
        <f aca="false">SUM(AX9:AY9)</f>
        <v>0.1548</v>
      </c>
      <c r="BB9" s="488" t="n">
        <f aca="false">SUM(T9,W9,Z9,AE9,AI9,AN9,AR9, AT9,AU9,BA9,AV9,AW9)</f>
        <v>0.397427177012309</v>
      </c>
      <c r="BC9" s="419" t="n">
        <f aca="false">Vout*K9</f>
        <v>0</v>
      </c>
      <c r="BD9" s="589" t="n">
        <f aca="false">BC9/(BC9+BB9)</f>
        <v>0</v>
      </c>
      <c r="BE9" s="590" t="n">
        <f aca="false">IF(Vin&gt;Vout,ThetaJA_Q1*BK9,ThetaJA_Q4*BK9)</f>
        <v>3.70555885061543</v>
      </c>
      <c r="BF9" s="590" t="n">
        <f aca="false">IF(Vin&gt;Vout, ThetaJA_Q2*BL9, ThetaJA_Q3*BL9)</f>
        <v>0.9801</v>
      </c>
      <c r="BH9" s="385" t="n">
        <f aca="false">BD9*100</f>
        <v>0</v>
      </c>
      <c r="BI9" s="488" t="n">
        <f aca="false">T9</f>
        <v>0</v>
      </c>
      <c r="BJ9" s="488" t="n">
        <f aca="false">AE9+AI9+AN9+AR9+AU9</f>
        <v>0.0943071770123085</v>
      </c>
      <c r="BK9" s="488" t="n">
        <f aca="false">IF(Vin&gt;Vout, AE9+AU9*0.66, AN9+AU9*0.66)</f>
        <v>0.0741111770123085</v>
      </c>
      <c r="BL9" s="488" t="n">
        <f aca="false">IF(Vin&gt;Vout, AI9+AU9*0.33, AR9+AU9*0.33)</f>
        <v>0.019602</v>
      </c>
      <c r="BM9" s="488" t="n">
        <f aca="false">AV9</f>
        <v>0</v>
      </c>
      <c r="BQ9" s="0" t="s">
        <v>813</v>
      </c>
      <c r="BR9" s="591" t="n">
        <v>70</v>
      </c>
      <c r="BS9" s="591" t="n">
        <v>70</v>
      </c>
      <c r="BT9" s="591" t="n">
        <v>70</v>
      </c>
      <c r="BU9" s="592" t="n">
        <f aca="false">250000*(5-Vdd)*BT9/1000000000+((250000*BT9/1000000000*Vdd)*2.5/(2*4))</f>
        <v>-0.002734375</v>
      </c>
      <c r="BV9" s="0" t="n">
        <f aca="false">BV$6*$BU9</f>
        <v>-0.21875</v>
      </c>
      <c r="BW9" s="0" t="n">
        <f aca="false">BW$6*$BU9</f>
        <v>-0.2734375</v>
      </c>
      <c r="BX9" s="0" t="n">
        <f aca="false">BX$6*$BU9</f>
        <v>-0.328125</v>
      </c>
      <c r="BY9" s="0" t="n">
        <f aca="false">BY$6*$BU9</f>
        <v>-0.3828125</v>
      </c>
      <c r="BZ9" s="0" t="n">
        <f aca="false">BZ$6*$BU9</f>
        <v>-0.4375</v>
      </c>
      <c r="CA9" s="0" t="n">
        <f aca="false">CA$6*$BU9</f>
        <v>-0.4921875</v>
      </c>
      <c r="CB9" s="0" t="n">
        <f aca="false">CB$6*$BU9</f>
        <v>-0.0546874999999999</v>
      </c>
      <c r="CC9" s="0" t="n">
        <f aca="false">CC$6*$BU9</f>
        <v>-0.0820312499999999</v>
      </c>
      <c r="CD9" s="0" t="n">
        <f aca="false">CD$6*$BU9</f>
        <v>-0.109375</v>
      </c>
      <c r="CE9" s="0" t="n">
        <f aca="false">CE$6*$BU9</f>
        <v>-0.13671875</v>
      </c>
    </row>
    <row r="10" customFormat="false" ht="12.75" hidden="false" customHeight="false" outlineLevel="0" collapsed="false">
      <c r="A10" s="593"/>
      <c r="B10" s="594"/>
      <c r="C10" s="584"/>
      <c r="D10" s="585"/>
      <c r="G10" s="0" t="n">
        <v>1</v>
      </c>
      <c r="H10" s="586" t="n">
        <f aca="false">Vin</f>
        <v>12</v>
      </c>
      <c r="I10" s="385" t="str">
        <f aca="false">IF(H10&gt;VIN_BB_to_buck, "BUCK", IF(H10&lt;VIN_boost_to_BB,"BOOST","BUCK-BST"))</f>
        <v>BUCK-BST</v>
      </c>
      <c r="J10" s="419" t="n">
        <f aca="false">IF(I10="BOOST",2, IF(I10="BUCK", 1,3))</f>
        <v>3</v>
      </c>
      <c r="K10" s="488" t="n">
        <f aca="false">Iout*G10/100</f>
        <v>0.06</v>
      </c>
      <c r="L10" s="385" t="n">
        <f aca="false">Vout*K10/(Vin*Efficiency)</f>
        <v>0.0666666666666667</v>
      </c>
      <c r="M10" s="385" t="n">
        <f aca="false">K10/(1-O10)</f>
        <v>0.0628272251308901</v>
      </c>
      <c r="N10" s="488" t="n">
        <f aca="false">CHOOSE(J10,(Vout+(Rdson2+Rs+Rdcr)*K10)/(Vin+(Rs+Rdson2-Rdson1)*K10), 1, IF(Vin&lt;Vout, D_max_buck_BB, Vout/Vin*(1-D_min_boost_exitBB_to_buck)))</f>
        <v>0.955</v>
      </c>
      <c r="O10" s="488" t="n">
        <f aca="false">CHOOSE(J10,0,(Vout+(Rdson3+Rdcr)*L10-Vin)/(Vout+(Rdson3-Rdson4-Rs)*L10), IF(Vin&gt;Vout,D_min_boost_exitBB_to_buck, (Vout-Vin*D_max_buck_BB)/Vout))</f>
        <v>0.0450000000000001</v>
      </c>
      <c r="P10" s="385" t="n">
        <f aca="false">MAX(0, CHOOSE(J10, (Vin-(Rdson1+Rdcr)*K10-Vout)*N10/(Fsw*Lf), (Vin-(Rdson4+Rdcr+Rs)*L10)*O10/(Fsw*Lf), IF(Vin&lt;Vout, (Vin-(Rdson4+Rdcr+Rs)*L10)*O10/(0.5*Fsw*Lf),(Vin-(Rdson1+Rdcr)*K10-Vout)*N10/(0.5*Fsw*Lf))))</f>
        <v>0</v>
      </c>
      <c r="Q10" s="385" t="n">
        <f aca="false">CHOOSE(J10, SQRT(K10^2+(P10^2)/12), SQRT(L10^2+(P10^2)/12), SQRT(M10^2+(P10^2)/12))</f>
        <v>0.0628272251308901</v>
      </c>
      <c r="R10" s="488" t="n">
        <f aca="false">(Q10^2*Rdcr*(1+Ltc*Ta-Ltc*25))/(1-Q10^2*Rdcr*Ltc*ThetaCa)</f>
        <v>1.32233357176331E-005</v>
      </c>
      <c r="S10" s="488" t="n">
        <f aca="false">7.759*10^-3*Fsw^0.9458*(0.00787*P10)^2.304</f>
        <v>0</v>
      </c>
      <c r="T10" s="488" t="n">
        <f aca="false">R10+S10</f>
        <v>1.32233357176331E-005</v>
      </c>
      <c r="U10" s="385" t="n">
        <f aca="false">IF(Vin&gt;Vout, P10/SQRT(12), SQRT(O10/(1-O10))*SQRT(K10^2+(P10^2)/12))</f>
        <v>0.0130243428952636</v>
      </c>
      <c r="V10" s="488" t="n">
        <f aca="false">RCoutEsr*U10^2</f>
        <v>8.48167539267017E-007</v>
      </c>
      <c r="W10" s="488" t="n">
        <f aca="false">V10</f>
        <v>8.48167539267017E-007</v>
      </c>
      <c r="X10" s="385" t="n">
        <f aca="false">IF(Vin&gt;Vout, SQRT(N10*(1-N10))*SQRT(K10^2+(P10^2)/12), P10/SQRT(12))</f>
        <v>0</v>
      </c>
      <c r="Y10" s="587" t="n">
        <f aca="false">RCinEsr*X10^2</f>
        <v>0</v>
      </c>
      <c r="Z10" s="588" t="n">
        <f aca="false">Y10</f>
        <v>0</v>
      </c>
      <c r="AA10" s="488" t="n">
        <f aca="false">CHOOSE(J10, SQRT(N10)*SQRT(K10^2+(P10^2)/12), SQRT(L10^2+(P10^2)/12), SQRT(N10)*SQRT(M10^2+(P10^2)/12))</f>
        <v>0.0613973412115981</v>
      </c>
      <c r="AB10" s="488" t="n">
        <f aca="false">Rdson1*AA10^2</f>
        <v>2.14869109947644E-005</v>
      </c>
      <c r="AC10" s="488" t="n">
        <f aca="false">CHOOSE(J10, (Vin*K10/2)*(Fsw)*(Tr_buck+Tf_buck), 0, (Vin*K10/2)*(Fsw/2)*(Tr_buck+Tf_buck))</f>
        <v>0.000366611190817791</v>
      </c>
      <c r="AD10" s="488" t="n">
        <f aca="false">CHOOSE(J10, IF(K10&gt;P10/2,0,ABS(K10-P10/2)*Vsd_Q1*Deadtime*Fsw),0, IF(K10&gt;P10/2,0,ABS(K10-P10/2)*Vsd_Q1*Deadtime*Fsw/2))</f>
        <v>0</v>
      </c>
      <c r="AE10" s="488" t="n">
        <f aca="false">(AD10+AC10+AB10*(1+RdsonTopTc*Ta-RdsonTopTc*25))/(1-AB10*RdsonTopTc*ThetaJA_Q1)</f>
        <v>0.000388099769625596</v>
      </c>
      <c r="AF10" s="488" t="n">
        <f aca="false">CHOOSE(J10, SQRT((1-N10))*SQRT(K10^2+(P10^2)/12), 0, SQRT((1-N10))*SQRT(M10^2+(P10^2)/12))</f>
        <v>0.0133276670799559</v>
      </c>
      <c r="AG10" s="488" t="n">
        <f aca="false">Rdson2*AF10^2</f>
        <v>1.0124722458266E-006</v>
      </c>
      <c r="AH10" s="488" t="n">
        <f aca="false">CHOOSE(J10, IF(K10&lt;P10/2,Deadtime*Fsw*IF(VfdSky_Q2&gt;0,0,Vsd_Q2)*(K10+P10/2),2*Deadtime*Fsw*IF(VfdSky_Q2&gt;0,0,Vsd_Q2)*K10),0, IF(K10&lt;P10/2,Deadtime*Fsw/2*IF(VfdSky_Q2&gt;0,0,Vsd_Q2)*(K10+P10/2),2*Deadtime*Fsw/2*IF(VfdSky_Q2&gt;0,0,Vsd_Q2)*K10))</f>
        <v>0.00072</v>
      </c>
      <c r="AI10" s="488" t="n">
        <f aca="false">(AH10+AG10*(1+RdsonBotTc*Ta-RdsonBotTc*25))/(1-AG10*RdsonBotTc*ThetaJA_Q2)</f>
        <v>0.00072101261824688</v>
      </c>
      <c r="AJ10" s="488" t="n">
        <f aca="false">CHOOSE(J10, 0, SQRT(O10)*SQRT(L10^2+(P10^2)/12), SQRT(O10)*SQRT(M10^2+(P10^2)/12))</f>
        <v>0.0133276670799559</v>
      </c>
      <c r="AK10" s="488" t="n">
        <f aca="false">Rdson4*AJ10^2</f>
        <v>3.37490748608865E-007</v>
      </c>
      <c r="AL10" s="488" t="n">
        <f aca="false">CHOOSE(J10, 0, (Vout*L10/2)*(Fsw)*(Tr_boost+Tf_boost), (Vout*Iout/2)*(Fsw/2)*(Tr_boost+Tf_boost))</f>
        <v>0.0349071770123085</v>
      </c>
      <c r="AM10" s="488" t="n">
        <f aca="false">IF(H10&gt;Vout, 0, IF(L10&gt;P10/2,0,ABS(L10-P10/2)*Vsd_Q4*Deadtime*Fsw))</f>
        <v>0</v>
      </c>
      <c r="AN10" s="488" t="n">
        <f aca="false">(AM10+AL10+AK10*(1+RdsonTopTc*Ta-RdsonTopTc*25))/(1-AK10*RdsonTopTc*ThetaJA_Q4)</f>
        <v>0.0349075168592499</v>
      </c>
      <c r="AO10" s="488" t="n">
        <f aca="false">CHOOSE(J10, SQRT(K10^2+(P10^2)/12), SQRT(1-O10)*SQRT(L10^2+(P10^2)/12), SQRT(1-O10)*SQRT(M10^2+(P10^2)/12))</f>
        <v>0.0613973412115981</v>
      </c>
      <c r="AP10" s="488" t="n">
        <f aca="false">Rdson3*AO10^2</f>
        <v>7.16230366492147E-006</v>
      </c>
      <c r="AQ10" s="488" t="n">
        <f aca="false">CHOOSE(J10, 0, IF(L10&lt;P10/2,Deadtime*Fsw*IF(VfdSky_Q3&gt;0,0,Vsd_Q3)*(L10+P10/2), 2*Deadtime*Fsw*IF(VfdSky_Q3&gt;0,0,Vsd_Q3)*L10), IF(L10&lt;P10/2,Deadtime*Fsw/2*IF(VfdSky_Q3&gt;0,0,Vsd_Q3)*(L10+P10/2), 2*Deadtime*Fsw/2*IF(VfdSky_Q3&gt;0,0,Vsd_Q3)*L10))</f>
        <v>0.0008</v>
      </c>
      <c r="AR10" s="488" t="n">
        <f aca="false">(AQ10+AP10*(1+RdsonBotTc*Ta-RdsonBotTc*25))/(1-AP10*RdsonBotTc*ThetaJA_Q3)</f>
        <v>0.000807163459894883</v>
      </c>
      <c r="AS10" s="488" t="n">
        <f aca="false">CHOOSE(J10, Rdson3*Q10^2, Rdson1*Q10^2, 0)</f>
        <v>0</v>
      </c>
      <c r="AT10" s="488" t="n">
        <f aca="false">CHOOSE(J10, 2*Deadtime*Fsw*IF(VfdSky_Q2&gt;0,VfdSky_Q2,0)*K10, 2*Deadtime*Fsw*IF(VfdSky_Q3&gt;0,VfdSky_Q3,0)*L10, 2*Deadtime*Fsw/2*IF(VfdSky_Q2&gt;0,VfdSky_Q2,0)*K10+2*Deadtime*Fsw/2*IF(VfdSky_Q3&gt;0,VfdSky_Q3,0)*L10)</f>
        <v>0</v>
      </c>
      <c r="AU10" s="488" t="n">
        <f aca="false">CHOOSE(J10, IF(QrrSky_Q2&gt;0,QrrSky_Q2,Qrr_Q2*K10/Iout)*Fsw*(Vin-K10*Rdson1), IF(QrrSky_Q3&gt;0,QrrSky_Q3,Qrr_Q3)*Fsw*Vout,  IF(QrrSky_Q2&gt;0,QrrSky_Q2,Qrr_Q2*K10/Iout)*Fsw/2*(Vin-K10*Rdson1)+IF(QrrSky_Q3&gt;0,QrrSky_Q3,Qrr_Q3)*Fsw/2*Vout)</f>
        <v>0.060533967681</v>
      </c>
      <c r="AV10" s="488" t="n">
        <f aca="false">CHOOSE(J10, Rs*AF10^2, Rs*AJ10^2, Rs*(AF10^2+AJ10^2))</f>
        <v>2.84202735670623E-006</v>
      </c>
      <c r="AW10" s="488" t="n">
        <f aca="false">Rshunt_std/1000*Iout^2</f>
        <v>0.14832</v>
      </c>
      <c r="AX10" s="488" t="n">
        <f aca="false">IF(Vout&gt;8, Iq*Vout, Iq*Vin)</f>
        <v>0.036</v>
      </c>
      <c r="AY10" s="488" t="n">
        <f aca="false">CHOOSE(J10, (Qg_Q1+Qg_Q2)*Fsw, (Qg_Q3+Qg_Q4)*Fsw, (Qg_Q1+Qg_Q2+Qg_Q3+Qg_Q4)*Fsw/2)*IF(Vout&gt;8, Vout, Vin)</f>
        <v>0.1188</v>
      </c>
      <c r="AZ10" s="488" t="n">
        <f aca="false">(Vin-Vdd)*Fsw*(Qg_Q1+Qg_Q2)+(RdsonDRT+RdsonDRT2)*Fsw*Qg_Q1*Vdd/(RdsonDRT+2*Rgate1+RdsonDRT2)+(RdsonDRB+RdsonDRB2)*Fsw*Qg_Q2*Vdd/(RdsonDRB+2*Rgate2+RdsonDRB2)</f>
        <v>0.0522</v>
      </c>
      <c r="BA10" s="488" t="n">
        <f aca="false">SUM(AX10:AY10)</f>
        <v>0.1548</v>
      </c>
      <c r="BB10" s="488" t="n">
        <f aca="false">SUM(T10,W10,Z10,AE10,AI10,AN10,AR10, AT10,AU10,BA10,AV10,AW10)</f>
        <v>0.400494673918631</v>
      </c>
      <c r="BC10" s="419" t="n">
        <f aca="false">Vout*K10</f>
        <v>0.72</v>
      </c>
      <c r="BD10" s="589" t="n">
        <f aca="false">BC10/(BC10+BB10)</f>
        <v>0.642573335473334</v>
      </c>
      <c r="BE10" s="590" t="n">
        <f aca="false">IF(Vin&gt;Vout,ThetaJA_Q1*BK10,ThetaJA_Q4*BK10)</f>
        <v>3.7429967764355</v>
      </c>
      <c r="BF10" s="590" t="n">
        <f aca="false">IF(Vin&gt;Vout, ThetaJA_Q2*BL10, ThetaJA_Q3*BL10)</f>
        <v>1.03916863973124</v>
      </c>
      <c r="BG10" s="536"/>
      <c r="BH10" s="385" t="n">
        <f aca="false">BD10*100</f>
        <v>64.2573335473334</v>
      </c>
      <c r="BI10" s="488" t="n">
        <f aca="false">T10</f>
        <v>1.32233357176331E-005</v>
      </c>
      <c r="BJ10" s="488" t="n">
        <f aca="false">AE10+AI10+AN10+AR10+AU10</f>
        <v>0.0973577603880173</v>
      </c>
      <c r="BK10" s="488" t="n">
        <f aca="false">IF(Vin&gt;Vout, AE10+AU10*0.66, AN10+AU10*0.66)</f>
        <v>0.0748599355287099</v>
      </c>
      <c r="BL10" s="488" t="n">
        <f aca="false">IF(Vin&gt;Vout, AI10+AU10*0.33, AR10+AU10*0.33)</f>
        <v>0.0207833727946249</v>
      </c>
      <c r="BM10" s="488" t="n">
        <f aca="false">AV10</f>
        <v>2.84202735670623E-006</v>
      </c>
      <c r="BR10" s="591"/>
      <c r="BS10" s="591"/>
      <c r="BT10" s="591"/>
      <c r="BU10" s="592"/>
    </row>
    <row r="11" customFormat="false" ht="12.75" hidden="false" customHeight="false" outlineLevel="0" collapsed="false">
      <c r="A11" s="595" t="s">
        <v>762</v>
      </c>
      <c r="B11" s="596" t="n">
        <f aca="false">Vin</f>
        <v>12</v>
      </c>
      <c r="C11" s="597" t="s">
        <v>11</v>
      </c>
      <c r="D11" s="598" t="s">
        <v>762</v>
      </c>
      <c r="G11" s="0" t="n">
        <v>2</v>
      </c>
      <c r="H11" s="586" t="n">
        <f aca="false">Vin</f>
        <v>12</v>
      </c>
      <c r="I11" s="385" t="str">
        <f aca="false">IF(H11&gt;VIN_BB_to_buck, "BUCK", IF(H11&lt;VIN_boost_to_BB,"BOOST","BUCK-BST"))</f>
        <v>BUCK-BST</v>
      </c>
      <c r="J11" s="419" t="n">
        <f aca="false">IF(I11="BOOST",2, IF(I11="BUCK", 1,3))</f>
        <v>3</v>
      </c>
      <c r="K11" s="488" t="n">
        <f aca="false">Iout*G11/100</f>
        <v>0.12</v>
      </c>
      <c r="L11" s="385" t="n">
        <f aca="false">Vout*K11/(Vin*Efficiency)</f>
        <v>0.133333333333333</v>
      </c>
      <c r="M11" s="385" t="n">
        <f aca="false">K11/(1-O11)</f>
        <v>0.12565445026178</v>
      </c>
      <c r="N11" s="488" t="n">
        <f aca="false">CHOOSE(J11,(Vout+(Rdson2+Rs+Rdcr)*K11)/(Vin+(Rs+Rdson2-Rdson1)*K11), 1, IF(Vin&lt;Vout, D_max_buck_BB, Vout/Vin*(1-D_min_boost_exitBB_to_buck)))</f>
        <v>0.955</v>
      </c>
      <c r="O11" s="488" t="n">
        <f aca="false">CHOOSE(J11,0,(Vout+(Rdson3+Rdcr)*L11-Vin)/(Vout+(Rdson3-Rdson4-Rs)*L11), IF(Vin&gt;Vout,D_min_boost_exitBB_to_buck, (Vout-Vin*D_max_buck_BB)/Vout))</f>
        <v>0.0450000000000001</v>
      </c>
      <c r="P11" s="385" t="n">
        <f aca="false">MAX(0, CHOOSE(J11, (Vin-(Rdson1+Rdcr)*K11-Vout)*N11/(Fsw*Lf), (Vin-(Rdson4+Rdcr+Rs)*L11)*O11/(Fsw*Lf), IF(Vin&lt;Vout, (Vin-(Rdson4+Rdcr+Rs)*L11)*O11/(0.5*Fsw*Lf),(Vin-(Rdson1+Rdcr)*K11-Vout)*N11/(0.5*Fsw*Lf))))</f>
        <v>0</v>
      </c>
      <c r="Q11" s="385" t="n">
        <f aca="false">CHOOSE(J11, SQRT(K11^2+(P11^2)/12), SQRT(L11^2+(P11^2)/12), SQRT(M11^2+(P11^2)/12))</f>
        <v>0.12565445026178</v>
      </c>
      <c r="R11" s="488" t="n">
        <f aca="false">(Q11^2*Rdcr*(1+Ltc*Ta-Ltc*25))/(1-Q11^2*Rdcr*Ltc*ThetaCa)</f>
        <v>5.28935107334082E-005</v>
      </c>
      <c r="S11" s="488" t="n">
        <f aca="false">7.759*10^-3*Fsw^0.9458*(0.00787*P11)^2.304</f>
        <v>0</v>
      </c>
      <c r="T11" s="488" t="n">
        <f aca="false">R11+S11</f>
        <v>5.28935107334082E-005</v>
      </c>
      <c r="U11" s="385" t="n">
        <f aca="false">IF(Vin&gt;Vout, P11/SQRT(12), SQRT(O11/(1-O11))*SQRT(K11^2+(P11^2)/12))</f>
        <v>0.0260486857905272</v>
      </c>
      <c r="V11" s="488" t="n">
        <f aca="false">RCoutEsr*U11^2</f>
        <v>3.39267015706807E-006</v>
      </c>
      <c r="W11" s="488" t="n">
        <f aca="false">V11</f>
        <v>3.39267015706807E-006</v>
      </c>
      <c r="X11" s="385" t="n">
        <f aca="false">IF(Vin&gt;Vout, SQRT(N11*(1-N11))*SQRT(K11^2+(P11^2)/12), P11/SQRT(12))</f>
        <v>0</v>
      </c>
      <c r="Y11" s="587" t="n">
        <f aca="false">RCinEsr*X11^2</f>
        <v>0</v>
      </c>
      <c r="Z11" s="588" t="n">
        <f aca="false">Y11</f>
        <v>0</v>
      </c>
      <c r="AA11" s="488" t="n">
        <f aca="false">CHOOSE(J11, SQRT(N11)*SQRT(K11^2+(P11^2)/12), SQRT(L11^2+(P11^2)/12), SQRT(N11)*SQRT(M11^2+(P11^2)/12))</f>
        <v>0.122794682423196</v>
      </c>
      <c r="AB11" s="488" t="n">
        <f aca="false">Rdson1*AA11^2</f>
        <v>8.59476439790576E-005</v>
      </c>
      <c r="AC11" s="488" t="n">
        <f aca="false">CHOOSE(J11, (Vin*K11/2)*(Fsw)*(Tr_buck+Tf_buck), 0, (Vin*K11/2)*(Fsw/2)*(Tr_buck+Tf_buck))</f>
        <v>0.000733222381635581</v>
      </c>
      <c r="AD11" s="488" t="n">
        <f aca="false">CHOOSE(J11, IF(K11&gt;P11/2,0,ABS(K11-P11/2)*Vsd_Q1*Deadtime*Fsw),0, IF(K11&gt;P11/2,0,ABS(K11-P11/2)*Vsd_Q1*Deadtime*Fsw/2))</f>
        <v>0</v>
      </c>
      <c r="AE11" s="488" t="n">
        <f aca="false">(AD11+AC11+AB11*(1+RdsonTopTc*Ta-RdsonTopTc*25))/(1-AB11*RdsonTopTc*ThetaJA_Q1)</f>
        <v>0.000819184107003435</v>
      </c>
      <c r="AF11" s="488" t="n">
        <f aca="false">CHOOSE(J11, SQRT((1-N11))*SQRT(K11^2+(P11^2)/12), 0, SQRT((1-N11))*SQRT(M11^2+(P11^2)/12))</f>
        <v>0.0266553341599117</v>
      </c>
      <c r="AG11" s="488" t="n">
        <f aca="false">Rdson2*AF11^2</f>
        <v>4.04988898330638E-006</v>
      </c>
      <c r="AH11" s="488" t="n">
        <f aca="false">CHOOSE(J11, IF(K11&lt;P11/2,Deadtime*Fsw*IF(VfdSky_Q2&gt;0,0,Vsd_Q2)*(K11+P11/2),2*Deadtime*Fsw*IF(VfdSky_Q2&gt;0,0,Vsd_Q2)*K11),0, IF(K11&lt;P11/2,Deadtime*Fsw/2*IF(VfdSky_Q2&gt;0,0,Vsd_Q2)*(K11+P11/2),2*Deadtime*Fsw/2*IF(VfdSky_Q2&gt;0,0,Vsd_Q2)*K11))</f>
        <v>0.00144</v>
      </c>
      <c r="AI11" s="488" t="n">
        <f aca="false">(AH11+AG11*(1+RdsonBotTc*Ta-RdsonBotTc*25))/(1-AG11*RdsonBotTc*ThetaJA_Q2)</f>
        <v>0.0014440510586326</v>
      </c>
      <c r="AJ11" s="488" t="n">
        <f aca="false">CHOOSE(J11, 0, SQRT(O11)*SQRT(L11^2+(P11^2)/12), SQRT(O11)*SQRT(M11^2+(P11^2)/12))</f>
        <v>0.0266553341599118</v>
      </c>
      <c r="AK11" s="488" t="n">
        <f aca="false">Rdson4*AJ11^2</f>
        <v>1.34996299443546E-006</v>
      </c>
      <c r="AL11" s="488" t="n">
        <f aca="false">CHOOSE(J11, 0, (Vout*L11/2)*(Fsw)*(Tr_boost+Tf_boost), (Vout*Iout/2)*(Fsw/2)*(Tr_boost+Tf_boost))</f>
        <v>0.0349071770123085</v>
      </c>
      <c r="AM11" s="488" t="n">
        <f aca="false">IF(H11&gt;Vout, 0, IF(L11&gt;P11/2,0,ABS(L11-P11/2)*Vsd_Q4*Deadtime*Fsw))</f>
        <v>0</v>
      </c>
      <c r="AN11" s="488" t="n">
        <f aca="false">(AM11+AL11+AK11*(1+RdsonTopTc*Ta-RdsonTopTc*25))/(1-AK11*RdsonTopTc*ThetaJA_Q4)</f>
        <v>0.0349085364003494</v>
      </c>
      <c r="AO11" s="488" t="n">
        <f aca="false">CHOOSE(J11, SQRT(K11^2+(P11^2)/12), SQRT(1-O11)*SQRT(L11^2+(P11^2)/12), SQRT(1-O11)*SQRT(M11^2+(P11^2)/12))</f>
        <v>0.122794682423196</v>
      </c>
      <c r="AP11" s="488" t="n">
        <f aca="false">Rdson3*AO11^2</f>
        <v>2.86492146596859E-005</v>
      </c>
      <c r="AQ11" s="488" t="n">
        <f aca="false">CHOOSE(J11, 0, IF(L11&lt;P11/2,Deadtime*Fsw*IF(VfdSky_Q3&gt;0,0,Vsd_Q3)*(L11+P11/2), 2*Deadtime*Fsw*IF(VfdSky_Q3&gt;0,0,Vsd_Q3)*L11), IF(L11&lt;P11/2,Deadtime*Fsw/2*IF(VfdSky_Q3&gt;0,0,Vsd_Q3)*(L11+P11/2), 2*Deadtime*Fsw/2*IF(VfdSky_Q3&gt;0,0,Vsd_Q3)*L11))</f>
        <v>0.0016</v>
      </c>
      <c r="AR11" s="488" t="n">
        <f aca="false">(AQ11+AP11*(1+RdsonBotTc*Ta-RdsonBotTc*25))/(1-AP11*RdsonBotTc*ThetaJA_Q3)</f>
        <v>0.00162865854661735</v>
      </c>
      <c r="AS11" s="488" t="n">
        <f aca="false">CHOOSE(J11, Rdson3*Q11^2, Rdson1*Q11^2, 0)</f>
        <v>0</v>
      </c>
      <c r="AT11" s="488" t="n">
        <f aca="false">CHOOSE(J11, 2*Deadtime*Fsw*IF(VfdSky_Q2&gt;0,VfdSky_Q2,0)*K11, 2*Deadtime*Fsw*IF(VfdSky_Q3&gt;0,VfdSky_Q3,0)*L11, 2*Deadtime*Fsw/2*IF(VfdSky_Q2&gt;0,VfdSky_Q2,0)*K11+2*Deadtime*Fsw/2*IF(VfdSky_Q3&gt;0,VfdSky_Q3,0)*L11)</f>
        <v>0</v>
      </c>
      <c r="AU11" s="488" t="n">
        <f aca="false">CHOOSE(J11, IF(QrrSky_Q2&gt;0,QrrSky_Q2,Qrr_Q2*K11/Iout)*Fsw*(Vin-K11*Rdson1), IF(QrrSky_Q3&gt;0,QrrSky_Q3,Qrr_Q3)*Fsw*Vout,  IF(QrrSky_Q2&gt;0,QrrSky_Q2,Qrr_Q2*K11/Iout)*Fsw/2*(Vin-K11*Rdson1)+IF(QrrSky_Q3&gt;0,QrrSky_Q3,Qrr_Q3)*Fsw/2*Vout)</f>
        <v>0.061667870724</v>
      </c>
      <c r="AV11" s="488" t="n">
        <f aca="false">CHOOSE(J11, Rs*AF11^2, Rs*AJ11^2, Rs*(AF11^2+AJ11^2))</f>
        <v>1.13681094268249E-005</v>
      </c>
      <c r="AW11" s="488" t="n">
        <f aca="false">Rshunt_std/1000*Iout^2</f>
        <v>0.14832</v>
      </c>
      <c r="AX11" s="488" t="n">
        <f aca="false">IF(Vout&gt;8, Iq*Vout, Iq*Vin)</f>
        <v>0.036</v>
      </c>
      <c r="AY11" s="488" t="n">
        <f aca="false">CHOOSE(J11, (Qg_Q1+Qg_Q2)*Fsw, (Qg_Q3+Qg_Q4)*Fsw, (Qg_Q1+Qg_Q2+Qg_Q3+Qg_Q4)*Fsw/2)*IF(Vout&gt;8, Vout, Vin)</f>
        <v>0.1188</v>
      </c>
      <c r="AZ11" s="488" t="n">
        <f aca="false">(Vin-Vdd)*Fsw*(Qg_Q1+Qg_Q2)+(RdsonDRT+RdsonDRT2)*Fsw*Qg_Q1*Vdd/(RdsonDRT+2*Rgate1+RdsonDRT2)+(RdsonDRB+RdsonDRB2)*Fsw*Qg_Q2*Vdd/(RdsonDRB+2*Rgate2+RdsonDRB2)</f>
        <v>0.0522</v>
      </c>
      <c r="BA11" s="488" t="n">
        <f aca="false">SUM(AX11:AY11)</f>
        <v>0.1548</v>
      </c>
      <c r="BB11" s="488" t="n">
        <f aca="false">SUM(T11,W11,Z11,AE11,AI11,AN11,AR11, AT11,AU11,BA11,AV11,AW11)</f>
        <v>0.40365595512692</v>
      </c>
      <c r="BC11" s="419" t="n">
        <f aca="false">Vout*K11</f>
        <v>1.44</v>
      </c>
      <c r="BD11" s="589" t="n">
        <f aca="false">BC11/(BC11+BB11)</f>
        <v>0.781056788819836</v>
      </c>
      <c r="BE11" s="590" t="n">
        <f aca="false">IF(Vin&gt;Vout,ThetaJA_Q1*BK11,ThetaJA_Q4*BK11)</f>
        <v>3.78046655390947</v>
      </c>
      <c r="BF11" s="590" t="n">
        <f aca="false">IF(Vin&gt;Vout, ThetaJA_Q2*BL11, ThetaJA_Q3*BL11)</f>
        <v>1.09895279427687</v>
      </c>
      <c r="BG11" s="536"/>
      <c r="BH11" s="385" t="n">
        <f aca="false">BD11*100</f>
        <v>78.1056788819836</v>
      </c>
      <c r="BI11" s="488" t="n">
        <f aca="false">T11</f>
        <v>5.28935107334082E-005</v>
      </c>
      <c r="BJ11" s="488" t="n">
        <f aca="false">AE11+AI11+AN11+AR11+AU11</f>
        <v>0.100468300836603</v>
      </c>
      <c r="BK11" s="488" t="n">
        <f aca="false">IF(Vin&gt;Vout, AE11+AU11*0.66, AN11+AU11*0.66)</f>
        <v>0.0756093310781894</v>
      </c>
      <c r="BL11" s="488" t="n">
        <f aca="false">IF(Vin&gt;Vout, AI11+AU11*0.33, AR11+AU11*0.33)</f>
        <v>0.0219790558855373</v>
      </c>
      <c r="BM11" s="488" t="n">
        <f aca="false">AV11</f>
        <v>1.13681094268249E-005</v>
      </c>
      <c r="BQ11" s="0" t="s">
        <v>814</v>
      </c>
      <c r="BR11" s="591" t="n">
        <v>90</v>
      </c>
      <c r="BS11" s="591" t="n">
        <v>90</v>
      </c>
      <c r="BT11" s="591" t="n">
        <v>90</v>
      </c>
      <c r="BU11" s="592" t="n">
        <f aca="false">250000*(12-Vdd)*BT11/1000000000+((250000*BT9/1000000000*Vdd)*2.5/(2*4))</f>
        <v>0.142265625</v>
      </c>
      <c r="BV11" s="0" t="n">
        <f aca="false">BV$6*$BU11</f>
        <v>11.38125</v>
      </c>
      <c r="BW11" s="0" t="n">
        <f aca="false">BW$6*$BU11</f>
        <v>14.2265625</v>
      </c>
      <c r="BX11" s="0" t="n">
        <f aca="false">BX$6*$BU11</f>
        <v>17.071875</v>
      </c>
      <c r="BY11" s="0" t="n">
        <f aca="false">BY$6*$BU11</f>
        <v>19.9171875</v>
      </c>
      <c r="BZ11" s="0" t="n">
        <f aca="false">BZ$6*$BU11</f>
        <v>22.7625</v>
      </c>
      <c r="CA11" s="0" t="n">
        <f aca="false">CA$6*$BU11</f>
        <v>25.6078125</v>
      </c>
      <c r="CB11" s="0" t="n">
        <f aca="false">CB$6*$BU11</f>
        <v>2.8453125</v>
      </c>
      <c r="CC11" s="0" t="n">
        <f aca="false">CC$6*$BU11</f>
        <v>4.26796875</v>
      </c>
      <c r="CD11" s="0" t="n">
        <f aca="false">CD$6*$BU11</f>
        <v>5.690625</v>
      </c>
      <c r="CE11" s="0" t="n">
        <f aca="false">CE$6*$BU11</f>
        <v>7.11328125</v>
      </c>
    </row>
    <row r="12" customFormat="false" ht="12.75" hidden="false" customHeight="false" outlineLevel="0" collapsed="false">
      <c r="A12" s="599" t="s">
        <v>216</v>
      </c>
      <c r="B12" s="596" t="n">
        <f aca="false">Vout</f>
        <v>12</v>
      </c>
      <c r="C12" s="597" t="s">
        <v>11</v>
      </c>
      <c r="D12" s="598" t="s">
        <v>216</v>
      </c>
      <c r="G12" s="0" t="n">
        <v>3</v>
      </c>
      <c r="H12" s="586" t="n">
        <f aca="false">Vin</f>
        <v>12</v>
      </c>
      <c r="I12" s="385" t="str">
        <f aca="false">IF(H12&gt;VIN_BB_to_buck, "BUCK", IF(H12&lt;VIN_boost_to_BB,"BOOST","BUCK-BST"))</f>
        <v>BUCK-BST</v>
      </c>
      <c r="J12" s="419" t="n">
        <f aca="false">IF(I12="BOOST",2, IF(I12="BUCK", 1,3))</f>
        <v>3</v>
      </c>
      <c r="K12" s="488" t="n">
        <f aca="false">Iout*G12/100</f>
        <v>0.18</v>
      </c>
      <c r="L12" s="385" t="n">
        <f aca="false">Vout*K12/(Vin*Efficiency)</f>
        <v>0.2</v>
      </c>
      <c r="M12" s="385" t="n">
        <f aca="false">K12/(1-O12)</f>
        <v>0.18848167539267</v>
      </c>
      <c r="N12" s="488" t="n">
        <f aca="false">CHOOSE(J12,(Vout+(Rdson2+Rs+Rdcr)*K12)/(Vin+(Rs+Rdson2-Rdson1)*K12), 1, IF(Vin&lt;Vout, D_max_buck_BB, Vout/Vin*(1-D_min_boost_exitBB_to_buck)))</f>
        <v>0.955</v>
      </c>
      <c r="O12" s="488" t="n">
        <f aca="false">CHOOSE(J12,0,(Vout+(Rdson3+Rdcr)*L12-Vin)/(Vout+(Rdson3-Rdson4-Rs)*L12), IF(Vin&gt;Vout,D_min_boost_exitBB_to_buck, (Vout-Vin*D_max_buck_BB)/Vout))</f>
        <v>0.0450000000000001</v>
      </c>
      <c r="P12" s="385" t="n">
        <f aca="false">MAX(0, CHOOSE(J12, (Vin-(Rdson1+Rdcr)*K12-Vout)*N12/(Fsw*Lf), (Vin-(Rdson4+Rdcr+Rs)*L12)*O12/(Fsw*Lf), IF(Vin&lt;Vout, (Vin-(Rdson4+Rdcr+Rs)*L12)*O12/(0.5*Fsw*Lf),(Vin-(Rdson1+Rdcr)*K12-Vout)*N12/(0.5*Fsw*Lf))))</f>
        <v>0</v>
      </c>
      <c r="Q12" s="385" t="n">
        <f aca="false">CHOOSE(J12, SQRT(K12^2+(P12^2)/12), SQRT(L12^2+(P12^2)/12), SQRT(M12^2+(P12^2)/12))</f>
        <v>0.18848167539267</v>
      </c>
      <c r="R12" s="488" t="n">
        <f aca="false">(Q12^2*Rdcr*(1+Ltc*Ta-Ltc*25))/(1-Q12^2*Rdcr*Ltc*ThetaCa)</f>
        <v>0.000119011028641281</v>
      </c>
      <c r="S12" s="488" t="n">
        <f aca="false">7.759*10^-3*Fsw^0.9458*(0.00787*P12)^2.304</f>
        <v>0</v>
      </c>
      <c r="T12" s="488" t="n">
        <f aca="false">R12+S12</f>
        <v>0.000119011028641281</v>
      </c>
      <c r="U12" s="385" t="n">
        <f aca="false">IF(Vin&gt;Vout, P12/SQRT(12), SQRT(O12/(1-O12))*SQRT(K12^2+(P12^2)/12))</f>
        <v>0.0390730286857908</v>
      </c>
      <c r="V12" s="488" t="n">
        <f aca="false">RCoutEsr*U12^2</f>
        <v>7.63350785340316E-006</v>
      </c>
      <c r="W12" s="488" t="n">
        <f aca="false">V12</f>
        <v>7.63350785340316E-006</v>
      </c>
      <c r="X12" s="385" t="n">
        <f aca="false">IF(Vin&gt;Vout, SQRT(N12*(1-N12))*SQRT(K12^2+(P12^2)/12), P12/SQRT(12))</f>
        <v>0</v>
      </c>
      <c r="Y12" s="587" t="n">
        <f aca="false">RCinEsr*X12^2</f>
        <v>0</v>
      </c>
      <c r="Z12" s="588" t="n">
        <f aca="false">Y12</f>
        <v>0</v>
      </c>
      <c r="AA12" s="488" t="n">
        <f aca="false">CHOOSE(J12, SQRT(N12)*SQRT(K12^2+(P12^2)/12), SQRT(L12^2+(P12^2)/12), SQRT(N12)*SQRT(M12^2+(P12^2)/12))</f>
        <v>0.184192023634794</v>
      </c>
      <c r="AB12" s="488" t="n">
        <f aca="false">Rdson1*AA12^2</f>
        <v>0.00019338219895288</v>
      </c>
      <c r="AC12" s="488" t="n">
        <f aca="false">CHOOSE(J12, (Vin*K12/2)*(Fsw)*(Tr_buck+Tf_buck), 0, (Vin*K12/2)*(Fsw/2)*(Tr_buck+Tf_buck))</f>
        <v>0.00109983357245337</v>
      </c>
      <c r="AD12" s="488" t="n">
        <f aca="false">CHOOSE(J12, IF(K12&gt;P12/2,0,ABS(K12-P12/2)*Vsd_Q1*Deadtime*Fsw),0, IF(K12&gt;P12/2,0,ABS(K12-P12/2)*Vsd_Q1*Deadtime*Fsw/2))</f>
        <v>0</v>
      </c>
      <c r="AE12" s="488" t="n">
        <f aca="false">(AD12+AC12+AB12*(1+RdsonTopTc*Ta-RdsonTopTc*25))/(1-AB12*RdsonTopTc*ThetaJA_Q1)</f>
        <v>0.00129326579032272</v>
      </c>
      <c r="AF12" s="488" t="n">
        <f aca="false">CHOOSE(J12, SQRT((1-N12))*SQRT(K12^2+(P12^2)/12), 0, SQRT((1-N12))*SQRT(M12^2+(P12^2)/12))</f>
        <v>0.0399830012398676</v>
      </c>
      <c r="AG12" s="488" t="n">
        <f aca="false">Rdson2*AF12^2</f>
        <v>9.11225021243936E-006</v>
      </c>
      <c r="AH12" s="488" t="n">
        <f aca="false">CHOOSE(J12, IF(K12&lt;P12/2,Deadtime*Fsw*IF(VfdSky_Q2&gt;0,0,Vsd_Q2)*(K12+P12/2),2*Deadtime*Fsw*IF(VfdSky_Q2&gt;0,0,Vsd_Q2)*K12),0, IF(K12&lt;P12/2,Deadtime*Fsw/2*IF(VfdSky_Q2&gt;0,0,Vsd_Q2)*(K12+P12/2),2*Deadtime*Fsw/2*IF(VfdSky_Q2&gt;0,0,Vsd_Q2)*K12))</f>
        <v>0.00216</v>
      </c>
      <c r="AI12" s="488" t="n">
        <f aca="false">(AH12+AG12*(1+RdsonBotTc*Ta-RdsonBotTc*25))/(1-AG12*RdsonBotTc*ThetaJA_Q2)</f>
        <v>0.00216911620331836</v>
      </c>
      <c r="AJ12" s="488" t="n">
        <f aca="false">CHOOSE(J12, 0, SQRT(O12)*SQRT(L12^2+(P12^2)/12), SQRT(O12)*SQRT(M12^2+(P12^2)/12))</f>
        <v>0.0399830012398676</v>
      </c>
      <c r="AK12" s="488" t="n">
        <f aca="false">Rdson4*AJ12^2</f>
        <v>3.03741673747979E-006</v>
      </c>
      <c r="AL12" s="488" t="n">
        <f aca="false">CHOOSE(J12, 0, (Vout*L12/2)*(Fsw)*(Tr_boost+Tf_boost), (Vout*Iout/2)*(Fsw/2)*(Tr_boost+Tf_boost))</f>
        <v>0.0349071770123085</v>
      </c>
      <c r="AM12" s="488" t="n">
        <f aca="false">IF(H12&gt;Vout, 0, IF(L12&gt;P12/2,0,ABS(L12-P12/2)*Vsd_Q4*Deadtime*Fsw))</f>
        <v>0</v>
      </c>
      <c r="AN12" s="488" t="n">
        <f aca="false">(AM12+AL12+AK12*(1+RdsonTopTc*Ta-RdsonTopTc*25))/(1-AK12*RdsonTopTc*ThetaJA_Q4)</f>
        <v>0.0349102356364328</v>
      </c>
      <c r="AO12" s="488" t="n">
        <f aca="false">CHOOSE(J12, SQRT(K12^2+(P12^2)/12), SQRT(1-O12)*SQRT(L12^2+(P12^2)/12), SQRT(1-O12)*SQRT(M12^2+(P12^2)/12))</f>
        <v>0.184192023634794</v>
      </c>
      <c r="AP12" s="488" t="n">
        <f aca="false">Rdson3*AO12^2</f>
        <v>6.44607329842932E-005</v>
      </c>
      <c r="AQ12" s="488" t="n">
        <f aca="false">CHOOSE(J12, 0, IF(L12&lt;P12/2,Deadtime*Fsw*IF(VfdSky_Q3&gt;0,0,Vsd_Q3)*(L12+P12/2), 2*Deadtime*Fsw*IF(VfdSky_Q3&gt;0,0,Vsd_Q3)*L12), IF(L12&lt;P12/2,Deadtime*Fsw/2*IF(VfdSky_Q3&gt;0,0,Vsd_Q3)*(L12+P12/2), 2*Deadtime*Fsw/2*IF(VfdSky_Q3&gt;0,0,Vsd_Q3)*L12))</f>
        <v>0.0024</v>
      </c>
      <c r="AR12" s="488" t="n">
        <f aca="false">(AQ12+AP12*(1+RdsonBotTc*Ta-RdsonBotTc*25))/(1-AP12*RdsonBotTc*ThetaJA_Q3)</f>
        <v>0.00246449250558296</v>
      </c>
      <c r="AS12" s="488" t="n">
        <f aca="false">CHOOSE(J12, Rdson3*Q12^2, Rdson1*Q12^2, 0)</f>
        <v>0</v>
      </c>
      <c r="AT12" s="488" t="n">
        <f aca="false">CHOOSE(J12, 2*Deadtime*Fsw*IF(VfdSky_Q2&gt;0,VfdSky_Q2,0)*K12, 2*Deadtime*Fsw*IF(VfdSky_Q3&gt;0,VfdSky_Q3,0)*L12, 2*Deadtime*Fsw/2*IF(VfdSky_Q2&gt;0,VfdSky_Q2,0)*K12+2*Deadtime*Fsw/2*IF(VfdSky_Q3&gt;0,VfdSky_Q3,0)*L12)</f>
        <v>0</v>
      </c>
      <c r="AU12" s="488" t="n">
        <f aca="false">CHOOSE(J12, IF(QrrSky_Q2&gt;0,QrrSky_Q2,Qrr_Q2*K12/Iout)*Fsw*(Vin-K12*Rdson1), IF(QrrSky_Q3&gt;0,QrrSky_Q3,Qrr_Q3)*Fsw*Vout,  IF(QrrSky_Q2&gt;0,QrrSky_Q2,Qrr_Q2*K12/Iout)*Fsw/2*(Vin-K12*Rdson1)+IF(QrrSky_Q3&gt;0,QrrSky_Q3,Qrr_Q3)*Fsw/2*Vout)</f>
        <v>0.062801709129</v>
      </c>
      <c r="AV12" s="488" t="n">
        <f aca="false">CHOOSE(J12, Rs*AF12^2, Rs*AJ12^2, Rs*(AF12^2+AJ12^2))</f>
        <v>2.55782462103561E-005</v>
      </c>
      <c r="AW12" s="488" t="n">
        <f aca="false">Rshunt_std/1000*Iout^2</f>
        <v>0.14832</v>
      </c>
      <c r="AX12" s="488" t="n">
        <f aca="false">IF(Vout&gt;8, Iq*Vout, Iq*Vin)</f>
        <v>0.036</v>
      </c>
      <c r="AY12" s="488" t="n">
        <f aca="false">CHOOSE(J12, (Qg_Q1+Qg_Q2)*Fsw, (Qg_Q3+Qg_Q4)*Fsw, (Qg_Q1+Qg_Q2+Qg_Q3+Qg_Q4)*Fsw/2)*IF(Vout&gt;8, Vout, Vin)</f>
        <v>0.1188</v>
      </c>
      <c r="AZ12" s="488" t="n">
        <f aca="false">(Vin-Vdd)*Fsw*(Qg_Q1+Qg_Q2)+(RdsonDRT+RdsonDRT2)*Fsw*Qg_Q1*Vdd/(RdsonDRT+2*Rgate1+RdsonDRT2)+(RdsonDRB+RdsonDRB2)*Fsw*Qg_Q2*Vdd/(RdsonDRB+2*Rgate2+RdsonDRB2)</f>
        <v>0.0522</v>
      </c>
      <c r="BA12" s="488" t="n">
        <f aca="false">SUM(AX12:AY12)</f>
        <v>0.1548</v>
      </c>
      <c r="BB12" s="488" t="n">
        <f aca="false">SUM(T12,W12,Z12,AE12,AI12,AN12,AR12, AT12,AU12,BA12,AV12,AW12)</f>
        <v>0.406911042047362</v>
      </c>
      <c r="BC12" s="419" t="n">
        <f aca="false">Vout*K12</f>
        <v>2.16</v>
      </c>
      <c r="BD12" s="589" t="n">
        <f aca="false">BC12/(BC12+BB12)</f>
        <v>0.841478323408196</v>
      </c>
      <c r="BE12" s="590" t="n">
        <f aca="false">IF(Vin&gt;Vout,ThetaJA_Q1*BK12,ThetaJA_Q4*BK12)</f>
        <v>3.81796818307864</v>
      </c>
      <c r="BF12" s="590" t="n">
        <f aca="false">IF(Vin&gt;Vout, ThetaJA_Q2*BL12, ThetaJA_Q3*BL12)</f>
        <v>1.15945282590765</v>
      </c>
      <c r="BG12" s="536"/>
      <c r="BH12" s="385" t="n">
        <f aca="false">BD12*100</f>
        <v>84.1478323408196</v>
      </c>
      <c r="BI12" s="488" t="n">
        <f aca="false">T12</f>
        <v>0.000119011028641281</v>
      </c>
      <c r="BJ12" s="488" t="n">
        <f aca="false">AE12+AI12+AN12+AR12+AU12</f>
        <v>0.103638819264657</v>
      </c>
      <c r="BK12" s="488" t="n">
        <f aca="false">IF(Vin&gt;Vout, AE12+AU12*0.66, AN12+AU12*0.66)</f>
        <v>0.0763593636615728</v>
      </c>
      <c r="BL12" s="488" t="n">
        <f aca="false">IF(Vin&gt;Vout, AI12+AU12*0.33, AR12+AU12*0.33)</f>
        <v>0.023189056518153</v>
      </c>
      <c r="BM12" s="488" t="n">
        <f aca="false">AV12</f>
        <v>2.55782462103561E-005</v>
      </c>
      <c r="BQ12" s="0" t="s">
        <v>815</v>
      </c>
      <c r="BR12" s="591" t="n">
        <v>60</v>
      </c>
      <c r="BS12" s="591" t="n">
        <v>60</v>
      </c>
      <c r="BT12" s="591" t="n">
        <v>60</v>
      </c>
      <c r="BU12" s="592" t="n">
        <f aca="false">250000*(18-Vdd)*BT12/1000000000+((250000*BT9/1000000000*Vdd)*2.5/(2*4))</f>
        <v>0.198515625</v>
      </c>
      <c r="BV12" s="0" t="n">
        <f aca="false">BV$6*$BU12</f>
        <v>15.88125</v>
      </c>
      <c r="BW12" s="0" t="n">
        <f aca="false">BW$6*$BU12</f>
        <v>19.8515625</v>
      </c>
      <c r="BX12" s="0" t="n">
        <f aca="false">BX$6*$BU12</f>
        <v>23.821875</v>
      </c>
      <c r="BY12" s="0" t="n">
        <f aca="false">BY$6*$BU12</f>
        <v>27.7921875</v>
      </c>
      <c r="BZ12" s="0" t="n">
        <f aca="false">BZ$6*$BU12</f>
        <v>31.7625</v>
      </c>
      <c r="CA12" s="0" t="n">
        <f aca="false">CA$6*$BU12</f>
        <v>35.7328125</v>
      </c>
      <c r="CB12" s="0" t="n">
        <f aca="false">CB$6*$BU12</f>
        <v>3.9703125</v>
      </c>
      <c r="CC12" s="0" t="n">
        <f aca="false">CC$6*$BU12</f>
        <v>5.95546875</v>
      </c>
      <c r="CD12" s="0" t="n">
        <f aca="false">CD$6*$BU12</f>
        <v>7.940625</v>
      </c>
      <c r="CE12" s="0" t="n">
        <f aca="false">CE$6*$BU12</f>
        <v>9.92578125</v>
      </c>
    </row>
    <row r="13" customFormat="false" ht="12.75" hidden="false" customHeight="false" outlineLevel="0" collapsed="false">
      <c r="A13" s="599" t="s">
        <v>232</v>
      </c>
      <c r="B13" s="596" t="n">
        <f aca="false">Fsw/1000</f>
        <v>300</v>
      </c>
      <c r="C13" s="597" t="s">
        <v>18</v>
      </c>
      <c r="D13" s="598" t="s">
        <v>17</v>
      </c>
      <c r="G13" s="0" t="n">
        <v>4</v>
      </c>
      <c r="H13" s="586" t="n">
        <f aca="false">Vin</f>
        <v>12</v>
      </c>
      <c r="I13" s="385" t="str">
        <f aca="false">IF(H13&gt;VIN_BB_to_buck, "BUCK", IF(H13&lt;VIN_boost_to_BB,"BOOST","BUCK-BST"))</f>
        <v>BUCK-BST</v>
      </c>
      <c r="J13" s="419" t="n">
        <f aca="false">IF(I13="BOOST",2, IF(I13="BUCK", 1,3))</f>
        <v>3</v>
      </c>
      <c r="K13" s="488" t="n">
        <f aca="false">Iout*G13/100</f>
        <v>0.24</v>
      </c>
      <c r="L13" s="385" t="n">
        <f aca="false">Vout*K13/(Vin*Efficiency)</f>
        <v>0.266666666666667</v>
      </c>
      <c r="M13" s="385" t="n">
        <f aca="false">K13/(1-O13)</f>
        <v>0.25130890052356</v>
      </c>
      <c r="N13" s="488" t="n">
        <f aca="false">CHOOSE(J13,(Vout+(Rdson2+Rs+Rdcr)*K13)/(Vin+(Rs+Rdson2-Rdson1)*K13), 1, IF(Vin&lt;Vout, D_max_buck_BB, Vout/Vin*(1-D_min_boost_exitBB_to_buck)))</f>
        <v>0.955</v>
      </c>
      <c r="O13" s="488" t="n">
        <f aca="false">CHOOSE(J13,0,(Vout+(Rdson3+Rdcr)*L13-Vin)/(Vout+(Rdson3-Rdson4-Rs)*L13), IF(Vin&gt;Vout,D_min_boost_exitBB_to_buck, (Vout-Vin*D_max_buck_BB)/Vout))</f>
        <v>0.0450000000000001</v>
      </c>
      <c r="P13" s="385" t="n">
        <f aca="false">MAX(0, CHOOSE(J13, (Vin-(Rdson1+Rdcr)*K13-Vout)*N13/(Fsw*Lf), (Vin-(Rdson4+Rdcr+Rs)*L13)*O13/(Fsw*Lf), IF(Vin&lt;Vout, (Vin-(Rdson4+Rdcr+Rs)*L13)*O13/(0.5*Fsw*Lf),(Vin-(Rdson1+Rdcr)*K13-Vout)*N13/(0.5*Fsw*Lf))))</f>
        <v>0</v>
      </c>
      <c r="Q13" s="385" t="n">
        <f aca="false">CHOOSE(J13, SQRT(K13^2+(P13^2)/12), SQRT(L13^2+(P13^2)/12), SQRT(M13^2+(P13^2)/12))</f>
        <v>0.25130890052356</v>
      </c>
      <c r="R13" s="488" t="n">
        <f aca="false">(Q13^2*Rdcr*(1+Ltc*Ta-Ltc*25))/(1-Q13^2*Rdcr*Ltc*ThetaCa)</f>
        <v>0.000211576728782267</v>
      </c>
      <c r="S13" s="488" t="n">
        <f aca="false">7.759*10^-3*Fsw^0.9458*(0.00787*P13)^2.304</f>
        <v>0</v>
      </c>
      <c r="T13" s="488" t="n">
        <f aca="false">R13+S13</f>
        <v>0.000211576728782267</v>
      </c>
      <c r="U13" s="385" t="n">
        <f aca="false">IF(Vin&gt;Vout, P13/SQRT(12), SQRT(O13/(1-O13))*SQRT(K13^2+(P13^2)/12))</f>
        <v>0.0520973715810544</v>
      </c>
      <c r="V13" s="488" t="n">
        <f aca="false">RCoutEsr*U13^2</f>
        <v>1.35706806282723E-005</v>
      </c>
      <c r="W13" s="488" t="n">
        <f aca="false">V13</f>
        <v>1.35706806282723E-005</v>
      </c>
      <c r="X13" s="385" t="n">
        <f aca="false">IF(Vin&gt;Vout, SQRT(N13*(1-N13))*SQRT(K13^2+(P13^2)/12), P13/SQRT(12))</f>
        <v>0</v>
      </c>
      <c r="Y13" s="587" t="n">
        <f aca="false">RCinEsr*X13^2</f>
        <v>0</v>
      </c>
      <c r="Z13" s="588" t="n">
        <f aca="false">Y13</f>
        <v>0</v>
      </c>
      <c r="AA13" s="488" t="n">
        <f aca="false">CHOOSE(J13, SQRT(N13)*SQRT(K13^2+(P13^2)/12), SQRT(L13^2+(P13^2)/12), SQRT(N13)*SQRT(M13^2+(P13^2)/12))</f>
        <v>0.245589364846392</v>
      </c>
      <c r="AB13" s="488" t="n">
        <f aca="false">Rdson1*AA13^2</f>
        <v>0.00034379057591623</v>
      </c>
      <c r="AC13" s="488" t="n">
        <f aca="false">CHOOSE(J13, (Vin*K13/2)*(Fsw)*(Tr_buck+Tf_buck), 0, (Vin*K13/2)*(Fsw/2)*(Tr_buck+Tf_buck))</f>
        <v>0.00146644476327116</v>
      </c>
      <c r="AD13" s="488" t="n">
        <f aca="false">CHOOSE(J13, IF(K13&gt;P13/2,0,ABS(K13-P13/2)*Vsd_Q1*Deadtime*Fsw),0, IF(K13&gt;P13/2,0,ABS(K13-P13/2)*Vsd_Q1*Deadtime*Fsw/2))</f>
        <v>0</v>
      </c>
      <c r="AE13" s="488" t="n">
        <f aca="false">(AD13+AC13+AB13*(1+RdsonTopTc*Ta-RdsonTopTc*25))/(1-AB13*RdsonTopTc*ThetaJA_Q1)</f>
        <v>0.00181035981611615</v>
      </c>
      <c r="AF13" s="488" t="n">
        <f aca="false">CHOOSE(J13, SQRT((1-N13))*SQRT(K13^2+(P13^2)/12), 0, SQRT((1-N13))*SQRT(M13^2+(P13^2)/12))</f>
        <v>0.0533106683198235</v>
      </c>
      <c r="AG13" s="488" t="n">
        <f aca="false">Rdson2*AF13^2</f>
        <v>1.61995559332255E-005</v>
      </c>
      <c r="AH13" s="488" t="n">
        <f aca="false">CHOOSE(J13, IF(K13&lt;P13/2,Deadtime*Fsw*IF(VfdSky_Q2&gt;0,0,Vsd_Q2)*(K13+P13/2),2*Deadtime*Fsw*IF(VfdSky_Q2&gt;0,0,Vsd_Q2)*K13),0, IF(K13&lt;P13/2,Deadtime*Fsw/2*IF(VfdSky_Q2&gt;0,0,Vsd_Q2)*(K13+P13/2),2*Deadtime*Fsw/2*IF(VfdSky_Q2&gt;0,0,Vsd_Q2)*K13))</f>
        <v>0.00288</v>
      </c>
      <c r="AI13" s="488" t="n">
        <f aca="false">(AH13+AG13*(1+RdsonBotTc*Ta-RdsonBotTc*25))/(1-AG13*RdsonBotTc*ThetaJA_Q2)</f>
        <v>0.00289620893939297</v>
      </c>
      <c r="AJ13" s="488" t="n">
        <f aca="false">CHOOSE(J13, 0, SQRT(O13)*SQRT(L13^2+(P13^2)/12), SQRT(O13)*SQRT(M13^2+(P13^2)/12))</f>
        <v>0.0533106683198235</v>
      </c>
      <c r="AK13" s="488" t="n">
        <f aca="false">Rdson4*AJ13^2</f>
        <v>5.39985197774185E-006</v>
      </c>
      <c r="AL13" s="488" t="n">
        <f aca="false">CHOOSE(J13, 0, (Vout*L13/2)*(Fsw)*(Tr_boost+Tf_boost), (Vout*Iout/2)*(Fsw/2)*(Tr_boost+Tf_boost))</f>
        <v>0.0349071770123085</v>
      </c>
      <c r="AM13" s="488" t="n">
        <f aca="false">IF(H13&gt;Vout, 0, IF(L13&gt;P13/2,0,ABS(L13-P13/2)*Vsd_Q4*Deadtime*Fsw))</f>
        <v>0</v>
      </c>
      <c r="AN13" s="488" t="n">
        <f aca="false">(AM13+AL13+AK13*(1+RdsonTopTc*Ta-RdsonTopTc*25))/(1-AK13*RdsonTopTc*ThetaJA_Q4)</f>
        <v>0.0349126145688764</v>
      </c>
      <c r="AO13" s="488" t="n">
        <f aca="false">CHOOSE(J13, SQRT(K13^2+(P13^2)/12), SQRT(1-O13)*SQRT(L13^2+(P13^2)/12), SQRT(1-O13)*SQRT(M13^2+(P13^2)/12))</f>
        <v>0.245589364846392</v>
      </c>
      <c r="AP13" s="488" t="n">
        <f aca="false">Rdson3*AO13^2</f>
        <v>0.000114596858638743</v>
      </c>
      <c r="AQ13" s="488" t="n">
        <f aca="false">CHOOSE(J13, 0, IF(L13&lt;P13/2,Deadtime*Fsw*IF(VfdSky_Q3&gt;0,0,Vsd_Q3)*(L13+P13/2), 2*Deadtime*Fsw*IF(VfdSky_Q3&gt;0,0,Vsd_Q3)*L13), IF(L13&lt;P13/2,Deadtime*Fsw/2*IF(VfdSky_Q3&gt;0,0,Vsd_Q3)*(L13+P13/2), 2*Deadtime*Fsw/2*IF(VfdSky_Q3&gt;0,0,Vsd_Q3)*L13))</f>
        <v>0.0032</v>
      </c>
      <c r="AR13" s="488" t="n">
        <f aca="false">(AQ13+AP13*(1+RdsonBotTc*Ta-RdsonBotTc*25))/(1-AP13*RdsonBotTc*ThetaJA_Q3)</f>
        <v>0.00331467282885746</v>
      </c>
      <c r="AS13" s="488" t="n">
        <f aca="false">CHOOSE(J13, Rdson3*Q13^2, Rdson1*Q13^2, 0)</f>
        <v>0</v>
      </c>
      <c r="AT13" s="488" t="n">
        <f aca="false">CHOOSE(J13, 2*Deadtime*Fsw*IF(VfdSky_Q2&gt;0,VfdSky_Q2,0)*K13, 2*Deadtime*Fsw*IF(VfdSky_Q3&gt;0,VfdSky_Q3,0)*L13, 2*Deadtime*Fsw/2*IF(VfdSky_Q2&gt;0,VfdSky_Q2,0)*K13+2*Deadtime*Fsw/2*IF(VfdSky_Q3&gt;0,VfdSky_Q3,0)*L13)</f>
        <v>0</v>
      </c>
      <c r="AU13" s="488" t="n">
        <f aca="false">CHOOSE(J13, IF(QrrSky_Q2&gt;0,QrrSky_Q2,Qrr_Q2*K13/Iout)*Fsw*(Vin-K13*Rdson1), IF(QrrSky_Q3&gt;0,QrrSky_Q3,Qrr_Q3)*Fsw*Vout,  IF(QrrSky_Q2&gt;0,QrrSky_Q2,Qrr_Q2*K13/Iout)*Fsw/2*(Vin-K13*Rdson1)+IF(QrrSky_Q3&gt;0,QrrSky_Q3,Qrr_Q3)*Fsw/2*Vout)</f>
        <v>0.063935482896</v>
      </c>
      <c r="AV13" s="488" t="n">
        <f aca="false">CHOOSE(J13, Rs*AF13^2, Rs*AJ13^2, Rs*(AF13^2+AJ13^2))</f>
        <v>4.54724377072997E-005</v>
      </c>
      <c r="AW13" s="488" t="n">
        <f aca="false">Rshunt_std/1000*Iout^2</f>
        <v>0.14832</v>
      </c>
      <c r="AX13" s="488" t="n">
        <f aca="false">IF(Vout&gt;8, Iq*Vout, Iq*Vin)</f>
        <v>0.036</v>
      </c>
      <c r="AY13" s="488" t="n">
        <f aca="false">CHOOSE(J13, (Qg_Q1+Qg_Q2)*Fsw, (Qg_Q3+Qg_Q4)*Fsw, (Qg_Q1+Qg_Q2+Qg_Q3+Qg_Q4)*Fsw/2)*IF(Vout&gt;8, Vout, Vin)</f>
        <v>0.1188</v>
      </c>
      <c r="AZ13" s="488" t="n">
        <f aca="false">(Vin-Vdd)*Fsw*(Qg_Q1+Qg_Q2)+(RdsonDRT+RdsonDRT2)*Fsw*Qg_Q1*Vdd/(RdsonDRT+2*Rgate1+RdsonDRT2)+(RdsonDRB+RdsonDRB2)*Fsw*Qg_Q2*Vdd/(RdsonDRB+2*Rgate2+RdsonDRB2)</f>
        <v>0.0522</v>
      </c>
      <c r="BA13" s="488" t="n">
        <f aca="false">SUM(AX13:AY13)</f>
        <v>0.1548</v>
      </c>
      <c r="BB13" s="488" t="n">
        <f aca="false">SUM(T13,W13,Z13,AE13,AI13,AN13,AR13, AT13,AU13,BA13,AV13,AW13)</f>
        <v>0.410259958896361</v>
      </c>
      <c r="BC13" s="419" t="n">
        <f aca="false">Vout*K13</f>
        <v>2.88</v>
      </c>
      <c r="BD13" s="589" t="n">
        <f aca="false">BC13/(BC13+BB13)</f>
        <v>0.875310776649401</v>
      </c>
      <c r="BE13" s="590" t="n">
        <f aca="false">IF(Vin&gt;Vout,ThetaJA_Q1*BK13,ThetaJA_Q4*BK13)</f>
        <v>3.85550166401182</v>
      </c>
      <c r="BF13" s="590" t="n">
        <f aca="false">IF(Vin&gt;Vout, ThetaJA_Q2*BL13, ThetaJA_Q3*BL13)</f>
        <v>1.22066910922687</v>
      </c>
      <c r="BG13" s="536"/>
      <c r="BH13" s="385" t="n">
        <f aca="false">BD13*100</f>
        <v>87.5310776649401</v>
      </c>
      <c r="BI13" s="488" t="n">
        <f aca="false">T13</f>
        <v>0.000211576728782267</v>
      </c>
      <c r="BJ13" s="488" t="n">
        <f aca="false">AE13+AI13+AN13+AR13+AU13</f>
        <v>0.106869339049243</v>
      </c>
      <c r="BK13" s="488" t="n">
        <f aca="false">IF(Vin&gt;Vout, AE13+AU13*0.66, AN13+AU13*0.66)</f>
        <v>0.0771100332802364</v>
      </c>
      <c r="BL13" s="488" t="n">
        <f aca="false">IF(Vin&gt;Vout, AI13+AU13*0.33, AR13+AU13*0.33)</f>
        <v>0.0244133821845375</v>
      </c>
      <c r="BM13" s="488" t="n">
        <f aca="false">AV13</f>
        <v>4.54724377072997E-005</v>
      </c>
      <c r="BQ13" s="0" t="s">
        <v>816</v>
      </c>
      <c r="BR13" s="591" t="n">
        <v>30</v>
      </c>
      <c r="BS13" s="591" t="n">
        <v>30</v>
      </c>
      <c r="BT13" s="591" t="n">
        <v>30</v>
      </c>
      <c r="BU13" s="592" t="n">
        <f aca="false">500000*(5-Vdd)*BT13/1000000000+((500000*BT9/1000000000*Vdd)*2.5/(2*4))</f>
        <v>0.04453125</v>
      </c>
      <c r="BV13" s="0" t="n">
        <f aca="false">BV$6*$BU13</f>
        <v>3.5625</v>
      </c>
      <c r="BW13" s="0" t="n">
        <f aca="false">BW$6*$BU13</f>
        <v>4.453125</v>
      </c>
      <c r="BX13" s="0" t="n">
        <f aca="false">BX$6*$BU13</f>
        <v>5.34375</v>
      </c>
      <c r="BY13" s="0" t="n">
        <f aca="false">BY$6*$BU13</f>
        <v>6.234375</v>
      </c>
      <c r="BZ13" s="0" t="n">
        <f aca="false">BZ$6*$BU13</f>
        <v>7.125</v>
      </c>
      <c r="CA13" s="0" t="n">
        <f aca="false">CA$6*$BU13</f>
        <v>8.015625</v>
      </c>
      <c r="CB13" s="0" t="n">
        <f aca="false">CB$6*$BU13</f>
        <v>0.890625</v>
      </c>
      <c r="CC13" s="0" t="n">
        <f aca="false">CC$6*$BU13</f>
        <v>1.3359375</v>
      </c>
      <c r="CD13" s="0" t="n">
        <f aca="false">CD$6*$BU13</f>
        <v>1.78125</v>
      </c>
      <c r="CE13" s="0" t="n">
        <f aca="false">CE$6*$BU13</f>
        <v>2.2265625</v>
      </c>
    </row>
    <row r="14" customFormat="false" ht="12.75" hidden="false" customHeight="false" outlineLevel="0" collapsed="false">
      <c r="A14" s="599" t="s">
        <v>218</v>
      </c>
      <c r="B14" s="596" t="n">
        <f aca="false">Iout</f>
        <v>6</v>
      </c>
      <c r="C14" s="597" t="s">
        <v>16</v>
      </c>
      <c r="D14" s="598" t="s">
        <v>817</v>
      </c>
      <c r="G14" s="0" t="n">
        <v>5</v>
      </c>
      <c r="H14" s="586" t="n">
        <f aca="false">Vin</f>
        <v>12</v>
      </c>
      <c r="I14" s="385" t="str">
        <f aca="false">IF(H14&gt;VIN_BB_to_buck, "BUCK", IF(H14&lt;VIN_boost_to_BB,"BOOST","BUCK-BST"))</f>
        <v>BUCK-BST</v>
      </c>
      <c r="J14" s="419" t="n">
        <f aca="false">IF(I14="BOOST",2, IF(I14="BUCK", 1,3))</f>
        <v>3</v>
      </c>
      <c r="K14" s="488" t="n">
        <f aca="false">Iout*G14/100</f>
        <v>0.3</v>
      </c>
      <c r="L14" s="385" t="n">
        <f aca="false">Vout*K14/(Vin*Efficiency)</f>
        <v>0.333333333333333</v>
      </c>
      <c r="M14" s="385" t="n">
        <f aca="false">K14/(1-O14)</f>
        <v>0.31413612565445</v>
      </c>
      <c r="N14" s="488" t="n">
        <f aca="false">CHOOSE(J14,(Vout+(Rdson2+Rs+Rdcr)*K14)/(Vin+(Rs+Rdson2-Rdson1)*K14), 1, IF(Vin&lt;Vout, D_max_buck_BB, Vout/Vin*(1-D_min_boost_exitBB_to_buck)))</f>
        <v>0.955</v>
      </c>
      <c r="O14" s="488" t="n">
        <f aca="false">CHOOSE(J14,0,(Vout+(Rdson3+Rdcr)*L14-Vin)/(Vout+(Rdson3-Rdson4-Rs)*L14), IF(Vin&gt;Vout,D_min_boost_exitBB_to_buck, (Vout-Vin*D_max_buck_BB)/Vout))</f>
        <v>0.0450000000000001</v>
      </c>
      <c r="P14" s="385" t="n">
        <f aca="false">MAX(0, CHOOSE(J14, (Vin-(Rdson1+Rdcr)*K14-Vout)*N14/(Fsw*Lf), (Vin-(Rdson4+Rdcr+Rs)*L14)*O14/(Fsw*Lf), IF(Vin&lt;Vout, (Vin-(Rdson4+Rdcr+Rs)*L14)*O14/(0.5*Fsw*Lf),(Vin-(Rdson1+Rdcr)*K14-Vout)*N14/(0.5*Fsw*Lf))))</f>
        <v>0</v>
      </c>
      <c r="Q14" s="385" t="n">
        <f aca="false">CHOOSE(J14, SQRT(K14^2+(P14^2)/12), SQRT(L14^2+(P14^2)/12), SQRT(M14^2+(P14^2)/12))</f>
        <v>0.31413612565445</v>
      </c>
      <c r="R14" s="488" t="n">
        <f aca="false">(Q14^2*Rdcr*(1+Ltc*Ta-Ltc*25))/(1-Q14^2*Rdcr*Ltc*ThetaCa)</f>
        <v>0.000330591786271083</v>
      </c>
      <c r="S14" s="488" t="n">
        <f aca="false">7.759*10^-3*Fsw^0.9458*(0.00787*P14)^2.304</f>
        <v>0</v>
      </c>
      <c r="T14" s="488" t="n">
        <f aca="false">R14+S14</f>
        <v>0.000330591786271083</v>
      </c>
      <c r="U14" s="385" t="n">
        <f aca="false">IF(Vin&gt;Vout, P14/SQRT(12), SQRT(O14/(1-O14))*SQRT(K14^2+(P14^2)/12))</f>
        <v>0.065121714476318</v>
      </c>
      <c r="V14" s="488" t="n">
        <f aca="false">RCoutEsr*U14^2</f>
        <v>2.12041884816754E-005</v>
      </c>
      <c r="W14" s="488" t="n">
        <f aca="false">V14</f>
        <v>2.12041884816754E-005</v>
      </c>
      <c r="X14" s="385" t="n">
        <f aca="false">IF(Vin&gt;Vout, SQRT(N14*(1-N14))*SQRT(K14^2+(P14^2)/12), P14/SQRT(12))</f>
        <v>0</v>
      </c>
      <c r="Y14" s="587" t="n">
        <f aca="false">RCinEsr*X14^2</f>
        <v>0</v>
      </c>
      <c r="Z14" s="588" t="n">
        <f aca="false">Y14</f>
        <v>0</v>
      </c>
      <c r="AA14" s="488" t="n">
        <f aca="false">CHOOSE(J14, SQRT(N14)*SQRT(K14^2+(P14^2)/12), SQRT(L14^2+(P14^2)/12), SQRT(N14)*SQRT(M14^2+(P14^2)/12))</f>
        <v>0.306986706057991</v>
      </c>
      <c r="AB14" s="488" t="n">
        <f aca="false">Rdson1*AA14^2</f>
        <v>0.00053717277486911</v>
      </c>
      <c r="AC14" s="488" t="n">
        <f aca="false">CHOOSE(J14, (Vin*K14/2)*(Fsw)*(Tr_buck+Tf_buck), 0, (Vin*K14/2)*(Fsw/2)*(Tr_buck+Tf_buck))</f>
        <v>0.00183305595408895</v>
      </c>
      <c r="AD14" s="488" t="n">
        <f aca="false">CHOOSE(J14, IF(K14&gt;P14/2,0,ABS(K14-P14/2)*Vsd_Q1*Deadtime*Fsw),0, IF(K14&gt;P14/2,0,ABS(K14-P14/2)*Vsd_Q1*Deadtime*Fsw/2))</f>
        <v>0</v>
      </c>
      <c r="AE14" s="488" t="n">
        <f aca="false">(AD14+AC14+AB14*(1+RdsonTopTc*Ta-RdsonTopTc*25))/(1-AB14*RdsonTopTc*ThetaJA_Q1)</f>
        <v>0.0023704834007873</v>
      </c>
      <c r="AF14" s="488" t="n">
        <f aca="false">CHOOSE(J14, SQRT((1-N14))*SQRT(K14^2+(P14^2)/12), 0, SQRT((1-N14))*SQRT(M14^2+(P14^2)/12))</f>
        <v>0.0666383353997794</v>
      </c>
      <c r="AG14" s="488" t="n">
        <f aca="false">Rdson2*AF14^2</f>
        <v>2.53118061456649E-005</v>
      </c>
      <c r="AH14" s="488" t="n">
        <f aca="false">CHOOSE(J14, IF(K14&lt;P14/2,Deadtime*Fsw*IF(VfdSky_Q2&gt;0,0,Vsd_Q2)*(K14+P14/2),2*Deadtime*Fsw*IF(VfdSky_Q2&gt;0,0,Vsd_Q2)*K14),0, IF(K14&lt;P14/2,Deadtime*Fsw/2*IF(VfdSky_Q2&gt;0,0,Vsd_Q2)*(K14+P14/2),2*Deadtime*Fsw/2*IF(VfdSky_Q2&gt;0,0,Vsd_Q2)*K14))</f>
        <v>0.0036</v>
      </c>
      <c r="AI14" s="488" t="n">
        <f aca="false">(AH14+AG14*(1+RdsonBotTc*Ta-RdsonBotTc*25))/(1-AG14*RdsonBotTc*ThetaJA_Q2)</f>
        <v>0.0036253301588765</v>
      </c>
      <c r="AJ14" s="488" t="n">
        <f aca="false">CHOOSE(J14, 0, SQRT(O14)*SQRT(L14^2+(P14^2)/12), SQRT(O14)*SQRT(M14^2+(P14^2)/12))</f>
        <v>0.0666383353997794</v>
      </c>
      <c r="AK14" s="488" t="n">
        <f aca="false">Rdson4*AJ14^2</f>
        <v>8.43726871522163E-006</v>
      </c>
      <c r="AL14" s="488" t="n">
        <f aca="false">CHOOSE(J14, 0, (Vout*L14/2)*(Fsw)*(Tr_boost+Tf_boost), (Vout*Iout/2)*(Fsw/2)*(Tr_boost+Tf_boost))</f>
        <v>0.0349071770123085</v>
      </c>
      <c r="AM14" s="488" t="n">
        <f aca="false">IF(H14&gt;Vout, 0, IF(L14&gt;P14/2,0,ABS(L14-P14/2)*Vsd_Q4*Deadtime*Fsw))</f>
        <v>0</v>
      </c>
      <c r="AN14" s="488" t="n">
        <f aca="false">(AM14+AL14+AK14*(1+RdsonTopTc*Ta-RdsonTopTc*25))/(1-AK14*RdsonTopTc*ThetaJA_Q4)</f>
        <v>0.0349156731996072</v>
      </c>
      <c r="AO14" s="488" t="n">
        <f aca="false">CHOOSE(J14, SQRT(K14^2+(P14^2)/12), SQRT(1-O14)*SQRT(L14^2+(P14^2)/12), SQRT(1-O14)*SQRT(M14^2+(P14^2)/12))</f>
        <v>0.306986706057991</v>
      </c>
      <c r="AP14" s="488" t="n">
        <f aca="false">Rdson3*AO14^2</f>
        <v>0.000179057591623037</v>
      </c>
      <c r="AQ14" s="488" t="n">
        <f aca="false">CHOOSE(J14, 0, IF(L14&lt;P14/2,Deadtime*Fsw*IF(VfdSky_Q3&gt;0,0,Vsd_Q3)*(L14+P14/2), 2*Deadtime*Fsw*IF(VfdSky_Q3&gt;0,0,Vsd_Q3)*L14), IF(L14&lt;P14/2,Deadtime*Fsw/2*IF(VfdSky_Q3&gt;0,0,Vsd_Q3)*(L14+P14/2), 2*Deadtime*Fsw/2*IF(VfdSky_Q3&gt;0,0,Vsd_Q3)*L14))</f>
        <v>0.004</v>
      </c>
      <c r="AR14" s="488" t="n">
        <f aca="false">(AQ14+AP14*(1+RdsonBotTc*Ta-RdsonBotTc*25))/(1-AP14*RdsonBotTc*ThetaJA_Q3)</f>
        <v>0.00417920725538025</v>
      </c>
      <c r="AS14" s="488" t="n">
        <f aca="false">CHOOSE(J14, Rdson3*Q14^2, Rdson1*Q14^2, 0)</f>
        <v>0</v>
      </c>
      <c r="AT14" s="488" t="n">
        <f aca="false">CHOOSE(J14, 2*Deadtime*Fsw*IF(VfdSky_Q2&gt;0,VfdSky_Q2,0)*K14, 2*Deadtime*Fsw*IF(VfdSky_Q3&gt;0,VfdSky_Q3,0)*L14, 2*Deadtime*Fsw/2*IF(VfdSky_Q2&gt;0,VfdSky_Q2,0)*K14+2*Deadtime*Fsw/2*IF(VfdSky_Q3&gt;0,VfdSky_Q3,0)*L14)</f>
        <v>0</v>
      </c>
      <c r="AU14" s="488" t="n">
        <f aca="false">CHOOSE(J14, IF(QrrSky_Q2&gt;0,QrrSky_Q2,Qrr_Q2*K14/Iout)*Fsw*(Vin-K14*Rdson1), IF(QrrSky_Q3&gt;0,QrrSky_Q3,Qrr_Q3)*Fsw*Vout,  IF(QrrSky_Q2&gt;0,QrrSky_Q2,Qrr_Q2*K14/Iout)*Fsw/2*(Vin-K14*Rdson1)+IF(QrrSky_Q3&gt;0,QrrSky_Q3,Qrr_Q3)*Fsw/2*Vout)</f>
        <v>0.065069192025</v>
      </c>
      <c r="AV14" s="488" t="n">
        <f aca="false">CHOOSE(J14, Rs*AF14^2, Rs*AJ14^2, Rs*(AF14^2+AJ14^2))</f>
        <v>7.10506839176558E-005</v>
      </c>
      <c r="AW14" s="488" t="n">
        <f aca="false">Rshunt_std/1000*Iout^2</f>
        <v>0.14832</v>
      </c>
      <c r="AX14" s="488" t="n">
        <f aca="false">IF(Vout&gt;8, Iq*Vout, Iq*Vin)</f>
        <v>0.036</v>
      </c>
      <c r="AY14" s="488" t="n">
        <f aca="false">CHOOSE(J14, (Qg_Q1+Qg_Q2)*Fsw, (Qg_Q3+Qg_Q4)*Fsw, (Qg_Q1+Qg_Q2+Qg_Q3+Qg_Q4)*Fsw/2)*IF(Vout&gt;8, Vout, Vin)</f>
        <v>0.1188</v>
      </c>
      <c r="AZ14" s="488" t="n">
        <f aca="false">(Vin-Vdd)*Fsw*(Qg_Q1+Qg_Q2)+(RdsonDRT+RdsonDRT2)*Fsw*Qg_Q1*Vdd/(RdsonDRT+2*Rgate1+RdsonDRT2)+(RdsonDRB+RdsonDRB2)*Fsw*Qg_Q2*Vdd/(RdsonDRB+2*Rgate2+RdsonDRB2)</f>
        <v>0.0522</v>
      </c>
      <c r="BA14" s="488" t="n">
        <f aca="false">SUM(AX14:AY14)</f>
        <v>0.1548</v>
      </c>
      <c r="BB14" s="488" t="n">
        <f aca="false">SUM(T14,W14,Z14,AE14,AI14,AN14,AR14, AT14,AU14,BA14,AV14,AW14)</f>
        <v>0.413702732698322</v>
      </c>
      <c r="BC14" s="419" t="n">
        <f aca="false">Vout*K14</f>
        <v>3.6</v>
      </c>
      <c r="BD14" s="589" t="n">
        <f aca="false">BC14/(BC14+BB14)</f>
        <v>0.896927410859798</v>
      </c>
      <c r="BE14" s="590" t="n">
        <f aca="false">IF(Vin&gt;Vout,ThetaJA_Q1*BK14,ThetaJA_Q4*BK14)</f>
        <v>3.89306699680536</v>
      </c>
      <c r="BF14" s="590" t="n">
        <f aca="false">IF(Vin&gt;Vout, ThetaJA_Q2*BL14, ThetaJA_Q3*BL14)</f>
        <v>1.28260203118151</v>
      </c>
      <c r="BG14" s="536"/>
      <c r="BH14" s="385" t="n">
        <f aca="false">BD14*100</f>
        <v>89.6927410859798</v>
      </c>
      <c r="BI14" s="488" t="n">
        <f aca="false">T14</f>
        <v>0.000330591786271083</v>
      </c>
      <c r="BJ14" s="488" t="n">
        <f aca="false">AE14+AI14+AN14+AR14+AU14</f>
        <v>0.110159886039651</v>
      </c>
      <c r="BK14" s="488" t="n">
        <f aca="false">IF(Vin&gt;Vout, AE14+AU14*0.66, AN14+AU14*0.66)</f>
        <v>0.0778613399361072</v>
      </c>
      <c r="BL14" s="488" t="n">
        <f aca="false">IF(Vin&gt;Vout, AI14+AU14*0.33, AR14+AU14*0.33)</f>
        <v>0.0256520406236302</v>
      </c>
      <c r="BM14" s="488" t="n">
        <f aca="false">AV14</f>
        <v>7.10506839176558E-005</v>
      </c>
      <c r="BQ14" s="0" t="s">
        <v>818</v>
      </c>
      <c r="BR14" s="591" t="n">
        <v>45</v>
      </c>
      <c r="BS14" s="591" t="n">
        <v>45</v>
      </c>
      <c r="BT14" s="591" t="n">
        <v>45</v>
      </c>
      <c r="BU14" s="592" t="n">
        <f aca="false">500000*(12-Vdd)*BT14/1000000000+((500000*BT9/1000000000*Vdd)*2.5/(2*4))</f>
        <v>0.18328125</v>
      </c>
      <c r="BV14" s="0" t="n">
        <f aca="false">BV$6*$BU14</f>
        <v>14.6625</v>
      </c>
      <c r="BW14" s="0" t="n">
        <f aca="false">BW$6*$BU14</f>
        <v>18.328125</v>
      </c>
      <c r="BX14" s="0" t="n">
        <f aca="false">BX$6*$BU14</f>
        <v>21.99375</v>
      </c>
      <c r="BY14" s="0" t="n">
        <f aca="false">BY$6*$BU14</f>
        <v>25.659375</v>
      </c>
      <c r="BZ14" s="0" t="n">
        <f aca="false">BZ$6*$BU14</f>
        <v>29.325</v>
      </c>
      <c r="CA14" s="0" t="n">
        <f aca="false">CA$6*$BU14</f>
        <v>32.990625</v>
      </c>
      <c r="CB14" s="0" t="n">
        <f aca="false">CB$6*$BU14</f>
        <v>3.665625</v>
      </c>
      <c r="CC14" s="0" t="n">
        <f aca="false">CC$6*$BU14</f>
        <v>5.4984375</v>
      </c>
      <c r="CD14" s="0" t="n">
        <f aca="false">CD$6*$BU14</f>
        <v>7.33125</v>
      </c>
      <c r="CE14" s="0" t="n">
        <f aca="false">CE$6*$BU14</f>
        <v>9.1640625</v>
      </c>
    </row>
    <row r="15" customFormat="false" ht="12.75" hidden="false" customHeight="false" outlineLevel="0" collapsed="false">
      <c r="A15" s="600" t="s">
        <v>608</v>
      </c>
      <c r="B15" s="596" t="n">
        <f aca="false">Ta</f>
        <v>25</v>
      </c>
      <c r="C15" s="601" t="s">
        <v>819</v>
      </c>
      <c r="D15" s="598" t="s">
        <v>610</v>
      </c>
      <c r="G15" s="0" t="n">
        <v>6</v>
      </c>
      <c r="H15" s="586" t="n">
        <f aca="false">Vin</f>
        <v>12</v>
      </c>
      <c r="I15" s="385" t="str">
        <f aca="false">IF(H15&gt;VIN_BB_to_buck, "BUCK", IF(H15&lt;VIN_boost_to_BB,"BOOST","BUCK-BST"))</f>
        <v>BUCK-BST</v>
      </c>
      <c r="J15" s="419" t="n">
        <f aca="false">IF(I15="BOOST",2, IF(I15="BUCK", 1,3))</f>
        <v>3</v>
      </c>
      <c r="K15" s="488" t="n">
        <f aca="false">Iout*G15/100</f>
        <v>0.36</v>
      </c>
      <c r="L15" s="385" t="n">
        <f aca="false">Vout*K15/(Vin*Efficiency)</f>
        <v>0.4</v>
      </c>
      <c r="M15" s="385" t="n">
        <f aca="false">K15/(1-O15)</f>
        <v>0.37696335078534</v>
      </c>
      <c r="N15" s="488" t="n">
        <f aca="false">CHOOSE(J15,(Vout+(Rdson2+Rs+Rdcr)*K15)/(Vin+(Rs+Rdson2-Rdson1)*K15), 1, IF(Vin&lt;Vout, D_max_buck_BB, Vout/Vin*(1-D_min_boost_exitBB_to_buck)))</f>
        <v>0.955</v>
      </c>
      <c r="O15" s="488" t="n">
        <f aca="false">CHOOSE(J15,0,(Vout+(Rdson3+Rdcr)*L15-Vin)/(Vout+(Rdson3-Rdson4-Rs)*L15), IF(Vin&gt;Vout,D_min_boost_exitBB_to_buck, (Vout-Vin*D_max_buck_BB)/Vout))</f>
        <v>0.0450000000000001</v>
      </c>
      <c r="P15" s="385" t="n">
        <f aca="false">MAX(0, CHOOSE(J15, (Vin-(Rdson1+Rdcr)*K15-Vout)*N15/(Fsw*Lf), (Vin-(Rdson4+Rdcr+Rs)*L15)*O15/(Fsw*Lf), IF(Vin&lt;Vout, (Vin-(Rdson4+Rdcr+Rs)*L15)*O15/(0.5*Fsw*Lf),(Vin-(Rdson1+Rdcr)*K15-Vout)*N15/(0.5*Fsw*Lf))))</f>
        <v>0</v>
      </c>
      <c r="Q15" s="385" t="n">
        <f aca="false">CHOOSE(J15, SQRT(K15^2+(P15^2)/12), SQRT(L15^2+(P15^2)/12), SQRT(M15^2+(P15^2)/12))</f>
        <v>0.37696335078534</v>
      </c>
      <c r="R15" s="488" t="n">
        <f aca="false">(Q15^2*Rdcr*(1+Ltc*Ta-Ltc*25))/(1-Q15^2*Rdcr*Ltc*ThetaCa)</f>
        <v>0.000476057712033443</v>
      </c>
      <c r="S15" s="488" t="n">
        <f aca="false">7.759*10^-3*Fsw^0.9458*(0.00787*P15)^2.304</f>
        <v>0</v>
      </c>
      <c r="T15" s="488" t="n">
        <f aca="false">R15+S15</f>
        <v>0.000476057712033443</v>
      </c>
      <c r="U15" s="385" t="n">
        <f aca="false">IF(Vin&gt;Vout, P15/SQRT(12), SQRT(O15/(1-O15))*SQRT(K15^2+(P15^2)/12))</f>
        <v>0.0781460573715816</v>
      </c>
      <c r="V15" s="488" t="n">
        <f aca="false">RCoutEsr*U15^2</f>
        <v>3.05340314136126E-005</v>
      </c>
      <c r="W15" s="488" t="n">
        <f aca="false">V15</f>
        <v>3.05340314136126E-005</v>
      </c>
      <c r="X15" s="385" t="n">
        <f aca="false">IF(Vin&gt;Vout, SQRT(N15*(1-N15))*SQRT(K15^2+(P15^2)/12), P15/SQRT(12))</f>
        <v>0</v>
      </c>
      <c r="Y15" s="587" t="n">
        <f aca="false">RCinEsr*X15^2</f>
        <v>0</v>
      </c>
      <c r="Z15" s="588" t="n">
        <f aca="false">Y15</f>
        <v>0</v>
      </c>
      <c r="AA15" s="488" t="n">
        <f aca="false">CHOOSE(J15, SQRT(N15)*SQRT(K15^2+(P15^2)/12), SQRT(L15^2+(P15^2)/12), SQRT(N15)*SQRT(M15^2+(P15^2)/12))</f>
        <v>0.368384047269589</v>
      </c>
      <c r="AB15" s="488" t="n">
        <f aca="false">Rdson1*AA15^2</f>
        <v>0.000773528795811518</v>
      </c>
      <c r="AC15" s="488" t="n">
        <f aca="false">CHOOSE(J15, (Vin*K15/2)*(Fsw)*(Tr_buck+Tf_buck), 0, (Vin*K15/2)*(Fsw/2)*(Tr_buck+Tf_buck))</f>
        <v>0.00219966714490674</v>
      </c>
      <c r="AD15" s="488" t="n">
        <f aca="false">CHOOSE(J15, IF(K15&gt;P15/2,0,ABS(K15-P15/2)*Vsd_Q1*Deadtime*Fsw),0, IF(K15&gt;P15/2,0,ABS(K15-P15/2)*Vsd_Q1*Deadtime*Fsw/2))</f>
        <v>0</v>
      </c>
      <c r="AE15" s="488" t="n">
        <f aca="false">(AD15+AC15+AB15*(1+RdsonTopTc*Ta-RdsonTopTc*25))/(1-AB15*RdsonTopTc*ThetaJA_Q1)</f>
        <v>0.00297365598242451</v>
      </c>
      <c r="AF15" s="488" t="n">
        <f aca="false">CHOOSE(J15, SQRT((1-N15))*SQRT(K15^2+(P15^2)/12), 0, SQRT((1-N15))*SQRT(M15^2+(P15^2)/12))</f>
        <v>0.0799660024797353</v>
      </c>
      <c r="AG15" s="488" t="n">
        <f aca="false">Rdson2*AF15^2</f>
        <v>3.64490008497574E-005</v>
      </c>
      <c r="AH15" s="488" t="n">
        <f aca="false">CHOOSE(J15, IF(K15&lt;P15/2,Deadtime*Fsw*IF(VfdSky_Q2&gt;0,0,Vsd_Q2)*(K15+P15/2),2*Deadtime*Fsw*IF(VfdSky_Q2&gt;0,0,Vsd_Q2)*K15),0, IF(K15&lt;P15/2,Deadtime*Fsw/2*IF(VfdSky_Q2&gt;0,0,Vsd_Q2)*(K15+P15/2),2*Deadtime*Fsw/2*IF(VfdSky_Q2&gt;0,0,Vsd_Q2)*K15))</f>
        <v>0.00432</v>
      </c>
      <c r="AI15" s="488" t="n">
        <f aca="false">(AH15+AG15*(1+RdsonBotTc*Ta-RdsonBotTc*25))/(1-AG15*RdsonBotTc*ThetaJA_Q2)</f>
        <v>0.00435648075872393</v>
      </c>
      <c r="AJ15" s="488" t="n">
        <f aca="false">CHOOSE(J15, 0, SQRT(O15)*SQRT(L15^2+(P15^2)/12), SQRT(O15)*SQRT(M15^2+(P15^2)/12))</f>
        <v>0.0799660024797353</v>
      </c>
      <c r="AK15" s="488" t="n">
        <f aca="false">Rdson4*AJ15^2</f>
        <v>1.21496669499192E-005</v>
      </c>
      <c r="AL15" s="488" t="n">
        <f aca="false">CHOOSE(J15, 0, (Vout*L15/2)*(Fsw)*(Tr_boost+Tf_boost), (Vout*Iout/2)*(Fsw/2)*(Tr_boost+Tf_boost))</f>
        <v>0.0349071770123085</v>
      </c>
      <c r="AM15" s="488" t="n">
        <f aca="false">IF(H15&gt;Vout, 0, IF(L15&gt;P15/2,0,ABS(L15-P15/2)*Vsd_Q4*Deadtime*Fsw))</f>
        <v>0</v>
      </c>
      <c r="AN15" s="488" t="n">
        <f aca="false">(AM15+AL15+AK15*(1+RdsonTopTc*Ta-RdsonTopTc*25))/(1-AK15*RdsonTopTc*ThetaJA_Q4)</f>
        <v>0.0349194115311025</v>
      </c>
      <c r="AO15" s="488" t="n">
        <f aca="false">CHOOSE(J15, SQRT(K15^2+(P15^2)/12), SQRT(1-O15)*SQRT(L15^2+(P15^2)/12), SQRT(1-O15)*SQRT(M15^2+(P15^2)/12))</f>
        <v>0.368384047269589</v>
      </c>
      <c r="AP15" s="488" t="n">
        <f aca="false">Rdson3*AO15^2</f>
        <v>0.000257842931937173</v>
      </c>
      <c r="AQ15" s="488" t="n">
        <f aca="false">CHOOSE(J15, 0, IF(L15&lt;P15/2,Deadtime*Fsw*IF(VfdSky_Q3&gt;0,0,Vsd_Q3)*(L15+P15/2), 2*Deadtime*Fsw*IF(VfdSky_Q3&gt;0,0,Vsd_Q3)*L15), IF(L15&lt;P15/2,Deadtime*Fsw/2*IF(VfdSky_Q3&gt;0,0,Vsd_Q3)*(L15+P15/2), 2*Deadtime*Fsw/2*IF(VfdSky_Q3&gt;0,0,Vsd_Q3)*L15))</f>
        <v>0.0048</v>
      </c>
      <c r="AR15" s="488" t="n">
        <f aca="false">(AQ15+AP15*(1+RdsonBotTc*Ta-RdsonBotTc*25))/(1-AP15*RdsonBotTc*ThetaJA_Q3)</f>
        <v>0.00505810377119845</v>
      </c>
      <c r="AS15" s="488" t="n">
        <f aca="false">CHOOSE(J15, Rdson3*Q15^2, Rdson1*Q15^2, 0)</f>
        <v>0</v>
      </c>
      <c r="AT15" s="488" t="n">
        <f aca="false">CHOOSE(J15, 2*Deadtime*Fsw*IF(VfdSky_Q2&gt;0,VfdSky_Q2,0)*K15, 2*Deadtime*Fsw*IF(VfdSky_Q3&gt;0,VfdSky_Q3,0)*L15, 2*Deadtime*Fsw/2*IF(VfdSky_Q2&gt;0,VfdSky_Q2,0)*K15+2*Deadtime*Fsw/2*IF(VfdSky_Q3&gt;0,VfdSky_Q3,0)*L15)</f>
        <v>0</v>
      </c>
      <c r="AU15" s="488" t="n">
        <f aca="false">CHOOSE(J15, IF(QrrSky_Q2&gt;0,QrrSky_Q2,Qrr_Q2*K15/Iout)*Fsw*(Vin-K15*Rdson1), IF(QrrSky_Q3&gt;0,QrrSky_Q3,Qrr_Q3)*Fsw*Vout,  IF(QrrSky_Q2&gt;0,QrrSky_Q2,Qrr_Q2*K15/Iout)*Fsw/2*(Vin-K15*Rdson1)+IF(QrrSky_Q3&gt;0,QrrSky_Q3,Qrr_Q3)*Fsw/2*Vout)</f>
        <v>0.066202836516</v>
      </c>
      <c r="AV15" s="488" t="n">
        <f aca="false">CHOOSE(J15, Rs*AF15^2, Rs*AJ15^2, Rs*(AF15^2+AJ15^2))</f>
        <v>0.000102312984841424</v>
      </c>
      <c r="AW15" s="488" t="n">
        <f aca="false">Rshunt_std/1000*Iout^2</f>
        <v>0.14832</v>
      </c>
      <c r="AX15" s="488" t="n">
        <f aca="false">IF(Vout&gt;8, Iq*Vout, Iq*Vin)</f>
        <v>0.036</v>
      </c>
      <c r="AY15" s="488" t="n">
        <f aca="false">CHOOSE(J15, (Qg_Q1+Qg_Q2)*Fsw, (Qg_Q3+Qg_Q4)*Fsw, (Qg_Q1+Qg_Q2+Qg_Q3+Qg_Q4)*Fsw/2)*IF(Vout&gt;8, Vout, Vin)</f>
        <v>0.1188</v>
      </c>
      <c r="AZ15" s="488" t="n">
        <f aca="false">(Vin-Vdd)*Fsw*(Qg_Q1+Qg_Q2)+(RdsonDRT+RdsonDRT2)*Fsw*Qg_Q1*Vdd/(RdsonDRT+2*Rgate1+RdsonDRT2)+(RdsonDRB+RdsonDRB2)*Fsw*Qg_Q2*Vdd/(RdsonDRB+2*Rgate2+RdsonDRB2)</f>
        <v>0.0522</v>
      </c>
      <c r="BA15" s="488" t="n">
        <f aca="false">SUM(AX15:AY15)</f>
        <v>0.1548</v>
      </c>
      <c r="BB15" s="488" t="n">
        <f aca="false">SUM(T15,W15,Z15,AE15,AI15,AN15,AR15, AT15,AU15,BA15,AV15,AW15)</f>
        <v>0.417239393287738</v>
      </c>
      <c r="BC15" s="419" t="n">
        <f aca="false">Vout*K15</f>
        <v>4.32</v>
      </c>
      <c r="BD15" s="589" t="n">
        <f aca="false">BC15/(BC15+BB15)</f>
        <v>0.911923515227259</v>
      </c>
      <c r="BE15" s="590" t="n">
        <f aca="false">IF(Vin&gt;Vout,ThetaJA_Q1*BK15,ThetaJA_Q4*BK15)</f>
        <v>3.93066418158312</v>
      </c>
      <c r="BF15" s="590" t="n">
        <f aca="false">IF(Vin&gt;Vout, ThetaJA_Q2*BL15, ThetaJA_Q3*BL15)</f>
        <v>1.34525199107392</v>
      </c>
      <c r="BG15" s="536"/>
      <c r="BH15" s="385" t="n">
        <f aca="false">BD15*100</f>
        <v>91.1923515227259</v>
      </c>
      <c r="BI15" s="488" t="n">
        <f aca="false">T15</f>
        <v>0.000476057712033443</v>
      </c>
      <c r="BJ15" s="488" t="n">
        <f aca="false">AE15+AI15+AN15+AR15+AU15</f>
        <v>0.113510488559449</v>
      </c>
      <c r="BK15" s="488" t="n">
        <f aca="false">IF(Vin&gt;Vout, AE15+AU15*0.66, AN15+AU15*0.66)</f>
        <v>0.0786132836316625</v>
      </c>
      <c r="BL15" s="488" t="n">
        <f aca="false">IF(Vin&gt;Vout, AI15+AU15*0.33, AR15+AU15*0.33)</f>
        <v>0.0269050398214785</v>
      </c>
      <c r="BM15" s="488" t="n">
        <f aca="false">AV15</f>
        <v>0.000102312984841424</v>
      </c>
      <c r="BQ15" s="0" t="s">
        <v>820</v>
      </c>
      <c r="BR15" s="591" t="n">
        <v>20</v>
      </c>
      <c r="BS15" s="591" t="n">
        <v>20</v>
      </c>
      <c r="BT15" s="591" t="n">
        <v>20</v>
      </c>
      <c r="BU15" s="592" t="n">
        <f aca="false">1000000*(5-Vdd)*BT15/1000000000+((1000000*BT9/1000000000*Vdd)*2.5/(2*4))</f>
        <v>0.1140625</v>
      </c>
      <c r="BV15" s="0" t="n">
        <f aca="false">BV$6*$BU15</f>
        <v>9.125</v>
      </c>
      <c r="BW15" s="0" t="n">
        <f aca="false">BW$6*$BU15</f>
        <v>11.40625</v>
      </c>
      <c r="BX15" s="0" t="n">
        <f aca="false">BX$6*$BU15</f>
        <v>13.6875</v>
      </c>
      <c r="BY15" s="0" t="n">
        <f aca="false">BY$6*$BU15</f>
        <v>15.96875</v>
      </c>
      <c r="BZ15" s="0" t="n">
        <f aca="false">BZ$6*$BU15</f>
        <v>18.25</v>
      </c>
      <c r="CA15" s="0" t="n">
        <f aca="false">CA$6*$BU15</f>
        <v>20.53125</v>
      </c>
      <c r="CB15" s="0" t="n">
        <f aca="false">CB$6*$BU15</f>
        <v>2.28125</v>
      </c>
      <c r="CC15" s="0" t="n">
        <f aca="false">CC$6*$BU15</f>
        <v>3.421875</v>
      </c>
      <c r="CD15" s="0" t="n">
        <f aca="false">CD$6*$BU15</f>
        <v>4.5625</v>
      </c>
      <c r="CE15" s="0" t="n">
        <f aca="false">CE$6*$BU15</f>
        <v>5.703125</v>
      </c>
    </row>
    <row r="16" customFormat="false" ht="12.75" hidden="false" customHeight="false" outlineLevel="0" collapsed="false">
      <c r="A16" s="602" t="s">
        <v>619</v>
      </c>
      <c r="B16" s="596" t="n">
        <f aca="false">Vdd</f>
        <v>7.5</v>
      </c>
      <c r="C16" s="597" t="s">
        <v>11</v>
      </c>
      <c r="D16" s="603" t="s">
        <v>821</v>
      </c>
      <c r="G16" s="0" t="n">
        <v>7</v>
      </c>
      <c r="H16" s="586" t="n">
        <f aca="false">Vin</f>
        <v>12</v>
      </c>
      <c r="I16" s="385" t="str">
        <f aca="false">IF(H16&gt;VIN_BB_to_buck, "BUCK", IF(H16&lt;VIN_boost_to_BB,"BOOST","BUCK-BST"))</f>
        <v>BUCK-BST</v>
      </c>
      <c r="J16" s="419" t="n">
        <f aca="false">IF(I16="BOOST",2, IF(I16="BUCK", 1,3))</f>
        <v>3</v>
      </c>
      <c r="K16" s="488" t="n">
        <f aca="false">Iout*G16/100</f>
        <v>0.42</v>
      </c>
      <c r="L16" s="385" t="n">
        <f aca="false">Vout*K16/(Vin*Efficiency)</f>
        <v>0.466666666666667</v>
      </c>
      <c r="M16" s="385" t="n">
        <f aca="false">K16/(1-O16)</f>
        <v>0.43979057591623</v>
      </c>
      <c r="N16" s="488" t="n">
        <f aca="false">CHOOSE(J16,(Vout+(Rdson2+Rs+Rdcr)*K16)/(Vin+(Rs+Rdson2-Rdson1)*K16), 1, IF(Vin&lt;Vout, D_max_buck_BB, Vout/Vin*(1-D_min_boost_exitBB_to_buck)))</f>
        <v>0.955</v>
      </c>
      <c r="O16" s="488" t="n">
        <f aca="false">CHOOSE(J16,0,(Vout+(Rdson3+Rdcr)*L16-Vin)/(Vout+(Rdson3-Rdson4-Rs)*L16), IF(Vin&gt;Vout,D_min_boost_exitBB_to_buck, (Vout-Vin*D_max_buck_BB)/Vout))</f>
        <v>0.0450000000000001</v>
      </c>
      <c r="P16" s="385" t="n">
        <f aca="false">MAX(0, CHOOSE(J16, (Vin-(Rdson1+Rdcr)*K16-Vout)*N16/(Fsw*Lf), (Vin-(Rdson4+Rdcr+Rs)*L16)*O16/(Fsw*Lf), IF(Vin&lt;Vout, (Vin-(Rdson4+Rdcr+Rs)*L16)*O16/(0.5*Fsw*Lf),(Vin-(Rdson1+Rdcr)*K16-Vout)*N16/(0.5*Fsw*Lf))))</f>
        <v>0</v>
      </c>
      <c r="Q16" s="385" t="n">
        <f aca="false">CHOOSE(J16, SQRT(K16^2+(P16^2)/12), SQRT(L16^2+(P16^2)/12), SQRT(M16^2+(P16^2)/12))</f>
        <v>0.43979057591623</v>
      </c>
      <c r="R16" s="488" t="n">
        <f aca="false">(Q16^2*Rdcr*(1+Ltc*Ta-Ltc*25))/(1-Q16^2*Rdcr*Ltc*ThetaCa)</f>
        <v>0.000647976352854008</v>
      </c>
      <c r="S16" s="488" t="n">
        <f aca="false">7.759*10^-3*Fsw^0.9458*(0.00787*P16)^2.304</f>
        <v>0</v>
      </c>
      <c r="T16" s="488" t="n">
        <f aca="false">R16+S16</f>
        <v>0.000647976352854008</v>
      </c>
      <c r="U16" s="385" t="n">
        <f aca="false">IF(Vin&gt;Vout, P16/SQRT(12), SQRT(O16/(1-O16))*SQRT(K16^2+(P16^2)/12))</f>
        <v>0.0911704002668452</v>
      </c>
      <c r="V16" s="488" t="n">
        <f aca="false">RCoutEsr*U16^2</f>
        <v>4.15602094240838E-005</v>
      </c>
      <c r="W16" s="488" t="n">
        <f aca="false">V16</f>
        <v>4.15602094240838E-005</v>
      </c>
      <c r="X16" s="385" t="n">
        <f aca="false">IF(Vin&gt;Vout, SQRT(N16*(1-N16))*SQRT(K16^2+(P16^2)/12), P16/SQRT(12))</f>
        <v>0</v>
      </c>
      <c r="Y16" s="587" t="n">
        <f aca="false">RCinEsr*X16^2</f>
        <v>0</v>
      </c>
      <c r="Z16" s="588" t="n">
        <f aca="false">Y16</f>
        <v>0</v>
      </c>
      <c r="AA16" s="488" t="n">
        <f aca="false">CHOOSE(J16, SQRT(N16)*SQRT(K16^2+(P16^2)/12), SQRT(L16^2+(P16^2)/12), SQRT(N16)*SQRT(M16^2+(P16^2)/12))</f>
        <v>0.429781388481187</v>
      </c>
      <c r="AB16" s="488" t="n">
        <f aca="false">Rdson1*AA16^2</f>
        <v>0.00105285863874346</v>
      </c>
      <c r="AC16" s="488" t="n">
        <f aca="false">CHOOSE(J16, (Vin*K16/2)*(Fsw)*(Tr_buck+Tf_buck), 0, (Vin*K16/2)*(Fsw/2)*(Tr_buck+Tf_buck))</f>
        <v>0.00256627833572453</v>
      </c>
      <c r="AD16" s="488" t="n">
        <f aca="false">CHOOSE(J16, IF(K16&gt;P16/2,0,ABS(K16-P16/2)*Vsd_Q1*Deadtime*Fsw),0, IF(K16&gt;P16/2,0,ABS(K16-P16/2)*Vsd_Q1*Deadtime*Fsw/2))</f>
        <v>0</v>
      </c>
      <c r="AE16" s="488" t="n">
        <f aca="false">(AD16+AC16+AB16*(1+RdsonTopTc*Ta-RdsonTopTc*25))/(1-AB16*RdsonTopTc*ThetaJA_Q1)</f>
        <v>0.00361989922290163</v>
      </c>
      <c r="AF16" s="488" t="n">
        <f aca="false">CHOOSE(J16, SQRT((1-N16))*SQRT(K16^2+(P16^2)/12), 0, SQRT((1-N16))*SQRT(M16^2+(P16^2)/12))</f>
        <v>0.0932936695596911</v>
      </c>
      <c r="AG16" s="488" t="n">
        <f aca="false">Rdson2*AF16^2</f>
        <v>4.96111400455032E-005</v>
      </c>
      <c r="AH16" s="488" t="n">
        <f aca="false">CHOOSE(J16, IF(K16&lt;P16/2,Deadtime*Fsw*IF(VfdSky_Q2&gt;0,0,Vsd_Q2)*(K16+P16/2),2*Deadtime*Fsw*IF(VfdSky_Q2&gt;0,0,Vsd_Q2)*K16),0, IF(K16&lt;P16/2,Deadtime*Fsw/2*IF(VfdSky_Q2&gt;0,0,Vsd_Q2)*(K16+P16/2),2*Deadtime*Fsw/2*IF(VfdSky_Q2&gt;0,0,Vsd_Q2)*K16))</f>
        <v>0.00504</v>
      </c>
      <c r="AI16" s="488" t="n">
        <f aca="false">(AH16+AG16*(1+RdsonBotTc*Ta-RdsonBotTc*25))/(1-AG16*RdsonBotTc*ThetaJA_Q2)</f>
        <v>0.00508966164082879</v>
      </c>
      <c r="AJ16" s="488" t="n">
        <f aca="false">CHOOSE(J16, 0, SQRT(O16)*SQRT(L16^2+(P16^2)/12), SQRT(O16)*SQRT(M16^2+(P16^2)/12))</f>
        <v>0.0932936695596912</v>
      </c>
      <c r="AK16" s="488" t="n">
        <f aca="false">Rdson4*AJ16^2</f>
        <v>1.65370466818344E-005</v>
      </c>
      <c r="AL16" s="488" t="n">
        <f aca="false">CHOOSE(J16, 0, (Vout*L16/2)*(Fsw)*(Tr_boost+Tf_boost), (Vout*Iout/2)*(Fsw/2)*(Tr_boost+Tf_boost))</f>
        <v>0.0349071770123085</v>
      </c>
      <c r="AM16" s="488" t="n">
        <f aca="false">IF(H16&gt;Vout, 0, IF(L16&gt;P16/2,0,ABS(L16-P16/2)*Vsd_Q4*Deadtime*Fsw))</f>
        <v>0</v>
      </c>
      <c r="AN16" s="488" t="n">
        <f aca="false">(AM16+AL16+AK16*(1+RdsonTopTc*Ta-RdsonTopTc*25))/(1-AK16*RdsonTopTc*ThetaJA_Q4)</f>
        <v>0.0349238295663903</v>
      </c>
      <c r="AO16" s="488" t="n">
        <f aca="false">CHOOSE(J16, SQRT(K16^2+(P16^2)/12), SQRT(1-O16)*SQRT(L16^2+(P16^2)/12), SQRT(1-O16)*SQRT(M16^2+(P16^2)/12))</f>
        <v>0.429781388481187</v>
      </c>
      <c r="AP16" s="488" t="n">
        <f aca="false">Rdson3*AO16^2</f>
        <v>0.000350952879581152</v>
      </c>
      <c r="AQ16" s="488" t="n">
        <f aca="false">CHOOSE(J16, 0, IF(L16&lt;P16/2,Deadtime*Fsw*IF(VfdSky_Q3&gt;0,0,Vsd_Q3)*(L16+P16/2), 2*Deadtime*Fsw*IF(VfdSky_Q3&gt;0,0,Vsd_Q3)*L16), IF(L16&lt;P16/2,Deadtime*Fsw/2*IF(VfdSky_Q3&gt;0,0,Vsd_Q3)*(L16+P16/2), 2*Deadtime*Fsw/2*IF(VfdSky_Q3&gt;0,0,Vsd_Q3)*L16))</f>
        <v>0.0056</v>
      </c>
      <c r="AR16" s="488" t="n">
        <f aca="false">(AQ16+AP16*(1+RdsonBotTc*Ta-RdsonBotTc*25))/(1-AP16*RdsonBotTc*ThetaJA_Q3)</f>
        <v>0.00595137060971174</v>
      </c>
      <c r="AS16" s="488" t="n">
        <f aca="false">CHOOSE(J16, Rdson3*Q16^2, Rdson1*Q16^2, 0)</f>
        <v>0</v>
      </c>
      <c r="AT16" s="488" t="n">
        <f aca="false">CHOOSE(J16, 2*Deadtime*Fsw*IF(VfdSky_Q2&gt;0,VfdSky_Q2,0)*K16, 2*Deadtime*Fsw*IF(VfdSky_Q3&gt;0,VfdSky_Q3,0)*L16, 2*Deadtime*Fsw/2*IF(VfdSky_Q2&gt;0,VfdSky_Q2,0)*K16+2*Deadtime*Fsw/2*IF(VfdSky_Q3&gt;0,VfdSky_Q3,0)*L16)</f>
        <v>0</v>
      </c>
      <c r="AU16" s="488" t="n">
        <f aca="false">CHOOSE(J16, IF(QrrSky_Q2&gt;0,QrrSky_Q2,Qrr_Q2*K16/Iout)*Fsw*(Vin-K16*Rdson1), IF(QrrSky_Q3&gt;0,QrrSky_Q3,Qrr_Q3)*Fsw*Vout,  IF(QrrSky_Q2&gt;0,QrrSky_Q2,Qrr_Q2*K16/Iout)*Fsw/2*(Vin-K16*Rdson1)+IF(QrrSky_Q3&gt;0,QrrSky_Q3,Qrr_Q3)*Fsw/2*Vout)</f>
        <v>0.067336416369</v>
      </c>
      <c r="AV16" s="488" t="n">
        <f aca="false">CHOOSE(J16, Rs*AF16^2, Rs*AJ16^2, Rs*(AF16^2+AJ16^2))</f>
        <v>0.000139259340478605</v>
      </c>
      <c r="AW16" s="488" t="n">
        <f aca="false">Rshunt_std/1000*Iout^2</f>
        <v>0.14832</v>
      </c>
      <c r="AX16" s="488" t="n">
        <f aca="false">IF(Vout&gt;8, Iq*Vout, Iq*Vin)</f>
        <v>0.036</v>
      </c>
      <c r="AY16" s="488" t="n">
        <f aca="false">CHOOSE(J16, (Qg_Q1+Qg_Q2)*Fsw, (Qg_Q3+Qg_Q4)*Fsw, (Qg_Q1+Qg_Q2+Qg_Q3+Qg_Q4)*Fsw/2)*IF(Vout&gt;8, Vout, Vin)</f>
        <v>0.1188</v>
      </c>
      <c r="AZ16" s="488" t="n">
        <f aca="false">(Vin-Vdd)*Fsw*(Qg_Q1+Qg_Q2)+(RdsonDRT+RdsonDRT2)*Fsw*Qg_Q1*Vdd/(RdsonDRT+2*Rgate1+RdsonDRT2)+(RdsonDRB+RdsonDRB2)*Fsw*Qg_Q2*Vdd/(RdsonDRB+2*Rgate2+RdsonDRB2)</f>
        <v>0.0522</v>
      </c>
      <c r="BA16" s="488" t="n">
        <f aca="false">SUM(AX16:AY16)</f>
        <v>0.1548</v>
      </c>
      <c r="BB16" s="488" t="n">
        <f aca="false">SUM(T16,W16,Z16,AE16,AI16,AN16,AR16, AT16,AU16,BA16,AV16,AW16)</f>
        <v>0.420869973311589</v>
      </c>
      <c r="BC16" s="419" t="n">
        <f aca="false">Vout*K16</f>
        <v>5.04</v>
      </c>
      <c r="BD16" s="589" t="n">
        <f aca="false">BC16/(BC16+BB16)</f>
        <v>0.922929867334606</v>
      </c>
      <c r="BE16" s="590" t="n">
        <f aca="false">IF(Vin&gt;Vout,ThetaJA_Q1*BK16,ThetaJA_Q4*BK16)</f>
        <v>3.96829321849652</v>
      </c>
      <c r="BF16" s="590" t="n">
        <f aca="false">IF(Vin&gt;Vout, ThetaJA_Q2*BL16, ThetaJA_Q3*BL16)</f>
        <v>1.40861940057409</v>
      </c>
      <c r="BG16" s="536"/>
      <c r="BH16" s="385" t="n">
        <f aca="false">BD16*100</f>
        <v>92.2929867334606</v>
      </c>
      <c r="BI16" s="488" t="n">
        <f aca="false">T16</f>
        <v>0.000647976352854008</v>
      </c>
      <c r="BJ16" s="488" t="n">
        <f aca="false">AE16+AI16+AN16+AR16+AU16</f>
        <v>0.116921177408832</v>
      </c>
      <c r="BK16" s="488" t="n">
        <f aca="false">IF(Vin&gt;Vout, AE16+AU16*0.66, AN16+AU16*0.66)</f>
        <v>0.0793658643699303</v>
      </c>
      <c r="BL16" s="488" t="n">
        <f aca="false">IF(Vin&gt;Vout, AI16+AU16*0.33, AR16+AU16*0.33)</f>
        <v>0.0281723880114817</v>
      </c>
      <c r="BM16" s="488" t="n">
        <f aca="false">AV16</f>
        <v>0.000139259340478605</v>
      </c>
      <c r="BQ16" s="0" t="s">
        <v>822</v>
      </c>
      <c r="BR16" s="591" t="n">
        <v>25</v>
      </c>
      <c r="BS16" s="591" t="n">
        <v>25</v>
      </c>
      <c r="BT16" s="591" t="n">
        <v>25</v>
      </c>
      <c r="BU16" s="592" t="n">
        <f aca="false">1000000*(12-Vdd)*BT16/1000000000+((1000000*BT9/1000000000*Vdd)*2.5/(2*4))</f>
        <v>0.2765625</v>
      </c>
      <c r="BV16" s="0" t="n">
        <f aca="false">BV$6*$BU16</f>
        <v>22.125</v>
      </c>
      <c r="BW16" s="0" t="n">
        <f aca="false">BW$6*$BU16</f>
        <v>27.65625</v>
      </c>
      <c r="BX16" s="0" t="n">
        <f aca="false">BX$6*$BU16</f>
        <v>33.1875</v>
      </c>
      <c r="BY16" s="0" t="n">
        <f aca="false">BY$6*$BU16</f>
        <v>38.71875</v>
      </c>
      <c r="BZ16" s="0" t="n">
        <f aca="false">BZ$6*$BU16</f>
        <v>44.25</v>
      </c>
      <c r="CA16" s="0" t="n">
        <f aca="false">CA$6*$BU16</f>
        <v>49.78125</v>
      </c>
      <c r="CB16" s="0" t="n">
        <f aca="false">CB$6*$BU16</f>
        <v>5.53125</v>
      </c>
      <c r="CC16" s="0" t="n">
        <f aca="false">CC$6*$BU16</f>
        <v>8.296875</v>
      </c>
      <c r="CD16" s="0" t="n">
        <f aca="false">CD$6*$BU16</f>
        <v>11.0625</v>
      </c>
      <c r="CE16" s="0" t="n">
        <f aca="false">CE$6*$BU16</f>
        <v>13.828125</v>
      </c>
    </row>
    <row r="17" customFormat="false" ht="12.75" hidden="false" customHeight="false" outlineLevel="0" collapsed="false">
      <c r="A17" s="604" t="s">
        <v>611</v>
      </c>
      <c r="B17" s="584" t="s">
        <v>812</v>
      </c>
      <c r="C17" s="604" t="s">
        <v>697</v>
      </c>
      <c r="D17" s="585" t="s">
        <v>134</v>
      </c>
      <c r="G17" s="0" t="n">
        <v>8</v>
      </c>
      <c r="H17" s="586" t="n">
        <f aca="false">Vin</f>
        <v>12</v>
      </c>
      <c r="I17" s="385" t="str">
        <f aca="false">IF(H17&gt;VIN_BB_to_buck, "BUCK", IF(H17&lt;VIN_boost_to_BB,"BOOST","BUCK-BST"))</f>
        <v>BUCK-BST</v>
      </c>
      <c r="J17" s="419" t="n">
        <f aca="false">IF(I17="BOOST",2, IF(I17="BUCK", 1,3))</f>
        <v>3</v>
      </c>
      <c r="K17" s="488" t="n">
        <f aca="false">Iout*G17/100</f>
        <v>0.48</v>
      </c>
      <c r="L17" s="385" t="n">
        <f aca="false">Vout*K17/(Vin*Efficiency)</f>
        <v>0.533333333333333</v>
      </c>
      <c r="M17" s="385" t="n">
        <f aca="false">K17/(1-O17)</f>
        <v>0.50261780104712</v>
      </c>
      <c r="N17" s="488" t="n">
        <f aca="false">CHOOSE(J17,(Vout+(Rdson2+Rs+Rdcr)*K17)/(Vin+(Rs+Rdson2-Rdson1)*K17), 1, IF(Vin&lt;Vout, D_max_buck_BB, Vout/Vin*(1-D_min_boost_exitBB_to_buck)))</f>
        <v>0.955</v>
      </c>
      <c r="O17" s="488" t="n">
        <f aca="false">CHOOSE(J17,0,(Vout+(Rdson3+Rdcr)*L17-Vin)/(Vout+(Rdson3-Rdson4-Rs)*L17), IF(Vin&gt;Vout,D_min_boost_exitBB_to_buck, (Vout-Vin*D_max_buck_BB)/Vout))</f>
        <v>0.0450000000000001</v>
      </c>
      <c r="P17" s="385" t="n">
        <f aca="false">MAX(0, CHOOSE(J17, (Vin-(Rdson1+Rdcr)*K17-Vout)*N17/(Fsw*Lf), (Vin-(Rdson4+Rdcr+Rs)*L17)*O17/(Fsw*Lf), IF(Vin&lt;Vout, (Vin-(Rdson4+Rdcr+Rs)*L17)*O17/(0.5*Fsw*Lf),(Vin-(Rdson1+Rdcr)*K17-Vout)*N17/(0.5*Fsw*Lf))))</f>
        <v>0</v>
      </c>
      <c r="Q17" s="385" t="n">
        <f aca="false">CHOOSE(J17, SQRT(K17^2+(P17^2)/12), SQRT(L17^2+(P17^2)/12), SQRT(M17^2+(P17^2)/12))</f>
        <v>0.50261780104712</v>
      </c>
      <c r="R17" s="488" t="n">
        <f aca="false">(Q17^2*Rdcr*(1+Ltc*Ta-Ltc*25))/(1-Q17^2*Rdcr*Ltc*ThetaCa)</f>
        <v>0.000846349891435012</v>
      </c>
      <c r="S17" s="488" t="n">
        <f aca="false">7.759*10^-3*Fsw^0.9458*(0.00787*P17)^2.304</f>
        <v>0</v>
      </c>
      <c r="T17" s="488" t="n">
        <f aca="false">R17+S17</f>
        <v>0.000846349891435012</v>
      </c>
      <c r="U17" s="385" t="n">
        <f aca="false">IF(Vin&gt;Vout, P17/SQRT(12), SQRT(O17/(1-O17))*SQRT(K17^2+(P17^2)/12))</f>
        <v>0.104194743162109</v>
      </c>
      <c r="V17" s="488" t="n">
        <f aca="false">RCoutEsr*U17^2</f>
        <v>5.42827225130891E-005</v>
      </c>
      <c r="W17" s="488" t="n">
        <f aca="false">V17</f>
        <v>5.42827225130891E-005</v>
      </c>
      <c r="X17" s="385" t="n">
        <f aca="false">IF(Vin&gt;Vout, SQRT(N17*(1-N17))*SQRT(K17^2+(P17^2)/12), P17/SQRT(12))</f>
        <v>0</v>
      </c>
      <c r="Y17" s="587" t="n">
        <f aca="false">RCinEsr*X17^2</f>
        <v>0</v>
      </c>
      <c r="Z17" s="588" t="n">
        <f aca="false">Y17</f>
        <v>0</v>
      </c>
      <c r="AA17" s="488" t="n">
        <f aca="false">CHOOSE(J17, SQRT(N17)*SQRT(K17^2+(P17^2)/12), SQRT(L17^2+(P17^2)/12), SQRT(N17)*SQRT(M17^2+(P17^2)/12))</f>
        <v>0.491178729692785</v>
      </c>
      <c r="AB17" s="488" t="n">
        <f aca="false">Rdson1*AA17^2</f>
        <v>0.00137516230366492</v>
      </c>
      <c r="AC17" s="488" t="n">
        <f aca="false">CHOOSE(J17, (Vin*K17/2)*(Fsw)*(Tr_buck+Tf_buck), 0, (Vin*K17/2)*(Fsw/2)*(Tr_buck+Tf_buck))</f>
        <v>0.00293288952654232</v>
      </c>
      <c r="AD17" s="488" t="n">
        <f aca="false">CHOOSE(J17, IF(K17&gt;P17/2,0,ABS(K17-P17/2)*Vsd_Q1*Deadtime*Fsw),0, IF(K17&gt;P17/2,0,ABS(K17-P17/2)*Vsd_Q1*Deadtime*Fsw/2))</f>
        <v>0</v>
      </c>
      <c r="AE17" s="488" t="n">
        <f aca="false">(AD17+AC17+AB17*(1+RdsonTopTc*Ta-RdsonTopTc*25))/(1-AB17*RdsonTopTc*ThetaJA_Q1)</f>
        <v>0.00430923701026606</v>
      </c>
      <c r="AF17" s="488" t="n">
        <f aca="false">CHOOSE(J17, SQRT((1-N17))*SQRT(K17^2+(P17^2)/12), 0, SQRT((1-N17))*SQRT(M17^2+(P17^2)/12))</f>
        <v>0.106621336639647</v>
      </c>
      <c r="AG17" s="488" t="n">
        <f aca="false">Rdson2*AF17^2</f>
        <v>6.47982237329021E-005</v>
      </c>
      <c r="AH17" s="488" t="n">
        <f aca="false">CHOOSE(J17, IF(K17&lt;P17/2,Deadtime*Fsw*IF(VfdSky_Q2&gt;0,0,Vsd_Q2)*(K17+P17/2),2*Deadtime*Fsw*IF(VfdSky_Q2&gt;0,0,Vsd_Q2)*K17),0, IF(K17&lt;P17/2,Deadtime*Fsw/2*IF(VfdSky_Q2&gt;0,0,Vsd_Q2)*(K17+P17/2),2*Deadtime*Fsw/2*IF(VfdSky_Q2&gt;0,0,Vsd_Q2)*K17))</f>
        <v>0.00576</v>
      </c>
      <c r="AI17" s="488" t="n">
        <f aca="false">(AH17+AG17*(1+RdsonBotTc*Ta-RdsonBotTc*25))/(1-AG17*RdsonBotTc*ThetaJA_Q2)</f>
        <v>0.0058248737120269</v>
      </c>
      <c r="AJ17" s="488" t="n">
        <f aca="false">CHOOSE(J17, 0, SQRT(O17)*SQRT(L17^2+(P17^2)/12), SQRT(O17)*SQRT(M17^2+(P17^2)/12))</f>
        <v>0.106621336639647</v>
      </c>
      <c r="AK17" s="488" t="n">
        <f aca="false">Rdson4*AJ17^2</f>
        <v>2.15994079109674E-005</v>
      </c>
      <c r="AL17" s="488" t="n">
        <f aca="false">CHOOSE(J17, 0, (Vout*L17/2)*(Fsw)*(Tr_boost+Tf_boost), (Vout*Iout/2)*(Fsw/2)*(Tr_boost+Tf_boost))</f>
        <v>0.0349071770123085</v>
      </c>
      <c r="AM17" s="488" t="n">
        <f aca="false">IF(H17&gt;Vout, 0, IF(L17&gt;P17/2,0,ABS(L17-P17/2)*Vsd_Q4*Deadtime*Fsw))</f>
        <v>0</v>
      </c>
      <c r="AN17" s="488" t="n">
        <f aca="false">(AM17+AL17+AK17*(1+RdsonTopTc*Ta-RdsonTopTc*25))/(1-AK17*RdsonTopTc*ThetaJA_Q4)</f>
        <v>0.0349289273090493</v>
      </c>
      <c r="AO17" s="488" t="n">
        <f aca="false">CHOOSE(J17, SQRT(K17^2+(P17^2)/12), SQRT(1-O17)*SQRT(L17^2+(P17^2)/12), SQRT(1-O17)*SQRT(M17^2+(P17^2)/12))</f>
        <v>0.491178729692785</v>
      </c>
      <c r="AP17" s="488" t="n">
        <f aca="false">Rdson3*AO17^2</f>
        <v>0.000458387434554974</v>
      </c>
      <c r="AQ17" s="488" t="n">
        <f aca="false">CHOOSE(J17, 0, IF(L17&lt;P17/2,Deadtime*Fsw*IF(VfdSky_Q3&gt;0,0,Vsd_Q3)*(L17+P17/2), 2*Deadtime*Fsw*IF(VfdSky_Q3&gt;0,0,Vsd_Q3)*L17), IF(L17&lt;P17/2,Deadtime*Fsw/2*IF(VfdSky_Q3&gt;0,0,Vsd_Q3)*(L17+P17/2), 2*Deadtime*Fsw/2*IF(VfdSky_Q3&gt;0,0,Vsd_Q3)*L17))</f>
        <v>0.0064</v>
      </c>
      <c r="AR17" s="488" t="n">
        <f aca="false">(AQ17+AP17*(1+RdsonBotTc*Ta-RdsonBotTc*25))/(1-AP17*RdsonBotTc*ThetaJA_Q3)</f>
        <v>0.00685901625192763</v>
      </c>
      <c r="AS17" s="488" t="n">
        <f aca="false">CHOOSE(J17, Rdson3*Q17^2, Rdson1*Q17^2, 0)</f>
        <v>0</v>
      </c>
      <c r="AT17" s="488" t="n">
        <f aca="false">CHOOSE(J17, 2*Deadtime*Fsw*IF(VfdSky_Q2&gt;0,VfdSky_Q2,0)*K17, 2*Deadtime*Fsw*IF(VfdSky_Q3&gt;0,VfdSky_Q3,0)*L17, 2*Deadtime*Fsw/2*IF(VfdSky_Q2&gt;0,VfdSky_Q2,0)*K17+2*Deadtime*Fsw/2*IF(VfdSky_Q3&gt;0,VfdSky_Q3,0)*L17)</f>
        <v>0</v>
      </c>
      <c r="AU17" s="488" t="n">
        <f aca="false">CHOOSE(J17, IF(QrrSky_Q2&gt;0,QrrSky_Q2,Qrr_Q2*K17/Iout)*Fsw*(Vin-K17*Rdson1), IF(QrrSky_Q3&gt;0,QrrSky_Q3,Qrr_Q3)*Fsw*Vout,  IF(QrrSky_Q2&gt;0,QrrSky_Q2,Qrr_Q2*K17/Iout)*Fsw/2*(Vin-K17*Rdson1)+IF(QrrSky_Q3&gt;0,QrrSky_Q3,Qrr_Q3)*Fsw/2*Vout)</f>
        <v>0.068469931584</v>
      </c>
      <c r="AV17" s="488" t="n">
        <f aca="false">CHOOSE(J17, Rs*AF17^2, Rs*AJ17^2, Rs*(AF17^2+AJ17^2))</f>
        <v>0.000181889750829199</v>
      </c>
      <c r="AW17" s="488" t="n">
        <f aca="false">Rshunt_std/1000*Iout^2</f>
        <v>0.14832</v>
      </c>
      <c r="AX17" s="488" t="n">
        <f aca="false">IF(Vout&gt;8, Iq*Vout, Iq*Vin)</f>
        <v>0.036</v>
      </c>
      <c r="AY17" s="488" t="n">
        <f aca="false">CHOOSE(J17, (Qg_Q1+Qg_Q2)*Fsw, (Qg_Q3+Qg_Q4)*Fsw, (Qg_Q1+Qg_Q2+Qg_Q3+Qg_Q4)*Fsw/2)*IF(Vout&gt;8, Vout, Vin)</f>
        <v>0.1188</v>
      </c>
      <c r="AZ17" s="488" t="n">
        <f aca="false">(Vin-Vdd)*Fsw*(Qg_Q1+Qg_Q2)+(RdsonDRT+RdsonDRT2)*Fsw*Qg_Q1*Vdd/(RdsonDRT+2*Rgate1+RdsonDRT2)+(RdsonDRB+RdsonDRB2)*Fsw*Qg_Q2*Vdd/(RdsonDRB+2*Rgate2+RdsonDRB2)</f>
        <v>0.0522</v>
      </c>
      <c r="BA17" s="488" t="n">
        <f aca="false">SUM(AX17:AY17)</f>
        <v>0.1548</v>
      </c>
      <c r="BB17" s="488" t="n">
        <f aca="false">SUM(T17,W17,Z17,AE17,AI17,AN17,AR17, AT17,AU17,BA17,AV17,AW17)</f>
        <v>0.424594508232047</v>
      </c>
      <c r="BC17" s="419" t="n">
        <f aca="false">Vout*K17</f>
        <v>5.76</v>
      </c>
      <c r="BD17" s="589" t="n">
        <f aca="false">BC17/(BC17+BB17)</f>
        <v>0.931346427374198</v>
      </c>
      <c r="BE17" s="590" t="n">
        <f aca="false">IF(Vin&gt;Vout,ThetaJA_Q1*BK17,ThetaJA_Q4*BK17)</f>
        <v>4.00595410772446</v>
      </c>
      <c r="BF17" s="590" t="n">
        <f aca="false">IF(Vin&gt;Vout, ThetaJA_Q2*BL17, ThetaJA_Q3*BL17)</f>
        <v>1.47270468373238</v>
      </c>
      <c r="BG17" s="536"/>
      <c r="BH17" s="385" t="n">
        <f aca="false">BD17*100</f>
        <v>93.1346427374198</v>
      </c>
      <c r="BI17" s="488" t="n">
        <f aca="false">T17</f>
        <v>0.000846349891435012</v>
      </c>
      <c r="BJ17" s="488" t="n">
        <f aca="false">AE17+AI17+AN17+AR17+AU17</f>
        <v>0.12039198586727</v>
      </c>
      <c r="BK17" s="488" t="n">
        <f aca="false">IF(Vin&gt;Vout, AE17+AU17*0.66, AN17+AU17*0.66)</f>
        <v>0.0801190821544893</v>
      </c>
      <c r="BL17" s="488" t="n">
        <f aca="false">IF(Vin&gt;Vout, AI17+AU17*0.33, AR17+AU17*0.33)</f>
        <v>0.0294540936746476</v>
      </c>
      <c r="BM17" s="488" t="n">
        <f aca="false">AV17</f>
        <v>0.000181889750829199</v>
      </c>
      <c r="BQ17" s="0" t="s">
        <v>823</v>
      </c>
      <c r="BR17" s="591" t="n">
        <v>50</v>
      </c>
      <c r="BS17" s="591" t="n">
        <v>50</v>
      </c>
      <c r="BT17" s="591" t="n">
        <v>50</v>
      </c>
      <c r="BU17" s="592" t="n">
        <f aca="false">500000*(18-Vdd)*BT17/1000000000+((500000*BT15/1000000000*Vdd)*2.5/(2*4))</f>
        <v>0.2859375</v>
      </c>
      <c r="BV17" s="0" t="n">
        <f aca="false">BV$6*$BU17</f>
        <v>22.875</v>
      </c>
      <c r="BW17" s="0" t="n">
        <f aca="false">BW$6*$BU17</f>
        <v>28.59375</v>
      </c>
      <c r="BX17" s="0" t="n">
        <f aca="false">BX$6*$BU17</f>
        <v>34.3125</v>
      </c>
      <c r="BY17" s="0" t="n">
        <f aca="false">BY$6*$BU17</f>
        <v>40.03125</v>
      </c>
      <c r="BZ17" s="0" t="n">
        <f aca="false">BZ$6*$BU17</f>
        <v>45.75</v>
      </c>
      <c r="CA17" s="0" t="n">
        <f aca="false">CA$6*$BU17</f>
        <v>51.46875</v>
      </c>
      <c r="CB17" s="0" t="n">
        <f aca="false">CB$6*$BU17</f>
        <v>5.71875</v>
      </c>
      <c r="CC17" s="0" t="n">
        <f aca="false">CC$6*$BU17</f>
        <v>8.578125</v>
      </c>
      <c r="CD17" s="0" t="n">
        <f aca="false">CD$6*$BU17</f>
        <v>11.4375</v>
      </c>
      <c r="CE17" s="0" t="n">
        <f aca="false">CE$6*$BU17</f>
        <v>14.296875</v>
      </c>
    </row>
    <row r="18" customFormat="false" ht="12.75" hidden="false" customHeight="false" outlineLevel="0" collapsed="false">
      <c r="A18" s="605" t="s">
        <v>824</v>
      </c>
      <c r="B18" s="606" t="n">
        <f aca="false">Lf*1000000</f>
        <v>4.7</v>
      </c>
      <c r="C18" s="607" t="s">
        <v>825</v>
      </c>
      <c r="D18" s="603" t="s">
        <v>826</v>
      </c>
      <c r="G18" s="0" t="n">
        <v>9</v>
      </c>
      <c r="H18" s="586" t="n">
        <f aca="false">Vin</f>
        <v>12</v>
      </c>
      <c r="I18" s="385" t="str">
        <f aca="false">IF(H18&gt;VIN_BB_to_buck, "BUCK", IF(H18&lt;VIN_boost_to_BB,"BOOST","BUCK-BST"))</f>
        <v>BUCK-BST</v>
      </c>
      <c r="J18" s="419" t="n">
        <f aca="false">IF(I18="BOOST",2, IF(I18="BUCK", 1,3))</f>
        <v>3</v>
      </c>
      <c r="K18" s="488" t="n">
        <f aca="false">Iout*G18/100</f>
        <v>0.54</v>
      </c>
      <c r="L18" s="385" t="n">
        <f aca="false">Vout*K18/(Vin*Efficiency)</f>
        <v>0.6</v>
      </c>
      <c r="M18" s="385" t="n">
        <f aca="false">K18/(1-O18)</f>
        <v>0.565445026178011</v>
      </c>
      <c r="N18" s="488" t="n">
        <f aca="false">CHOOSE(J18,(Vout+(Rdson2+Rs+Rdcr)*K18)/(Vin+(Rs+Rdson2-Rdson1)*K18), 1, IF(Vin&lt;Vout, D_max_buck_BB, Vout/Vin*(1-D_min_boost_exitBB_to_buck)))</f>
        <v>0.955</v>
      </c>
      <c r="O18" s="488" t="n">
        <f aca="false">CHOOSE(J18,0,(Vout+(Rdson3+Rdcr)*L18-Vin)/(Vout+(Rdson3-Rdson4-Rs)*L18), IF(Vin&gt;Vout,D_min_boost_exitBB_to_buck, (Vout-Vin*D_max_buck_BB)/Vout))</f>
        <v>0.0450000000000001</v>
      </c>
      <c r="P18" s="385" t="n">
        <f aca="false">MAX(0, CHOOSE(J18, (Vin-(Rdson1+Rdcr)*K18-Vout)*N18/(Fsw*Lf), (Vin-(Rdson4+Rdcr+Rs)*L18)*O18/(Fsw*Lf), IF(Vin&lt;Vout, (Vin-(Rdson4+Rdcr+Rs)*L18)*O18/(0.5*Fsw*Lf),(Vin-(Rdson1+Rdcr)*K18-Vout)*N18/(0.5*Fsw*Lf))))</f>
        <v>0</v>
      </c>
      <c r="Q18" s="385" t="n">
        <f aca="false">CHOOSE(J18, SQRT(K18^2+(P18^2)/12), SQRT(L18^2+(P18^2)/12), SQRT(M18^2+(P18^2)/12))</f>
        <v>0.565445026178011</v>
      </c>
      <c r="R18" s="488" t="n">
        <f aca="false">(Q18^2*Rdcr*(1+Ltc*Ta-Ltc*25))/(1-Q18^2*Rdcr*Ltc*ThetaCa)</f>
        <v>0.00107118084646554</v>
      </c>
      <c r="S18" s="488" t="n">
        <f aca="false">7.759*10^-3*Fsw^0.9458*(0.00787*P18)^2.304</f>
        <v>0</v>
      </c>
      <c r="T18" s="488" t="n">
        <f aca="false">R18+S18</f>
        <v>0.00107118084646554</v>
      </c>
      <c r="U18" s="385" t="n">
        <f aca="false">IF(Vin&gt;Vout, P18/SQRT(12), SQRT(O18/(1-O18))*SQRT(K18^2+(P18^2)/12))</f>
        <v>0.117219086057372</v>
      </c>
      <c r="V18" s="488" t="n">
        <f aca="false">RCoutEsr*U18^2</f>
        <v>6.87015706806284E-005</v>
      </c>
      <c r="W18" s="488" t="n">
        <f aca="false">V18</f>
        <v>6.87015706806284E-005</v>
      </c>
      <c r="X18" s="385" t="n">
        <f aca="false">IF(Vin&gt;Vout, SQRT(N18*(1-N18))*SQRT(K18^2+(P18^2)/12), P18/SQRT(12))</f>
        <v>0</v>
      </c>
      <c r="Y18" s="587" t="n">
        <f aca="false">RCinEsr*X18^2</f>
        <v>0</v>
      </c>
      <c r="Z18" s="588" t="n">
        <f aca="false">Y18</f>
        <v>0</v>
      </c>
      <c r="AA18" s="488" t="n">
        <f aca="false">CHOOSE(J18, SQRT(N18)*SQRT(K18^2+(P18^2)/12), SQRT(L18^2+(P18^2)/12), SQRT(N18)*SQRT(M18^2+(P18^2)/12))</f>
        <v>0.552576070904383</v>
      </c>
      <c r="AB18" s="488" t="n">
        <f aca="false">Rdson1*AA18^2</f>
        <v>0.00174043979057592</v>
      </c>
      <c r="AC18" s="488" t="n">
        <f aca="false">CHOOSE(J18, (Vin*K18/2)*(Fsw)*(Tr_buck+Tf_buck), 0, (Vin*K18/2)*(Fsw/2)*(Tr_buck+Tf_buck))</f>
        <v>0.00329950071736011</v>
      </c>
      <c r="AD18" s="488" t="n">
        <f aca="false">CHOOSE(J18, IF(K18&gt;P18/2,0,ABS(K18-P18/2)*Vsd_Q1*Deadtime*Fsw),0, IF(K18&gt;P18/2,0,ABS(K18-P18/2)*Vsd_Q1*Deadtime*Fsw/2))</f>
        <v>0</v>
      </c>
      <c r="AE18" s="488" t="n">
        <f aca="false">(AD18+AC18+AB18*(1+RdsonTopTc*Ta-RdsonTopTc*25))/(1-AB18*RdsonTopTc*ThetaJA_Q1)</f>
        <v>0.00504169546141463</v>
      </c>
      <c r="AF18" s="488" t="n">
        <f aca="false">CHOOSE(J18, SQRT((1-N18))*SQRT(K18^2+(P18^2)/12), 0, SQRT((1-N18))*SQRT(M18^2+(P18^2)/12))</f>
        <v>0.119949003719603</v>
      </c>
      <c r="AG18" s="488" t="n">
        <f aca="false">Rdson2*AF18^2</f>
        <v>8.20102519119542E-005</v>
      </c>
      <c r="AH18" s="488" t="n">
        <f aca="false">CHOOSE(J18, IF(K18&lt;P18/2,Deadtime*Fsw*IF(VfdSky_Q2&gt;0,0,Vsd_Q2)*(K18+P18/2),2*Deadtime*Fsw*IF(VfdSky_Q2&gt;0,0,Vsd_Q2)*K18),0, IF(K18&lt;P18/2,Deadtime*Fsw/2*IF(VfdSky_Q2&gt;0,0,Vsd_Q2)*(K18+P18/2),2*Deadtime*Fsw/2*IF(VfdSky_Q2&gt;0,0,Vsd_Q2)*K18))</f>
        <v>0.00648</v>
      </c>
      <c r="AI18" s="488" t="n">
        <f aca="false">(AH18+AG18*(1+RdsonBotTc*Ta-RdsonBotTc*25))/(1-AG18*RdsonBotTc*ThetaJA_Q2)</f>
        <v>0.00656211788410011</v>
      </c>
      <c r="AJ18" s="488" t="n">
        <f aca="false">CHOOSE(J18, 0, SQRT(O18)*SQRT(L18^2+(P18^2)/12), SQRT(O18)*SQRT(M18^2+(P18^2)/12))</f>
        <v>0.119949003719603</v>
      </c>
      <c r="AK18" s="488" t="n">
        <f aca="false">Rdson4*AJ18^2</f>
        <v>2.73367506373181E-005</v>
      </c>
      <c r="AL18" s="488" t="n">
        <f aca="false">CHOOSE(J18, 0, (Vout*L18/2)*(Fsw)*(Tr_boost+Tf_boost), (Vout*Iout/2)*(Fsw/2)*(Tr_boost+Tf_boost))</f>
        <v>0.0349071770123085</v>
      </c>
      <c r="AM18" s="488" t="n">
        <f aca="false">IF(H18&gt;Vout, 0, IF(L18&gt;P18/2,0,ABS(L18-P18/2)*Vsd_Q4*Deadtime*Fsw))</f>
        <v>0</v>
      </c>
      <c r="AN18" s="488" t="n">
        <f aca="false">(AM18+AL18+AK18*(1+RdsonTopTc*Ta-RdsonTopTc*25))/(1-AK18*RdsonTopTc*ThetaJA_Q4)</f>
        <v>0.0349347047632084</v>
      </c>
      <c r="AO18" s="488" t="n">
        <f aca="false">CHOOSE(J18, SQRT(K18^2+(P18^2)/12), SQRT(1-O18)*SQRT(L18^2+(P18^2)/12), SQRT(1-O18)*SQRT(M18^2+(P18^2)/12))</f>
        <v>0.552576070904383</v>
      </c>
      <c r="AP18" s="488" t="n">
        <f aca="false">Rdson3*AO18^2</f>
        <v>0.000580146596858639</v>
      </c>
      <c r="AQ18" s="488" t="n">
        <f aca="false">CHOOSE(J18, 0, IF(L18&lt;P18/2,Deadtime*Fsw*IF(VfdSky_Q3&gt;0,0,Vsd_Q3)*(L18+P18/2), 2*Deadtime*Fsw*IF(VfdSky_Q3&gt;0,0,Vsd_Q3)*L18), IF(L18&lt;P18/2,Deadtime*Fsw/2*IF(VfdSky_Q3&gt;0,0,Vsd_Q3)*(L18+P18/2), 2*Deadtime*Fsw/2*IF(VfdSky_Q3&gt;0,0,Vsd_Q3)*L18))</f>
        <v>0.0072</v>
      </c>
      <c r="AR18" s="488" t="n">
        <f aca="false">(AQ18+AP18*(1+RdsonBotTc*Ta-RdsonBotTc*25))/(1-AP18*RdsonBotTc*ThetaJA_Q3)</f>
        <v>0.00778104942672762</v>
      </c>
      <c r="AS18" s="488" t="n">
        <f aca="false">CHOOSE(J18, Rdson3*Q18^2, Rdson1*Q18^2, 0)</f>
        <v>0</v>
      </c>
      <c r="AT18" s="488" t="n">
        <f aca="false">CHOOSE(J18, 2*Deadtime*Fsw*IF(VfdSky_Q2&gt;0,VfdSky_Q2,0)*K18, 2*Deadtime*Fsw*IF(VfdSky_Q3&gt;0,VfdSky_Q3,0)*L18, 2*Deadtime*Fsw/2*IF(VfdSky_Q2&gt;0,VfdSky_Q2,0)*K18+2*Deadtime*Fsw/2*IF(VfdSky_Q3&gt;0,VfdSky_Q3,0)*L18)</f>
        <v>0</v>
      </c>
      <c r="AU18" s="488" t="n">
        <f aca="false">CHOOSE(J18, IF(QrrSky_Q2&gt;0,QrrSky_Q2,Qrr_Q2*K18/Iout)*Fsw*(Vin-K18*Rdson1), IF(QrrSky_Q3&gt;0,QrrSky_Q3,Qrr_Q3)*Fsw*Vout,  IF(QrrSky_Q2&gt;0,QrrSky_Q2,Qrr_Q2*K18/Iout)*Fsw/2*(Vin-K18*Rdson1)+IF(QrrSky_Q3&gt;0,QrrSky_Q3,Qrr_Q3)*Fsw/2*Vout)</f>
        <v>0.069603382161</v>
      </c>
      <c r="AV18" s="488" t="n">
        <f aca="false">CHOOSE(J18, Rs*AF18^2, Rs*AJ18^2, Rs*(AF18^2+AJ18^2))</f>
        <v>0.000230204215893205</v>
      </c>
      <c r="AW18" s="488" t="n">
        <f aca="false">Rshunt_std/1000*Iout^2</f>
        <v>0.14832</v>
      </c>
      <c r="AX18" s="488" t="n">
        <f aca="false">IF(Vout&gt;8, Iq*Vout, Iq*Vin)</f>
        <v>0.036</v>
      </c>
      <c r="AY18" s="488" t="n">
        <f aca="false">CHOOSE(J18, (Qg_Q1+Qg_Q2)*Fsw, (Qg_Q3+Qg_Q4)*Fsw, (Qg_Q1+Qg_Q2+Qg_Q3+Qg_Q4)*Fsw/2)*IF(Vout&gt;8, Vout, Vin)</f>
        <v>0.1188</v>
      </c>
      <c r="AZ18" s="488" t="n">
        <f aca="false">(Vin-Vdd)*Fsw*(Qg_Q1+Qg_Q2)+(RdsonDRT+RdsonDRT2)*Fsw*Qg_Q1*Vdd/(RdsonDRT+2*Rgate1+RdsonDRT2)+(RdsonDRB+RdsonDRB2)*Fsw*Qg_Q2*Vdd/(RdsonDRB+2*Rgate2+RdsonDRB2)</f>
        <v>0.0522</v>
      </c>
      <c r="BA18" s="488" t="n">
        <f aca="false">SUM(AX18:AY18)</f>
        <v>0.1548</v>
      </c>
      <c r="BB18" s="488" t="n">
        <f aca="false">SUM(T18,W18,Z18,AE18,AI18,AN18,AR18, AT18,AU18,BA18,AV18,AW18)</f>
        <v>0.42841303632949</v>
      </c>
      <c r="BC18" s="419" t="n">
        <f aca="false">Vout*K18</f>
        <v>6.48</v>
      </c>
      <c r="BD18" s="589" t="n">
        <f aca="false">BC18/(BC18+BB18)</f>
        <v>0.937986765690386</v>
      </c>
      <c r="BE18" s="590" t="n">
        <f aca="false">IF(Vin&gt;Vout,ThetaJA_Q1*BK18,ThetaJA_Q4*BK18)</f>
        <v>4.04364684947342</v>
      </c>
      <c r="BF18" s="590" t="n">
        <f aca="false">IF(Vin&gt;Vout, ThetaJA_Q2*BL18, ThetaJA_Q3*BL18)</f>
        <v>1.53750827699288</v>
      </c>
      <c r="BG18" s="536"/>
      <c r="BH18" s="385" t="n">
        <f aca="false">BD18*100</f>
        <v>93.7986765690386</v>
      </c>
      <c r="BI18" s="488" t="n">
        <f aca="false">T18</f>
        <v>0.00107118084646554</v>
      </c>
      <c r="BJ18" s="488" t="n">
        <f aca="false">AE18+AI18+AN18+AR18+AU18</f>
        <v>0.123922949696451</v>
      </c>
      <c r="BK18" s="488" t="n">
        <f aca="false">IF(Vin&gt;Vout, AE18+AU18*0.66, AN18+AU18*0.66)</f>
        <v>0.0808729369894684</v>
      </c>
      <c r="BL18" s="488" t="n">
        <f aca="false">IF(Vin&gt;Vout, AI18+AU18*0.33, AR18+AU18*0.33)</f>
        <v>0.0307501655398576</v>
      </c>
      <c r="BM18" s="488" t="n">
        <f aca="false">AV18</f>
        <v>0.000230204215893205</v>
      </c>
      <c r="BQ18" s="0" t="s">
        <v>827</v>
      </c>
      <c r="BS18" s="591"/>
      <c r="BT18" s="592"/>
    </row>
    <row r="19" customFormat="false" ht="12.75" hidden="false" customHeight="false" outlineLevel="0" collapsed="false">
      <c r="A19" s="605" t="s">
        <v>283</v>
      </c>
      <c r="B19" s="608" t="n">
        <f aca="false">Rdcr*1000</f>
        <v>3.35</v>
      </c>
      <c r="C19" s="609" t="s">
        <v>828</v>
      </c>
      <c r="D19" s="603" t="s">
        <v>829</v>
      </c>
      <c r="G19" s="0" t="n">
        <v>10</v>
      </c>
      <c r="H19" s="586" t="n">
        <f aca="false">Vin</f>
        <v>12</v>
      </c>
      <c r="I19" s="385" t="str">
        <f aca="false">IF(H19&gt;VIN_BB_to_buck, "BUCK", IF(H19&lt;VIN_boost_to_BB,"BOOST","BUCK-BST"))</f>
        <v>BUCK-BST</v>
      </c>
      <c r="J19" s="419" t="n">
        <f aca="false">IF(I19="BOOST",2, IF(I19="BUCK", 1,3))</f>
        <v>3</v>
      </c>
      <c r="K19" s="488" t="n">
        <f aca="false">Iout*G19/100</f>
        <v>0.6</v>
      </c>
      <c r="L19" s="385" t="n">
        <f aca="false">Vout*K19/(Vin*Efficiency)</f>
        <v>0.666666666666667</v>
      </c>
      <c r="M19" s="385" t="n">
        <f aca="false">K19/(1-O19)</f>
        <v>0.628272251308901</v>
      </c>
      <c r="N19" s="488" t="n">
        <f aca="false">CHOOSE(J19,(Vout+(Rdson2+Rs+Rdcr)*K19)/(Vin+(Rs+Rdson2-Rdson1)*K19), 1, IF(Vin&lt;Vout, D_max_buck_BB, Vout/Vin*(1-D_min_boost_exitBB_to_buck)))</f>
        <v>0.955</v>
      </c>
      <c r="O19" s="488" t="n">
        <f aca="false">CHOOSE(J19,0,(Vout+(Rdson3+Rdcr)*L19-Vin)/(Vout+(Rdson3-Rdson4-Rs)*L19), IF(Vin&gt;Vout,D_min_boost_exitBB_to_buck, (Vout-Vin*D_max_buck_BB)/Vout))</f>
        <v>0.0450000000000001</v>
      </c>
      <c r="P19" s="385" t="n">
        <f aca="false">MAX(0, CHOOSE(J19, (Vin-(Rdson1+Rdcr)*K19-Vout)*N19/(Fsw*Lf), (Vin-(Rdson4+Rdcr+Rs)*L19)*O19/(Fsw*Lf), IF(Vin&lt;Vout, (Vin-(Rdson4+Rdcr+Rs)*L19)*O19/(0.5*Fsw*Lf),(Vin-(Rdson1+Rdcr)*K19-Vout)*N19/(0.5*Fsw*Lf))))</f>
        <v>0</v>
      </c>
      <c r="Q19" s="385" t="n">
        <f aca="false">CHOOSE(J19, SQRT(K19^2+(P19^2)/12), SQRT(L19^2+(P19^2)/12), SQRT(M19^2+(P19^2)/12))</f>
        <v>0.628272251308901</v>
      </c>
      <c r="R19" s="488" t="n">
        <f aca="false">(Q19^2*Rdcr*(1+Ltc*Ta-Ltc*25))/(1-Q19^2*Rdcr*Ltc*ThetaCa)</f>
        <v>0.00132247207270149</v>
      </c>
      <c r="S19" s="488" t="n">
        <f aca="false">7.759*10^-3*Fsw^0.9458*(0.00787*P19)^2.304</f>
        <v>0</v>
      </c>
      <c r="T19" s="488" t="n">
        <f aca="false">R19+S19</f>
        <v>0.00132247207270149</v>
      </c>
      <c r="U19" s="385" t="n">
        <f aca="false">IF(Vin&gt;Vout, P19/SQRT(12), SQRT(O19/(1-O19))*SQRT(K19^2+(P19^2)/12))</f>
        <v>0.130243428952636</v>
      </c>
      <c r="V19" s="488" t="n">
        <f aca="false">RCoutEsr*U19^2</f>
        <v>8.48167539267017E-005</v>
      </c>
      <c r="W19" s="488" t="n">
        <f aca="false">V19</f>
        <v>8.48167539267017E-005</v>
      </c>
      <c r="X19" s="385" t="n">
        <f aca="false">IF(Vin&gt;Vout, SQRT(N19*(1-N19))*SQRT(K19^2+(P19^2)/12), P19/SQRT(12))</f>
        <v>0</v>
      </c>
      <c r="Y19" s="587" t="n">
        <f aca="false">RCinEsr*X19^2</f>
        <v>0</v>
      </c>
      <c r="Z19" s="588" t="n">
        <f aca="false">Y19</f>
        <v>0</v>
      </c>
      <c r="AA19" s="488" t="n">
        <f aca="false">CHOOSE(J19, SQRT(N19)*SQRT(K19^2+(P19^2)/12), SQRT(L19^2+(P19^2)/12), SQRT(N19)*SQRT(M19^2+(P19^2)/12))</f>
        <v>0.613973412115981</v>
      </c>
      <c r="AB19" s="488" t="n">
        <f aca="false">Rdson1*AA19^2</f>
        <v>0.00214869109947644</v>
      </c>
      <c r="AC19" s="488" t="n">
        <f aca="false">CHOOSE(J19, (Vin*K19/2)*(Fsw)*(Tr_buck+Tf_buck), 0, (Vin*K19/2)*(Fsw/2)*(Tr_buck+Tf_buck))</f>
        <v>0.0036661119081779</v>
      </c>
      <c r="AD19" s="488" t="n">
        <f aca="false">CHOOSE(J19, IF(K19&gt;P19/2,0,ABS(K19-P19/2)*Vsd_Q1*Deadtime*Fsw),0, IF(K19&gt;P19/2,0,ABS(K19-P19/2)*Vsd_Q1*Deadtime*Fsw/2))</f>
        <v>0</v>
      </c>
      <c r="AE19" s="488" t="n">
        <f aca="false">(AD19+AC19+AB19*(1+RdsonTopTc*Ta-RdsonTopTc*25))/(1-AB19*RdsonTopTc*ThetaJA_Q1)</f>
        <v>0.00581730292505795</v>
      </c>
      <c r="AF19" s="488" t="n">
        <f aca="false">CHOOSE(J19, SQRT((1-N19))*SQRT(K19^2+(P19^2)/12), 0, SQRT((1-N19))*SQRT(M19^2+(P19^2)/12))</f>
        <v>0.133276670799559</v>
      </c>
      <c r="AG19" s="488" t="n">
        <f aca="false">Rdson2*AF19^2</f>
        <v>0.00010124722458266</v>
      </c>
      <c r="AH19" s="488" t="n">
        <f aca="false">CHOOSE(J19, IF(K19&lt;P19/2,Deadtime*Fsw*IF(VfdSky_Q2&gt;0,0,Vsd_Q2)*(K19+P19/2),2*Deadtime*Fsw*IF(VfdSky_Q2&gt;0,0,Vsd_Q2)*K19),0, IF(K19&lt;P19/2,Deadtime*Fsw/2*IF(VfdSky_Q2&gt;0,0,Vsd_Q2)*(K19+P19/2),2*Deadtime*Fsw/2*IF(VfdSky_Q2&gt;0,0,Vsd_Q2)*K19))</f>
        <v>0.0072</v>
      </c>
      <c r="AI19" s="488" t="n">
        <f aca="false">(AH19+AG19*(1+RdsonBotTc*Ta-RdsonBotTc*25))/(1-AG19*RdsonBotTc*ThetaJA_Q2)</f>
        <v>0.00730139507378002</v>
      </c>
      <c r="AJ19" s="488" t="n">
        <f aca="false">CHOOSE(J19, 0, SQRT(O19)*SQRT(L19^2+(P19^2)/12), SQRT(O19)*SQRT(M19^2+(P19^2)/12))</f>
        <v>0.133276670799559</v>
      </c>
      <c r="AK19" s="488" t="n">
        <f aca="false">Rdson4*AJ19^2</f>
        <v>3.37490748608865E-005</v>
      </c>
      <c r="AL19" s="488" t="n">
        <f aca="false">CHOOSE(J19, 0, (Vout*L19/2)*(Fsw)*(Tr_boost+Tf_boost), (Vout*Iout/2)*(Fsw/2)*(Tr_boost+Tf_boost))</f>
        <v>0.0349071770123085</v>
      </c>
      <c r="AM19" s="488" t="n">
        <f aca="false">IF(H19&gt;Vout, 0, IF(L19&gt;P19/2,0,ABS(L19-P19/2)*Vsd_Q4*Deadtime*Fsw))</f>
        <v>0</v>
      </c>
      <c r="AN19" s="488" t="n">
        <f aca="false">(AM19+AL19+AK19*(1+RdsonTopTc*Ta-RdsonTopTc*25))/(1-AK19*RdsonTopTc*ThetaJA_Q4)</f>
        <v>0.0349411619335474</v>
      </c>
      <c r="AO19" s="488" t="n">
        <f aca="false">CHOOSE(J19, SQRT(K19^2+(P19^2)/12), SQRT(1-O19)*SQRT(L19^2+(P19^2)/12), SQRT(1-O19)*SQRT(M19^2+(P19^2)/12))</f>
        <v>0.613973412115981</v>
      </c>
      <c r="AP19" s="488" t="n">
        <f aca="false">Rdson3*AO19^2</f>
        <v>0.000716230366492147</v>
      </c>
      <c r="AQ19" s="488" t="n">
        <f aca="false">CHOOSE(J19, 0, IF(L19&lt;P19/2,Deadtime*Fsw*IF(VfdSky_Q3&gt;0,0,Vsd_Q3)*(L19+P19/2), 2*Deadtime*Fsw*IF(VfdSky_Q3&gt;0,0,Vsd_Q3)*L19), IF(L19&lt;P19/2,Deadtime*Fsw/2*IF(VfdSky_Q3&gt;0,0,Vsd_Q3)*(L19+P19/2), 2*Deadtime*Fsw/2*IF(VfdSky_Q3&gt;0,0,Vsd_Q3)*L19))</f>
        <v>0.008</v>
      </c>
      <c r="AR19" s="488" t="n">
        <f aca="false">(AQ19+AP19*(1+RdsonBotTc*Ta-RdsonBotTc*25))/(1-AP19*RdsonBotTc*ThetaJA_Q3)</f>
        <v>0.00871747911114388</v>
      </c>
      <c r="AS19" s="488" t="n">
        <f aca="false">CHOOSE(J19, Rdson3*Q19^2, Rdson1*Q19^2, 0)</f>
        <v>0</v>
      </c>
      <c r="AT19" s="488" t="n">
        <f aca="false">CHOOSE(J19, 2*Deadtime*Fsw*IF(VfdSky_Q2&gt;0,VfdSky_Q2,0)*K19, 2*Deadtime*Fsw*IF(VfdSky_Q3&gt;0,VfdSky_Q3,0)*L19, 2*Deadtime*Fsw/2*IF(VfdSky_Q2&gt;0,VfdSky_Q2,0)*K19+2*Deadtime*Fsw/2*IF(VfdSky_Q3&gt;0,VfdSky_Q3,0)*L19)</f>
        <v>0</v>
      </c>
      <c r="AU19" s="488" t="n">
        <f aca="false">CHOOSE(J19, IF(QrrSky_Q2&gt;0,QrrSky_Q2,Qrr_Q2*K19/Iout)*Fsw*(Vin-K19*Rdson1), IF(QrrSky_Q3&gt;0,QrrSky_Q3,Qrr_Q3)*Fsw*Vout,  IF(QrrSky_Q2&gt;0,QrrSky_Q2,Qrr_Q2*K19/Iout)*Fsw/2*(Vin-K19*Rdson1)+IF(QrrSky_Q3&gt;0,QrrSky_Q3,Qrr_Q3)*Fsw/2*Vout)</f>
        <v>0.0707367681</v>
      </c>
      <c r="AV19" s="488" t="n">
        <f aca="false">CHOOSE(J19, Rs*AF19^2, Rs*AJ19^2, Rs*(AF19^2+AJ19^2))</f>
        <v>0.000284202735670623</v>
      </c>
      <c r="AW19" s="488" t="n">
        <f aca="false">Rshunt_std/1000*Iout^2</f>
        <v>0.14832</v>
      </c>
      <c r="AX19" s="488" t="n">
        <f aca="false">IF(Vout&gt;8, Iq*Vout, Iq*Vin)</f>
        <v>0.036</v>
      </c>
      <c r="AY19" s="488" t="n">
        <f aca="false">CHOOSE(J19, (Qg_Q1+Qg_Q2)*Fsw, (Qg_Q3+Qg_Q4)*Fsw, (Qg_Q1+Qg_Q2+Qg_Q3+Qg_Q4)*Fsw/2)*IF(Vout&gt;8, Vout, Vin)</f>
        <v>0.1188</v>
      </c>
      <c r="AZ19" s="488" t="n">
        <f aca="false">(Vin-Vdd)*Fsw*(Qg_Q1+Qg_Q2)+(RdsonDRT+RdsonDRT2)*Fsw*Qg_Q1*Vdd/(RdsonDRT+2*Rgate1+RdsonDRT2)+(RdsonDRB+RdsonDRB2)*Fsw*Qg_Q2*Vdd/(RdsonDRB+2*Rgate2+RdsonDRB2)</f>
        <v>0.0522</v>
      </c>
      <c r="BA19" s="488" t="n">
        <f aca="false">SUM(AX19:AY19)</f>
        <v>0.1548</v>
      </c>
      <c r="BB19" s="488" t="n">
        <f aca="false">SUM(T19,W19,Z19,AE19,AI19,AN19,AR19, AT19,AU19,BA19,AV19,AW19)</f>
        <v>0.432325598705828</v>
      </c>
      <c r="BC19" s="419" t="n">
        <f aca="false">Vout*K19</f>
        <v>7.2</v>
      </c>
      <c r="BD19" s="589" t="n">
        <f aca="false">BC19/(BC19+BB19)</f>
        <v>0.943355980675257</v>
      </c>
      <c r="BE19" s="590" t="n">
        <f aca="false">IF(Vin&gt;Vout,ThetaJA_Q1*BK19,ThetaJA_Q4*BK19)</f>
        <v>4.08137144397737</v>
      </c>
      <c r="BF19" s="590" t="n">
        <f aca="false">IF(Vin&gt;Vout, ThetaJA_Q2*BL19, ThetaJA_Q3*BL19)</f>
        <v>1.60303062920719</v>
      </c>
      <c r="BG19" s="536"/>
      <c r="BH19" s="385" t="n">
        <f aca="false">BD19*100</f>
        <v>94.3355980675257</v>
      </c>
      <c r="BI19" s="488" t="n">
        <f aca="false">T19</f>
        <v>0.00132247207270149</v>
      </c>
      <c r="BJ19" s="488" t="n">
        <f aca="false">AE19+AI19+AN19+AR19+AU19</f>
        <v>0.127514107143529</v>
      </c>
      <c r="BK19" s="488" t="n">
        <f aca="false">IF(Vin&gt;Vout, AE19+AU19*0.66, AN19+AU19*0.66)</f>
        <v>0.0816274288795474</v>
      </c>
      <c r="BL19" s="488" t="n">
        <f aca="false">IF(Vin&gt;Vout, AI19+AU19*0.33, AR19+AU19*0.33)</f>
        <v>0.0320606125841439</v>
      </c>
      <c r="BM19" s="488" t="n">
        <f aca="false">AV19</f>
        <v>0.000284202735670623</v>
      </c>
      <c r="BQ19" s="0" t="s">
        <v>830</v>
      </c>
      <c r="BS19" s="591"/>
      <c r="BT19" s="592"/>
    </row>
    <row r="20" customFormat="false" ht="12.75" hidden="false" customHeight="false" outlineLevel="0" collapsed="false">
      <c r="A20" s="605" t="s">
        <v>612</v>
      </c>
      <c r="B20" s="608" t="n">
        <f aca="false">Ltc*1000000</f>
        <v>4000</v>
      </c>
      <c r="C20" s="607" t="s">
        <v>831</v>
      </c>
      <c r="D20" s="598" t="s">
        <v>832</v>
      </c>
      <c r="G20" s="0" t="n">
        <v>11</v>
      </c>
      <c r="H20" s="586" t="n">
        <f aca="false">Vin</f>
        <v>12</v>
      </c>
      <c r="I20" s="385" t="str">
        <f aca="false">IF(H20&gt;VIN_BB_to_buck, "BUCK", IF(H20&lt;VIN_boost_to_BB,"BOOST","BUCK-BST"))</f>
        <v>BUCK-BST</v>
      </c>
      <c r="J20" s="419" t="n">
        <f aca="false">IF(I20="BOOST",2, IF(I20="BUCK", 1,3))</f>
        <v>3</v>
      </c>
      <c r="K20" s="488" t="n">
        <f aca="false">Iout*G20/100</f>
        <v>0.66</v>
      </c>
      <c r="L20" s="385" t="n">
        <f aca="false">Vout*K20/(Vin*Efficiency)</f>
        <v>0.733333333333333</v>
      </c>
      <c r="M20" s="385" t="n">
        <f aca="false">K20/(1-O20)</f>
        <v>0.691099476439791</v>
      </c>
      <c r="N20" s="488" t="n">
        <f aca="false">CHOOSE(J20,(Vout+(Rdson2+Rs+Rdcr)*K20)/(Vin+(Rs+Rdson2-Rdson1)*K20), 1, IF(Vin&lt;Vout, D_max_buck_BB, Vout/Vin*(1-D_min_boost_exitBB_to_buck)))</f>
        <v>0.955</v>
      </c>
      <c r="O20" s="488" t="n">
        <f aca="false">CHOOSE(J20,0,(Vout+(Rdson3+Rdcr)*L20-Vin)/(Vout+(Rdson3-Rdson4-Rs)*L20), IF(Vin&gt;Vout,D_min_boost_exitBB_to_buck, (Vout-Vin*D_max_buck_BB)/Vout))</f>
        <v>0.0450000000000001</v>
      </c>
      <c r="P20" s="385" t="n">
        <f aca="false">MAX(0, CHOOSE(J20, (Vin-(Rdson1+Rdcr)*K20-Vout)*N20/(Fsw*Lf), (Vin-(Rdson4+Rdcr+Rs)*L20)*O20/(Fsw*Lf), IF(Vin&lt;Vout, (Vin-(Rdson4+Rdcr+Rs)*L20)*O20/(0.5*Fsw*Lf),(Vin-(Rdson1+Rdcr)*K20-Vout)*N20/(0.5*Fsw*Lf))))</f>
        <v>0</v>
      </c>
      <c r="Q20" s="385" t="n">
        <f aca="false">CHOOSE(J20, SQRT(K20^2+(P20^2)/12), SQRT(L20^2+(P20^2)/12), SQRT(M20^2+(P20^2)/12))</f>
        <v>0.691099476439791</v>
      </c>
      <c r="R20" s="488" t="n">
        <f aca="false">(Q20^2*Rdcr*(1+Ltc*Ta-Ltc*25))/(1-Q20^2*Rdcr*Ltc*ThetaCa)</f>
        <v>0.00160022676105619</v>
      </c>
      <c r="S20" s="488" t="n">
        <f aca="false">7.759*10^-3*Fsw^0.9458*(0.00787*P20)^2.304</f>
        <v>0</v>
      </c>
      <c r="T20" s="488" t="n">
        <f aca="false">R20+S20</f>
        <v>0.00160022676105619</v>
      </c>
      <c r="U20" s="385" t="n">
        <f aca="false">IF(Vin&gt;Vout, P20/SQRT(12), SQRT(O20/(1-O20))*SQRT(K20^2+(P20^2)/12))</f>
        <v>0.1432677718479</v>
      </c>
      <c r="V20" s="488" t="n">
        <f aca="false">RCoutEsr*U20^2</f>
        <v>0.000102628272251309</v>
      </c>
      <c r="W20" s="488" t="n">
        <f aca="false">V20</f>
        <v>0.000102628272251309</v>
      </c>
      <c r="X20" s="385" t="n">
        <f aca="false">IF(Vin&gt;Vout, SQRT(N20*(1-N20))*SQRT(K20^2+(P20^2)/12), P20/SQRT(12))</f>
        <v>0</v>
      </c>
      <c r="Y20" s="587" t="n">
        <f aca="false">RCinEsr*X20^2</f>
        <v>0</v>
      </c>
      <c r="Z20" s="588" t="n">
        <f aca="false">Y20</f>
        <v>0</v>
      </c>
      <c r="AA20" s="488" t="n">
        <f aca="false">CHOOSE(J20, SQRT(N20)*SQRT(K20^2+(P20^2)/12), SQRT(L20^2+(P20^2)/12), SQRT(N20)*SQRT(M20^2+(P20^2)/12))</f>
        <v>0.675370753327579</v>
      </c>
      <c r="AB20" s="488" t="n">
        <f aca="false">Rdson1*AA20^2</f>
        <v>0.00259991623036649</v>
      </c>
      <c r="AC20" s="488" t="n">
        <f aca="false">CHOOSE(J20, (Vin*K20/2)*(Fsw)*(Tr_buck+Tf_buck), 0, (Vin*K20/2)*(Fsw/2)*(Tr_buck+Tf_buck))</f>
        <v>0.0040327230989957</v>
      </c>
      <c r="AD20" s="488" t="n">
        <f aca="false">CHOOSE(J20, IF(K20&gt;P20/2,0,ABS(K20-P20/2)*Vsd_Q1*Deadtime*Fsw),0, IF(K20&gt;P20/2,0,ABS(K20-P20/2)*Vsd_Q1*Deadtime*Fsw/2))</f>
        <v>0</v>
      </c>
      <c r="AE20" s="488" t="n">
        <f aca="false">(AD20+AC20+AB20*(1+RdsonTopTc*Ta-RdsonTopTc*25))/(1-AB20*RdsonTopTc*ThetaJA_Q1)</f>
        <v>0.00663608998497381</v>
      </c>
      <c r="AF20" s="488" t="n">
        <f aca="false">CHOOSE(J20, SQRT((1-N20))*SQRT(K20^2+(P20^2)/12), 0, SQRT((1-N20))*SQRT(M20^2+(P20^2)/12))</f>
        <v>0.146604337879515</v>
      </c>
      <c r="AG20" s="488" t="n">
        <f aca="false">Rdson2*AF20^2</f>
        <v>0.000122509141745018</v>
      </c>
      <c r="AH20" s="488" t="n">
        <f aca="false">CHOOSE(J20, IF(K20&lt;P20/2,Deadtime*Fsw*IF(VfdSky_Q2&gt;0,0,Vsd_Q2)*(K20+P20/2),2*Deadtime*Fsw*IF(VfdSky_Q2&gt;0,0,Vsd_Q2)*K20),0, IF(K20&lt;P20/2,Deadtime*Fsw/2*IF(VfdSky_Q2&gt;0,0,Vsd_Q2)*(K20+P20/2),2*Deadtime*Fsw/2*IF(VfdSky_Q2&gt;0,0,Vsd_Q2)*K20))</f>
        <v>0.00792</v>
      </c>
      <c r="AI20" s="488" t="n">
        <f aca="false">(AH20+AG20*(1+RdsonBotTc*Ta-RdsonBotTc*25))/(1-AG20*RdsonBotTc*ThetaJA_Q2)</f>
        <v>0.00804270620275186</v>
      </c>
      <c r="AJ20" s="488" t="n">
        <f aca="false">CHOOSE(J20, 0, SQRT(O20)*SQRT(L20^2+(P20^2)/12), SQRT(O20)*SQRT(M20^2+(P20^2)/12))</f>
        <v>0.146604337879515</v>
      </c>
      <c r="AK20" s="488" t="n">
        <f aca="false">Rdson4*AJ20^2</f>
        <v>4.08363805816727E-005</v>
      </c>
      <c r="AL20" s="488" t="n">
        <f aca="false">CHOOSE(J20, 0, (Vout*L20/2)*(Fsw)*(Tr_boost+Tf_boost), (Vout*Iout/2)*(Fsw/2)*(Tr_boost+Tf_boost))</f>
        <v>0.0349071770123085</v>
      </c>
      <c r="AM20" s="488" t="n">
        <f aca="false">IF(H20&gt;Vout, 0, IF(L20&gt;P20/2,0,ABS(L20-P20/2)*Vsd_Q4*Deadtime*Fsw))</f>
        <v>0</v>
      </c>
      <c r="AN20" s="488" t="n">
        <f aca="false">(AM20+AL20+AK20*(1+RdsonTopTc*Ta-RdsonTopTc*25))/(1-AK20*RdsonTopTc*ThetaJA_Q4)</f>
        <v>0.0349482988252965</v>
      </c>
      <c r="AO20" s="488" t="n">
        <f aca="false">CHOOSE(J20, SQRT(K20^2+(P20^2)/12), SQRT(1-O20)*SQRT(L20^2+(P20^2)/12), SQRT(1-O20)*SQRT(M20^2+(P20^2)/12))</f>
        <v>0.675370753327579</v>
      </c>
      <c r="AP20" s="488" t="n">
        <f aca="false">Rdson3*AO20^2</f>
        <v>0.000866638743455498</v>
      </c>
      <c r="AQ20" s="488" t="n">
        <f aca="false">CHOOSE(J20, 0, IF(L20&lt;P20/2,Deadtime*Fsw*IF(VfdSky_Q3&gt;0,0,Vsd_Q3)*(L20+P20/2), 2*Deadtime*Fsw*IF(VfdSky_Q3&gt;0,0,Vsd_Q3)*L20), IF(L20&lt;P20/2,Deadtime*Fsw/2*IF(VfdSky_Q3&gt;0,0,Vsd_Q3)*(L20+P20/2), 2*Deadtime*Fsw/2*IF(VfdSky_Q3&gt;0,0,Vsd_Q3)*L20))</f>
        <v>0.0088</v>
      </c>
      <c r="AR20" s="488" t="n">
        <f aca="false">(AQ20+AP20*(1+RdsonBotTc*Ta-RdsonBotTc*25))/(1-AP20*RdsonBotTc*ThetaJA_Q3)</f>
        <v>0.00966831453064673</v>
      </c>
      <c r="AS20" s="488" t="n">
        <f aca="false">CHOOSE(J20, Rdson3*Q20^2, Rdson1*Q20^2, 0)</f>
        <v>0</v>
      </c>
      <c r="AT20" s="488" t="n">
        <f aca="false">CHOOSE(J20, 2*Deadtime*Fsw*IF(VfdSky_Q2&gt;0,VfdSky_Q2,0)*K20, 2*Deadtime*Fsw*IF(VfdSky_Q3&gt;0,VfdSky_Q3,0)*L20, 2*Deadtime*Fsw/2*IF(VfdSky_Q2&gt;0,VfdSky_Q2,0)*K20+2*Deadtime*Fsw/2*IF(VfdSky_Q3&gt;0,VfdSky_Q3,0)*L20)</f>
        <v>0</v>
      </c>
      <c r="AU20" s="488" t="n">
        <f aca="false">CHOOSE(J20, IF(QrrSky_Q2&gt;0,QrrSky_Q2,Qrr_Q2*K20/Iout)*Fsw*(Vin-K20*Rdson1), IF(QrrSky_Q3&gt;0,QrrSky_Q3,Qrr_Q3)*Fsw*Vout,  IF(QrrSky_Q2&gt;0,QrrSky_Q2,Qrr_Q2*K20/Iout)*Fsw/2*(Vin-K20*Rdson1)+IF(QrrSky_Q3&gt;0,QrrSky_Q3,Qrr_Q3)*Fsw/2*Vout)</f>
        <v>0.071870089401</v>
      </c>
      <c r="AV20" s="488" t="n">
        <f aca="false">CHOOSE(J20, Rs*AF20^2, Rs*AJ20^2, Rs*(AF20^2+AJ20^2))</f>
        <v>0.000343885310161454</v>
      </c>
      <c r="AW20" s="488" t="n">
        <f aca="false">Rshunt_std/1000*Iout^2</f>
        <v>0.14832</v>
      </c>
      <c r="AX20" s="488" t="n">
        <f aca="false">IF(Vout&gt;8, Iq*Vout, Iq*Vin)</f>
        <v>0.036</v>
      </c>
      <c r="AY20" s="488" t="n">
        <f aca="false">CHOOSE(J20, (Qg_Q1+Qg_Q2)*Fsw, (Qg_Q3+Qg_Q4)*Fsw, (Qg_Q1+Qg_Q2+Qg_Q3+Qg_Q4)*Fsw/2)*IF(Vout&gt;8, Vout, Vin)</f>
        <v>0.1188</v>
      </c>
      <c r="AZ20" s="488" t="n">
        <f aca="false">(Vin-Vdd)*Fsw*(Qg_Q1+Qg_Q2)+(RdsonDRT+RdsonDRT2)*Fsw*Qg_Q1*Vdd/(RdsonDRT+2*Rgate1+RdsonDRT2)+(RdsonDRB+RdsonDRB2)*Fsw*Qg_Q2*Vdd/(RdsonDRB+2*Rgate2+RdsonDRB2)</f>
        <v>0.0522</v>
      </c>
      <c r="BA20" s="488" t="n">
        <f aca="false">SUM(AX20:AY20)</f>
        <v>0.1548</v>
      </c>
      <c r="BB20" s="488" t="n">
        <f aca="false">SUM(T20,W20,Z20,AE20,AI20,AN20,AR20, AT20,AU20,BA20,AV20,AW20)</f>
        <v>0.436332239288138</v>
      </c>
      <c r="BC20" s="419" t="n">
        <f aca="false">Vout*K20</f>
        <v>7.92</v>
      </c>
      <c r="BD20" s="589" t="n">
        <f aca="false">BC20/(BC20+BB20)</f>
        <v>0.947784239928054</v>
      </c>
      <c r="BE20" s="590" t="n">
        <f aca="false">IF(Vin&gt;Vout,ThetaJA_Q1*BK20,ThetaJA_Q4*BK20)</f>
        <v>4.11912789149783</v>
      </c>
      <c r="BF20" s="590" t="n">
        <f aca="false">IF(Vin&gt;Vout, ThetaJA_Q2*BL20, ThetaJA_Q3*BL20)</f>
        <v>1.66927220164884</v>
      </c>
      <c r="BG20" s="536"/>
      <c r="BH20" s="385" t="n">
        <f aca="false">BD20*100</f>
        <v>94.7784239928054</v>
      </c>
      <c r="BI20" s="488" t="n">
        <f aca="false">T20</f>
        <v>0.00160022676105619</v>
      </c>
      <c r="BJ20" s="488" t="n">
        <f aca="false">AE20+AI20+AN20+AR20+AU20</f>
        <v>0.131165498944669</v>
      </c>
      <c r="BK20" s="488" t="n">
        <f aca="false">IF(Vin&gt;Vout, AE20+AU20*0.66, AN20+AU20*0.66)</f>
        <v>0.0823825578299565</v>
      </c>
      <c r="BL20" s="488" t="n">
        <f aca="false">IF(Vin&gt;Vout, AI20+AU20*0.33, AR20+AU20*0.33)</f>
        <v>0.0333854440329767</v>
      </c>
      <c r="BM20" s="488" t="n">
        <f aca="false">AV20</f>
        <v>0.000343885310161454</v>
      </c>
      <c r="BS20" s="591"/>
      <c r="BT20" s="592"/>
    </row>
    <row r="21" customFormat="false" ht="12.75" hidden="false" customHeight="false" outlineLevel="0" collapsed="false">
      <c r="A21" s="610" t="s">
        <v>833</v>
      </c>
      <c r="B21" s="608" t="n">
        <f aca="false">ThetaCa</f>
        <v>20</v>
      </c>
      <c r="C21" s="611" t="s">
        <v>121</v>
      </c>
      <c r="D21" s="612" t="s">
        <v>834</v>
      </c>
      <c r="G21" s="0" t="n">
        <v>12</v>
      </c>
      <c r="H21" s="586" t="n">
        <f aca="false">Vin</f>
        <v>12</v>
      </c>
      <c r="I21" s="385" t="str">
        <f aca="false">IF(H21&gt;VIN_BB_to_buck, "BUCK", IF(H21&lt;VIN_boost_to_BB,"BOOST","BUCK-BST"))</f>
        <v>BUCK-BST</v>
      </c>
      <c r="J21" s="419" t="n">
        <f aca="false">IF(I21="BOOST",2, IF(I21="BUCK", 1,3))</f>
        <v>3</v>
      </c>
      <c r="K21" s="488" t="n">
        <f aca="false">Iout*G21/100</f>
        <v>0.72</v>
      </c>
      <c r="L21" s="385" t="n">
        <f aca="false">Vout*K21/(Vin*Efficiency)</f>
        <v>0.8</v>
      </c>
      <c r="M21" s="385" t="n">
        <f aca="false">K21/(1-O21)</f>
        <v>0.753926701570681</v>
      </c>
      <c r="N21" s="488" t="n">
        <f aca="false">CHOOSE(J21,(Vout+(Rdson2+Rs+Rdcr)*K21)/(Vin+(Rs+Rdson2-Rdson1)*K21), 1, IF(Vin&lt;Vout, D_max_buck_BB, Vout/Vin*(1-D_min_boost_exitBB_to_buck)))</f>
        <v>0.955</v>
      </c>
      <c r="O21" s="488" t="n">
        <f aca="false">CHOOSE(J21,0,(Vout+(Rdson3+Rdcr)*L21-Vin)/(Vout+(Rdson3-Rdson4-Rs)*L21), IF(Vin&gt;Vout,D_min_boost_exitBB_to_buck, (Vout-Vin*D_max_buck_BB)/Vout))</f>
        <v>0.0450000000000001</v>
      </c>
      <c r="P21" s="385" t="n">
        <f aca="false">MAX(0, CHOOSE(J21, (Vin-(Rdson1+Rdcr)*K21-Vout)*N21/(Fsw*Lf), (Vin-(Rdson4+Rdcr+Rs)*L21)*O21/(Fsw*Lf), IF(Vin&lt;Vout, (Vin-(Rdson4+Rdcr+Rs)*L21)*O21/(0.5*Fsw*Lf),(Vin-(Rdson1+Rdcr)*K21-Vout)*N21/(0.5*Fsw*Lf))))</f>
        <v>0</v>
      </c>
      <c r="Q21" s="385" t="n">
        <f aca="false">CHOOSE(J21, SQRT(K21^2+(P21^2)/12), SQRT(L21^2+(P21^2)/12), SQRT(M21^2+(P21^2)/12))</f>
        <v>0.753926701570681</v>
      </c>
      <c r="R21" s="488" t="n">
        <f aca="false">(Q21^2*Rdcr*(1+Ltc*Ta-Ltc*25))/(1-Q21^2*Rdcr*Ltc*ThetaCa)</f>
        <v>0.00190444843870171</v>
      </c>
      <c r="S21" s="488" t="n">
        <f aca="false">7.759*10^-3*Fsw^0.9458*(0.00787*P21)^2.304</f>
        <v>0</v>
      </c>
      <c r="T21" s="488" t="n">
        <f aca="false">R21+S21</f>
        <v>0.00190444843870171</v>
      </c>
      <c r="U21" s="385" t="n">
        <f aca="false">IF(Vin&gt;Vout, P21/SQRT(12), SQRT(O21/(1-O21))*SQRT(K21^2+(P21^2)/12))</f>
        <v>0.156292114743163</v>
      </c>
      <c r="V21" s="488" t="n">
        <f aca="false">RCoutEsr*U21^2</f>
        <v>0.00012213612565445</v>
      </c>
      <c r="W21" s="488" t="n">
        <f aca="false">V21</f>
        <v>0.00012213612565445</v>
      </c>
      <c r="X21" s="385" t="n">
        <f aca="false">IF(Vin&gt;Vout, SQRT(N21*(1-N21))*SQRT(K21^2+(P21^2)/12), P21/SQRT(12))</f>
        <v>0</v>
      </c>
      <c r="Y21" s="587" t="n">
        <f aca="false">RCinEsr*X21^2</f>
        <v>0</v>
      </c>
      <c r="Z21" s="588" t="n">
        <f aca="false">Y21</f>
        <v>0</v>
      </c>
      <c r="AA21" s="488" t="n">
        <f aca="false">CHOOSE(J21, SQRT(N21)*SQRT(K21^2+(P21^2)/12), SQRT(L21^2+(P21^2)/12), SQRT(N21)*SQRT(M21^2+(P21^2)/12))</f>
        <v>0.736768094539177</v>
      </c>
      <c r="AB21" s="488" t="n">
        <f aca="false">Rdson1*AA21^2</f>
        <v>0.00309411518324607</v>
      </c>
      <c r="AC21" s="488" t="n">
        <f aca="false">CHOOSE(J21, (Vin*K21/2)*(Fsw)*(Tr_buck+Tf_buck), 0, (Vin*K21/2)*(Fsw/2)*(Tr_buck+Tf_buck))</f>
        <v>0.00439933428981349</v>
      </c>
      <c r="AD21" s="488" t="n">
        <f aca="false">CHOOSE(J21, IF(K21&gt;P21/2,0,ABS(K21-P21/2)*Vsd_Q1*Deadtime*Fsw),0, IF(K21&gt;P21/2,0,ABS(K21-P21/2)*Vsd_Q1*Deadtime*Fsw/2))</f>
        <v>0</v>
      </c>
      <c r="AE21" s="488" t="n">
        <f aca="false">(AD21+AC21+AB21*(1+RdsonTopTc*Ta-RdsonTopTc*25))/(1-AB21*RdsonTopTc*ThetaJA_Q1)</f>
        <v>0.00749808946355046</v>
      </c>
      <c r="AF21" s="488" t="n">
        <f aca="false">CHOOSE(J21, SQRT((1-N21))*SQRT(K21^2+(P21^2)/12), 0, SQRT((1-N21))*SQRT(M21^2+(P21^2)/12))</f>
        <v>0.159932004959471</v>
      </c>
      <c r="AG21" s="488" t="n">
        <f aca="false">Rdson2*AF21^2</f>
        <v>0.00014579600339903</v>
      </c>
      <c r="AH21" s="488" t="n">
        <f aca="false">CHOOSE(J21, IF(K21&lt;P21/2,Deadtime*Fsw*IF(VfdSky_Q2&gt;0,0,Vsd_Q2)*(K21+P21/2),2*Deadtime*Fsw*IF(VfdSky_Q2&gt;0,0,Vsd_Q2)*K21),0, IF(K21&lt;P21/2,Deadtime*Fsw/2*IF(VfdSky_Q2&gt;0,0,Vsd_Q2)*(K21+P21/2),2*Deadtime*Fsw/2*IF(VfdSky_Q2&gt;0,0,Vsd_Q2)*K21))</f>
        <v>0.00864</v>
      </c>
      <c r="AI21" s="488" t="n">
        <f aca="false">(AH21+AG21*(1+RdsonBotTc*Ta-RdsonBotTc*25))/(1-AG21*RdsonBotTc*ThetaJA_Q2)</f>
        <v>0.00878605219765825</v>
      </c>
      <c r="AJ21" s="488" t="n">
        <f aca="false">CHOOSE(J21, 0, SQRT(O21)*SQRT(L21^2+(P21^2)/12), SQRT(O21)*SQRT(M21^2+(P21^2)/12))</f>
        <v>0.159932004959471</v>
      </c>
      <c r="AK21" s="488" t="n">
        <f aca="false">Rdson4*AJ21^2</f>
        <v>4.85986677996766E-005</v>
      </c>
      <c r="AL21" s="488" t="n">
        <f aca="false">CHOOSE(J21, 0, (Vout*L21/2)*(Fsw)*(Tr_boost+Tf_boost), (Vout*Iout/2)*(Fsw/2)*(Tr_boost+Tf_boost))</f>
        <v>0.0349071770123085</v>
      </c>
      <c r="AM21" s="488" t="n">
        <f aca="false">IF(H21&gt;Vout, 0, IF(L21&gt;P21/2,0,ABS(L21-P21/2)*Vsd_Q4*Deadtime*Fsw))</f>
        <v>0</v>
      </c>
      <c r="AN21" s="488" t="n">
        <f aca="false">(AM21+AL21+AK21*(1+RdsonTopTc*Ta-RdsonTopTc*25))/(1-AK21*RdsonTopTc*ThetaJA_Q4)</f>
        <v>0.0349561154442366</v>
      </c>
      <c r="AO21" s="488" t="n">
        <f aca="false">CHOOSE(J21, SQRT(K21^2+(P21^2)/12), SQRT(1-O21)*SQRT(L21^2+(P21^2)/12), SQRT(1-O21)*SQRT(M21^2+(P21^2)/12))</f>
        <v>0.736768094539177</v>
      </c>
      <c r="AP21" s="488" t="n">
        <f aca="false">Rdson3*AO21^2</f>
        <v>0.00103137172774869</v>
      </c>
      <c r="AQ21" s="488" t="n">
        <f aca="false">CHOOSE(J21, 0, IF(L21&lt;P21/2,Deadtime*Fsw*IF(VfdSky_Q3&gt;0,0,Vsd_Q3)*(L21+P21/2), 2*Deadtime*Fsw*IF(VfdSky_Q3&gt;0,0,Vsd_Q3)*L21), IF(L21&lt;P21/2,Deadtime*Fsw/2*IF(VfdSky_Q3&gt;0,0,Vsd_Q3)*(L21+P21/2), 2*Deadtime*Fsw/2*IF(VfdSky_Q3&gt;0,0,Vsd_Q3)*L21))</f>
        <v>0.0096</v>
      </c>
      <c r="AR21" s="488" t="n">
        <f aca="false">(AQ21+AP21*(1+RdsonBotTc*Ta-RdsonBotTc*25))/(1-AP21*RdsonBotTc*ThetaJA_Q3)</f>
        <v>0.0106335651594428</v>
      </c>
      <c r="AS21" s="488" t="n">
        <f aca="false">CHOOSE(J21, Rdson3*Q21^2, Rdson1*Q21^2, 0)</f>
        <v>0</v>
      </c>
      <c r="AT21" s="488" t="n">
        <f aca="false">CHOOSE(J21, 2*Deadtime*Fsw*IF(VfdSky_Q2&gt;0,VfdSky_Q2,0)*K21, 2*Deadtime*Fsw*IF(VfdSky_Q3&gt;0,VfdSky_Q3,0)*L21, 2*Deadtime*Fsw/2*IF(VfdSky_Q2&gt;0,VfdSky_Q2,0)*K21+2*Deadtime*Fsw/2*IF(VfdSky_Q3&gt;0,VfdSky_Q3,0)*L21)</f>
        <v>0</v>
      </c>
      <c r="AU21" s="488" t="n">
        <f aca="false">CHOOSE(J21, IF(QrrSky_Q2&gt;0,QrrSky_Q2,Qrr_Q2*K21/Iout)*Fsw*(Vin-K21*Rdson1), IF(QrrSky_Q3&gt;0,QrrSky_Q3,Qrr_Q3)*Fsw*Vout,  IF(QrrSky_Q2&gt;0,QrrSky_Q2,Qrr_Q2*K21/Iout)*Fsw/2*(Vin-K21*Rdson1)+IF(QrrSky_Q3&gt;0,QrrSky_Q3,Qrr_Q3)*Fsw/2*Vout)</f>
        <v>0.073003346064</v>
      </c>
      <c r="AV21" s="488" t="n">
        <f aca="false">CHOOSE(J21, Rs*AF21^2, Rs*AJ21^2, Rs*(AF21^2+AJ21^2))</f>
        <v>0.000409251939365698</v>
      </c>
      <c r="AW21" s="488" t="n">
        <f aca="false">Rshunt_std/1000*Iout^2</f>
        <v>0.14832</v>
      </c>
      <c r="AX21" s="488" t="n">
        <f aca="false">IF(Vout&gt;8, Iq*Vout, Iq*Vin)</f>
        <v>0.036</v>
      </c>
      <c r="AY21" s="488" t="n">
        <f aca="false">CHOOSE(J21, (Qg_Q1+Qg_Q2)*Fsw, (Qg_Q3+Qg_Q4)*Fsw, (Qg_Q1+Qg_Q2+Qg_Q3+Qg_Q4)*Fsw/2)*IF(Vout&gt;8, Vout, Vin)</f>
        <v>0.1188</v>
      </c>
      <c r="AZ21" s="488" t="n">
        <f aca="false">(Vin-Vdd)*Fsw*(Qg_Q1+Qg_Q2)+(RdsonDRT+RdsonDRT2)*Fsw*Qg_Q1*Vdd/(RdsonDRT+2*Rgate1+RdsonDRT2)+(RdsonDRB+RdsonDRB2)*Fsw*Qg_Q2*Vdd/(RdsonDRB+2*Rgate2+RdsonDRB2)</f>
        <v>0.0522</v>
      </c>
      <c r="BA21" s="488" t="n">
        <f aca="false">SUM(AX21:AY21)</f>
        <v>0.1548</v>
      </c>
      <c r="BB21" s="488" t="n">
        <f aca="false">SUM(T21,W21,Z21,AE21,AI21,AN21,AR21, AT21,AU21,BA21,AV21,AW21)</f>
        <v>0.44043300483261</v>
      </c>
      <c r="BC21" s="419" t="n">
        <f aca="false">Vout*K21</f>
        <v>8.64</v>
      </c>
      <c r="BD21" s="589" t="n">
        <f aca="false">BC21/(BC21+BB21)</f>
        <v>0.951496475487655</v>
      </c>
      <c r="BE21" s="590" t="n">
        <f aca="false">IF(Vin&gt;Vout,ThetaJA_Q1*BK21,ThetaJA_Q4*BK21)</f>
        <v>4.15691619232383</v>
      </c>
      <c r="BF21" s="590" t="n">
        <f aca="false">IF(Vin&gt;Vout, ThetaJA_Q2*BL21, ThetaJA_Q3*BL21)</f>
        <v>1.73623346802814</v>
      </c>
      <c r="BG21" s="536"/>
      <c r="BH21" s="385" t="n">
        <f aca="false">BD21*100</f>
        <v>95.1496475487654</v>
      </c>
      <c r="BI21" s="488" t="n">
        <f aca="false">T21</f>
        <v>0.00190444843870171</v>
      </c>
      <c r="BJ21" s="488" t="n">
        <f aca="false">AE21+AI21+AN21+AR21+AU21</f>
        <v>0.134877168328888</v>
      </c>
      <c r="BK21" s="488" t="n">
        <f aca="false">IF(Vin&gt;Vout, AE21+AU21*0.66, AN21+AU21*0.66)</f>
        <v>0.0831383238464766</v>
      </c>
      <c r="BL21" s="488" t="n">
        <f aca="false">IF(Vin&gt;Vout, AI21+AU21*0.33, AR21+AU21*0.33)</f>
        <v>0.0347246693605628</v>
      </c>
      <c r="BM21" s="488" t="n">
        <f aca="false">AV21</f>
        <v>0.000409251939365698</v>
      </c>
      <c r="BS21" s="591"/>
      <c r="BT21" s="592"/>
    </row>
    <row r="22" customFormat="false" ht="12.75" hidden="false" customHeight="false" outlineLevel="0" collapsed="false">
      <c r="A22" s="613" t="s">
        <v>423</v>
      </c>
      <c r="B22" s="608" t="n">
        <f aca="false">Cin*1000000</f>
        <v>68</v>
      </c>
      <c r="C22" s="614" t="s">
        <v>835</v>
      </c>
      <c r="D22" s="603" t="s">
        <v>836</v>
      </c>
      <c r="G22" s="0" t="n">
        <v>13</v>
      </c>
      <c r="H22" s="586" t="n">
        <f aca="false">Vin</f>
        <v>12</v>
      </c>
      <c r="I22" s="490" t="str">
        <f aca="false">IF(H22&gt;VIN_BB_to_buck, "BUCK", IF(H22&lt;VIN_boost_to_BB,"BOOST","BUCK-BST"))</f>
        <v>BUCK-BST</v>
      </c>
      <c r="J22" s="419" t="n">
        <f aca="false">IF(I22="BOOST",2, IF(I22="BUCK", 1,3))</f>
        <v>3</v>
      </c>
      <c r="K22" s="488" t="n">
        <f aca="false">Iout*G22/100</f>
        <v>0.78</v>
      </c>
      <c r="L22" s="385" t="n">
        <f aca="false">Vout*K22/(Vin*Efficiency)</f>
        <v>0.866666666666667</v>
      </c>
      <c r="M22" s="385" t="n">
        <f aca="false">K22/(1-O22)</f>
        <v>0.816753926701571</v>
      </c>
      <c r="N22" s="488" t="n">
        <f aca="false">CHOOSE(J22,(Vout+(Rdson2+Rs+Rdcr)*K22)/(Vin+(Rs+Rdson2-Rdson1)*K22), 1, IF(Vin&lt;Vout, D_max_buck_BB, Vout/Vin*(1-D_min_boost_exitBB_to_buck)))</f>
        <v>0.955</v>
      </c>
      <c r="O22" s="488" t="n">
        <f aca="false">CHOOSE(J22,0,(Vout+(Rdson3+Rdcr)*L22-Vin)/(Vout+(Rdson3-Rdson4-Rs)*L22), IF(Vin&gt;Vout,D_min_boost_exitBB_to_buck, (Vout-Vin*D_max_buck_BB)/Vout))</f>
        <v>0.0450000000000001</v>
      </c>
      <c r="P22" s="385" t="n">
        <f aca="false">MAX(0, CHOOSE(J22, (Vin-(Rdson1+Rdcr)*K22-Vout)*N22/(Fsw*Lf), (Vin-(Rdson4+Rdcr+Rs)*L22)*O22/(Fsw*Lf), IF(Vin&lt;Vout, (Vin-(Rdson4+Rdcr+Rs)*L22)*O22/(0.5*Fsw*Lf),(Vin-(Rdson1+Rdcr)*K22-Vout)*N22/(0.5*Fsw*Lf))))</f>
        <v>0</v>
      </c>
      <c r="Q22" s="385" t="n">
        <f aca="false">CHOOSE(J22, SQRT(K22^2+(P22^2)/12), SQRT(L22^2+(P22^2)/12), SQRT(M22^2+(P22^2)/12))</f>
        <v>0.816753926701571</v>
      </c>
      <c r="R22" s="488" t="n">
        <f aca="false">(Q22^2*Rdcr*(1+Ltc*Ta-Ltc*25))/(1-Q22^2*Rdcr*Ltc*ThetaCa)</f>
        <v>0.00223514096918088</v>
      </c>
      <c r="S22" s="488" t="n">
        <f aca="false">7.759*10^-3*Fsw^0.9458*(0.00787*P22)^2.304</f>
        <v>0</v>
      </c>
      <c r="T22" s="488" t="n">
        <f aca="false">R22+S22</f>
        <v>0.00223514096918088</v>
      </c>
      <c r="U22" s="385" t="n">
        <f aca="false">IF(Vin&gt;Vout, P22/SQRT(12), SQRT(O22/(1-O22))*SQRT(K22^2+(P22^2)/12))</f>
        <v>0.169316457638427</v>
      </c>
      <c r="V22" s="488" t="n">
        <f aca="false">RCoutEsr*U22^2</f>
        <v>0.000143340314136126</v>
      </c>
      <c r="W22" s="488" t="n">
        <f aca="false">V22</f>
        <v>0.000143340314136126</v>
      </c>
      <c r="X22" s="385" t="n">
        <f aca="false">IF(Vin&gt;Vout, SQRT(N22*(1-N22))*SQRT(K22^2+(P22^2)/12), P22/SQRT(12))</f>
        <v>0</v>
      </c>
      <c r="Y22" s="587" t="n">
        <f aca="false">RCinEsr*X22^2</f>
        <v>0</v>
      </c>
      <c r="Z22" s="588" t="n">
        <f aca="false">Y22</f>
        <v>0</v>
      </c>
      <c r="AA22" s="488" t="n">
        <f aca="false">CHOOSE(J22, SQRT(N22)*SQRT(K22^2+(P22^2)/12), SQRT(L22^2+(P22^2)/12), SQRT(N22)*SQRT(M22^2+(P22^2)/12))</f>
        <v>0.798165435750776</v>
      </c>
      <c r="AB22" s="488" t="n">
        <f aca="false">Rdson1*AA22^2</f>
        <v>0.00363128795811518</v>
      </c>
      <c r="AC22" s="488" t="n">
        <f aca="false">CHOOSE(J22, (Vin*K22/2)*(Fsw)*(Tr_buck+Tf_buck), 0, (Vin*K22/2)*(Fsw/2)*(Tr_buck+Tf_buck))</f>
        <v>0.00476594548063128</v>
      </c>
      <c r="AD22" s="488" t="n">
        <f aca="false">CHOOSE(J22, IF(K22&gt;P22/2,0,ABS(K22-P22/2)*Vsd_Q1*Deadtime*Fsw),0, IF(K22&gt;P22/2,0,ABS(K22-P22/2)*Vsd_Q1*Deadtime*Fsw/2))</f>
        <v>0</v>
      </c>
      <c r="AE22" s="488" t="n">
        <f aca="false">(AD22+AC22+AB22*(1+RdsonTopTc*Ta-RdsonTopTc*25))/(1-AB22*RdsonTopTc*ThetaJA_Q1)</f>
        <v>0.00840333642562053</v>
      </c>
      <c r="AF22" s="488" t="n">
        <f aca="false">CHOOSE(J22, SQRT((1-N22))*SQRT(K22^2+(P22^2)/12), 0, SQRT((1-N22))*SQRT(M22^2+(P22^2)/12))</f>
        <v>0.173259672039426</v>
      </c>
      <c r="AG22" s="488" t="n">
        <f aca="false">Rdson2*AF22^2</f>
        <v>0.000171107809544695</v>
      </c>
      <c r="AH22" s="488" t="n">
        <f aca="false">CHOOSE(J22, IF(K22&lt;P22/2,Deadtime*Fsw*IF(VfdSky_Q2&gt;0,0,Vsd_Q2)*(K22+P22/2),2*Deadtime*Fsw*IF(VfdSky_Q2&gt;0,0,Vsd_Q2)*K22),0, IF(K22&lt;P22/2,Deadtime*Fsw/2*IF(VfdSky_Q2&gt;0,0,Vsd_Q2)*(K22+P22/2),2*Deadtime*Fsw/2*IF(VfdSky_Q2&gt;0,0,Vsd_Q2)*K22))</f>
        <v>0.00936</v>
      </c>
      <c r="AI22" s="488" t="n">
        <f aca="false">(AH22+AG22*(1+RdsonBotTc*Ta-RdsonBotTc*25))/(1-AG22*RdsonBotTc*ThetaJA_Q2)</f>
        <v>0.00953143399010307</v>
      </c>
      <c r="AJ22" s="488" t="n">
        <f aca="false">CHOOSE(J22, 0, SQRT(O22)*SQRT(L22^2+(P22^2)/12), SQRT(O22)*SQRT(M22^2+(P22^2)/12))</f>
        <v>0.173259672039426</v>
      </c>
      <c r="AK22" s="488" t="n">
        <f aca="false">Rdson4*AJ22^2</f>
        <v>5.70359365148983E-005</v>
      </c>
      <c r="AL22" s="488" t="n">
        <f aca="false">CHOOSE(J22, 0, (Vout*L22/2)*(Fsw)*(Tr_boost+Tf_boost), (Vout*Iout/2)*(Fsw/2)*(Tr_boost+Tf_boost))</f>
        <v>0.0349071770123085</v>
      </c>
      <c r="AM22" s="488" t="n">
        <f aca="false">IF(H22&gt;Vout, 0, IF(L22&gt;P22/2,0,ABS(L22-P22/2)*Vsd_Q4*Deadtime*Fsw))</f>
        <v>0</v>
      </c>
      <c r="AN22" s="488" t="n">
        <f aca="false">(AM22+AL22+AK22*(1+RdsonTopTc*Ta-RdsonTopTc*25))/(1-AK22*RdsonTopTc*ThetaJA_Q4)</f>
        <v>0.0349646117966992</v>
      </c>
      <c r="AO22" s="488" t="n">
        <f aca="false">CHOOSE(J22, SQRT(K22^2+(P22^2)/12), SQRT(1-O22)*SQRT(L22^2+(P22^2)/12), SQRT(1-O22)*SQRT(M22^2+(P22^2)/12))</f>
        <v>0.798165435750776</v>
      </c>
      <c r="AP22" s="488" t="n">
        <f aca="false">Rdson3*AO22^2</f>
        <v>0.00121042931937173</v>
      </c>
      <c r="AQ22" s="488" t="n">
        <f aca="false">CHOOSE(J22, 0, IF(L22&lt;P22/2,Deadtime*Fsw*IF(VfdSky_Q3&gt;0,0,Vsd_Q3)*(L22+P22/2), 2*Deadtime*Fsw*IF(VfdSky_Q3&gt;0,0,Vsd_Q3)*L22), IF(L22&lt;P22/2,Deadtime*Fsw/2*IF(VfdSky_Q3&gt;0,0,Vsd_Q3)*(L22+P22/2), 2*Deadtime*Fsw/2*IF(VfdSky_Q3&gt;0,0,Vsd_Q3)*L22))</f>
        <v>0.0104</v>
      </c>
      <c r="AR22" s="488" t="n">
        <f aca="false">(AQ22+AP22*(1+RdsonBotTc*Ta-RdsonBotTc*25))/(1-AP22*RdsonBotTc*ThetaJA_Q3)</f>
        <v>0.011613240720784</v>
      </c>
      <c r="AS22" s="488" t="n">
        <f aca="false">CHOOSE(J22, Rdson3*Q22^2, Rdson1*Q22^2, 0)</f>
        <v>0</v>
      </c>
      <c r="AT22" s="488" t="n">
        <f aca="false">CHOOSE(J22, 2*Deadtime*Fsw*IF(VfdSky_Q2&gt;0,VfdSky_Q2,0)*K22, 2*Deadtime*Fsw*IF(VfdSky_Q3&gt;0,VfdSky_Q3,0)*L22, 2*Deadtime*Fsw/2*IF(VfdSky_Q2&gt;0,VfdSky_Q2,0)*K22+2*Deadtime*Fsw/2*IF(VfdSky_Q3&gt;0,VfdSky_Q3,0)*L22)</f>
        <v>0</v>
      </c>
      <c r="AU22" s="488" t="n">
        <f aca="false">CHOOSE(J22, IF(QrrSky_Q2&gt;0,QrrSky_Q2,Qrr_Q2*K22/Iout)*Fsw*(Vin-K22*Rdson1), IF(QrrSky_Q3&gt;0,QrrSky_Q3,Qrr_Q3)*Fsw*Vout,  IF(QrrSky_Q2&gt;0,QrrSky_Q2,Qrr_Q2*K22/Iout)*Fsw/2*(Vin-K22*Rdson1)+IF(QrrSky_Q3&gt;0,QrrSky_Q3,Qrr_Q3)*Fsw/2*Vout)</f>
        <v>0.074136538089</v>
      </c>
      <c r="AV22" s="488" t="n">
        <f aca="false">CHOOSE(J22, Rs*AF22^2, Rs*AJ22^2, Rs*(AF22^2+AJ22^2))</f>
        <v>0.000480302623283354</v>
      </c>
      <c r="AW22" s="488" t="n">
        <f aca="false">Rshunt_std/1000*Iout^2</f>
        <v>0.14832</v>
      </c>
      <c r="AX22" s="488" t="n">
        <f aca="false">IF(Vout&gt;8, Iq*Vout, Iq*Vin)</f>
        <v>0.036</v>
      </c>
      <c r="AY22" s="488" t="n">
        <f aca="false">CHOOSE(J22, (Qg_Q1+Qg_Q2)*Fsw, (Qg_Q3+Qg_Q4)*Fsw, (Qg_Q1+Qg_Q2+Qg_Q3+Qg_Q4)*Fsw/2)*IF(Vout&gt;8, Vout, Vin)</f>
        <v>0.1188</v>
      </c>
      <c r="AZ22" s="488" t="n">
        <f aca="false">(Vin-Vdd)*Fsw*(Qg_Q1+Qg_Q2)+(RdsonDRT+RdsonDRT2)*Fsw*Qg_Q1*Vdd/(RdsonDRT+2*Rgate1+RdsonDRT2)+(RdsonDRB+RdsonDRB2)*Fsw*Qg_Q2*Vdd/(RdsonDRB+2*Rgate2+RdsonDRB2)</f>
        <v>0.0522</v>
      </c>
      <c r="BA22" s="488" t="n">
        <f aca="false">SUM(AX22:AY22)</f>
        <v>0.1548</v>
      </c>
      <c r="BB22" s="488" t="n">
        <f aca="false">SUM(T22,W22,Z22,AE22,AI22,AN22,AR22, AT22,AU22,BA22,AV22,AW22)</f>
        <v>0.444627944928807</v>
      </c>
      <c r="BC22" s="419" t="n">
        <f aca="false">Vout*K22</f>
        <v>9.36</v>
      </c>
      <c r="BD22" s="589" t="n">
        <f aca="false">BC22/(BC22+BB22)</f>
        <v>0.954651217014433</v>
      </c>
      <c r="BE22" s="590" t="n">
        <f aca="false">IF(Vin&gt;Vout,ThetaJA_Q1*BK22,ThetaJA_Q4*BK22)</f>
        <v>4.19473634677196</v>
      </c>
      <c r="BF22" s="590" t="n">
        <f aca="false">IF(Vin&gt;Vout, ThetaJA_Q2*BL22, ThetaJA_Q3*BL22)</f>
        <v>1.8039149145077</v>
      </c>
      <c r="BG22" s="536"/>
      <c r="BH22" s="385" t="n">
        <f aca="false">BD22*100</f>
        <v>95.4651217014433</v>
      </c>
      <c r="BI22" s="488" t="n">
        <f aca="false">T22</f>
        <v>0.00223514096918088</v>
      </c>
      <c r="BJ22" s="488" t="n">
        <f aca="false">AE22+AI22+AN22+AR22+AU22</f>
        <v>0.138649161022207</v>
      </c>
      <c r="BK22" s="488" t="n">
        <f aca="false">IF(Vin&gt;Vout, AE22+AU22*0.66, AN22+AU22*0.66)</f>
        <v>0.0838947269354392</v>
      </c>
      <c r="BL22" s="488" t="n">
        <f aca="false">IF(Vin&gt;Vout, AI22+AU22*0.33, AR22+AU22*0.33)</f>
        <v>0.036078298290154</v>
      </c>
      <c r="BM22" s="488" t="n">
        <f aca="false">AV22</f>
        <v>0.000480302623283354</v>
      </c>
      <c r="BS22" s="591"/>
      <c r="BT22" s="592"/>
    </row>
    <row r="23" customFormat="false" ht="12.75" hidden="false" customHeight="false" outlineLevel="0" collapsed="false">
      <c r="A23" s="613" t="s">
        <v>430</v>
      </c>
      <c r="B23" s="608" t="n">
        <f aca="false">RCinEsr*1000</f>
        <v>2</v>
      </c>
      <c r="C23" s="609" t="s">
        <v>828</v>
      </c>
      <c r="D23" s="603" t="s">
        <v>617</v>
      </c>
      <c r="G23" s="0" t="n">
        <v>14</v>
      </c>
      <c r="H23" s="586" t="n">
        <f aca="false">Vin</f>
        <v>12</v>
      </c>
      <c r="I23" s="490" t="str">
        <f aca="false">IF(H23&gt;VIN_BB_to_buck, "BUCK", IF(H23&lt;VIN_boost_to_BB,"BOOST","BUCK-BST"))</f>
        <v>BUCK-BST</v>
      </c>
      <c r="J23" s="419" t="n">
        <f aca="false">IF(I23="BOOST",2, IF(I23="BUCK", 1,3))</f>
        <v>3</v>
      </c>
      <c r="K23" s="488" t="n">
        <f aca="false">Iout*G23/100</f>
        <v>0.84</v>
      </c>
      <c r="L23" s="385" t="n">
        <f aca="false">Vout*K23/(Vin*Efficiency)</f>
        <v>0.933333333333333</v>
      </c>
      <c r="M23" s="385" t="n">
        <f aca="false">K23/(1-O23)</f>
        <v>0.879581151832461</v>
      </c>
      <c r="N23" s="488" t="n">
        <f aca="false">CHOOSE(J23,(Vout+(Rdson2+Rs+Rdcr)*K23)/(Vin+(Rs+Rdson2-Rdson1)*K23), 1, IF(Vin&lt;Vout, D_max_buck_BB, Vout/Vin*(1-D_min_boost_exitBB_to_buck)))</f>
        <v>0.955</v>
      </c>
      <c r="O23" s="488" t="n">
        <f aca="false">CHOOSE(J23,0,(Vout+(Rdson3+Rdcr)*L23-Vin)/(Vout+(Rdson3-Rdson4-Rs)*L23), IF(Vin&gt;Vout,D_min_boost_exitBB_to_buck, (Vout-Vin*D_max_buck_BB)/Vout))</f>
        <v>0.0450000000000001</v>
      </c>
      <c r="P23" s="385" t="n">
        <f aca="false">MAX(0, CHOOSE(J23, (Vin-(Rdson1+Rdcr)*K23-Vout)*N23/(Fsw*Lf), (Vin-(Rdson4+Rdcr+Rs)*L23)*O23/(Fsw*Lf), IF(Vin&lt;Vout, (Vin-(Rdson4+Rdcr+Rs)*L23)*O23/(0.5*Fsw*Lf),(Vin-(Rdson1+Rdcr)*K23-Vout)*N23/(0.5*Fsw*Lf))))</f>
        <v>0</v>
      </c>
      <c r="Q23" s="385" t="n">
        <f aca="false">CHOOSE(J23, SQRT(K23^2+(P23^2)/12), SQRT(L23^2+(P23^2)/12), SQRT(M23^2+(P23^2)/12))</f>
        <v>0.879581151832461</v>
      </c>
      <c r="R23" s="488" t="n">
        <f aca="false">(Q23^2*Rdcr*(1+Ltc*Ta-Ltc*25))/(1-Q23^2*Rdcr*Ltc*ThetaCa)</f>
        <v>0.00259230855252995</v>
      </c>
      <c r="S23" s="488" t="n">
        <f aca="false">7.759*10^-3*Fsw^0.9458*(0.00787*P23)^2.304</f>
        <v>0</v>
      </c>
      <c r="T23" s="488" t="n">
        <f aca="false">R23+S23</f>
        <v>0.00259230855252995</v>
      </c>
      <c r="U23" s="385" t="n">
        <f aca="false">IF(Vin&gt;Vout, P23/SQRT(12), SQRT(O23/(1-O23))*SQRT(K23^2+(P23^2)/12))</f>
        <v>0.18234080053369</v>
      </c>
      <c r="V23" s="488" t="n">
        <f aca="false">RCoutEsr*U23^2</f>
        <v>0.000166240837696335</v>
      </c>
      <c r="W23" s="488" t="n">
        <f aca="false">V23</f>
        <v>0.000166240837696335</v>
      </c>
      <c r="X23" s="385" t="n">
        <f aca="false">IF(Vin&gt;Vout, SQRT(N23*(1-N23))*SQRT(K23^2+(P23^2)/12), P23/SQRT(12))</f>
        <v>0</v>
      </c>
      <c r="Y23" s="587" t="n">
        <f aca="false">RCinEsr*X23^2</f>
        <v>0</v>
      </c>
      <c r="Z23" s="588" t="n">
        <f aca="false">Y23</f>
        <v>0</v>
      </c>
      <c r="AA23" s="488" t="n">
        <f aca="false">CHOOSE(J23, SQRT(N23)*SQRT(K23^2+(P23^2)/12), SQRT(L23^2+(P23^2)/12), SQRT(N23)*SQRT(M23^2+(P23^2)/12))</f>
        <v>0.859562776962374</v>
      </c>
      <c r="AB23" s="488" t="n">
        <f aca="false">Rdson1*AA23^2</f>
        <v>0.00421143455497382</v>
      </c>
      <c r="AC23" s="488" t="n">
        <f aca="false">CHOOSE(J23, (Vin*K23/2)*(Fsw)*(Tr_buck+Tf_buck), 0, (Vin*K23/2)*(Fsw/2)*(Tr_buck+Tf_buck))</f>
        <v>0.00513255667144907</v>
      </c>
      <c r="AD23" s="488" t="n">
        <f aca="false">CHOOSE(J23, IF(K23&gt;P23/2,0,ABS(K23-P23/2)*Vsd_Q1*Deadtime*Fsw),0, IF(K23&gt;P23/2,0,ABS(K23-P23/2)*Vsd_Q1*Deadtime*Fsw/2))</f>
        <v>0</v>
      </c>
      <c r="AE23" s="488" t="n">
        <f aca="false">(AD23+AC23+AB23*(1+RdsonTopTc*Ta-RdsonTopTc*25))/(1-AB23*RdsonTopTc*ThetaJA_Q1)</f>
        <v>0.00935186818258643</v>
      </c>
      <c r="AF23" s="488" t="n">
        <f aca="false">CHOOSE(J23, SQRT((1-N23))*SQRT(K23^2+(P23^2)/12), 0, SQRT((1-N23))*SQRT(M23^2+(P23^2)/12))</f>
        <v>0.186587339119382</v>
      </c>
      <c r="AG23" s="488" t="n">
        <f aca="false">Rdson2*AF23^2</f>
        <v>0.000198444560182013</v>
      </c>
      <c r="AH23" s="488" t="n">
        <f aca="false">CHOOSE(J23, IF(K23&lt;P23/2,Deadtime*Fsw*IF(VfdSky_Q2&gt;0,0,Vsd_Q2)*(K23+P23/2),2*Deadtime*Fsw*IF(VfdSky_Q2&gt;0,0,Vsd_Q2)*K23),0, IF(K23&lt;P23/2,Deadtime*Fsw/2*IF(VfdSky_Q2&gt;0,0,Vsd_Q2)*(K23+P23/2),2*Deadtime*Fsw/2*IF(VfdSky_Q2&gt;0,0,Vsd_Q2)*K23))</f>
        <v>0.01008</v>
      </c>
      <c r="AI23" s="488" t="n">
        <f aca="false">(AH23+AG23*(1+RdsonBotTc*Ta-RdsonBotTc*25))/(1-AG23*RdsonBotTc*ThetaJA_Q2)</f>
        <v>0.0102788525166554</v>
      </c>
      <c r="AJ23" s="488" t="n">
        <f aca="false">CHOOSE(J23, 0, SQRT(O23)*SQRT(L23^2+(P23^2)/12), SQRT(O23)*SQRT(M23^2+(P23^2)/12))</f>
        <v>0.186587339119382</v>
      </c>
      <c r="AK23" s="488" t="n">
        <f aca="false">Rdson4*AJ23^2</f>
        <v>6.61481867273376E-005</v>
      </c>
      <c r="AL23" s="488" t="n">
        <f aca="false">CHOOSE(J23, 0, (Vout*L23/2)*(Fsw)*(Tr_boost+Tf_boost), (Vout*Iout/2)*(Fsw/2)*(Tr_boost+Tf_boost))</f>
        <v>0.0349071770123085</v>
      </c>
      <c r="AM23" s="488" t="n">
        <f aca="false">IF(H23&gt;Vout, 0, IF(L23&gt;P23/2,0,ABS(L23-P23/2)*Vsd_Q4*Deadtime*Fsw))</f>
        <v>0</v>
      </c>
      <c r="AN23" s="488" t="n">
        <f aca="false">(AM23+AL23+AK23*(1+RdsonTopTc*Ta-RdsonTopTc*25))/(1-AK23*RdsonTopTc*ThetaJA_Q4)</f>
        <v>0.0349737878895662</v>
      </c>
      <c r="AO23" s="488" t="n">
        <f aca="false">CHOOSE(J23, SQRT(K23^2+(P23^2)/12), SQRT(1-O23)*SQRT(L23^2+(P23^2)/12), SQRT(1-O23)*SQRT(M23^2+(P23^2)/12))</f>
        <v>0.859562776962374</v>
      </c>
      <c r="AP23" s="488" t="n">
        <f aca="false">Rdson3*AO23^2</f>
        <v>0.00140381151832461</v>
      </c>
      <c r="AQ23" s="488" t="n">
        <f aca="false">CHOOSE(J23, 0, IF(L23&lt;P23/2,Deadtime*Fsw*IF(VfdSky_Q3&gt;0,0,Vsd_Q3)*(L23+P23/2), 2*Deadtime*Fsw*IF(VfdSky_Q3&gt;0,0,Vsd_Q3)*L23), IF(L23&lt;P23/2,Deadtime*Fsw/2*IF(VfdSky_Q3&gt;0,0,Vsd_Q3)*(L23+P23/2), 2*Deadtime*Fsw/2*IF(VfdSky_Q3&gt;0,0,Vsd_Q3)*L23))</f>
        <v>0.0112</v>
      </c>
      <c r="AR23" s="488" t="n">
        <f aca="false">(AQ23+AP23*(1+RdsonBotTc*Ta-RdsonBotTc*25))/(1-AP23*RdsonBotTc*ThetaJA_Q3)</f>
        <v>0.0126073511872871</v>
      </c>
      <c r="AS23" s="488" t="n">
        <f aca="false">CHOOSE(J23, Rdson3*Q23^2, Rdson1*Q23^2, 0)</f>
        <v>0</v>
      </c>
      <c r="AT23" s="488" t="n">
        <f aca="false">CHOOSE(J23, 2*Deadtime*Fsw*IF(VfdSky_Q2&gt;0,VfdSky_Q2,0)*K23, 2*Deadtime*Fsw*IF(VfdSky_Q3&gt;0,VfdSky_Q3,0)*L23, 2*Deadtime*Fsw/2*IF(VfdSky_Q2&gt;0,VfdSky_Q2,0)*K23+2*Deadtime*Fsw/2*IF(VfdSky_Q3&gt;0,VfdSky_Q3,0)*L23)</f>
        <v>0</v>
      </c>
      <c r="AU23" s="488" t="n">
        <f aca="false">CHOOSE(J23, IF(QrrSky_Q2&gt;0,QrrSky_Q2,Qrr_Q2*K23/Iout)*Fsw*(Vin-K23*Rdson1), IF(QrrSky_Q3&gt;0,QrrSky_Q3,Qrr_Q3)*Fsw*Vout,  IF(QrrSky_Q2&gt;0,QrrSky_Q2,Qrr_Q2*K23/Iout)*Fsw/2*(Vin-K23*Rdson1)+IF(QrrSky_Q3&gt;0,QrrSky_Q3,Qrr_Q3)*Fsw/2*Vout)</f>
        <v>0.075269665476</v>
      </c>
      <c r="AV23" s="488" t="n">
        <f aca="false">CHOOSE(J23, Rs*AF23^2, Rs*AJ23^2, Rs*(AF23^2+AJ23^2))</f>
        <v>0.000557037361914422</v>
      </c>
      <c r="AW23" s="488" t="n">
        <f aca="false">Rshunt_std/1000*Iout^2</f>
        <v>0.14832</v>
      </c>
      <c r="AX23" s="488" t="n">
        <f aca="false">IF(Vout&gt;8, Iq*Vout, Iq*Vin)</f>
        <v>0.036</v>
      </c>
      <c r="AY23" s="488" t="n">
        <f aca="false">CHOOSE(J23, (Qg_Q1+Qg_Q2)*Fsw, (Qg_Q3+Qg_Q4)*Fsw, (Qg_Q1+Qg_Q2+Qg_Q3+Qg_Q4)*Fsw/2)*IF(Vout&gt;8, Vout, Vin)</f>
        <v>0.1188</v>
      </c>
      <c r="AZ23" s="488" t="n">
        <f aca="false">(Vin-Vdd)*Fsw*(Qg_Q1+Qg_Q2)+(RdsonDRT+RdsonDRT2)*Fsw*Qg_Q1*Vdd/(RdsonDRT+2*Rgate1+RdsonDRT2)+(RdsonDRB+RdsonDRB2)*Fsw*Qg_Q2*Vdd/(RdsonDRB+2*Rgate2+RdsonDRB2)</f>
        <v>0.0522</v>
      </c>
      <c r="BA23" s="488" t="n">
        <f aca="false">SUM(AX23:AY23)</f>
        <v>0.1548</v>
      </c>
      <c r="BB23" s="488" t="n">
        <f aca="false">SUM(T23,W23,Z23,AE23,AI23,AN23,AR23, AT23,AU23,BA23,AV23,AW23)</f>
        <v>0.448917112004236</v>
      </c>
      <c r="BC23" s="419" t="n">
        <f aca="false">Vout*K23</f>
        <v>10.08</v>
      </c>
      <c r="BD23" s="589" t="n">
        <f aca="false">BC23/(BC23+BB23)</f>
        <v>0.95736341095397</v>
      </c>
      <c r="BE23" s="590" t="n">
        <f aca="false">IF(Vin&gt;Vout,ThetaJA_Q1*BK23,ThetaJA_Q4*BK23)</f>
        <v>4.23258835518631</v>
      </c>
      <c r="BF23" s="590" t="n">
        <f aca="false">IF(Vin&gt;Vout, ThetaJA_Q2*BL23, ThetaJA_Q3*BL23)</f>
        <v>1.87231703971835</v>
      </c>
      <c r="BG23" s="536"/>
      <c r="BH23" s="385" t="n">
        <f aca="false">BD23*100</f>
        <v>95.736341095397</v>
      </c>
      <c r="BI23" s="488" t="n">
        <f aca="false">T23</f>
        <v>0.00259230855252995</v>
      </c>
      <c r="BJ23" s="488" t="n">
        <f aca="false">AE23+AI23+AN23+AR23+AU23</f>
        <v>0.142481525252095</v>
      </c>
      <c r="BK23" s="488" t="n">
        <f aca="false">IF(Vin&gt;Vout, AE23+AU23*0.66, AN23+AU23*0.66)</f>
        <v>0.0846517671037262</v>
      </c>
      <c r="BL23" s="488" t="n">
        <f aca="false">IF(Vin&gt;Vout, AI23+AU23*0.33, AR23+AU23*0.33)</f>
        <v>0.0374463407943671</v>
      </c>
      <c r="BM23" s="488" t="n">
        <f aca="false">AV23</f>
        <v>0.000557037361914422</v>
      </c>
      <c r="BS23" s="591"/>
      <c r="BT23" s="592"/>
    </row>
    <row r="24" customFormat="false" ht="12.75" hidden="false" customHeight="false" outlineLevel="0" collapsed="false">
      <c r="A24" s="605" t="s">
        <v>401</v>
      </c>
      <c r="B24" s="608" t="n">
        <f aca="false">Cout*1000000</f>
        <v>400</v>
      </c>
      <c r="C24" s="607" t="s">
        <v>835</v>
      </c>
      <c r="D24" s="603" t="s">
        <v>837</v>
      </c>
      <c r="G24" s="0" t="n">
        <v>15</v>
      </c>
      <c r="H24" s="586" t="n">
        <f aca="false">Vin</f>
        <v>12</v>
      </c>
      <c r="I24" s="490" t="str">
        <f aca="false">IF(H24&gt;VIN_BB_to_buck, "BUCK", IF(H24&lt;VIN_boost_to_BB,"BOOST","BUCK-BST"))</f>
        <v>BUCK-BST</v>
      </c>
      <c r="J24" s="419" t="n">
        <f aca="false">IF(I24="BOOST",2, IF(I24="BUCK", 1,3))</f>
        <v>3</v>
      </c>
      <c r="K24" s="488" t="n">
        <f aca="false">Iout*G24/100</f>
        <v>0.9</v>
      </c>
      <c r="L24" s="385" t="n">
        <f aca="false">Vout*K24/(Vin*Efficiency)</f>
        <v>1</v>
      </c>
      <c r="M24" s="385" t="n">
        <f aca="false">K24/(1-O24)</f>
        <v>0.942408376963351</v>
      </c>
      <c r="N24" s="488" t="n">
        <f aca="false">CHOOSE(J24,(Vout+(Rdson2+Rs+Rdcr)*K24)/(Vin+(Rs+Rdson2-Rdson1)*K24), 1, IF(Vin&lt;Vout, D_max_buck_BB, Vout/Vin*(1-D_min_boost_exitBB_to_buck)))</f>
        <v>0.955</v>
      </c>
      <c r="O24" s="488" t="n">
        <f aca="false">CHOOSE(J24,0,(Vout+(Rdson3+Rdcr)*L24-Vin)/(Vout+(Rdson3-Rdson4-Rs)*L24), IF(Vin&gt;Vout,D_min_boost_exitBB_to_buck, (Vout-Vin*D_max_buck_BB)/Vout))</f>
        <v>0.0450000000000001</v>
      </c>
      <c r="P24" s="385" t="n">
        <f aca="false">MAX(0, CHOOSE(J24, (Vin-(Rdson1+Rdcr)*K24-Vout)*N24/(Fsw*Lf), (Vin-(Rdson4+Rdcr+Rs)*L24)*O24/(Fsw*Lf), IF(Vin&lt;Vout, (Vin-(Rdson4+Rdcr+Rs)*L24)*O24/(0.5*Fsw*Lf),(Vin-(Rdson1+Rdcr)*K24-Vout)*N24/(0.5*Fsw*Lf))))</f>
        <v>0</v>
      </c>
      <c r="Q24" s="385" t="n">
        <f aca="false">CHOOSE(J24, SQRT(K24^2+(P24^2)/12), SQRT(L24^2+(P24^2)/12), SQRT(M24^2+(P24^2)/12))</f>
        <v>0.942408376963351</v>
      </c>
      <c r="R24" s="488" t="n">
        <f aca="false">(Q24^2*Rdcr*(1+Ltc*Ta-Ltc*25))/(1-Q24^2*Rdcr*Ltc*ThetaCa)</f>
        <v>0.00297595572541199</v>
      </c>
      <c r="S24" s="488" t="n">
        <f aca="false">7.759*10^-3*Fsw^0.9458*(0.00787*P24)^2.304</f>
        <v>0</v>
      </c>
      <c r="T24" s="488" t="n">
        <f aca="false">R24+S24</f>
        <v>0.00297595572541199</v>
      </c>
      <c r="U24" s="385" t="n">
        <f aca="false">IF(Vin&gt;Vout, P24/SQRT(12), SQRT(O24/(1-O24))*SQRT(K24^2+(P24^2)/12))</f>
        <v>0.195365143428954</v>
      </c>
      <c r="V24" s="488" t="n">
        <f aca="false">RCoutEsr*U24^2</f>
        <v>0.000190837696335079</v>
      </c>
      <c r="W24" s="488" t="n">
        <f aca="false">V24</f>
        <v>0.000190837696335079</v>
      </c>
      <c r="X24" s="385" t="n">
        <f aca="false">IF(Vin&gt;Vout, SQRT(N24*(1-N24))*SQRT(K24^2+(P24^2)/12), P24/SQRT(12))</f>
        <v>0</v>
      </c>
      <c r="Y24" s="587" t="n">
        <f aca="false">RCinEsr*X24^2</f>
        <v>0</v>
      </c>
      <c r="Z24" s="588" t="n">
        <f aca="false">Y24</f>
        <v>0</v>
      </c>
      <c r="AA24" s="488" t="n">
        <f aca="false">CHOOSE(J24, SQRT(N24)*SQRT(K24^2+(P24^2)/12), SQRT(L24^2+(P24^2)/12), SQRT(N24)*SQRT(M24^2+(P24^2)/12))</f>
        <v>0.920960118173972</v>
      </c>
      <c r="AB24" s="488" t="n">
        <f aca="false">Rdson1*AA24^2</f>
        <v>0.00483455497382199</v>
      </c>
      <c r="AC24" s="488" t="n">
        <f aca="false">CHOOSE(J24, (Vin*K24/2)*(Fsw)*(Tr_buck+Tf_buck), 0, (Vin*K24/2)*(Fsw/2)*(Tr_buck+Tf_buck))</f>
        <v>0.00549916786226686</v>
      </c>
      <c r="AD24" s="488" t="n">
        <f aca="false">CHOOSE(J24, IF(K24&gt;P24/2,0,ABS(K24-P24/2)*Vsd_Q1*Deadtime*Fsw),0, IF(K24&gt;P24/2,0,ABS(K24-P24/2)*Vsd_Q1*Deadtime*Fsw/2))</f>
        <v>0</v>
      </c>
      <c r="AE24" s="488" t="n">
        <f aca="false">(AD24+AC24+AB24*(1+RdsonTopTc*Ta-RdsonTopTc*25))/(1-AB24*RdsonTopTc*ThetaJA_Q1)</f>
        <v>0.0103437242968383</v>
      </c>
      <c r="AF24" s="488" t="n">
        <f aca="false">CHOOSE(J24, SQRT((1-N24))*SQRT(K24^2+(P24^2)/12), 0, SQRT((1-N24))*SQRT(M24^2+(P24^2)/12))</f>
        <v>0.199915006199338</v>
      </c>
      <c r="AG24" s="488" t="n">
        <f aca="false">Rdson2*AF24^2</f>
        <v>0.000227806255310984</v>
      </c>
      <c r="AH24" s="488" t="n">
        <f aca="false">CHOOSE(J24, IF(K24&lt;P24/2,Deadtime*Fsw*IF(VfdSky_Q2&gt;0,0,Vsd_Q2)*(K24+P24/2),2*Deadtime*Fsw*IF(VfdSky_Q2&gt;0,0,Vsd_Q2)*K24),0, IF(K24&lt;P24/2,Deadtime*Fsw/2*IF(VfdSky_Q2&gt;0,0,Vsd_Q2)*(K24+P24/2),2*Deadtime*Fsw/2*IF(VfdSky_Q2&gt;0,0,Vsd_Q2)*K24))</f>
        <v>0.0108</v>
      </c>
      <c r="AI24" s="488" t="n">
        <f aca="false">(AH24+AG24*(1+RdsonBotTc*Ta-RdsonBotTc*25))/(1-AG24*RdsonBotTc*ThetaJA_Q2)</f>
        <v>0.0110283087188533</v>
      </c>
      <c r="AJ24" s="488" t="n">
        <f aca="false">CHOOSE(J24, 0, SQRT(O24)*SQRT(L24^2+(P24^2)/12), SQRT(O24)*SQRT(M24^2+(P24^2)/12))</f>
        <v>0.199915006199338</v>
      </c>
      <c r="AK24" s="488" t="n">
        <f aca="false">Rdson4*AJ24^2</f>
        <v>7.59354184369947E-005</v>
      </c>
      <c r="AL24" s="488" t="n">
        <f aca="false">CHOOSE(J24, 0, (Vout*L24/2)*(Fsw)*(Tr_boost+Tf_boost), (Vout*Iout/2)*(Fsw/2)*(Tr_boost+Tf_boost))</f>
        <v>0.0349071770123085</v>
      </c>
      <c r="AM24" s="488" t="n">
        <f aca="false">IF(H24&gt;Vout, 0, IF(L24&gt;P24/2,0,ABS(L24-P24/2)*Vsd_Q4*Deadtime*Fsw))</f>
        <v>0</v>
      </c>
      <c r="AN24" s="488" t="n">
        <f aca="false">(AM24+AL24+AK24*(1+RdsonTopTc*Ta-RdsonTopTc*25))/(1-AK24*RdsonTopTc*ThetaJA_Q4)</f>
        <v>0.0349836437302705</v>
      </c>
      <c r="AO24" s="488" t="n">
        <f aca="false">CHOOSE(J24, SQRT(K24^2+(P24^2)/12), SQRT(1-O24)*SQRT(L24^2+(P24^2)/12), SQRT(1-O24)*SQRT(M24^2+(P24^2)/12))</f>
        <v>0.920960118173972</v>
      </c>
      <c r="AP24" s="488" t="n">
        <f aca="false">Rdson3*AO24^2</f>
        <v>0.00161151832460733</v>
      </c>
      <c r="AQ24" s="488" t="n">
        <f aca="false">CHOOSE(J24, 0, IF(L24&lt;P24/2,Deadtime*Fsw*IF(VfdSky_Q3&gt;0,0,Vsd_Q3)*(L24+P24/2), 2*Deadtime*Fsw*IF(VfdSky_Q3&gt;0,0,Vsd_Q3)*L24), IF(L24&lt;P24/2,Deadtime*Fsw/2*IF(VfdSky_Q3&gt;0,0,Vsd_Q3)*(L24+P24/2), 2*Deadtime*Fsw/2*IF(VfdSky_Q3&gt;0,0,Vsd_Q3)*L24))</f>
        <v>0.012</v>
      </c>
      <c r="AR24" s="488" t="n">
        <f aca="false">(AQ24+AP24*(1+RdsonBotTc*Ta-RdsonBotTc*25))/(1-AP24*RdsonBotTc*ThetaJA_Q3)</f>
        <v>0.0136159067812642</v>
      </c>
      <c r="AS24" s="488" t="n">
        <f aca="false">CHOOSE(J24, Rdson3*Q24^2, Rdson1*Q24^2, 0)</f>
        <v>0</v>
      </c>
      <c r="AT24" s="488" t="n">
        <f aca="false">CHOOSE(J24, 2*Deadtime*Fsw*IF(VfdSky_Q2&gt;0,VfdSky_Q2,0)*K24, 2*Deadtime*Fsw*IF(VfdSky_Q3&gt;0,VfdSky_Q3,0)*L24, 2*Deadtime*Fsw/2*IF(VfdSky_Q2&gt;0,VfdSky_Q2,0)*K24+2*Deadtime*Fsw/2*IF(VfdSky_Q3&gt;0,VfdSky_Q3,0)*L24)</f>
        <v>0</v>
      </c>
      <c r="AU24" s="488" t="n">
        <f aca="false">CHOOSE(J24, IF(QrrSky_Q2&gt;0,QrrSky_Q2,Qrr_Q2*K24/Iout)*Fsw*(Vin-K24*Rdson1), IF(QrrSky_Q3&gt;0,QrrSky_Q3,Qrr_Q3)*Fsw*Vout,  IF(QrrSky_Q2&gt;0,QrrSky_Q2,Qrr_Q2*K24/Iout)*Fsw/2*(Vin-K24*Rdson1)+IF(QrrSky_Q3&gt;0,QrrSky_Q3,Qrr_Q3)*Fsw/2*Vout)</f>
        <v>0.076402728225</v>
      </c>
      <c r="AV24" s="488" t="n">
        <f aca="false">CHOOSE(J24, Rs*AF24^2, Rs*AJ24^2, Rs*(AF24^2+AJ24^2))</f>
        <v>0.000639456155258903</v>
      </c>
      <c r="AW24" s="488" t="n">
        <f aca="false">Rshunt_std/1000*Iout^2</f>
        <v>0.14832</v>
      </c>
      <c r="AX24" s="488" t="n">
        <f aca="false">IF(Vout&gt;8, Iq*Vout, Iq*Vin)</f>
        <v>0.036</v>
      </c>
      <c r="AY24" s="488" t="n">
        <f aca="false">CHOOSE(J24, (Qg_Q1+Qg_Q2)*Fsw, (Qg_Q3+Qg_Q4)*Fsw, (Qg_Q1+Qg_Q2+Qg_Q3+Qg_Q4)*Fsw/2)*IF(Vout&gt;8, Vout, Vin)</f>
        <v>0.1188</v>
      </c>
      <c r="AZ24" s="488" t="n">
        <f aca="false">(Vin-Vdd)*Fsw*(Qg_Q1+Qg_Q2)+(RdsonDRT+RdsonDRT2)*Fsw*Qg_Q1*Vdd/(RdsonDRT+2*Rgate1+RdsonDRT2)+(RdsonDRB+RdsonDRB2)*Fsw*Qg_Q2*Vdd/(RdsonDRB+2*Rgate2+RdsonDRB2)</f>
        <v>0.0522</v>
      </c>
      <c r="BA24" s="488" t="n">
        <f aca="false">SUM(AX24:AY24)</f>
        <v>0.1548</v>
      </c>
      <c r="BB24" s="488" t="n">
        <f aca="false">SUM(T24,W24,Z24,AE24,AI24,AN24,AR24, AT24,AU24,BA24,AV24,AW24)</f>
        <v>0.453300561329232</v>
      </c>
      <c r="BC24" s="419" t="n">
        <f aca="false">Vout*K24</f>
        <v>10.8</v>
      </c>
      <c r="BD24" s="589" t="n">
        <f aca="false">BC24/(BC24+BB24)</f>
        <v>0.959718434706441</v>
      </c>
      <c r="BE24" s="590" t="n">
        <f aca="false">IF(Vin&gt;Vout,ThetaJA_Q1*BK24,ThetaJA_Q4*BK24)</f>
        <v>4.27047221793853</v>
      </c>
      <c r="BF24" s="590" t="n">
        <f aca="false">IF(Vin&gt;Vout, ThetaJA_Q2*BL24, ThetaJA_Q3*BL24)</f>
        <v>1.94144035477571</v>
      </c>
      <c r="BG24" s="536"/>
      <c r="BH24" s="385" t="n">
        <f aca="false">BD24*100</f>
        <v>95.9718434706441</v>
      </c>
      <c r="BI24" s="488" t="n">
        <f aca="false">T24</f>
        <v>0.00297595572541199</v>
      </c>
      <c r="BJ24" s="488" t="n">
        <f aca="false">AE24+AI24+AN24+AR24+AU24</f>
        <v>0.146374311752226</v>
      </c>
      <c r="BK24" s="488" t="n">
        <f aca="false">IF(Vin&gt;Vout, AE24+AU24*0.66, AN24+AU24*0.66)</f>
        <v>0.0854094443587705</v>
      </c>
      <c r="BL24" s="488" t="n">
        <f aca="false">IF(Vin&gt;Vout, AI24+AU24*0.33, AR24+AU24*0.33)</f>
        <v>0.0388288070955142</v>
      </c>
      <c r="BM24" s="488" t="n">
        <f aca="false">AV24</f>
        <v>0.000639456155258903</v>
      </c>
      <c r="BS24" s="591"/>
      <c r="BT24" s="592"/>
    </row>
    <row r="25" customFormat="false" ht="12.75" hidden="false" customHeight="false" outlineLevel="0" collapsed="false">
      <c r="A25" s="605" t="s">
        <v>838</v>
      </c>
      <c r="B25" s="615" t="n">
        <f aca="false">CoutEsr*1000</f>
        <v>5</v>
      </c>
      <c r="C25" s="609" t="s">
        <v>828</v>
      </c>
      <c r="D25" s="603" t="s">
        <v>839</v>
      </c>
      <c r="G25" s="0" t="n">
        <v>16</v>
      </c>
      <c r="H25" s="586" t="n">
        <f aca="false">Vin</f>
        <v>12</v>
      </c>
      <c r="I25" s="490" t="str">
        <f aca="false">IF(H25&gt;VIN_BB_to_buck, "BUCK", IF(H25&lt;VIN_boost_to_BB,"BOOST","BUCK-BST"))</f>
        <v>BUCK-BST</v>
      </c>
      <c r="J25" s="419" t="n">
        <f aca="false">IF(I25="BOOST",2, IF(I25="BUCK", 1,3))</f>
        <v>3</v>
      </c>
      <c r="K25" s="488" t="n">
        <f aca="false">Iout*G25/100</f>
        <v>0.96</v>
      </c>
      <c r="L25" s="385" t="n">
        <f aca="false">Vout*K25/(Vin*Efficiency)</f>
        <v>1.06666666666667</v>
      </c>
      <c r="M25" s="385" t="n">
        <f aca="false">K25/(1-O25)</f>
        <v>1.00523560209424</v>
      </c>
      <c r="N25" s="488" t="n">
        <f aca="false">CHOOSE(J25,(Vout+(Rdson2+Rs+Rdcr)*K25)/(Vin+(Rs+Rdson2-Rdson1)*K25), 1, IF(Vin&lt;Vout, D_max_buck_BB, Vout/Vin*(1-D_min_boost_exitBB_to_buck)))</f>
        <v>0.955</v>
      </c>
      <c r="O25" s="488" t="n">
        <f aca="false">CHOOSE(J25,0,(Vout+(Rdson3+Rdcr)*L25-Vin)/(Vout+(Rdson3-Rdson4-Rs)*L25), IF(Vin&gt;Vout,D_min_boost_exitBB_to_buck, (Vout-Vin*D_max_buck_BB)/Vout))</f>
        <v>0.0450000000000001</v>
      </c>
      <c r="P25" s="385" t="n">
        <f aca="false">MAX(0, CHOOSE(J25, (Vin-(Rdson1+Rdcr)*K25-Vout)*N25/(Fsw*Lf), (Vin-(Rdson4+Rdcr+Rs)*L25)*O25/(Fsw*Lf), IF(Vin&lt;Vout, (Vin-(Rdson4+Rdcr+Rs)*L25)*O25/(0.5*Fsw*Lf),(Vin-(Rdson1+Rdcr)*K25-Vout)*N25/(0.5*Fsw*Lf))))</f>
        <v>0</v>
      </c>
      <c r="Q25" s="385" t="n">
        <f aca="false">CHOOSE(J25, SQRT(K25^2+(P25^2)/12), SQRT(L25^2+(P25^2)/12), SQRT(M25^2+(P25^2)/12))</f>
        <v>1.00523560209424</v>
      </c>
      <c r="R25" s="488" t="n">
        <f aca="false">(Q25^2*Rdcr*(1+Ltc*Ta-Ltc*25))/(1-Q25^2*Rdcr*Ltc*ThetaCa)</f>
        <v>0.00338608736126099</v>
      </c>
      <c r="S25" s="488" t="n">
        <f aca="false">7.759*10^-3*Fsw^0.9458*(0.00787*P25)^2.304</f>
        <v>0</v>
      </c>
      <c r="T25" s="488" t="n">
        <f aca="false">R25+S25</f>
        <v>0.00338608736126099</v>
      </c>
      <c r="U25" s="385" t="n">
        <f aca="false">IF(Vin&gt;Vout, P25/SQRT(12), SQRT(O25/(1-O25))*SQRT(K25^2+(P25^2)/12))</f>
        <v>0.208389486324218</v>
      </c>
      <c r="V25" s="488" t="n">
        <f aca="false">RCoutEsr*U25^2</f>
        <v>0.000217130890052356</v>
      </c>
      <c r="W25" s="488" t="n">
        <f aca="false">V25</f>
        <v>0.000217130890052356</v>
      </c>
      <c r="X25" s="385" t="n">
        <f aca="false">IF(Vin&gt;Vout, SQRT(N25*(1-N25))*SQRT(K25^2+(P25^2)/12), P25/SQRT(12))</f>
        <v>0</v>
      </c>
      <c r="Y25" s="587" t="n">
        <f aca="false">RCinEsr*X25^2</f>
        <v>0</v>
      </c>
      <c r="Z25" s="588" t="n">
        <f aca="false">Y25</f>
        <v>0</v>
      </c>
      <c r="AA25" s="488" t="n">
        <f aca="false">CHOOSE(J25, SQRT(N25)*SQRT(K25^2+(P25^2)/12), SQRT(L25^2+(P25^2)/12), SQRT(N25)*SQRT(M25^2+(P25^2)/12))</f>
        <v>0.98235745938557</v>
      </c>
      <c r="AB25" s="488" t="n">
        <f aca="false">Rdson1*AA25^2</f>
        <v>0.00550064921465969</v>
      </c>
      <c r="AC25" s="488" t="n">
        <f aca="false">CHOOSE(J25, (Vin*K25/2)*(Fsw)*(Tr_buck+Tf_buck), 0, (Vin*K25/2)*(Fsw/2)*(Tr_buck+Tf_buck))</f>
        <v>0.00586577905308465</v>
      </c>
      <c r="AD25" s="488" t="n">
        <f aca="false">CHOOSE(J25, IF(K25&gt;P25/2,0,ABS(K25-P25/2)*Vsd_Q1*Deadtime*Fsw),0, IF(K25&gt;P25/2,0,ABS(K25-P25/2)*Vsd_Q1*Deadtime*Fsw/2))</f>
        <v>0</v>
      </c>
      <c r="AE25" s="488" t="n">
        <f aca="false">(AD25+AC25+AB25*(1+RdsonTopTc*Ta-RdsonTopTc*25))/(1-AB25*RdsonTopTc*ThetaJA_Q1)</f>
        <v>0.0113789465864652</v>
      </c>
      <c r="AF25" s="488" t="n">
        <f aca="false">CHOOSE(J25, SQRT((1-N25))*SQRT(K25^2+(P25^2)/12), 0, SQRT((1-N25))*SQRT(M25^2+(P25^2)/12))</f>
        <v>0.213242673279294</v>
      </c>
      <c r="AG25" s="488" t="n">
        <f aca="false">Rdson2*AF25^2</f>
        <v>0.000259192894931608</v>
      </c>
      <c r="AH25" s="488" t="n">
        <f aca="false">CHOOSE(J25, IF(K25&lt;P25/2,Deadtime*Fsw*IF(VfdSky_Q2&gt;0,0,Vsd_Q2)*(K25+P25/2),2*Deadtime*Fsw*IF(VfdSky_Q2&gt;0,0,Vsd_Q2)*K25),0, IF(K25&lt;P25/2,Deadtime*Fsw/2*IF(VfdSky_Q2&gt;0,0,Vsd_Q2)*(K25+P25/2),2*Deadtime*Fsw/2*IF(VfdSky_Q2&gt;0,0,Vsd_Q2)*K25))</f>
        <v>0.01152</v>
      </c>
      <c r="AI25" s="488" t="n">
        <f aca="false">(AH25+AG25*(1+RdsonBotTc*Ta-RdsonBotTc*25))/(1-AG25*RdsonBotTc*ThetaJA_Q2)</f>
        <v>0.011779803543208</v>
      </c>
      <c r="AJ25" s="488" t="n">
        <f aca="false">CHOOSE(J25, 0, SQRT(O25)*SQRT(L25^2+(P25^2)/12), SQRT(O25)*SQRT(M25^2+(P25^2)/12))</f>
        <v>0.213242673279294</v>
      </c>
      <c r="AK25" s="488" t="n">
        <f aca="false">Rdson4*AJ25^2</f>
        <v>8.63976316438696E-005</v>
      </c>
      <c r="AL25" s="488" t="n">
        <f aca="false">CHOOSE(J25, 0, (Vout*L25/2)*(Fsw)*(Tr_boost+Tf_boost), (Vout*Iout/2)*(Fsw/2)*(Tr_boost+Tf_boost))</f>
        <v>0.0349071770123085</v>
      </c>
      <c r="AM25" s="488" t="n">
        <f aca="false">IF(H25&gt;Vout, 0, IF(L25&gt;P25/2,0,ABS(L25-P25/2)*Vsd_Q4*Deadtime*Fsw))</f>
        <v>0</v>
      </c>
      <c r="AN25" s="488" t="n">
        <f aca="false">(AM25+AL25+AK25*(1+RdsonTopTc*Ta-RdsonTopTc*25))/(1-AK25*RdsonTopTc*ThetaJA_Q4)</f>
        <v>0.0349941793267954</v>
      </c>
      <c r="AO25" s="488" t="n">
        <f aca="false">CHOOSE(J25, SQRT(K25^2+(P25^2)/12), SQRT(1-O25)*SQRT(L25^2+(P25^2)/12), SQRT(1-O25)*SQRT(M25^2+(P25^2)/12))</f>
        <v>0.98235745938557</v>
      </c>
      <c r="AP25" s="488" t="n">
        <f aca="false">Rdson3*AO25^2</f>
        <v>0.0018335497382199</v>
      </c>
      <c r="AQ25" s="488" t="n">
        <f aca="false">CHOOSE(J25, 0, IF(L25&lt;P25/2,Deadtime*Fsw*IF(VfdSky_Q3&gt;0,0,Vsd_Q3)*(L25+P25/2), 2*Deadtime*Fsw*IF(VfdSky_Q3&gt;0,0,Vsd_Q3)*L25), IF(L25&lt;P25/2,Deadtime*Fsw/2*IF(VfdSky_Q3&gt;0,0,Vsd_Q3)*(L25+P25/2), 2*Deadtime*Fsw/2*IF(VfdSky_Q3&gt;0,0,Vsd_Q3)*L25))</f>
        <v>0.0128</v>
      </c>
      <c r="AR25" s="488" t="n">
        <f aca="false">(AQ25+AP25*(1+RdsonBotTc*Ta-RdsonBotTc*25))/(1-AP25*RdsonBotTc*ThetaJA_Q3)</f>
        <v>0.0146389179750641</v>
      </c>
      <c r="AS25" s="488" t="n">
        <f aca="false">CHOOSE(J25, Rdson3*Q25^2, Rdson1*Q25^2, 0)</f>
        <v>0</v>
      </c>
      <c r="AT25" s="488" t="n">
        <f aca="false">CHOOSE(J25, 2*Deadtime*Fsw*IF(VfdSky_Q2&gt;0,VfdSky_Q2,0)*K25, 2*Deadtime*Fsw*IF(VfdSky_Q3&gt;0,VfdSky_Q3,0)*L25, 2*Deadtime*Fsw/2*IF(VfdSky_Q2&gt;0,VfdSky_Q2,0)*K25+2*Deadtime*Fsw/2*IF(VfdSky_Q3&gt;0,VfdSky_Q3,0)*L25)</f>
        <v>0</v>
      </c>
      <c r="AU25" s="488" t="n">
        <f aca="false">CHOOSE(J25, IF(QrrSky_Q2&gt;0,QrrSky_Q2,Qrr_Q2*K25/Iout)*Fsw*(Vin-K25*Rdson1), IF(QrrSky_Q3&gt;0,QrrSky_Q3,Qrr_Q3)*Fsw*Vout,  IF(QrrSky_Q2&gt;0,QrrSky_Q2,Qrr_Q2*K25/Iout)*Fsw/2*(Vin-K25*Rdson1)+IF(QrrSky_Q3&gt;0,QrrSky_Q3,Qrr_Q3)*Fsw/2*Vout)</f>
        <v>0.077535726336</v>
      </c>
      <c r="AV25" s="488" t="n">
        <f aca="false">CHOOSE(J25, Rs*AF25^2, Rs*AJ25^2, Rs*(AF25^2+AJ25^2))</f>
        <v>0.000727559003316796</v>
      </c>
      <c r="AW25" s="488" t="n">
        <f aca="false">Rshunt_std/1000*Iout^2</f>
        <v>0.14832</v>
      </c>
      <c r="AX25" s="488" t="n">
        <f aca="false">IF(Vout&gt;8, Iq*Vout, Iq*Vin)</f>
        <v>0.036</v>
      </c>
      <c r="AY25" s="488" t="n">
        <f aca="false">CHOOSE(J25, (Qg_Q1+Qg_Q2)*Fsw, (Qg_Q3+Qg_Q4)*Fsw, (Qg_Q1+Qg_Q2+Qg_Q3+Qg_Q4)*Fsw/2)*IF(Vout&gt;8, Vout, Vin)</f>
        <v>0.1188</v>
      </c>
      <c r="AZ25" s="488" t="n">
        <f aca="false">(Vin-Vdd)*Fsw*(Qg_Q1+Qg_Q2)+(RdsonDRT+RdsonDRT2)*Fsw*Qg_Q1*Vdd/(RdsonDRT+2*Rgate1+RdsonDRT2)+(RdsonDRB+RdsonDRB2)*Fsw*Qg_Q2*Vdd/(RdsonDRB+2*Rgate2+RdsonDRB2)</f>
        <v>0.0522</v>
      </c>
      <c r="BA25" s="488" t="n">
        <f aca="false">SUM(AX25:AY25)</f>
        <v>0.1548</v>
      </c>
      <c r="BB25" s="488" t="n">
        <f aca="false">SUM(T25,W25,Z25,AE25,AI25,AN25,AR25, AT25,AU25,BA25,AV25,AW25)</f>
        <v>0.457778351022163</v>
      </c>
      <c r="BC25" s="419" t="n">
        <f aca="false">Vout*K25</f>
        <v>11.52</v>
      </c>
      <c r="BD25" s="589" t="n">
        <f aca="false">BC25/(BC25+BB25)</f>
        <v>0.961781030036919</v>
      </c>
      <c r="BE25" s="590" t="n">
        <f aca="false">IF(Vin&gt;Vout,ThetaJA_Q1*BK25,ThetaJA_Q4*BK25)</f>
        <v>4.30838793542777</v>
      </c>
      <c r="BF25" s="590" t="n">
        <f aca="false">IF(Vin&gt;Vout, ThetaJA_Q2*BL25, ThetaJA_Q3*BL25)</f>
        <v>2.0112853832972</v>
      </c>
      <c r="BG25" s="536"/>
      <c r="BH25" s="385" t="n">
        <f aca="false">BD25*100</f>
        <v>96.1781030036919</v>
      </c>
      <c r="BI25" s="488" t="n">
        <f aca="false">T25</f>
        <v>0.00338608736126099</v>
      </c>
      <c r="BJ25" s="488" t="n">
        <f aca="false">AE25+AI25+AN25+AR25+AU25</f>
        <v>0.150327573767533</v>
      </c>
      <c r="BK25" s="488" t="n">
        <f aca="false">IF(Vin&gt;Vout, AE25+AU25*0.66, AN25+AU25*0.66)</f>
        <v>0.0861677587085554</v>
      </c>
      <c r="BL25" s="488" t="n">
        <f aca="false">IF(Vin&gt;Vout, AI25+AU25*0.33, AR25+AU25*0.33)</f>
        <v>0.0402257076659441</v>
      </c>
      <c r="BM25" s="488" t="n">
        <f aca="false">AV25</f>
        <v>0.000727559003316796</v>
      </c>
      <c r="BQ25" s="0" t="s">
        <v>840</v>
      </c>
      <c r="BR25" s="0" t="s">
        <v>762</v>
      </c>
      <c r="BS25" s="0" t="s">
        <v>218</v>
      </c>
      <c r="BT25" s="0" t="s">
        <v>216</v>
      </c>
      <c r="BU25" s="0" t="s">
        <v>224</v>
      </c>
      <c r="BV25" s="0" t="s">
        <v>841</v>
      </c>
    </row>
    <row r="26" customFormat="false" ht="12.75" hidden="false" customHeight="false" outlineLevel="0" collapsed="false">
      <c r="A26" s="604" t="s">
        <v>621</v>
      </c>
      <c r="B26" s="616" t="s">
        <v>812</v>
      </c>
      <c r="C26" s="604" t="s">
        <v>697</v>
      </c>
      <c r="D26" s="585" t="s">
        <v>134</v>
      </c>
      <c r="G26" s="0" t="n">
        <v>17</v>
      </c>
      <c r="H26" s="586" t="n">
        <f aca="false">Vin</f>
        <v>12</v>
      </c>
      <c r="I26" s="490" t="str">
        <f aca="false">IF(H26&gt;VIN_BB_to_buck, "BUCK", IF(H26&lt;VIN_boost_to_BB,"BOOST","BUCK-BST"))</f>
        <v>BUCK-BST</v>
      </c>
      <c r="J26" s="419" t="n">
        <f aca="false">IF(I26="BOOST",2, IF(I26="BUCK", 1,3))</f>
        <v>3</v>
      </c>
      <c r="K26" s="488" t="n">
        <f aca="false">Iout*G26/100</f>
        <v>1.02</v>
      </c>
      <c r="L26" s="385" t="n">
        <f aca="false">Vout*K26/(Vin*Efficiency)</f>
        <v>1.13333333333333</v>
      </c>
      <c r="M26" s="385" t="n">
        <f aca="false">K26/(1-O26)</f>
        <v>1.06806282722513</v>
      </c>
      <c r="N26" s="488" t="n">
        <f aca="false">CHOOSE(J26,(Vout+(Rdson2+Rs+Rdcr)*K26)/(Vin+(Rs+Rdson2-Rdson1)*K26), 1, IF(Vin&lt;Vout, D_max_buck_BB, Vout/Vin*(1-D_min_boost_exitBB_to_buck)))</f>
        <v>0.955</v>
      </c>
      <c r="O26" s="488" t="n">
        <f aca="false">CHOOSE(J26,0,(Vout+(Rdson3+Rdcr)*L26-Vin)/(Vout+(Rdson3-Rdson4-Rs)*L26), IF(Vin&gt;Vout,D_min_boost_exitBB_to_buck, (Vout-Vin*D_max_buck_BB)/Vout))</f>
        <v>0.0450000000000001</v>
      </c>
      <c r="P26" s="385" t="n">
        <f aca="false">MAX(0, CHOOSE(J26, (Vin-(Rdson1+Rdcr)*K26-Vout)*N26/(Fsw*Lf), (Vin-(Rdson4+Rdcr+Rs)*L26)*O26/(Fsw*Lf), IF(Vin&lt;Vout, (Vin-(Rdson4+Rdcr+Rs)*L26)*O26/(0.5*Fsw*Lf),(Vin-(Rdson1+Rdcr)*K26-Vout)*N26/(0.5*Fsw*Lf))))</f>
        <v>0</v>
      </c>
      <c r="Q26" s="385" t="n">
        <f aca="false">CHOOSE(J26, SQRT(K26^2+(P26^2)/12), SQRT(L26^2+(P26^2)/12), SQRT(M26^2+(P26^2)/12))</f>
        <v>1.06806282722513</v>
      </c>
      <c r="R26" s="488" t="n">
        <f aca="false">(Q26^2*Rdcr*(1+Ltc*Ta-Ltc*25))/(1-Q26^2*Rdcr*Ltc*ThetaCa)</f>
        <v>0.00382270867043666</v>
      </c>
      <c r="S26" s="488" t="n">
        <f aca="false">7.759*10^-3*Fsw^0.9458*(0.00787*P26)^2.304</f>
        <v>0</v>
      </c>
      <c r="T26" s="488" t="n">
        <f aca="false">R26+S26</f>
        <v>0.00382270867043666</v>
      </c>
      <c r="U26" s="385" t="n">
        <f aca="false">IF(Vin&gt;Vout, P26/SQRT(12), SQRT(O26/(1-O26))*SQRT(K26^2+(P26^2)/12))</f>
        <v>0.221413829219481</v>
      </c>
      <c r="V26" s="488" t="n">
        <f aca="false">RCoutEsr*U26^2</f>
        <v>0.000245120418848168</v>
      </c>
      <c r="W26" s="488" t="n">
        <f aca="false">V26</f>
        <v>0.000245120418848168</v>
      </c>
      <c r="X26" s="385" t="n">
        <f aca="false">IF(Vin&gt;Vout, SQRT(N26*(1-N26))*SQRT(K26^2+(P26^2)/12), P26/SQRT(12))</f>
        <v>0</v>
      </c>
      <c r="Y26" s="587" t="n">
        <f aca="false">RCinEsr*X26^2</f>
        <v>0</v>
      </c>
      <c r="Z26" s="588" t="n">
        <f aca="false">Y26</f>
        <v>0</v>
      </c>
      <c r="AA26" s="488" t="n">
        <f aca="false">CHOOSE(J26, SQRT(N26)*SQRT(K26^2+(P26^2)/12), SQRT(L26^2+(P26^2)/12), SQRT(N26)*SQRT(M26^2+(P26^2)/12))</f>
        <v>1.04375480059717</v>
      </c>
      <c r="AB26" s="488" t="n">
        <f aca="false">Rdson1*AA26^2</f>
        <v>0.00620971727748691</v>
      </c>
      <c r="AC26" s="488" t="n">
        <f aca="false">CHOOSE(J26, (Vin*K26/2)*(Fsw)*(Tr_buck+Tf_buck), 0, (Vin*K26/2)*(Fsw/2)*(Tr_buck+Tf_buck))</f>
        <v>0.00623239024390244</v>
      </c>
      <c r="AD26" s="488" t="n">
        <f aca="false">CHOOSE(J26, IF(K26&gt;P26/2,0,ABS(K26-P26/2)*Vsd_Q1*Deadtime*Fsw),0, IF(K26&gt;P26/2,0,ABS(K26-P26/2)*Vsd_Q1*Deadtime*Fsw/2))</f>
        <v>0</v>
      </c>
      <c r="AE26" s="488" t="n">
        <f aca="false">(AD26+AC26+AB26*(1+RdsonTopTc*Ta-RdsonTopTc*25))/(1-AB26*RdsonTopTc*ThetaJA_Q1)</f>
        <v>0.0124575791302615</v>
      </c>
      <c r="AF26" s="488" t="n">
        <f aca="false">CHOOSE(J26, SQRT((1-N26))*SQRT(K26^2+(P26^2)/12), 0, SQRT((1-N26))*SQRT(M26^2+(P26^2)/12))</f>
        <v>0.22657034035925</v>
      </c>
      <c r="AG26" s="488" t="n">
        <f aca="false">Rdson2*AF26^2</f>
        <v>0.000292604479043886</v>
      </c>
      <c r="AH26" s="488" t="n">
        <f aca="false">CHOOSE(J26, IF(K26&lt;P26/2,Deadtime*Fsw*IF(VfdSky_Q2&gt;0,0,Vsd_Q2)*(K26+P26/2),2*Deadtime*Fsw*IF(VfdSky_Q2&gt;0,0,Vsd_Q2)*K26),0, IF(K26&lt;P26/2,Deadtime*Fsw/2*IF(VfdSky_Q2&gt;0,0,Vsd_Q2)*(K26+P26/2),2*Deadtime*Fsw/2*IF(VfdSky_Q2&gt;0,0,Vsd_Q2)*K26))</f>
        <v>0.01224</v>
      </c>
      <c r="AI26" s="488" t="n">
        <f aca="false">(AH26+AG26*(1+RdsonBotTc*Ta-RdsonBotTc*25))/(1-AG26*RdsonBotTc*ThetaJA_Q2)</f>
        <v>0.0125333379412077</v>
      </c>
      <c r="AJ26" s="488" t="n">
        <f aca="false">CHOOSE(J26, 0, SQRT(O26)*SQRT(L26^2+(P26^2)/12), SQRT(O26)*SQRT(M26^2+(P26^2)/12))</f>
        <v>0.22657034035925</v>
      </c>
      <c r="AK26" s="488" t="n">
        <f aca="false">Rdson4*AJ26^2</f>
        <v>9.75348263479621E-005</v>
      </c>
      <c r="AL26" s="488" t="n">
        <f aca="false">CHOOSE(J26, 0, (Vout*L26/2)*(Fsw)*(Tr_boost+Tf_boost), (Vout*Iout/2)*(Fsw/2)*(Tr_boost+Tf_boost))</f>
        <v>0.0349071770123085</v>
      </c>
      <c r="AM26" s="488" t="n">
        <f aca="false">IF(H26&gt;Vout, 0, IF(L26&gt;P26/2,0,ABS(L26-P26/2)*Vsd_Q4*Deadtime*Fsw))</f>
        <v>0</v>
      </c>
      <c r="AN26" s="488" t="n">
        <f aca="false">(AM26+AL26+AK26*(1+RdsonTopTc*Ta-RdsonTopTc*25))/(1-AK26*RdsonTopTc*ThetaJA_Q4)</f>
        <v>0.0350053946876749</v>
      </c>
      <c r="AO26" s="488" t="n">
        <f aca="false">CHOOSE(J26, SQRT(K26^2+(P26^2)/12), SQRT(1-O26)*SQRT(L26^2+(P26^2)/12), SQRT(1-O26)*SQRT(M26^2+(P26^2)/12))</f>
        <v>1.04375480059717</v>
      </c>
      <c r="AP26" s="488" t="n">
        <f aca="false">Rdson3*AO26^2</f>
        <v>0.0020699057591623</v>
      </c>
      <c r="AQ26" s="488" t="n">
        <f aca="false">CHOOSE(J26, 0, IF(L26&lt;P26/2,Deadtime*Fsw*IF(VfdSky_Q3&gt;0,0,Vsd_Q3)*(L26+P26/2), 2*Deadtime*Fsw*IF(VfdSky_Q3&gt;0,0,Vsd_Q3)*L26), IF(L26&lt;P26/2,Deadtime*Fsw/2*IF(VfdSky_Q3&gt;0,0,Vsd_Q3)*(L26+P26/2), 2*Deadtime*Fsw/2*IF(VfdSky_Q3&gt;0,0,Vsd_Q3)*L26))</f>
        <v>0.0136</v>
      </c>
      <c r="AR26" s="488" t="n">
        <f aca="false">(AQ26+AP26*(1+RdsonBotTc*Ta-RdsonBotTc*25))/(1-AP26*RdsonBotTc*ThetaJA_Q3)</f>
        <v>0.0156763954914244</v>
      </c>
      <c r="AS26" s="488" t="n">
        <f aca="false">CHOOSE(J26, Rdson3*Q26^2, Rdson1*Q26^2, 0)</f>
        <v>0</v>
      </c>
      <c r="AT26" s="488" t="n">
        <f aca="false">CHOOSE(J26, 2*Deadtime*Fsw*IF(VfdSky_Q2&gt;0,VfdSky_Q2,0)*K26, 2*Deadtime*Fsw*IF(VfdSky_Q3&gt;0,VfdSky_Q3,0)*L26, 2*Deadtime*Fsw/2*IF(VfdSky_Q2&gt;0,VfdSky_Q2,0)*K26+2*Deadtime*Fsw/2*IF(VfdSky_Q3&gt;0,VfdSky_Q3,0)*L26)</f>
        <v>0</v>
      </c>
      <c r="AU26" s="488" t="n">
        <f aca="false">CHOOSE(J26, IF(QrrSky_Q2&gt;0,QrrSky_Q2,Qrr_Q2*K26/Iout)*Fsw*(Vin-K26*Rdson1), IF(QrrSky_Q3&gt;0,QrrSky_Q3,Qrr_Q3)*Fsw*Vout,  IF(QrrSky_Q2&gt;0,QrrSky_Q2,Qrr_Q2*K26/Iout)*Fsw/2*(Vin-K26*Rdson1)+IF(QrrSky_Q3&gt;0,QrrSky_Q3,Qrr_Q3)*Fsw/2*Vout)</f>
        <v>0.078668659809</v>
      </c>
      <c r="AV26" s="488" t="n">
        <f aca="false">CHOOSE(J26, Rs*AF26^2, Rs*AJ26^2, Rs*(AF26^2+AJ26^2))</f>
        <v>0.000821345906088102</v>
      </c>
      <c r="AW26" s="488" t="n">
        <f aca="false">Rshunt_std/1000*Iout^2</f>
        <v>0.14832</v>
      </c>
      <c r="AX26" s="488" t="n">
        <f aca="false">IF(Vout&gt;8, Iq*Vout, Iq*Vin)</f>
        <v>0.036</v>
      </c>
      <c r="AY26" s="488" t="n">
        <f aca="false">CHOOSE(J26, (Qg_Q1+Qg_Q2)*Fsw, (Qg_Q3+Qg_Q4)*Fsw, (Qg_Q1+Qg_Q2+Qg_Q3+Qg_Q4)*Fsw/2)*IF(Vout&gt;8, Vout, Vin)</f>
        <v>0.1188</v>
      </c>
      <c r="AZ26" s="488" t="n">
        <f aca="false">(Vin-Vdd)*Fsw*(Qg_Q1+Qg_Q2)+(RdsonDRT+RdsonDRT2)*Fsw*Qg_Q1*Vdd/(RdsonDRT+2*Rgate1+RdsonDRT2)+(RdsonDRB+RdsonDRB2)*Fsw*Qg_Q2*Vdd/(RdsonDRB+2*Rgate2+RdsonDRB2)</f>
        <v>0.0522</v>
      </c>
      <c r="BA26" s="488" t="n">
        <f aca="false">SUM(AX26:AY26)</f>
        <v>0.1548</v>
      </c>
      <c r="BB26" s="488" t="n">
        <f aca="false">SUM(T26,W26,Z26,AE26,AI26,AN26,AR26, AT26,AU26,BA26,AV26,AW26)</f>
        <v>0.462350542054941</v>
      </c>
      <c r="BC26" s="419" t="n">
        <f aca="false">Vout*K26</f>
        <v>12.24</v>
      </c>
      <c r="BD26" s="589" t="n">
        <f aca="false">BC26/(BC26+BB26)</f>
        <v>0.963601182275344</v>
      </c>
      <c r="BE26" s="590" t="n">
        <f aca="false">IF(Vin&gt;Vout,ThetaJA_Q1*BK26,ThetaJA_Q4*BK26)</f>
        <v>4.34633550808075</v>
      </c>
      <c r="BF26" s="590" t="n">
        <f aca="false">IF(Vin&gt;Vout, ThetaJA_Q2*BL26, ThetaJA_Q3*BL26)</f>
        <v>2.08185266141972</v>
      </c>
      <c r="BG26" s="536"/>
      <c r="BH26" s="385" t="n">
        <f aca="false">BD26*100</f>
        <v>96.3601182275344</v>
      </c>
      <c r="BI26" s="488" t="n">
        <f aca="false">T26</f>
        <v>0.00382270867043666</v>
      </c>
      <c r="BJ26" s="488" t="n">
        <f aca="false">AE26+AI26+AN26+AR26+AU26</f>
        <v>0.154341367059569</v>
      </c>
      <c r="BK26" s="488" t="n">
        <f aca="false">IF(Vin&gt;Vout, AE26+AU26*0.66, AN26+AU26*0.66)</f>
        <v>0.0869267101616149</v>
      </c>
      <c r="BL26" s="488" t="n">
        <f aca="false">IF(Vin&gt;Vout, AI26+AU26*0.33, AR26+AU26*0.33)</f>
        <v>0.0416370532283944</v>
      </c>
      <c r="BM26" s="488" t="n">
        <f aca="false">AV26</f>
        <v>0.000821345906088102</v>
      </c>
      <c r="BQ26" s="0" t="s">
        <v>842</v>
      </c>
      <c r="BR26" s="0" t="n">
        <v>9.998964</v>
      </c>
      <c r="BS26" s="0" t="n">
        <v>0.1027</v>
      </c>
      <c r="BT26" s="0" t="n">
        <v>5.121136</v>
      </c>
      <c r="BU26" s="0" t="n">
        <v>61.870683235325</v>
      </c>
      <c r="BV26" s="0" t="n">
        <v>324.12365701136</v>
      </c>
    </row>
    <row r="27" customFormat="false" ht="12.75" hidden="false" customHeight="false" outlineLevel="0" collapsed="false">
      <c r="A27" s="599" t="s">
        <v>622</v>
      </c>
      <c r="B27" s="596" t="n">
        <f aca="false">RdsonDRT</f>
        <v>1.5</v>
      </c>
      <c r="C27" s="601" t="s">
        <v>40</v>
      </c>
      <c r="D27" s="603" t="s">
        <v>843</v>
      </c>
      <c r="G27" s="0" t="n">
        <v>18</v>
      </c>
      <c r="H27" s="586" t="n">
        <f aca="false">Vin</f>
        <v>12</v>
      </c>
      <c r="I27" s="490" t="str">
        <f aca="false">IF(H27&gt;VIN_BB_to_buck, "BUCK", IF(H27&lt;VIN_boost_to_BB,"BOOST","BUCK-BST"))</f>
        <v>BUCK-BST</v>
      </c>
      <c r="J27" s="419" t="n">
        <f aca="false">IF(I27="BOOST",2, IF(I27="BUCK", 1,3))</f>
        <v>3</v>
      </c>
      <c r="K27" s="488" t="n">
        <f aca="false">Iout*G27/100</f>
        <v>1.08</v>
      </c>
      <c r="L27" s="385" t="n">
        <f aca="false">Vout*K27/(Vin*Efficiency)</f>
        <v>1.2</v>
      </c>
      <c r="M27" s="385" t="n">
        <f aca="false">K27/(1-O27)</f>
        <v>1.13089005235602</v>
      </c>
      <c r="N27" s="488" t="n">
        <f aca="false">CHOOSE(J27,(Vout+(Rdson2+Rs+Rdcr)*K27)/(Vin+(Rs+Rdson2-Rdson1)*K27), 1, IF(Vin&lt;Vout, D_max_buck_BB, Vout/Vin*(1-D_min_boost_exitBB_to_buck)))</f>
        <v>0.955</v>
      </c>
      <c r="O27" s="488" t="n">
        <f aca="false">CHOOSE(J27,0,(Vout+(Rdson3+Rdcr)*L27-Vin)/(Vout+(Rdson3-Rdson4-Rs)*L27), IF(Vin&gt;Vout,D_min_boost_exitBB_to_buck, (Vout-Vin*D_max_buck_BB)/Vout))</f>
        <v>0.0450000000000001</v>
      </c>
      <c r="P27" s="385" t="n">
        <f aca="false">MAX(0, CHOOSE(J27, (Vin-(Rdson1+Rdcr)*K27-Vout)*N27/(Fsw*Lf), (Vin-(Rdson4+Rdcr+Rs)*L27)*O27/(Fsw*Lf), IF(Vin&lt;Vout, (Vin-(Rdson4+Rdcr+Rs)*L27)*O27/(0.5*Fsw*Lf),(Vin-(Rdson1+Rdcr)*K27-Vout)*N27/(0.5*Fsw*Lf))))</f>
        <v>0</v>
      </c>
      <c r="Q27" s="385" t="n">
        <f aca="false">CHOOSE(J27, SQRT(K27^2+(P27^2)/12), SQRT(L27^2+(P27^2)/12), SQRT(M27^2+(P27^2)/12))</f>
        <v>1.13089005235602</v>
      </c>
      <c r="R27" s="488" t="n">
        <f aca="false">(Q27^2*Rdcr*(1+Ltc*Ta-Ltc*25))/(1-Q27^2*Rdcr*Ltc*ThetaCa)</f>
        <v>0.00428582520038999</v>
      </c>
      <c r="S27" s="488" t="n">
        <f aca="false">7.759*10^-3*Fsw^0.9458*(0.00787*P27)^2.304</f>
        <v>0</v>
      </c>
      <c r="T27" s="488" t="n">
        <f aca="false">R27+S27</f>
        <v>0.00428582520038999</v>
      </c>
      <c r="U27" s="385" t="n">
        <f aca="false">IF(Vin&gt;Vout, P27/SQRT(12), SQRT(O27/(1-O27))*SQRT(K27^2+(P27^2)/12))</f>
        <v>0.234438172114745</v>
      </c>
      <c r="V27" s="488" t="n">
        <f aca="false">RCoutEsr*U27^2</f>
        <v>0.000274806282722514</v>
      </c>
      <c r="W27" s="488" t="n">
        <f aca="false">V27</f>
        <v>0.000274806282722514</v>
      </c>
      <c r="X27" s="385" t="n">
        <f aca="false">IF(Vin&gt;Vout, SQRT(N27*(1-N27))*SQRT(K27^2+(P27^2)/12), P27/SQRT(12))</f>
        <v>0</v>
      </c>
      <c r="Y27" s="587" t="n">
        <f aca="false">RCinEsr*X27^2</f>
        <v>0</v>
      </c>
      <c r="Z27" s="588" t="n">
        <f aca="false">Y27</f>
        <v>0</v>
      </c>
      <c r="AA27" s="488" t="n">
        <f aca="false">CHOOSE(J27, SQRT(N27)*SQRT(K27^2+(P27^2)/12), SQRT(L27^2+(P27^2)/12), SQRT(N27)*SQRT(M27^2+(P27^2)/12))</f>
        <v>1.10515214180877</v>
      </c>
      <c r="AB27" s="488" t="n">
        <f aca="false">Rdson1*AA27^2</f>
        <v>0.00696175916230367</v>
      </c>
      <c r="AC27" s="488" t="n">
        <f aca="false">CHOOSE(J27, (Vin*K27/2)*(Fsw)*(Tr_buck+Tf_buck), 0, (Vin*K27/2)*(Fsw/2)*(Tr_buck+Tf_buck))</f>
        <v>0.00659900143472023</v>
      </c>
      <c r="AD27" s="488" t="n">
        <f aca="false">CHOOSE(J27, IF(K27&gt;P27/2,0,ABS(K27-P27/2)*Vsd_Q1*Deadtime*Fsw),0, IF(K27&gt;P27/2,0,ABS(K27-P27/2)*Vsd_Q1*Deadtime*Fsw/2))</f>
        <v>0</v>
      </c>
      <c r="AE27" s="488" t="n">
        <f aca="false">(AD27+AC27+AB27*(1+RdsonTopTc*Ta-RdsonTopTc*25))/(1-AB27*RdsonTopTc*ThetaJA_Q1)</f>
        <v>0.0135796682730281</v>
      </c>
      <c r="AF27" s="488" t="n">
        <f aca="false">CHOOSE(J27, SQRT((1-N27))*SQRT(K27^2+(P27^2)/12), 0, SQRT((1-N27))*SQRT(M27^2+(P27^2)/12))</f>
        <v>0.239898007439206</v>
      </c>
      <c r="AG27" s="488" t="n">
        <f aca="false">Rdson2*AF27^2</f>
        <v>0.000328041007647817</v>
      </c>
      <c r="AH27" s="488" t="n">
        <f aca="false">CHOOSE(J27, IF(K27&lt;P27/2,Deadtime*Fsw*IF(VfdSky_Q2&gt;0,0,Vsd_Q2)*(K27+P27/2),2*Deadtime*Fsw*IF(VfdSky_Q2&gt;0,0,Vsd_Q2)*K27),0, IF(K27&lt;P27/2,Deadtime*Fsw/2*IF(VfdSky_Q2&gt;0,0,Vsd_Q2)*(K27+P27/2),2*Deadtime*Fsw/2*IF(VfdSky_Q2&gt;0,0,Vsd_Q2)*K27))</f>
        <v>0.01296</v>
      </c>
      <c r="AI27" s="488" t="n">
        <f aca="false">(AH27+AG27*(1+RdsonBotTc*Ta-RdsonBotTc*25))/(1-AG27*RdsonBotTc*ThetaJA_Q2)</f>
        <v>0.0132889128693215</v>
      </c>
      <c r="AJ27" s="488" t="n">
        <f aca="false">CHOOSE(J27, 0, SQRT(O27)*SQRT(L27^2+(P27^2)/12), SQRT(O27)*SQRT(M27^2+(P27^2)/12))</f>
        <v>0.239898007439206</v>
      </c>
      <c r="AK27" s="488" t="n">
        <f aca="false">Rdson4*AJ27^2</f>
        <v>0.000109347002549272</v>
      </c>
      <c r="AL27" s="488" t="n">
        <f aca="false">CHOOSE(J27, 0, (Vout*L27/2)*(Fsw)*(Tr_boost+Tf_boost), (Vout*Iout/2)*(Fsw/2)*(Tr_boost+Tf_boost))</f>
        <v>0.0349071770123085</v>
      </c>
      <c r="AM27" s="488" t="n">
        <f aca="false">IF(H27&gt;Vout, 0, IF(L27&gt;P27/2,0,ABS(L27-P27/2)*Vsd_Q4*Deadtime*Fsw))</f>
        <v>0</v>
      </c>
      <c r="AN27" s="488" t="n">
        <f aca="false">(AM27+AL27+AK27*(1+RdsonTopTc*Ta-RdsonTopTc*25))/(1-AK27*RdsonTopTc*ThetaJA_Q4)</f>
        <v>0.0350172898219937</v>
      </c>
      <c r="AO27" s="488" t="n">
        <f aca="false">CHOOSE(J27, SQRT(K27^2+(P27^2)/12), SQRT(1-O27)*SQRT(L27^2+(P27^2)/12), SQRT(1-O27)*SQRT(M27^2+(P27^2)/12))</f>
        <v>1.10515214180877</v>
      </c>
      <c r="AP27" s="488" t="n">
        <f aca="false">Rdson3*AO27^2</f>
        <v>0.00232058638743456</v>
      </c>
      <c r="AQ27" s="488" t="n">
        <f aca="false">CHOOSE(J27, 0, IF(L27&lt;P27/2,Deadtime*Fsw*IF(VfdSky_Q3&gt;0,0,Vsd_Q3)*(L27+P27/2), 2*Deadtime*Fsw*IF(VfdSky_Q3&gt;0,0,Vsd_Q3)*L27), IF(L27&lt;P27/2,Deadtime*Fsw/2*IF(VfdSky_Q3&gt;0,0,Vsd_Q3)*(L27+P27/2), 2*Deadtime*Fsw/2*IF(VfdSky_Q3&gt;0,0,Vsd_Q3)*L27))</f>
        <v>0.0144</v>
      </c>
      <c r="AR27" s="488" t="n">
        <f aca="false">(AQ27+AP27*(1+RdsonBotTc*Ta-RdsonBotTc*25))/(1-AP27*RdsonBotTc*ThetaJA_Q3)</f>
        <v>0.0167283503038344</v>
      </c>
      <c r="AS27" s="488" t="n">
        <f aca="false">CHOOSE(J27, Rdson3*Q27^2, Rdson1*Q27^2, 0)</f>
        <v>0</v>
      </c>
      <c r="AT27" s="488" t="n">
        <f aca="false">CHOOSE(J27, 2*Deadtime*Fsw*IF(VfdSky_Q2&gt;0,VfdSky_Q2,0)*K27, 2*Deadtime*Fsw*IF(VfdSky_Q3&gt;0,VfdSky_Q3,0)*L27, 2*Deadtime*Fsw/2*IF(VfdSky_Q2&gt;0,VfdSky_Q2,0)*K27+2*Deadtime*Fsw/2*IF(VfdSky_Q3&gt;0,VfdSky_Q3,0)*L27)</f>
        <v>0</v>
      </c>
      <c r="AU27" s="488" t="n">
        <f aca="false">CHOOSE(J27, IF(QrrSky_Q2&gt;0,QrrSky_Q2,Qrr_Q2*K27/Iout)*Fsw*(Vin-K27*Rdson1), IF(QrrSky_Q3&gt;0,QrrSky_Q3,Qrr_Q3)*Fsw*Vout,  IF(QrrSky_Q2&gt;0,QrrSky_Q2,Qrr_Q2*K27/Iout)*Fsw/2*(Vin-K27*Rdson1)+IF(QrrSky_Q3&gt;0,QrrSky_Q3,Qrr_Q3)*Fsw/2*Vout)</f>
        <v>0.079801528644</v>
      </c>
      <c r="AV27" s="488" t="n">
        <f aca="false">CHOOSE(J27, Rs*AF27^2, Rs*AJ27^2, Rs*(AF27^2+AJ27^2))</f>
        <v>0.00092081686357282</v>
      </c>
      <c r="AW27" s="488" t="n">
        <f aca="false">Rshunt_std/1000*Iout^2</f>
        <v>0.14832</v>
      </c>
      <c r="AX27" s="488" t="n">
        <f aca="false">IF(Vout&gt;8, Iq*Vout, Iq*Vin)</f>
        <v>0.036</v>
      </c>
      <c r="AY27" s="488" t="n">
        <f aca="false">CHOOSE(J27, (Qg_Q1+Qg_Q2)*Fsw, (Qg_Q3+Qg_Q4)*Fsw, (Qg_Q1+Qg_Q2+Qg_Q3+Qg_Q4)*Fsw/2)*IF(Vout&gt;8, Vout, Vin)</f>
        <v>0.1188</v>
      </c>
      <c r="AZ27" s="488" t="n">
        <f aca="false">(Vin-Vdd)*Fsw*(Qg_Q1+Qg_Q2)+(RdsonDRT+RdsonDRT2)*Fsw*Qg_Q1*Vdd/(RdsonDRT+2*Rgate1+RdsonDRT2)+(RdsonDRB+RdsonDRB2)*Fsw*Qg_Q2*Vdd/(RdsonDRB+2*Rgate2+RdsonDRB2)</f>
        <v>0.0522</v>
      </c>
      <c r="BA27" s="488" t="n">
        <f aca="false">SUM(AX27:AY27)</f>
        <v>0.1548</v>
      </c>
      <c r="BB27" s="488" t="n">
        <f aca="false">SUM(T27,W27,Z27,AE27,AI27,AN27,AR27, AT27,AU27,BA27,AV27,AW27)</f>
        <v>0.467017198258863</v>
      </c>
      <c r="BC27" s="419" t="n">
        <f aca="false">Vout*K27</f>
        <v>12.96</v>
      </c>
      <c r="BD27" s="589" t="n">
        <f aca="false">BC27/(BC27+BB27)</f>
        <v>0.96521809785725</v>
      </c>
      <c r="BE27" s="590" t="n">
        <f aca="false">IF(Vin&gt;Vout,ThetaJA_Q1*BK27,ThetaJA_Q4*BK27)</f>
        <v>4.38431493635168</v>
      </c>
      <c r="BF27" s="590" t="n">
        <f aca="false">IF(Vin&gt;Vout, ThetaJA_Q2*BL27, ThetaJA_Q3*BL27)</f>
        <v>2.15314273781772</v>
      </c>
      <c r="BG27" s="536"/>
      <c r="BH27" s="385" t="n">
        <f aca="false">BD27*100</f>
        <v>96.521809785725</v>
      </c>
      <c r="BI27" s="488" t="n">
        <f aca="false">T27</f>
        <v>0.00428582520038999</v>
      </c>
      <c r="BJ27" s="488" t="n">
        <f aca="false">AE27+AI27+AN27+AR27+AU27</f>
        <v>0.158415749912178</v>
      </c>
      <c r="BK27" s="488" t="n">
        <f aca="false">IF(Vin&gt;Vout, AE27+AU27*0.66, AN27+AU27*0.66)</f>
        <v>0.0876862987270337</v>
      </c>
      <c r="BL27" s="488" t="n">
        <f aca="false">IF(Vin&gt;Vout, AI27+AU27*0.33, AR27+AU27*0.33)</f>
        <v>0.0430628547563544</v>
      </c>
      <c r="BM27" s="488" t="n">
        <f aca="false">AV27</f>
        <v>0.00092081686357282</v>
      </c>
      <c r="BQ27" s="0" t="s">
        <v>844</v>
      </c>
      <c r="BR27" s="0" t="n">
        <v>9.998667</v>
      </c>
      <c r="BS27" s="0" t="n">
        <v>0.1166</v>
      </c>
      <c r="BT27" s="0" t="n">
        <v>5.121298</v>
      </c>
      <c r="BU27" s="0" t="n">
        <v>64.7294205705582</v>
      </c>
      <c r="BV27" s="0" t="n">
        <v>325.37886459484</v>
      </c>
    </row>
    <row r="28" customFormat="false" ht="12.75" hidden="false" customHeight="false" outlineLevel="0" collapsed="false">
      <c r="A28" s="599" t="s">
        <v>624</v>
      </c>
      <c r="B28" s="596" t="n">
        <f aca="false">RdsonDRT2</f>
        <v>1</v>
      </c>
      <c r="C28" s="601" t="s">
        <v>40</v>
      </c>
      <c r="D28" s="603" t="s">
        <v>845</v>
      </c>
      <c r="G28" s="0" t="n">
        <v>19</v>
      </c>
      <c r="H28" s="586" t="n">
        <f aca="false">Vin</f>
        <v>12</v>
      </c>
      <c r="I28" s="490" t="str">
        <f aca="false">IF(H28&gt;VIN_BB_to_buck, "BUCK", IF(H28&lt;VIN_boost_to_BB,"BOOST","BUCK-BST"))</f>
        <v>BUCK-BST</v>
      </c>
      <c r="J28" s="419" t="n">
        <f aca="false">IF(I28="BOOST",2, IF(I28="BUCK", 1,3))</f>
        <v>3</v>
      </c>
      <c r="K28" s="488" t="n">
        <f aca="false">Iout*G28/100</f>
        <v>1.14</v>
      </c>
      <c r="L28" s="385" t="n">
        <f aca="false">Vout*K28/(Vin*Efficiency)</f>
        <v>1.26666666666667</v>
      </c>
      <c r="M28" s="385" t="n">
        <f aca="false">K28/(1-O28)</f>
        <v>1.19371727748691</v>
      </c>
      <c r="N28" s="488" t="n">
        <f aca="false">CHOOSE(J28,(Vout+(Rdson2+Rs+Rdcr)*K28)/(Vin+(Rs+Rdson2-Rdson1)*K28), 1, IF(Vin&lt;Vout, D_max_buck_BB, Vout/Vin*(1-D_min_boost_exitBB_to_buck)))</f>
        <v>0.955</v>
      </c>
      <c r="O28" s="488" t="n">
        <f aca="false">CHOOSE(J28,0,(Vout+(Rdson3+Rdcr)*L28-Vin)/(Vout+(Rdson3-Rdson4-Rs)*L28), IF(Vin&gt;Vout,D_min_boost_exitBB_to_buck, (Vout-Vin*D_max_buck_BB)/Vout))</f>
        <v>0.0450000000000001</v>
      </c>
      <c r="P28" s="385" t="n">
        <f aca="false">MAX(0, CHOOSE(J28, (Vin-(Rdson1+Rdcr)*K28-Vout)*N28/(Fsw*Lf), (Vin-(Rdson4+Rdcr+Rs)*L28)*O28/(Fsw*Lf), IF(Vin&lt;Vout, (Vin-(Rdson4+Rdcr+Rs)*L28)*O28/(0.5*Fsw*Lf),(Vin-(Rdson1+Rdcr)*K28-Vout)*N28/(0.5*Fsw*Lf))))</f>
        <v>0</v>
      </c>
      <c r="Q28" s="385" t="n">
        <f aca="false">CHOOSE(J28, SQRT(K28^2+(P28^2)/12), SQRT(L28^2+(P28^2)/12), SQRT(M28^2+(P28^2)/12))</f>
        <v>1.19371727748691</v>
      </c>
      <c r="R28" s="488" t="n">
        <f aca="false">(Q28^2*Rdcr*(1+Ltc*Ta-Ltc*25))/(1-Q28^2*Rdcr*Ltc*ThetaCa)</f>
        <v>0.00477544283583952</v>
      </c>
      <c r="S28" s="488" t="n">
        <f aca="false">7.759*10^-3*Fsw^0.9458*(0.00787*P28)^2.304</f>
        <v>0</v>
      </c>
      <c r="T28" s="488" t="n">
        <f aca="false">R28+S28</f>
        <v>0.00477544283583952</v>
      </c>
      <c r="U28" s="385" t="n">
        <f aca="false">IF(Vin&gt;Vout, P28/SQRT(12), SQRT(O28/(1-O28))*SQRT(K28^2+(P28^2)/12))</f>
        <v>0.247462515010008</v>
      </c>
      <c r="V28" s="488" t="n">
        <f aca="false">RCoutEsr*U28^2</f>
        <v>0.000306188481675393</v>
      </c>
      <c r="W28" s="488" t="n">
        <f aca="false">V28</f>
        <v>0.000306188481675393</v>
      </c>
      <c r="X28" s="385" t="n">
        <f aca="false">IF(Vin&gt;Vout, SQRT(N28*(1-N28))*SQRT(K28^2+(P28^2)/12), P28/SQRT(12))</f>
        <v>0</v>
      </c>
      <c r="Y28" s="587" t="n">
        <f aca="false">RCinEsr*X28^2</f>
        <v>0</v>
      </c>
      <c r="Z28" s="588" t="n">
        <f aca="false">Y28</f>
        <v>0</v>
      </c>
      <c r="AA28" s="488" t="n">
        <f aca="false">CHOOSE(J28, SQRT(N28)*SQRT(K28^2+(P28^2)/12), SQRT(L28^2+(P28^2)/12), SQRT(N28)*SQRT(M28^2+(P28^2)/12))</f>
        <v>1.16654948302036</v>
      </c>
      <c r="AB28" s="488" t="n">
        <f aca="false">Rdson1*AA28^2</f>
        <v>0.00775677486910995</v>
      </c>
      <c r="AC28" s="488" t="n">
        <f aca="false">CHOOSE(J28, (Vin*K28/2)*(Fsw)*(Tr_buck+Tf_buck), 0, (Vin*K28/2)*(Fsw/2)*(Tr_buck+Tf_buck))</f>
        <v>0.00696561262553802</v>
      </c>
      <c r="AD28" s="488" t="n">
        <f aca="false">CHOOSE(J28, IF(K28&gt;P28/2,0,ABS(K28-P28/2)*Vsd_Q1*Deadtime*Fsw),0, IF(K28&gt;P28/2,0,ABS(K28-P28/2)*Vsd_Q1*Deadtime*Fsw/2))</f>
        <v>0</v>
      </c>
      <c r="AE28" s="488" t="n">
        <f aca="false">(AD28+AC28+AB28*(1+RdsonTopTc*Ta-RdsonTopTc*25))/(1-AB28*RdsonTopTc*ThetaJA_Q1)</f>
        <v>0.0147452626311711</v>
      </c>
      <c r="AF28" s="488" t="n">
        <f aca="false">CHOOSE(J28, SQRT((1-N28))*SQRT(K28^2+(P28^2)/12), 0, SQRT((1-N28))*SQRT(M28^2+(P28^2)/12))</f>
        <v>0.253225674519162</v>
      </c>
      <c r="AG28" s="488" t="n">
        <f aca="false">Rdson2*AF28^2</f>
        <v>0.000365502480743401</v>
      </c>
      <c r="AH28" s="488" t="n">
        <f aca="false">CHOOSE(J28, IF(K28&lt;P28/2,Deadtime*Fsw*IF(VfdSky_Q2&gt;0,0,Vsd_Q2)*(K28+P28/2),2*Deadtime*Fsw*IF(VfdSky_Q2&gt;0,0,Vsd_Q2)*K28),0, IF(K28&lt;P28/2,Deadtime*Fsw/2*IF(VfdSky_Q2&gt;0,0,Vsd_Q2)*(K28+P28/2),2*Deadtime*Fsw/2*IF(VfdSky_Q2&gt;0,0,Vsd_Q2)*K28))</f>
        <v>0.01368</v>
      </c>
      <c r="AI28" s="488" t="n">
        <f aca="false">(AH28+AG28*(1+RdsonBotTc*Ta-RdsonBotTc*25))/(1-AG28*RdsonBotTc*ThetaJA_Q2)</f>
        <v>0.0140465292890036</v>
      </c>
      <c r="AJ28" s="488" t="n">
        <f aca="false">CHOOSE(J28, 0, SQRT(O28)*SQRT(L28^2+(P28^2)/12), SQRT(O28)*SQRT(M28^2+(P28^2)/12))</f>
        <v>0.253225674519162</v>
      </c>
      <c r="AK28" s="488" t="n">
        <f aca="false">Rdson4*AJ28^2</f>
        <v>0.0001218341602478</v>
      </c>
      <c r="AL28" s="488" t="n">
        <f aca="false">CHOOSE(J28, 0, (Vout*L28/2)*(Fsw)*(Tr_boost+Tf_boost), (Vout*Iout/2)*(Fsw/2)*(Tr_boost+Tf_boost))</f>
        <v>0.0349071770123085</v>
      </c>
      <c r="AM28" s="488" t="n">
        <f aca="false">IF(H28&gt;Vout, 0, IF(L28&gt;P28/2,0,ABS(L28-P28/2)*Vsd_Q4*Deadtime*Fsw))</f>
        <v>0</v>
      </c>
      <c r="AN28" s="488" t="n">
        <f aca="false">(AM28+AL28+AK28*(1+RdsonTopTc*Ta-RdsonTopTc*25))/(1-AK28*RdsonTopTc*ThetaJA_Q4)</f>
        <v>0.0350298647393871</v>
      </c>
      <c r="AO28" s="488" t="n">
        <f aca="false">CHOOSE(J28, SQRT(K28^2+(P28^2)/12), SQRT(1-O28)*SQRT(L28^2+(P28^2)/12), SQRT(1-O28)*SQRT(M28^2+(P28^2)/12))</f>
        <v>1.16654948302036</v>
      </c>
      <c r="AP28" s="488" t="n">
        <f aca="false">Rdson3*AO28^2</f>
        <v>0.00258559162303665</v>
      </c>
      <c r="AQ28" s="488" t="n">
        <f aca="false">CHOOSE(J28, 0, IF(L28&lt;P28/2,Deadtime*Fsw*IF(VfdSky_Q3&gt;0,0,Vsd_Q3)*(L28+P28/2), 2*Deadtime*Fsw*IF(VfdSky_Q3&gt;0,0,Vsd_Q3)*L28), IF(L28&lt;P28/2,Deadtime*Fsw/2*IF(VfdSky_Q3&gt;0,0,Vsd_Q3)*(L28+P28/2), 2*Deadtime*Fsw/2*IF(VfdSky_Q3&gt;0,0,Vsd_Q3)*L28))</f>
        <v>0.0152</v>
      </c>
      <c r="AR28" s="488" t="n">
        <f aca="false">(AQ28+AP28*(1+RdsonBotTc*Ta-RdsonBotTc*25))/(1-AP28*RdsonBotTc*ThetaJA_Q3)</f>
        <v>0.0177947936369089</v>
      </c>
      <c r="AS28" s="488" t="n">
        <f aca="false">CHOOSE(J28, Rdson3*Q28^2, Rdson1*Q28^2, 0)</f>
        <v>0</v>
      </c>
      <c r="AT28" s="488" t="n">
        <f aca="false">CHOOSE(J28, 2*Deadtime*Fsw*IF(VfdSky_Q2&gt;0,VfdSky_Q2,0)*K28, 2*Deadtime*Fsw*IF(VfdSky_Q3&gt;0,VfdSky_Q3,0)*L28, 2*Deadtime*Fsw/2*IF(VfdSky_Q2&gt;0,VfdSky_Q2,0)*K28+2*Deadtime*Fsw/2*IF(VfdSky_Q3&gt;0,VfdSky_Q3,0)*L28)</f>
        <v>0</v>
      </c>
      <c r="AU28" s="488" t="n">
        <f aca="false">CHOOSE(J28, IF(QrrSky_Q2&gt;0,QrrSky_Q2,Qrr_Q2*K28/Iout)*Fsw*(Vin-K28*Rdson1), IF(QrrSky_Q3&gt;0,QrrSky_Q3,Qrr_Q3)*Fsw*Vout,  IF(QrrSky_Q2&gt;0,QrrSky_Q2,Qrr_Q2*K28/Iout)*Fsw/2*(Vin-K28*Rdson1)+IF(QrrSky_Q3&gt;0,QrrSky_Q3,Qrr_Q3)*Fsw/2*Vout)</f>
        <v>0.080934332841</v>
      </c>
      <c r="AV28" s="488" t="n">
        <f aca="false">CHOOSE(J28, Rs*AF28^2, Rs*AJ28^2, Rs*(AF28^2+AJ28^2))</f>
        <v>0.00102597187577095</v>
      </c>
      <c r="AW28" s="488" t="n">
        <f aca="false">Rshunt_std/1000*Iout^2</f>
        <v>0.14832</v>
      </c>
      <c r="AX28" s="488" t="n">
        <f aca="false">IF(Vout&gt;8, Iq*Vout, Iq*Vin)</f>
        <v>0.036</v>
      </c>
      <c r="AY28" s="488" t="n">
        <f aca="false">CHOOSE(J28, (Qg_Q1+Qg_Q2)*Fsw, (Qg_Q3+Qg_Q4)*Fsw, (Qg_Q1+Qg_Q2+Qg_Q3+Qg_Q4)*Fsw/2)*IF(Vout&gt;8, Vout, Vin)</f>
        <v>0.1188</v>
      </c>
      <c r="AZ28" s="488" t="n">
        <f aca="false">(Vin-Vdd)*Fsw*(Qg_Q1+Qg_Q2)+(RdsonDRT+RdsonDRT2)*Fsw*Qg_Q1*Vdd/(RdsonDRT+2*Rgate1+RdsonDRT2)+(RdsonDRB+RdsonDRB2)*Fsw*Qg_Q2*Vdd/(RdsonDRB+2*Rgate2+RdsonDRB2)</f>
        <v>0.0522</v>
      </c>
      <c r="BA28" s="488" t="n">
        <f aca="false">SUM(AX28:AY28)</f>
        <v>0.1548</v>
      </c>
      <c r="BB28" s="488" t="n">
        <f aca="false">SUM(T28,W28,Z28,AE28,AI28,AN28,AR28, AT28,AU28,BA28,AV28,AW28)</f>
        <v>0.471778386330757</v>
      </c>
      <c r="BC28" s="419" t="n">
        <f aca="false">Vout*K28</f>
        <v>13.68</v>
      </c>
      <c r="BD28" s="589" t="n">
        <f aca="false">BC28/(BC28+BB28)</f>
        <v>0.966662961116855</v>
      </c>
      <c r="BE28" s="590" t="n">
        <f aca="false">IF(Vin&gt;Vout,ThetaJA_Q1*BK28,ThetaJA_Q4*BK28)</f>
        <v>4.42232622072236</v>
      </c>
      <c r="BF28" s="590" t="n">
        <f aca="false">IF(Vin&gt;Vout, ThetaJA_Q2*BL28, ThetaJA_Q3*BL28)</f>
        <v>2.22515617372195</v>
      </c>
      <c r="BG28" s="536"/>
      <c r="BH28" s="385" t="n">
        <f aca="false">BD28*100</f>
        <v>96.6662961116855</v>
      </c>
      <c r="BI28" s="488" t="n">
        <f aca="false">T28</f>
        <v>0.00477544283583952</v>
      </c>
      <c r="BJ28" s="488" t="n">
        <f aca="false">AE28+AI28+AN28+AR28+AU28</f>
        <v>0.162550783137471</v>
      </c>
      <c r="BK28" s="488" t="n">
        <f aca="false">IF(Vin&gt;Vout, AE28+AU28*0.66, AN28+AU28*0.66)</f>
        <v>0.0884465244144471</v>
      </c>
      <c r="BL28" s="488" t="n">
        <f aca="false">IF(Vin&gt;Vout, AI28+AU28*0.33, AR28+AU28*0.33)</f>
        <v>0.0445031234744389</v>
      </c>
      <c r="BM28" s="488" t="n">
        <f aca="false">AV28</f>
        <v>0.00102597187577095</v>
      </c>
      <c r="BQ28" s="0" t="s">
        <v>846</v>
      </c>
      <c r="BR28" s="0" t="n">
        <v>9.998766</v>
      </c>
      <c r="BS28" s="0" t="n">
        <v>0.1466</v>
      </c>
      <c r="BT28" s="0" t="n">
        <v>5.121323</v>
      </c>
      <c r="BU28" s="0" t="n">
        <v>69.8853769186918</v>
      </c>
      <c r="BV28" s="0" t="n">
        <v>323.5244619338</v>
      </c>
    </row>
    <row r="29" customFormat="false" ht="12.75" hidden="false" customHeight="false" outlineLevel="0" collapsed="false">
      <c r="A29" s="604" t="s">
        <v>626</v>
      </c>
      <c r="B29" s="583" t="s">
        <v>812</v>
      </c>
      <c r="C29" s="604" t="s">
        <v>697</v>
      </c>
      <c r="D29" s="585" t="s">
        <v>134</v>
      </c>
      <c r="G29" s="0" t="n">
        <v>20</v>
      </c>
      <c r="H29" s="586" t="n">
        <f aca="false">Vin</f>
        <v>12</v>
      </c>
      <c r="I29" s="490" t="str">
        <f aca="false">IF(H29&gt;VIN_BB_to_buck, "BUCK", IF(H29&lt;VIN_boost_to_BB,"BOOST","BUCK-BST"))</f>
        <v>BUCK-BST</v>
      </c>
      <c r="J29" s="419" t="n">
        <f aca="false">IF(I29="BOOST",2, IF(I29="BUCK", 1,3))</f>
        <v>3</v>
      </c>
      <c r="K29" s="488" t="n">
        <f aca="false">Iout*G29/100</f>
        <v>1.2</v>
      </c>
      <c r="L29" s="385" t="n">
        <f aca="false">Vout*K29/(Vin*Efficiency)</f>
        <v>1.33333333333333</v>
      </c>
      <c r="M29" s="385" t="n">
        <f aca="false">K29/(1-O29)</f>
        <v>1.2565445026178</v>
      </c>
      <c r="N29" s="488" t="n">
        <f aca="false">CHOOSE(J29,(Vout+(Rdson2+Rs+Rdcr)*K29)/(Vin+(Rs+Rdson2-Rdson1)*K29), 1, IF(Vin&lt;Vout, D_max_buck_BB, Vout/Vin*(1-D_min_boost_exitBB_to_buck)))</f>
        <v>0.955</v>
      </c>
      <c r="O29" s="488" t="n">
        <f aca="false">CHOOSE(J29,0,(Vout+(Rdson3+Rdcr)*L29-Vin)/(Vout+(Rdson3-Rdson4-Rs)*L29), IF(Vin&gt;Vout,D_min_boost_exitBB_to_buck, (Vout-Vin*D_max_buck_BB)/Vout))</f>
        <v>0.0450000000000001</v>
      </c>
      <c r="P29" s="385" t="n">
        <f aca="false">MAX(0, CHOOSE(J29, (Vin-(Rdson1+Rdcr)*K29-Vout)*N29/(Fsw*Lf), (Vin-(Rdson4+Rdcr+Rs)*L29)*O29/(Fsw*Lf), IF(Vin&lt;Vout, (Vin-(Rdson4+Rdcr+Rs)*L29)*O29/(0.5*Fsw*Lf),(Vin-(Rdson1+Rdcr)*K29-Vout)*N29/(0.5*Fsw*Lf))))</f>
        <v>0</v>
      </c>
      <c r="Q29" s="385" t="n">
        <f aca="false">CHOOSE(J29, SQRT(K29^2+(P29^2)/12), SQRT(L29^2+(P29^2)/12), SQRT(M29^2+(P29^2)/12))</f>
        <v>1.2565445026178</v>
      </c>
      <c r="R29" s="488" t="n">
        <f aca="false">(Q29^2*Rdcr*(1+Ltc*Ta-Ltc*25))/(1-Q29^2*Rdcr*Ltc*ThetaCa)</f>
        <v>0.00529156779895833</v>
      </c>
      <c r="S29" s="488" t="n">
        <f aca="false">7.759*10^-3*Fsw^0.9458*(0.00787*P29)^2.304</f>
        <v>0</v>
      </c>
      <c r="T29" s="488" t="n">
        <f aca="false">R29+S29</f>
        <v>0.00529156779895833</v>
      </c>
      <c r="U29" s="385" t="n">
        <f aca="false">IF(Vin&gt;Vout, P29/SQRT(12), SQRT(O29/(1-O29))*SQRT(K29^2+(P29^2)/12))</f>
        <v>0.260486857905272</v>
      </c>
      <c r="V29" s="488" t="n">
        <f aca="false">RCoutEsr*U29^2</f>
        <v>0.000339267015706807</v>
      </c>
      <c r="W29" s="488" t="n">
        <f aca="false">V29</f>
        <v>0.000339267015706807</v>
      </c>
      <c r="X29" s="385" t="n">
        <f aca="false">IF(Vin&gt;Vout, SQRT(N29*(1-N29))*SQRT(K29^2+(P29^2)/12), P29/SQRT(12))</f>
        <v>0</v>
      </c>
      <c r="Y29" s="587" t="n">
        <f aca="false">RCinEsr*X29^2</f>
        <v>0</v>
      </c>
      <c r="Z29" s="588" t="n">
        <f aca="false">Y29</f>
        <v>0</v>
      </c>
      <c r="AA29" s="488" t="n">
        <f aca="false">CHOOSE(J29, SQRT(N29)*SQRT(K29^2+(P29^2)/12), SQRT(L29^2+(P29^2)/12), SQRT(N29)*SQRT(M29^2+(P29^2)/12))</f>
        <v>1.22794682423196</v>
      </c>
      <c r="AB29" s="488" t="n">
        <f aca="false">Rdson1*AA29^2</f>
        <v>0.00859476439790576</v>
      </c>
      <c r="AC29" s="488" t="n">
        <f aca="false">CHOOSE(J29, (Vin*K29/2)*(Fsw)*(Tr_buck+Tf_buck), 0, (Vin*K29/2)*(Fsw/2)*(Tr_buck+Tf_buck))</f>
        <v>0.00733222381635581</v>
      </c>
      <c r="AD29" s="488" t="n">
        <f aca="false">CHOOSE(J29, IF(K29&gt;P29/2,0,ABS(K29-P29/2)*Vsd_Q1*Deadtime*Fsw),0, IF(K29&gt;P29/2,0,ABS(K29-P29/2)*Vsd_Q1*Deadtime*Fsw/2))</f>
        <v>0</v>
      </c>
      <c r="AE29" s="488" t="n">
        <f aca="false">(AD29+AC29+AB29*(1+RdsonTopTc*Ta-RdsonTopTc*25))/(1-AB29*RdsonTopTc*ThetaJA_Q1)</f>
        <v>0.0159544130985994</v>
      </c>
      <c r="AF29" s="488" t="n">
        <f aca="false">CHOOSE(J29, SQRT((1-N29))*SQRT(K29^2+(P29^2)/12), 0, SQRT((1-N29))*SQRT(M29^2+(P29^2)/12))</f>
        <v>0.266553341599118</v>
      </c>
      <c r="AG29" s="488" t="n">
        <f aca="false">Rdson2*AF29^2</f>
        <v>0.000404988898330638</v>
      </c>
      <c r="AH29" s="488" t="n">
        <f aca="false">CHOOSE(J29, IF(K29&lt;P29/2,Deadtime*Fsw*IF(VfdSky_Q2&gt;0,0,Vsd_Q2)*(K29+P29/2),2*Deadtime*Fsw*IF(VfdSky_Q2&gt;0,0,Vsd_Q2)*K29),0, IF(K29&lt;P29/2,Deadtime*Fsw/2*IF(VfdSky_Q2&gt;0,0,Vsd_Q2)*(K29+P29/2),2*Deadtime*Fsw/2*IF(VfdSky_Q2&gt;0,0,Vsd_Q2)*K29))</f>
        <v>0.0144</v>
      </c>
      <c r="AI29" s="488" t="n">
        <f aca="false">(AH29+AG29*(1+RdsonBotTc*Ta-RdsonBotTc*25))/(1-AG29*RdsonBotTc*ThetaJA_Q2)</f>
        <v>0.0148061881666975</v>
      </c>
      <c r="AJ29" s="488" t="n">
        <f aca="false">CHOOSE(J29, 0, SQRT(O29)*SQRT(L29^2+(P29^2)/12), SQRT(O29)*SQRT(M29^2+(P29^2)/12))</f>
        <v>0.266553341599118</v>
      </c>
      <c r="AK29" s="488" t="n">
        <f aca="false">Rdson4*AJ29^2</f>
        <v>0.000134996299443546</v>
      </c>
      <c r="AL29" s="488" t="n">
        <f aca="false">CHOOSE(J29, 0, (Vout*L29/2)*(Fsw)*(Tr_boost+Tf_boost), (Vout*Iout/2)*(Fsw/2)*(Tr_boost+Tf_boost))</f>
        <v>0.0349071770123085</v>
      </c>
      <c r="AM29" s="488" t="n">
        <f aca="false">IF(H29&gt;Vout, 0, IF(L29&gt;P29/2,0,ABS(L29-P29/2)*Vsd_Q4*Deadtime*Fsw))</f>
        <v>0</v>
      </c>
      <c r="AN29" s="488" t="n">
        <f aca="false">(AM29+AL29+AK29*(1+RdsonTopTc*Ta-RdsonTopTc*25))/(1-AK29*RdsonTopTc*ThetaJA_Q4)</f>
        <v>0.0350431194500414</v>
      </c>
      <c r="AO29" s="488" t="n">
        <f aca="false">CHOOSE(J29, SQRT(K29^2+(P29^2)/12), SQRT(1-O29)*SQRT(L29^2+(P29^2)/12), SQRT(1-O29)*SQRT(M29^2+(P29^2)/12))</f>
        <v>1.22794682423196</v>
      </c>
      <c r="AP29" s="488" t="n">
        <f aca="false">Rdson3*AO29^2</f>
        <v>0.00286492146596859</v>
      </c>
      <c r="AQ29" s="488" t="n">
        <f aca="false">CHOOSE(J29, 0, IF(L29&lt;P29/2,Deadtime*Fsw*IF(VfdSky_Q3&gt;0,0,Vsd_Q3)*(L29+P29/2), 2*Deadtime*Fsw*IF(VfdSky_Q3&gt;0,0,Vsd_Q3)*L29), IF(L29&lt;P29/2,Deadtime*Fsw/2*IF(VfdSky_Q3&gt;0,0,Vsd_Q3)*(L29+P29/2), 2*Deadtime*Fsw/2*IF(VfdSky_Q3&gt;0,0,Vsd_Q3)*L29))</f>
        <v>0.016</v>
      </c>
      <c r="AR29" s="488" t="n">
        <f aca="false">(AQ29+AP29*(1+RdsonBotTc*Ta-RdsonBotTc*25))/(1-AP29*RdsonBotTc*ThetaJA_Q3)</f>
        <v>0.018875736966773</v>
      </c>
      <c r="AS29" s="488" t="n">
        <f aca="false">CHOOSE(J29, Rdson3*Q29^2, Rdson1*Q29^2, 0)</f>
        <v>0</v>
      </c>
      <c r="AT29" s="488" t="n">
        <f aca="false">CHOOSE(J29, 2*Deadtime*Fsw*IF(VfdSky_Q2&gt;0,VfdSky_Q2,0)*K29, 2*Deadtime*Fsw*IF(VfdSky_Q3&gt;0,VfdSky_Q3,0)*L29, 2*Deadtime*Fsw/2*IF(VfdSky_Q2&gt;0,VfdSky_Q2,0)*K29+2*Deadtime*Fsw/2*IF(VfdSky_Q3&gt;0,VfdSky_Q3,0)*L29)</f>
        <v>0</v>
      </c>
      <c r="AU29" s="488" t="n">
        <f aca="false">CHOOSE(J29, IF(QrrSky_Q2&gt;0,QrrSky_Q2,Qrr_Q2*K29/Iout)*Fsw*(Vin-K29*Rdson1), IF(QrrSky_Q3&gt;0,QrrSky_Q3,Qrr_Q3)*Fsw*Vout,  IF(QrrSky_Q2&gt;0,QrrSky_Q2,Qrr_Q2*K29/Iout)*Fsw/2*(Vin-K29*Rdson1)+IF(QrrSky_Q3&gt;0,QrrSky_Q3,Qrr_Q3)*Fsw/2*Vout)</f>
        <v>0.0820670724</v>
      </c>
      <c r="AV29" s="488" t="n">
        <f aca="false">CHOOSE(J29, Rs*AF29^2, Rs*AJ29^2, Rs*(AF29^2+AJ29^2))</f>
        <v>0.00113681094268249</v>
      </c>
      <c r="AW29" s="488" t="n">
        <f aca="false">Rshunt_std/1000*Iout^2</f>
        <v>0.14832</v>
      </c>
      <c r="AX29" s="488" t="n">
        <f aca="false">IF(Vout&gt;8, Iq*Vout, Iq*Vin)</f>
        <v>0.036</v>
      </c>
      <c r="AY29" s="488" t="n">
        <f aca="false">CHOOSE(J29, (Qg_Q1+Qg_Q2)*Fsw, (Qg_Q3+Qg_Q4)*Fsw, (Qg_Q1+Qg_Q2+Qg_Q3+Qg_Q4)*Fsw/2)*IF(Vout&gt;8, Vout, Vin)</f>
        <v>0.1188</v>
      </c>
      <c r="AZ29" s="488" t="n">
        <f aca="false">(Vin-Vdd)*Fsw*(Qg_Q1+Qg_Q2)+(RdsonDRT+RdsonDRT2)*Fsw*Qg_Q1*Vdd/(RdsonDRT+2*Rgate1+RdsonDRT2)+(RdsonDRB+RdsonDRB2)*Fsw*Qg_Q2*Vdd/(RdsonDRB+2*Rgate2+RdsonDRB2)</f>
        <v>0.0522</v>
      </c>
      <c r="BA29" s="488" t="n">
        <f aca="false">SUM(AX29:AY29)</f>
        <v>0.1548</v>
      </c>
      <c r="BB29" s="488" t="n">
        <f aca="false">SUM(T29,W29,Z29,AE29,AI29,AN29,AR29, AT29,AU29,BA29,AV29,AW29)</f>
        <v>0.476634175839459</v>
      </c>
      <c r="BC29" s="419" t="n">
        <f aca="false">Vout*K29</f>
        <v>14.4</v>
      </c>
      <c r="BD29" s="589" t="n">
        <f aca="false">BC29/(BC29+BB29)</f>
        <v>0.967960886165129</v>
      </c>
      <c r="BE29" s="590" t="n">
        <f aca="false">IF(Vin&gt;Vout,ThetaJA_Q1*BK29,ThetaJA_Q4*BK29)</f>
        <v>4.46036936170207</v>
      </c>
      <c r="BF29" s="590" t="n">
        <f aca="false">IF(Vin&gt;Vout, ThetaJA_Q2*BL29, ThetaJA_Q3*BL29)</f>
        <v>2.29789354293865</v>
      </c>
      <c r="BG29" s="536"/>
      <c r="BH29" s="385" t="n">
        <f aca="false">BD29*100</f>
        <v>96.7960886165129</v>
      </c>
      <c r="BI29" s="488" t="n">
        <f aca="false">T29</f>
        <v>0.00529156779895833</v>
      </c>
      <c r="BJ29" s="488" t="n">
        <f aca="false">AE29+AI29+AN29+AR29+AU29</f>
        <v>0.166746530082111</v>
      </c>
      <c r="BK29" s="488" t="n">
        <f aca="false">IF(Vin&gt;Vout, AE29+AU29*0.66, AN29+AU29*0.66)</f>
        <v>0.0892073872340414</v>
      </c>
      <c r="BL29" s="488" t="n">
        <f aca="false">IF(Vin&gt;Vout, AI29+AU29*0.33, AR29+AU29*0.33)</f>
        <v>0.045957870858773</v>
      </c>
      <c r="BM29" s="488" t="n">
        <f aca="false">AV29</f>
        <v>0.00113681094268249</v>
      </c>
      <c r="BQ29" s="0" t="s">
        <v>847</v>
      </c>
      <c r="BR29" s="0" t="n">
        <v>9.99879</v>
      </c>
      <c r="BS29" s="0" t="n">
        <v>0.1958</v>
      </c>
      <c r="BT29" s="0" t="n">
        <v>5.12176</v>
      </c>
      <c r="BU29" s="0" t="n">
        <v>75.6625165665159</v>
      </c>
      <c r="BV29" s="0" t="n">
        <v>322.571997667</v>
      </c>
    </row>
    <row r="30" customFormat="false" ht="12.75" hidden="false" customHeight="false" outlineLevel="0" collapsed="false">
      <c r="A30" s="599" t="s">
        <v>627</v>
      </c>
      <c r="B30" s="617" t="n">
        <f aca="false">RdsonDRB</f>
        <v>1.5</v>
      </c>
      <c r="C30" s="601" t="s">
        <v>40</v>
      </c>
      <c r="D30" s="603" t="s">
        <v>848</v>
      </c>
      <c r="G30" s="0" t="n">
        <v>21</v>
      </c>
      <c r="H30" s="586" t="n">
        <f aca="false">Vin</f>
        <v>12</v>
      </c>
      <c r="I30" s="490" t="str">
        <f aca="false">IF(H30&gt;VIN_BB_to_buck, "BUCK", IF(H30&lt;VIN_boost_to_BB,"BOOST","BUCK-BST"))</f>
        <v>BUCK-BST</v>
      </c>
      <c r="J30" s="419" t="n">
        <f aca="false">IF(I30="BOOST",2, IF(I30="BUCK", 1,3))</f>
        <v>3</v>
      </c>
      <c r="K30" s="488" t="n">
        <f aca="false">Iout*G30/100</f>
        <v>1.26</v>
      </c>
      <c r="L30" s="385" t="n">
        <f aca="false">Vout*K30/(Vin*Efficiency)</f>
        <v>1.4</v>
      </c>
      <c r="M30" s="385" t="n">
        <f aca="false">K30/(1-O30)</f>
        <v>1.31937172774869</v>
      </c>
      <c r="N30" s="488" t="n">
        <f aca="false">CHOOSE(J30,(Vout+(Rdson2+Rs+Rdcr)*K30)/(Vin+(Rs+Rdson2-Rdson1)*K30), 1, IF(Vin&lt;Vout, D_max_buck_BB, Vout/Vin*(1-D_min_boost_exitBB_to_buck)))</f>
        <v>0.955</v>
      </c>
      <c r="O30" s="488" t="n">
        <f aca="false">CHOOSE(J30,0,(Vout+(Rdson3+Rdcr)*L30-Vin)/(Vout+(Rdson3-Rdson4-Rs)*L30), IF(Vin&gt;Vout,D_min_boost_exitBB_to_buck, (Vout-Vin*D_max_buck_BB)/Vout))</f>
        <v>0.0450000000000001</v>
      </c>
      <c r="P30" s="385" t="n">
        <f aca="false">MAX(0, CHOOSE(J30, (Vin-(Rdson1+Rdcr)*K30-Vout)*N30/(Fsw*Lf), (Vin-(Rdson4+Rdcr+Rs)*L30)*O30/(Fsw*Lf), IF(Vin&lt;Vout, (Vin-(Rdson4+Rdcr+Rs)*L30)*O30/(0.5*Fsw*Lf),(Vin-(Rdson1+Rdcr)*K30-Vout)*N30/(0.5*Fsw*Lf))))</f>
        <v>0</v>
      </c>
      <c r="Q30" s="385" t="n">
        <f aca="false">CHOOSE(J30, SQRT(K30^2+(P30^2)/12), SQRT(L30^2+(P30^2)/12), SQRT(M30^2+(P30^2)/12))</f>
        <v>1.31937172774869</v>
      </c>
      <c r="R30" s="488" t="n">
        <f aca="false">(Q30^2*Rdcr*(1+Ltc*Ta-Ltc*25))/(1-Q30^2*Rdcr*Ltc*ThetaCa)</f>
        <v>0.00583420664957189</v>
      </c>
      <c r="S30" s="488" t="n">
        <f aca="false">7.759*10^-3*Fsw^0.9458*(0.00787*P30)^2.304</f>
        <v>0</v>
      </c>
      <c r="T30" s="488" t="n">
        <f aca="false">R30+S30</f>
        <v>0.00583420664957189</v>
      </c>
      <c r="U30" s="385" t="n">
        <f aca="false">IF(Vin&gt;Vout, P30/SQRT(12), SQRT(O30/(1-O30))*SQRT(K30^2+(P30^2)/12))</f>
        <v>0.273511200800536</v>
      </c>
      <c r="V30" s="488" t="n">
        <f aca="false">RCoutEsr*U30^2</f>
        <v>0.000374041884816755</v>
      </c>
      <c r="W30" s="488" t="n">
        <f aca="false">V30</f>
        <v>0.000374041884816755</v>
      </c>
      <c r="X30" s="385" t="n">
        <f aca="false">IF(Vin&gt;Vout, SQRT(N30*(1-N30))*SQRT(K30^2+(P30^2)/12), P30/SQRT(12))</f>
        <v>0</v>
      </c>
      <c r="Y30" s="587" t="n">
        <f aca="false">RCinEsr*X30^2</f>
        <v>0</v>
      </c>
      <c r="Z30" s="588" t="n">
        <f aca="false">Y30</f>
        <v>0</v>
      </c>
      <c r="AA30" s="488" t="n">
        <f aca="false">CHOOSE(J30, SQRT(N30)*SQRT(K30^2+(P30^2)/12), SQRT(L30^2+(P30^2)/12), SQRT(N30)*SQRT(M30^2+(P30^2)/12))</f>
        <v>1.28934416544356</v>
      </c>
      <c r="AB30" s="488" t="n">
        <f aca="false">Rdson1*AA30^2</f>
        <v>0.0094757277486911</v>
      </c>
      <c r="AC30" s="488" t="n">
        <f aca="false">CHOOSE(J30, (Vin*K30/2)*(Fsw)*(Tr_buck+Tf_buck), 0, (Vin*K30/2)*(Fsw/2)*(Tr_buck+Tf_buck))</f>
        <v>0.0076988350071736</v>
      </c>
      <c r="AD30" s="488" t="n">
        <f aca="false">CHOOSE(J30, IF(K30&gt;P30/2,0,ABS(K30-P30/2)*Vsd_Q1*Deadtime*Fsw),0, IF(K30&gt;P30/2,0,ABS(K30-P30/2)*Vsd_Q1*Deadtime*Fsw/2))</f>
        <v>0</v>
      </c>
      <c r="AE30" s="488" t="n">
        <f aca="false">(AD30+AC30+AB30*(1+RdsonTopTc*Ta-RdsonTopTc*25))/(1-AB30*RdsonTopTc*ThetaJA_Q1)</f>
        <v>0.0172071728529205</v>
      </c>
      <c r="AF30" s="488" t="n">
        <f aca="false">CHOOSE(J30, SQRT((1-N30))*SQRT(K30^2+(P30^2)/12), 0, SQRT((1-N30))*SQRT(M30^2+(P30^2)/12))</f>
        <v>0.279881008679073</v>
      </c>
      <c r="AG30" s="488" t="n">
        <f aca="false">Rdson2*AF30^2</f>
        <v>0.000446500260409529</v>
      </c>
      <c r="AH30" s="488" t="n">
        <f aca="false">CHOOSE(J30, IF(K30&lt;P30/2,Deadtime*Fsw*IF(VfdSky_Q2&gt;0,0,Vsd_Q2)*(K30+P30/2),2*Deadtime*Fsw*IF(VfdSky_Q2&gt;0,0,Vsd_Q2)*K30),0, IF(K30&lt;P30/2,Deadtime*Fsw/2*IF(VfdSky_Q2&gt;0,0,Vsd_Q2)*(K30+P30/2),2*Deadtime*Fsw/2*IF(VfdSky_Q2&gt;0,0,Vsd_Q2)*K30))</f>
        <v>0.01512</v>
      </c>
      <c r="AI30" s="488" t="n">
        <f aca="false">(AH30+AG30*(1+RdsonBotTc*Ta-RdsonBotTc*25))/(1-AG30*RdsonBotTc*ThetaJA_Q2)</f>
        <v>0.0155678904738396</v>
      </c>
      <c r="AJ30" s="488" t="n">
        <f aca="false">CHOOSE(J30, 0, SQRT(O30)*SQRT(L30^2+(P30^2)/12), SQRT(O30)*SQRT(M30^2+(P30^2)/12))</f>
        <v>0.279881008679074</v>
      </c>
      <c r="AK30" s="488" t="n">
        <f aca="false">Rdson4*AJ30^2</f>
        <v>0.00014883342013651</v>
      </c>
      <c r="AL30" s="488" t="n">
        <f aca="false">CHOOSE(J30, 0, (Vout*L30/2)*(Fsw)*(Tr_boost+Tf_boost), (Vout*Iout/2)*(Fsw/2)*(Tr_boost+Tf_boost))</f>
        <v>0.0349071770123085</v>
      </c>
      <c r="AM30" s="488" t="n">
        <f aca="false">IF(H30&gt;Vout, 0, IF(L30&gt;P30/2,0,ABS(L30-P30/2)*Vsd_Q4*Deadtime*Fsw))</f>
        <v>0</v>
      </c>
      <c r="AN30" s="488" t="n">
        <f aca="false">(AM30+AL30+AK30*(1+RdsonTopTc*Ta-RdsonTopTc*25))/(1-AK30*RdsonTopTc*ThetaJA_Q4)</f>
        <v>0.0350570539646933</v>
      </c>
      <c r="AO30" s="488" t="n">
        <f aca="false">CHOOSE(J30, SQRT(K30^2+(P30^2)/12), SQRT(1-O30)*SQRT(L30^2+(P30^2)/12), SQRT(1-O30)*SQRT(M30^2+(P30^2)/12))</f>
        <v>1.28934416544356</v>
      </c>
      <c r="AP30" s="488" t="n">
        <f aca="false">Rdson3*AO30^2</f>
        <v>0.00315857591623037</v>
      </c>
      <c r="AQ30" s="488" t="n">
        <f aca="false">CHOOSE(J30, 0, IF(L30&lt;P30/2,Deadtime*Fsw*IF(VfdSky_Q3&gt;0,0,Vsd_Q3)*(L30+P30/2), 2*Deadtime*Fsw*IF(VfdSky_Q3&gt;0,0,Vsd_Q3)*L30), IF(L30&lt;P30/2,Deadtime*Fsw/2*IF(VfdSky_Q3&gt;0,0,Vsd_Q3)*(L30+P30/2), 2*Deadtime*Fsw/2*IF(VfdSky_Q3&gt;0,0,Vsd_Q3)*L30))</f>
        <v>0.0168</v>
      </c>
      <c r="AR30" s="488" t="n">
        <f aca="false">(AQ30+AP30*(1+RdsonBotTc*Ta-RdsonBotTc*25))/(1-AP30*RdsonBotTc*ThetaJA_Q3)</f>
        <v>0.0199711920214578</v>
      </c>
      <c r="AS30" s="488" t="n">
        <f aca="false">CHOOSE(J30, Rdson3*Q30^2, Rdson1*Q30^2, 0)</f>
        <v>0</v>
      </c>
      <c r="AT30" s="488" t="n">
        <f aca="false">CHOOSE(J30, 2*Deadtime*Fsw*IF(VfdSky_Q2&gt;0,VfdSky_Q2,0)*K30, 2*Deadtime*Fsw*IF(VfdSky_Q3&gt;0,VfdSky_Q3,0)*L30, 2*Deadtime*Fsw/2*IF(VfdSky_Q2&gt;0,VfdSky_Q2,0)*K30+2*Deadtime*Fsw/2*IF(VfdSky_Q3&gt;0,VfdSky_Q3,0)*L30)</f>
        <v>0</v>
      </c>
      <c r="AU30" s="488" t="n">
        <f aca="false">CHOOSE(J30, IF(QrrSky_Q2&gt;0,QrrSky_Q2,Qrr_Q2*K30/Iout)*Fsw*(Vin-K30*Rdson1), IF(QrrSky_Q3&gt;0,QrrSky_Q3,Qrr_Q3)*Fsw*Vout,  IF(QrrSky_Q2&gt;0,QrrSky_Q2,Qrr_Q2*K30/Iout)*Fsw/2*(Vin-K30*Rdson1)+IF(QrrSky_Q3&gt;0,QrrSky_Q3,Qrr_Q3)*Fsw/2*Vout)</f>
        <v>0.083199747321</v>
      </c>
      <c r="AV30" s="488" t="n">
        <f aca="false">CHOOSE(J30, Rs*AF30^2, Rs*AJ30^2, Rs*(AF30^2+AJ30^2))</f>
        <v>0.00125333406430745</v>
      </c>
      <c r="AW30" s="488" t="n">
        <f aca="false">Rshunt_std/1000*Iout^2</f>
        <v>0.14832</v>
      </c>
      <c r="AX30" s="488" t="n">
        <f aca="false">IF(Vout&gt;8, Iq*Vout, Iq*Vin)</f>
        <v>0.036</v>
      </c>
      <c r="AY30" s="488" t="n">
        <f aca="false">CHOOSE(J30, (Qg_Q1+Qg_Q2)*Fsw, (Qg_Q3+Qg_Q4)*Fsw, (Qg_Q1+Qg_Q2+Qg_Q3+Qg_Q4)*Fsw/2)*IF(Vout&gt;8, Vout, Vin)</f>
        <v>0.1188</v>
      </c>
      <c r="AZ30" s="488" t="n">
        <f aca="false">(Vin-Vdd)*Fsw*(Qg_Q1+Qg_Q2)+(RdsonDRT+RdsonDRT2)*Fsw*Qg_Q1*Vdd/(RdsonDRT+2*Rgate1+RdsonDRT2)+(RdsonDRB+RdsonDRB2)*Fsw*Qg_Q2*Vdd/(RdsonDRB+2*Rgate2+RdsonDRB2)</f>
        <v>0.0522</v>
      </c>
      <c r="BA30" s="488" t="n">
        <f aca="false">SUM(AX30:AY30)</f>
        <v>0.1548</v>
      </c>
      <c r="BB30" s="488" t="n">
        <f aca="false">SUM(T30,W30,Z30,AE30,AI30,AN30,AR30, AT30,AU30,BA30,AV30,AW30)</f>
        <v>0.481584639232607</v>
      </c>
      <c r="BC30" s="419" t="n">
        <f aca="false">Vout*K30</f>
        <v>15.12</v>
      </c>
      <c r="BD30" s="589" t="n">
        <f aca="false">BC30/(BC30+BB30)</f>
        <v>0.969132325313828</v>
      </c>
      <c r="BE30" s="590" t="n">
        <f aca="false">IF(Vin&gt;Vout,ThetaJA_Q1*BK30,ThetaJA_Q4*BK30)</f>
        <v>4.49844435982767</v>
      </c>
      <c r="BF30" s="590" t="n">
        <f aca="false">IF(Vin&gt;Vout, ThetaJA_Q2*BL30, ThetaJA_Q3*BL30)</f>
        <v>2.37135543186939</v>
      </c>
      <c r="BG30" s="536"/>
      <c r="BH30" s="385" t="n">
        <f aca="false">BD30*100</f>
        <v>96.9132325313828</v>
      </c>
      <c r="BI30" s="488" t="n">
        <f aca="false">T30</f>
        <v>0.00583420664957189</v>
      </c>
      <c r="BJ30" s="488" t="n">
        <f aca="false">AE30+AI30+AN30+AR30+AU30</f>
        <v>0.171003056633911</v>
      </c>
      <c r="BK30" s="488" t="n">
        <f aca="false">IF(Vin&gt;Vout, AE30+AU30*0.66, AN30+AU30*0.66)</f>
        <v>0.0899688871965533</v>
      </c>
      <c r="BL30" s="488" t="n">
        <f aca="false">IF(Vin&gt;Vout, AI30+AU30*0.33, AR30+AU30*0.33)</f>
        <v>0.0474271086373878</v>
      </c>
      <c r="BM30" s="488" t="n">
        <f aca="false">AV30</f>
        <v>0.00125333406430745</v>
      </c>
      <c r="BR30" s="0" t="n">
        <v>9.998766</v>
      </c>
      <c r="BS30" s="0" t="n">
        <v>0.2681</v>
      </c>
      <c r="BT30" s="0" t="n">
        <v>5.122408</v>
      </c>
      <c r="BU30" s="0" t="n">
        <v>80.9575534458877</v>
      </c>
      <c r="BV30" s="0" t="n">
        <v>323.0250606832</v>
      </c>
    </row>
    <row r="31" customFormat="false" ht="12.75" hidden="false" customHeight="false" outlineLevel="0" collapsed="false">
      <c r="A31" s="599" t="s">
        <v>629</v>
      </c>
      <c r="B31" s="617" t="n">
        <v>1</v>
      </c>
      <c r="C31" s="601" t="s">
        <v>40</v>
      </c>
      <c r="D31" s="603" t="s">
        <v>849</v>
      </c>
      <c r="G31" s="0" t="n">
        <v>22</v>
      </c>
      <c r="H31" s="586" t="n">
        <f aca="false">Vin</f>
        <v>12</v>
      </c>
      <c r="I31" s="490" t="str">
        <f aca="false">IF(H31&gt;VIN_BB_to_buck, "BUCK", IF(H31&lt;VIN_boost_to_BB,"BOOST","BUCK-BST"))</f>
        <v>BUCK-BST</v>
      </c>
      <c r="J31" s="419" t="n">
        <f aca="false">IF(I31="BOOST",2, IF(I31="BUCK", 1,3))</f>
        <v>3</v>
      </c>
      <c r="K31" s="488" t="n">
        <f aca="false">Iout*G31/100</f>
        <v>1.32</v>
      </c>
      <c r="L31" s="385" t="n">
        <f aca="false">Vout*K31/(Vin*Efficiency)</f>
        <v>1.46666666666667</v>
      </c>
      <c r="M31" s="385" t="n">
        <f aca="false">K31/(1-O31)</f>
        <v>1.38219895287958</v>
      </c>
      <c r="N31" s="488" t="n">
        <f aca="false">CHOOSE(J31,(Vout+(Rdson2+Rs+Rdcr)*K31)/(Vin+(Rs+Rdson2-Rdson1)*K31), 1, IF(Vin&lt;Vout, D_max_buck_BB, Vout/Vin*(1-D_min_boost_exitBB_to_buck)))</f>
        <v>0.955</v>
      </c>
      <c r="O31" s="488" t="n">
        <f aca="false">CHOOSE(J31,0,(Vout+(Rdson3+Rdcr)*L31-Vin)/(Vout+(Rdson3-Rdson4-Rs)*L31), IF(Vin&gt;Vout,D_min_boost_exitBB_to_buck, (Vout-Vin*D_max_buck_BB)/Vout))</f>
        <v>0.0450000000000001</v>
      </c>
      <c r="P31" s="385" t="n">
        <f aca="false">MAX(0, CHOOSE(J31, (Vin-(Rdson1+Rdcr)*K31-Vout)*N31/(Fsw*Lf), (Vin-(Rdson4+Rdcr+Rs)*L31)*O31/(Fsw*Lf), IF(Vin&lt;Vout, (Vin-(Rdson4+Rdcr+Rs)*L31)*O31/(0.5*Fsw*Lf),(Vin-(Rdson1+Rdcr)*K31-Vout)*N31/(0.5*Fsw*Lf))))</f>
        <v>0</v>
      </c>
      <c r="Q31" s="385" t="n">
        <f aca="false">CHOOSE(J31, SQRT(K31^2+(P31^2)/12), SQRT(L31^2+(P31^2)/12), SQRT(M31^2+(P31^2)/12))</f>
        <v>1.38219895287958</v>
      </c>
      <c r="R31" s="488" t="n">
        <f aca="false">(Q31^2*Rdcr*(1+Ltc*Ta-Ltc*25))/(1-Q31^2*Rdcr*Ltc*ThetaCa)</f>
        <v>0.00640336628536651</v>
      </c>
      <c r="S31" s="488" t="n">
        <f aca="false">7.759*10^-3*Fsw^0.9458*(0.00787*P31)^2.304</f>
        <v>0</v>
      </c>
      <c r="T31" s="488" t="n">
        <f aca="false">R31+S31</f>
        <v>0.00640336628536651</v>
      </c>
      <c r="U31" s="385" t="n">
        <f aca="false">IF(Vin&gt;Vout, P31/SQRT(12), SQRT(O31/(1-O31))*SQRT(K31^2+(P31^2)/12))</f>
        <v>0.286535543695799</v>
      </c>
      <c r="V31" s="488" t="n">
        <f aca="false">RCoutEsr*U31^2</f>
        <v>0.000410513089005236</v>
      </c>
      <c r="W31" s="488" t="n">
        <f aca="false">V31</f>
        <v>0.000410513089005236</v>
      </c>
      <c r="X31" s="385" t="n">
        <f aca="false">IF(Vin&gt;Vout, SQRT(N31*(1-N31))*SQRT(K31^2+(P31^2)/12), P31/SQRT(12))</f>
        <v>0</v>
      </c>
      <c r="Y31" s="587" t="n">
        <f aca="false">RCinEsr*X31^2</f>
        <v>0</v>
      </c>
      <c r="Z31" s="588" t="n">
        <f aca="false">Y31</f>
        <v>0</v>
      </c>
      <c r="AA31" s="488" t="n">
        <f aca="false">CHOOSE(J31, SQRT(N31)*SQRT(K31^2+(P31^2)/12), SQRT(L31^2+(P31^2)/12), SQRT(N31)*SQRT(M31^2+(P31^2)/12))</f>
        <v>1.35074150665516</v>
      </c>
      <c r="AB31" s="488" t="n">
        <f aca="false">Rdson1*AA31^2</f>
        <v>0.010399664921466</v>
      </c>
      <c r="AC31" s="488" t="n">
        <f aca="false">CHOOSE(J31, (Vin*K31/2)*(Fsw)*(Tr_buck+Tf_buck), 0, (Vin*K31/2)*(Fsw/2)*(Tr_buck+Tf_buck))</f>
        <v>0.00806544619799139</v>
      </c>
      <c r="AD31" s="488" t="n">
        <f aca="false">CHOOSE(J31, IF(K31&gt;P31/2,0,ABS(K31-P31/2)*Vsd_Q1*Deadtime*Fsw),0, IF(K31&gt;P31/2,0,ABS(K31-P31/2)*Vsd_Q1*Deadtime*Fsw/2))</f>
        <v>0</v>
      </c>
      <c r="AE31" s="488" t="n">
        <f aca="false">(AD31+AC31+AB31*(1+RdsonTopTc*Ta-RdsonTopTc*25))/(1-AB31*RdsonTopTc*ThetaJA_Q1)</f>
        <v>0.0185035973619385</v>
      </c>
      <c r="AF31" s="488" t="n">
        <f aca="false">CHOOSE(J31, SQRT((1-N31))*SQRT(K31^2+(P31^2)/12), 0, SQRT((1-N31))*SQRT(M31^2+(P31^2)/12))</f>
        <v>0.293208675759029</v>
      </c>
      <c r="AG31" s="488" t="n">
        <f aca="false">Rdson2*AF31^2</f>
        <v>0.000490036566980072</v>
      </c>
      <c r="AH31" s="488" t="n">
        <f aca="false">CHOOSE(J31, IF(K31&lt;P31/2,Deadtime*Fsw*IF(VfdSky_Q2&gt;0,0,Vsd_Q2)*(K31+P31/2),2*Deadtime*Fsw*IF(VfdSky_Q2&gt;0,0,Vsd_Q2)*K31),0, IF(K31&lt;P31/2,Deadtime*Fsw/2*IF(VfdSky_Q2&gt;0,0,Vsd_Q2)*(K31+P31/2),2*Deadtime*Fsw/2*IF(VfdSky_Q2&gt;0,0,Vsd_Q2)*K31))</f>
        <v>0.01584</v>
      </c>
      <c r="AI31" s="488" t="n">
        <f aca="false">(AH31+AG31*(1+RdsonBotTc*Ta-RdsonBotTc*25))/(1-AG31*RdsonBotTc*ThetaJA_Q2)</f>
        <v>0.0163316371868641</v>
      </c>
      <c r="AJ31" s="488" t="n">
        <f aca="false">CHOOSE(J31, 0, SQRT(O31)*SQRT(L31^2+(P31^2)/12), SQRT(O31)*SQRT(M31^2+(P31^2)/12))</f>
        <v>0.293208675759029</v>
      </c>
      <c r="AK31" s="488" t="n">
        <f aca="false">Rdson4*AJ31^2</f>
        <v>0.000163345522326691</v>
      </c>
      <c r="AL31" s="488" t="n">
        <f aca="false">CHOOSE(J31, 0, (Vout*L31/2)*(Fsw)*(Tr_boost+Tf_boost), (Vout*Iout/2)*(Fsw/2)*(Tr_boost+Tf_boost))</f>
        <v>0.0349071770123085</v>
      </c>
      <c r="AM31" s="488" t="n">
        <f aca="false">IF(H31&gt;Vout, 0, IF(L31&gt;P31/2,0,ABS(L31-P31/2)*Vsd_Q4*Deadtime*Fsw))</f>
        <v>0</v>
      </c>
      <c r="AN31" s="488" t="n">
        <f aca="false">(AM31+AL31+AK31*(1+RdsonTopTc*Ta-RdsonTopTc*25))/(1-AK31*RdsonTopTc*ThetaJA_Q4)</f>
        <v>0.0350716682946305</v>
      </c>
      <c r="AO31" s="488" t="n">
        <f aca="false">CHOOSE(J31, SQRT(K31^2+(P31^2)/12), SQRT(1-O31)*SQRT(L31^2+(P31^2)/12), SQRT(1-O31)*SQRT(M31^2+(P31^2)/12))</f>
        <v>1.35074150665516</v>
      </c>
      <c r="AP31" s="488" t="n">
        <f aca="false">Rdson3*AO31^2</f>
        <v>0.00346655497382199</v>
      </c>
      <c r="AQ31" s="488" t="n">
        <f aca="false">CHOOSE(J31, 0, IF(L31&lt;P31/2,Deadtime*Fsw*IF(VfdSky_Q3&gt;0,0,Vsd_Q3)*(L31+P31/2), 2*Deadtime*Fsw*IF(VfdSky_Q3&gt;0,0,Vsd_Q3)*L31), IF(L31&lt;P31/2,Deadtime*Fsw/2*IF(VfdSky_Q3&gt;0,0,Vsd_Q3)*(L31+P31/2), 2*Deadtime*Fsw/2*IF(VfdSky_Q3&gt;0,0,Vsd_Q3)*L31))</f>
        <v>0.0176</v>
      </c>
      <c r="AR31" s="488" t="n">
        <f aca="false">(AQ31+AP31*(1+RdsonBotTc*Ta-RdsonBotTc*25))/(1-AP31*RdsonBotTc*ThetaJA_Q3)</f>
        <v>0.0210811707813072</v>
      </c>
      <c r="AS31" s="488" t="n">
        <f aca="false">CHOOSE(J31, Rdson3*Q31^2, Rdson1*Q31^2, 0)</f>
        <v>0</v>
      </c>
      <c r="AT31" s="488" t="n">
        <f aca="false">CHOOSE(J31, 2*Deadtime*Fsw*IF(VfdSky_Q2&gt;0,VfdSky_Q2,0)*K31, 2*Deadtime*Fsw*IF(VfdSky_Q3&gt;0,VfdSky_Q3,0)*L31, 2*Deadtime*Fsw/2*IF(VfdSky_Q2&gt;0,VfdSky_Q2,0)*K31+2*Deadtime*Fsw/2*IF(VfdSky_Q3&gt;0,VfdSky_Q3,0)*L31)</f>
        <v>0</v>
      </c>
      <c r="AU31" s="488" t="n">
        <f aca="false">CHOOSE(J31, IF(QrrSky_Q2&gt;0,QrrSky_Q2,Qrr_Q2*K31/Iout)*Fsw*(Vin-K31*Rdson1), IF(QrrSky_Q3&gt;0,QrrSky_Q3,Qrr_Q3)*Fsw*Vout,  IF(QrrSky_Q2&gt;0,QrrSky_Q2,Qrr_Q2*K31/Iout)*Fsw/2*(Vin-K31*Rdson1)+IF(QrrSky_Q3&gt;0,QrrSky_Q3,Qrr_Q3)*Fsw/2*Vout)</f>
        <v>0.084332357604</v>
      </c>
      <c r="AV31" s="488" t="n">
        <f aca="false">CHOOSE(J31, Rs*AF31^2, Rs*AJ31^2, Rs*(AF31^2+AJ31^2))</f>
        <v>0.00137554124064582</v>
      </c>
      <c r="AW31" s="488" t="n">
        <f aca="false">Rshunt_std/1000*Iout^2</f>
        <v>0.14832</v>
      </c>
      <c r="AX31" s="488" t="n">
        <f aca="false">IF(Vout&gt;8, Iq*Vout, Iq*Vin)</f>
        <v>0.036</v>
      </c>
      <c r="AY31" s="488" t="n">
        <f aca="false">CHOOSE(J31, (Qg_Q1+Qg_Q2)*Fsw, (Qg_Q3+Qg_Q4)*Fsw, (Qg_Q1+Qg_Q2+Qg_Q3+Qg_Q4)*Fsw/2)*IF(Vout&gt;8, Vout, Vin)</f>
        <v>0.1188</v>
      </c>
      <c r="AZ31" s="488" t="n">
        <f aca="false">(Vin-Vdd)*Fsw*(Qg_Q1+Qg_Q2)+(RdsonDRT+RdsonDRT2)*Fsw*Qg_Q1*Vdd/(RdsonDRT+2*Rgate1+RdsonDRT2)+(RdsonDRB+RdsonDRB2)*Fsw*Qg_Q2*Vdd/(RdsonDRB+2*Rgate2+RdsonDRB2)</f>
        <v>0.0522</v>
      </c>
      <c r="BA31" s="488" t="n">
        <f aca="false">SUM(AX31:AY31)</f>
        <v>0.1548</v>
      </c>
      <c r="BB31" s="488" t="n">
        <f aca="false">SUM(T31,W31,Z31,AE31,AI31,AN31,AR31, AT31,AU31,BA31,AV31,AW31)</f>
        <v>0.486629851843758</v>
      </c>
      <c r="BC31" s="419" t="n">
        <f aca="false">Vout*K31</f>
        <v>15.84</v>
      </c>
      <c r="BD31" s="589" t="n">
        <f aca="false">BC31/(BC31+BB31)</f>
        <v>0.970194102747494</v>
      </c>
      <c r="BE31" s="590" t="n">
        <f aca="false">IF(Vin&gt;Vout,ThetaJA_Q1*BK31,ThetaJA_Q4*BK31)</f>
        <v>4.53655121566353</v>
      </c>
      <c r="BF31" s="590" t="n">
        <f aca="false">IF(Vin&gt;Vout, ThetaJA_Q2*BL31, ThetaJA_Q3*BL31)</f>
        <v>2.44554243953136</v>
      </c>
      <c r="BG31" s="536"/>
      <c r="BH31" s="385" t="n">
        <f aca="false">BD31*100</f>
        <v>97.0194102747494</v>
      </c>
      <c r="BI31" s="488" t="n">
        <f aca="false">T31</f>
        <v>0.00640336628536651</v>
      </c>
      <c r="BJ31" s="488" t="n">
        <f aca="false">AE31+AI31+AN31+AR31+AU31</f>
        <v>0.17532043122874</v>
      </c>
      <c r="BK31" s="488" t="n">
        <f aca="false">IF(Vin&gt;Vout, AE31+AU31*0.66, AN31+AU31*0.66)</f>
        <v>0.0907310243132705</v>
      </c>
      <c r="BL31" s="488" t="n">
        <f aca="false">IF(Vin&gt;Vout, AI31+AU31*0.33, AR31+AU31*0.33)</f>
        <v>0.0489108487906272</v>
      </c>
      <c r="BM31" s="488" t="n">
        <f aca="false">AV31</f>
        <v>0.00137554124064582</v>
      </c>
      <c r="BR31" s="0" t="n">
        <v>9.998704</v>
      </c>
      <c r="BS31" s="0" t="n">
        <v>0.3655</v>
      </c>
      <c r="BT31" s="0" t="n">
        <v>5.123094</v>
      </c>
      <c r="BU31" s="0" t="n">
        <v>85.4190222732131</v>
      </c>
      <c r="BV31" s="0" t="n">
        <v>319.6330069232</v>
      </c>
    </row>
    <row r="32" customFormat="false" ht="12.75" hidden="false" customHeight="false" outlineLevel="0" collapsed="false">
      <c r="A32" s="604" t="s">
        <v>631</v>
      </c>
      <c r="B32" s="583" t="s">
        <v>812</v>
      </c>
      <c r="C32" s="604" t="s">
        <v>697</v>
      </c>
      <c r="D32" s="585" t="s">
        <v>134</v>
      </c>
      <c r="E32" s="517"/>
      <c r="G32" s="0" t="n">
        <v>23</v>
      </c>
      <c r="H32" s="586" t="n">
        <f aca="false">Vin</f>
        <v>12</v>
      </c>
      <c r="I32" s="490" t="str">
        <f aca="false">IF(H32&gt;VIN_BB_to_buck, "BUCK", IF(H32&lt;VIN_boost_to_BB,"BOOST","BUCK-BST"))</f>
        <v>BUCK-BST</v>
      </c>
      <c r="J32" s="419" t="n">
        <f aca="false">IF(I32="BOOST",2, IF(I32="BUCK", 1,3))</f>
        <v>3</v>
      </c>
      <c r="K32" s="488" t="n">
        <f aca="false">Iout*G32/100</f>
        <v>1.38</v>
      </c>
      <c r="L32" s="385" t="n">
        <f aca="false">Vout*K32/(Vin*Efficiency)</f>
        <v>1.53333333333333</v>
      </c>
      <c r="M32" s="385" t="n">
        <f aca="false">K32/(1-O32)</f>
        <v>1.44502617801047</v>
      </c>
      <c r="N32" s="488" t="n">
        <f aca="false">CHOOSE(J32,(Vout+(Rdson2+Rs+Rdcr)*K32)/(Vin+(Rs+Rdson2-Rdson1)*K32), 1, IF(Vin&lt;Vout, D_max_buck_BB, Vout/Vin*(1-D_min_boost_exitBB_to_buck)))</f>
        <v>0.955</v>
      </c>
      <c r="O32" s="488" t="n">
        <f aca="false">CHOOSE(J32,0,(Vout+(Rdson3+Rdcr)*L32-Vin)/(Vout+(Rdson3-Rdson4-Rs)*L32), IF(Vin&gt;Vout,D_min_boost_exitBB_to_buck, (Vout-Vin*D_max_buck_BB)/Vout))</f>
        <v>0.0450000000000001</v>
      </c>
      <c r="P32" s="385" t="n">
        <f aca="false">MAX(0, CHOOSE(J32, (Vin-(Rdson1+Rdcr)*K32-Vout)*N32/(Fsw*Lf), (Vin-(Rdson4+Rdcr+Rs)*L32)*O32/(Fsw*Lf), IF(Vin&lt;Vout, (Vin-(Rdson4+Rdcr+Rs)*L32)*O32/(0.5*Fsw*Lf),(Vin-(Rdson1+Rdcr)*K32-Vout)*N32/(0.5*Fsw*Lf))))</f>
        <v>0</v>
      </c>
      <c r="Q32" s="385" t="n">
        <f aca="false">CHOOSE(J32, SQRT(K32^2+(P32^2)/12), SQRT(L32^2+(P32^2)/12), SQRT(M32^2+(P32^2)/12))</f>
        <v>1.44502617801047</v>
      </c>
      <c r="R32" s="488" t="n">
        <f aca="false">(Q32^2*Rdcr*(1+Ltc*Ta-Ltc*25))/(1-Q32^2*Rdcr*Ltc*ThetaCa)</f>
        <v>0.00699905394210875</v>
      </c>
      <c r="S32" s="488" t="n">
        <f aca="false">7.759*10^-3*Fsw^0.9458*(0.00787*P32)^2.304</f>
        <v>0</v>
      </c>
      <c r="T32" s="488" t="n">
        <f aca="false">R32+S32</f>
        <v>0.00699905394210875</v>
      </c>
      <c r="U32" s="385" t="n">
        <f aca="false">IF(Vin&gt;Vout, P32/SQRT(12), SQRT(O32/(1-O32))*SQRT(K32^2+(P32^2)/12))</f>
        <v>0.299559886591063</v>
      </c>
      <c r="V32" s="488" t="n">
        <f aca="false">RCoutEsr*U32^2</f>
        <v>0.000448680628272252</v>
      </c>
      <c r="W32" s="488" t="n">
        <f aca="false">V32</f>
        <v>0.000448680628272252</v>
      </c>
      <c r="X32" s="385" t="n">
        <f aca="false">IF(Vin&gt;Vout, SQRT(N32*(1-N32))*SQRT(K32^2+(P32^2)/12), P32/SQRT(12))</f>
        <v>0</v>
      </c>
      <c r="Y32" s="587" t="n">
        <f aca="false">RCinEsr*X32^2</f>
        <v>0</v>
      </c>
      <c r="Z32" s="588" t="n">
        <f aca="false">Y32</f>
        <v>0</v>
      </c>
      <c r="AA32" s="488" t="n">
        <f aca="false">CHOOSE(J32, SQRT(N32)*SQRT(K32^2+(P32^2)/12), SQRT(L32^2+(P32^2)/12), SQRT(N32)*SQRT(M32^2+(P32^2)/12))</f>
        <v>1.41213884786676</v>
      </c>
      <c r="AB32" s="488" t="n">
        <f aca="false">Rdson1*AA32^2</f>
        <v>0.0113665759162304</v>
      </c>
      <c r="AC32" s="488" t="n">
        <f aca="false">CHOOSE(J32, (Vin*K32/2)*(Fsw)*(Tr_buck+Tf_buck), 0, (Vin*K32/2)*(Fsw/2)*(Tr_buck+Tf_buck))</f>
        <v>0.00843205738880918</v>
      </c>
      <c r="AD32" s="488" t="n">
        <f aca="false">CHOOSE(J32, IF(K32&gt;P32/2,0,ABS(K32-P32/2)*Vsd_Q1*Deadtime*Fsw),0, IF(K32&gt;P32/2,0,ABS(K32-P32/2)*Vsd_Q1*Deadtime*Fsw/2))</f>
        <v>0</v>
      </c>
      <c r="AE32" s="488" t="n">
        <f aca="false">(AD32+AC32+AB32*(1+RdsonTopTc*Ta-RdsonTopTc*25))/(1-AB32*RdsonTopTc*ThetaJA_Q1)</f>
        <v>0.0198437443904548</v>
      </c>
      <c r="AF32" s="488" t="n">
        <f aca="false">CHOOSE(J32, SQRT((1-N32))*SQRT(K32^2+(P32^2)/12), 0, SQRT((1-N32))*SQRT(M32^2+(P32^2)/12))</f>
        <v>0.306536342838985</v>
      </c>
      <c r="AG32" s="488" t="n">
        <f aca="false">Rdson2*AF32^2</f>
        <v>0.000535597818042269</v>
      </c>
      <c r="AH32" s="488" t="n">
        <f aca="false">CHOOSE(J32, IF(K32&lt;P32/2,Deadtime*Fsw*IF(VfdSky_Q2&gt;0,0,Vsd_Q2)*(K32+P32/2),2*Deadtime*Fsw*IF(VfdSky_Q2&gt;0,0,Vsd_Q2)*K32),0, IF(K32&lt;P32/2,Deadtime*Fsw/2*IF(VfdSky_Q2&gt;0,0,Vsd_Q2)*(K32+P32/2),2*Deadtime*Fsw/2*IF(VfdSky_Q2&gt;0,0,Vsd_Q2)*K32))</f>
        <v>0.01656</v>
      </c>
      <c r="AI32" s="488" t="n">
        <f aca="false">(AH32+AG32*(1+RdsonBotTc*Ta-RdsonBotTc*25))/(1-AG32*RdsonBotTc*ThetaJA_Q2)</f>
        <v>0.0170974292872063</v>
      </c>
      <c r="AJ32" s="488" t="n">
        <f aca="false">CHOOSE(J32, 0, SQRT(O32)*SQRT(L32^2+(P32^2)/12), SQRT(O32)*SQRT(M32^2+(P32^2)/12))</f>
        <v>0.306536342838985</v>
      </c>
      <c r="AK32" s="488" t="n">
        <f aca="false">Rdson4*AJ32^2</f>
        <v>0.00017853260601409</v>
      </c>
      <c r="AL32" s="488" t="n">
        <f aca="false">CHOOSE(J32, 0, (Vout*L32/2)*(Fsw)*(Tr_boost+Tf_boost), (Vout*Iout/2)*(Fsw/2)*(Tr_boost+Tf_boost))</f>
        <v>0.0349071770123085</v>
      </c>
      <c r="AM32" s="488" t="n">
        <f aca="false">IF(H32&gt;Vout, 0, IF(L32&gt;P32/2,0,ABS(L32-P32/2)*Vsd_Q4*Deadtime*Fsw))</f>
        <v>0</v>
      </c>
      <c r="AN32" s="488" t="n">
        <f aca="false">(AM32+AL32+AK32*(1+RdsonTopTc*Ta-RdsonTopTc*25))/(1-AK32*RdsonTopTc*ThetaJA_Q4)</f>
        <v>0.0350869624516913</v>
      </c>
      <c r="AO32" s="488" t="n">
        <f aca="false">CHOOSE(J32, SQRT(K32^2+(P32^2)/12), SQRT(1-O32)*SQRT(L32^2+(P32^2)/12), SQRT(1-O32)*SQRT(M32^2+(P32^2)/12))</f>
        <v>1.41213884786676</v>
      </c>
      <c r="AP32" s="488" t="n">
        <f aca="false">Rdson3*AO32^2</f>
        <v>0.00378885863874346</v>
      </c>
      <c r="AQ32" s="488" t="n">
        <f aca="false">CHOOSE(J32, 0, IF(L32&lt;P32/2,Deadtime*Fsw*IF(VfdSky_Q3&gt;0,0,Vsd_Q3)*(L32+P32/2), 2*Deadtime*Fsw*IF(VfdSky_Q3&gt;0,0,Vsd_Q3)*L32), IF(L32&lt;P32/2,Deadtime*Fsw/2*IF(VfdSky_Q3&gt;0,0,Vsd_Q3)*(L32+P32/2), 2*Deadtime*Fsw/2*IF(VfdSky_Q3&gt;0,0,Vsd_Q3)*L32))</f>
        <v>0.0184</v>
      </c>
      <c r="AR32" s="488" t="n">
        <f aca="false">(AQ32+AP32*(1+RdsonBotTc*Ta-RdsonBotTc*25))/(1-AP32*RdsonBotTc*ThetaJA_Q3)</f>
        <v>0.022205685479395</v>
      </c>
      <c r="AS32" s="488" t="n">
        <f aca="false">CHOOSE(J32, Rdson3*Q32^2, Rdson1*Q32^2, 0)</f>
        <v>0</v>
      </c>
      <c r="AT32" s="488" t="n">
        <f aca="false">CHOOSE(J32, 2*Deadtime*Fsw*IF(VfdSky_Q2&gt;0,VfdSky_Q2,0)*K32, 2*Deadtime*Fsw*IF(VfdSky_Q3&gt;0,VfdSky_Q3,0)*L32, 2*Deadtime*Fsw/2*IF(VfdSky_Q2&gt;0,VfdSky_Q2,0)*K32+2*Deadtime*Fsw/2*IF(VfdSky_Q3&gt;0,VfdSky_Q3,0)*L32)</f>
        <v>0</v>
      </c>
      <c r="AU32" s="488" t="n">
        <f aca="false">CHOOSE(J32, IF(QrrSky_Q2&gt;0,QrrSky_Q2,Qrr_Q2*K32/Iout)*Fsw*(Vin-K32*Rdson1), IF(QrrSky_Q3&gt;0,QrrSky_Q3,Qrr_Q3)*Fsw*Vout,  IF(QrrSky_Q2&gt;0,QrrSky_Q2,Qrr_Q2*K32/Iout)*Fsw/2*(Vin-K32*Rdson1)+IF(QrrSky_Q3&gt;0,QrrSky_Q3,Qrr_Q3)*Fsw/2*Vout)</f>
        <v>0.085464903249</v>
      </c>
      <c r="AV32" s="488" t="n">
        <f aca="false">CHOOSE(J32, Rs*AF32^2, Rs*AJ32^2, Rs*(AF32^2+AJ32^2))</f>
        <v>0.0015034324716976</v>
      </c>
      <c r="AW32" s="488" t="n">
        <f aca="false">Rshunt_std/1000*Iout^2</f>
        <v>0.14832</v>
      </c>
      <c r="AX32" s="488" t="n">
        <f aca="false">IF(Vout&gt;8, Iq*Vout, Iq*Vin)</f>
        <v>0.036</v>
      </c>
      <c r="AY32" s="488" t="n">
        <f aca="false">CHOOSE(J32, (Qg_Q1+Qg_Q2)*Fsw, (Qg_Q3+Qg_Q4)*Fsw, (Qg_Q1+Qg_Q2+Qg_Q3+Qg_Q4)*Fsw/2)*IF(Vout&gt;8, Vout, Vin)</f>
        <v>0.1188</v>
      </c>
      <c r="AZ32" s="488" t="n">
        <f aca="false">(Vin-Vdd)*Fsw*(Qg_Q1+Qg_Q2)+(RdsonDRT+RdsonDRT2)*Fsw*Qg_Q1*Vdd/(RdsonDRT+2*Rgate1+RdsonDRT2)+(RdsonDRB+RdsonDRB2)*Fsw*Qg_Q2*Vdd/(RdsonDRB+2*Rgate2+RdsonDRB2)</f>
        <v>0.0522</v>
      </c>
      <c r="BA32" s="488" t="n">
        <f aca="false">SUM(AX32:AY32)</f>
        <v>0.1548</v>
      </c>
      <c r="BB32" s="488" t="n">
        <f aca="false">SUM(T32,W32,Z32,AE32,AI32,AN32,AR32, AT32,AU32,BA32,AV32,AW32)</f>
        <v>0.491769891899826</v>
      </c>
      <c r="BC32" s="419" t="n">
        <f aca="false">Vout*K32</f>
        <v>16.56</v>
      </c>
      <c r="BD32" s="589" t="n">
        <f aca="false">BC32/(BC32+BB32)</f>
        <v>0.971160184836095</v>
      </c>
      <c r="BE32" s="590" t="n">
        <f aca="false">IF(Vin&gt;Vout,ThetaJA_Q1*BK32,ThetaJA_Q4*BK32)</f>
        <v>4.57468992980157</v>
      </c>
      <c r="BF32" s="590" t="n">
        <f aca="false">IF(Vin&gt;Vout, ThetaJA_Q2*BL32, ThetaJA_Q3*BL32)</f>
        <v>2.52045517757825</v>
      </c>
      <c r="BG32" s="536"/>
      <c r="BH32" s="385" t="n">
        <f aca="false">BD32*100</f>
        <v>97.1160184836095</v>
      </c>
      <c r="BI32" s="488" t="n">
        <f aca="false">T32</f>
        <v>0.00699905394210875</v>
      </c>
      <c r="BJ32" s="488" t="n">
        <f aca="false">AE32+AI32+AN32+AR32+AU32</f>
        <v>0.179698724857748</v>
      </c>
      <c r="BK32" s="488" t="n">
        <f aca="false">IF(Vin&gt;Vout, AE32+AU32*0.66, AN32+AU32*0.66)</f>
        <v>0.0914937985960313</v>
      </c>
      <c r="BL32" s="488" t="n">
        <f aca="false">IF(Vin&gt;Vout, AI32+AU32*0.33, AR32+AU32*0.33)</f>
        <v>0.050409103551565</v>
      </c>
      <c r="BM32" s="488" t="n">
        <f aca="false">AV32</f>
        <v>0.0015034324716976</v>
      </c>
      <c r="BR32" s="0" t="n">
        <v>9.998729</v>
      </c>
      <c r="BS32" s="0" t="n">
        <v>0.4906</v>
      </c>
      <c r="BT32" s="0" t="n">
        <v>5.123817</v>
      </c>
      <c r="BU32" s="0" t="n">
        <v>88.5518502670522</v>
      </c>
      <c r="BV32" s="0" t="n">
        <v>324.981531842301</v>
      </c>
    </row>
    <row r="33" customFormat="false" ht="12.75" hidden="false" customHeight="false" outlineLevel="0" collapsed="false">
      <c r="A33" s="599" t="s">
        <v>631</v>
      </c>
      <c r="B33" s="596" t="n">
        <f aca="false">Deadtime*1000000000</f>
        <v>50</v>
      </c>
      <c r="C33" s="597" t="s">
        <v>850</v>
      </c>
      <c r="D33" s="598" t="s">
        <v>632</v>
      </c>
      <c r="E33" s="517"/>
      <c r="G33" s="0" t="n">
        <v>24</v>
      </c>
      <c r="H33" s="586" t="n">
        <f aca="false">Vin</f>
        <v>12</v>
      </c>
      <c r="I33" s="490" t="str">
        <f aca="false">IF(H33&gt;VIN_BB_to_buck, "BUCK", IF(H33&lt;VIN_boost_to_BB,"BOOST","BUCK-BST"))</f>
        <v>BUCK-BST</v>
      </c>
      <c r="J33" s="419" t="n">
        <f aca="false">IF(I33="BOOST",2, IF(I33="BUCK", 1,3))</f>
        <v>3</v>
      </c>
      <c r="K33" s="488" t="n">
        <f aca="false">Iout*G33/100</f>
        <v>1.44</v>
      </c>
      <c r="L33" s="385" t="n">
        <f aca="false">Vout*K33/(Vin*Efficiency)</f>
        <v>1.6</v>
      </c>
      <c r="M33" s="385" t="n">
        <f aca="false">K33/(1-O33)</f>
        <v>1.50785340314136</v>
      </c>
      <c r="N33" s="488" t="n">
        <f aca="false">CHOOSE(J33,(Vout+(Rdson2+Rs+Rdcr)*K33)/(Vin+(Rs+Rdson2-Rdson1)*K33), 1, IF(Vin&lt;Vout, D_max_buck_BB, Vout/Vin*(1-D_min_boost_exitBB_to_buck)))</f>
        <v>0.955</v>
      </c>
      <c r="O33" s="488" t="n">
        <f aca="false">CHOOSE(J33,0,(Vout+(Rdson3+Rdcr)*L33-Vin)/(Vout+(Rdson3-Rdson4-Rs)*L33), IF(Vin&gt;Vout,D_min_boost_exitBB_to_buck, (Vout-Vin*D_max_buck_BB)/Vout))</f>
        <v>0.0450000000000001</v>
      </c>
      <c r="P33" s="385" t="n">
        <f aca="false">MAX(0, CHOOSE(J33, (Vin-(Rdson1+Rdcr)*K33-Vout)*N33/(Fsw*Lf), (Vin-(Rdson4+Rdcr+Rs)*L33)*O33/(Fsw*Lf), IF(Vin&lt;Vout, (Vin-(Rdson4+Rdcr+Rs)*L33)*O33/(0.5*Fsw*Lf),(Vin-(Rdson1+Rdcr)*K33-Vout)*N33/(0.5*Fsw*Lf))))</f>
        <v>0</v>
      </c>
      <c r="Q33" s="385" t="n">
        <f aca="false">CHOOSE(J33, SQRT(K33^2+(P33^2)/12), SQRT(L33^2+(P33^2)/12), SQRT(M33^2+(P33^2)/12))</f>
        <v>1.50785340314136</v>
      </c>
      <c r="R33" s="488" t="n">
        <f aca="false">(Q33^2*Rdcr*(1+Ltc*Ta-Ltc*25))/(1-Q33^2*Rdcr*Ltc*ThetaCa)</f>
        <v>0.00762127719387551</v>
      </c>
      <c r="S33" s="488" t="n">
        <f aca="false">7.759*10^-3*Fsw^0.9458*(0.00787*P33)^2.304</f>
        <v>0</v>
      </c>
      <c r="T33" s="488" t="n">
        <f aca="false">R33+S33</f>
        <v>0.00762127719387551</v>
      </c>
      <c r="U33" s="385" t="n">
        <f aca="false">IF(Vin&gt;Vout, P33/SQRT(12), SQRT(O33/(1-O33))*SQRT(K33^2+(P33^2)/12))</f>
        <v>0.312584229486326</v>
      </c>
      <c r="V33" s="488" t="n">
        <f aca="false">RCoutEsr*U33^2</f>
        <v>0.000488544502617802</v>
      </c>
      <c r="W33" s="488" t="n">
        <f aca="false">V33</f>
        <v>0.000488544502617802</v>
      </c>
      <c r="X33" s="385" t="n">
        <f aca="false">IF(Vin&gt;Vout, SQRT(N33*(1-N33))*SQRT(K33^2+(P33^2)/12), P33/SQRT(12))</f>
        <v>0</v>
      </c>
      <c r="Y33" s="587" t="n">
        <f aca="false">RCinEsr*X33^2</f>
        <v>0</v>
      </c>
      <c r="Z33" s="588" t="n">
        <f aca="false">Y33</f>
        <v>0</v>
      </c>
      <c r="AA33" s="488" t="n">
        <f aca="false">CHOOSE(J33, SQRT(N33)*SQRT(K33^2+(P33^2)/12), SQRT(L33^2+(P33^2)/12), SQRT(N33)*SQRT(M33^2+(P33^2)/12))</f>
        <v>1.47353618907835</v>
      </c>
      <c r="AB33" s="488" t="n">
        <f aca="false">Rdson1*AA33^2</f>
        <v>0.0123764607329843</v>
      </c>
      <c r="AC33" s="488" t="n">
        <f aca="false">CHOOSE(J33, (Vin*K33/2)*(Fsw)*(Tr_buck+Tf_buck), 0, (Vin*K33/2)*(Fsw/2)*(Tr_buck+Tf_buck))</f>
        <v>0.00879866857962697</v>
      </c>
      <c r="AD33" s="488" t="n">
        <f aca="false">CHOOSE(J33, IF(K33&gt;P33/2,0,ABS(K33-P33/2)*Vsd_Q1*Deadtime*Fsw),0, IF(K33&gt;P33/2,0,ABS(K33-P33/2)*Vsd_Q1*Deadtime*Fsw/2))</f>
        <v>0</v>
      </c>
      <c r="AE33" s="488" t="n">
        <f aca="false">(AD33+AC33+AB33*(1+RdsonTopTc*Ta-RdsonTopTc*25))/(1-AB33*RdsonTopTc*ThetaJA_Q1)</f>
        <v>0.0212276740073722</v>
      </c>
      <c r="AF33" s="488" t="n">
        <f aca="false">CHOOSE(J33, SQRT((1-N33))*SQRT(K33^2+(P33^2)/12), 0, SQRT((1-N33))*SQRT(M33^2+(P33^2)/12))</f>
        <v>0.319864009918941</v>
      </c>
      <c r="AG33" s="488" t="n">
        <f aca="false">Rdson2*AF33^2</f>
        <v>0.000583184013596119</v>
      </c>
      <c r="AH33" s="488" t="n">
        <f aca="false">CHOOSE(J33, IF(K33&lt;P33/2,Deadtime*Fsw*IF(VfdSky_Q2&gt;0,0,Vsd_Q2)*(K33+P33/2),2*Deadtime*Fsw*IF(VfdSky_Q2&gt;0,0,Vsd_Q2)*K33),0, IF(K33&lt;P33/2,Deadtime*Fsw/2*IF(VfdSky_Q2&gt;0,0,Vsd_Q2)*(K33+P33/2),2*Deadtime*Fsw/2*IF(VfdSky_Q2&gt;0,0,Vsd_Q2)*K33))</f>
        <v>0.01728</v>
      </c>
      <c r="AI33" s="488" t="n">
        <f aca="false">(AH33+AG33*(1+RdsonBotTc*Ta-RdsonBotTc*25))/(1-AG33*RdsonBotTc*ThetaJA_Q2)</f>
        <v>0.0178652677613075</v>
      </c>
      <c r="AJ33" s="488" t="n">
        <f aca="false">CHOOSE(J33, 0, SQRT(O33)*SQRT(L33^2+(P33^2)/12), SQRT(O33)*SQRT(M33^2+(P33^2)/12))</f>
        <v>0.319864009918941</v>
      </c>
      <c r="AK33" s="488" t="n">
        <f aca="false">Rdson4*AJ33^2</f>
        <v>0.000194394671198707</v>
      </c>
      <c r="AL33" s="488" t="n">
        <f aca="false">CHOOSE(J33, 0, (Vout*L33/2)*(Fsw)*(Tr_boost+Tf_boost), (Vout*Iout/2)*(Fsw/2)*(Tr_boost+Tf_boost))</f>
        <v>0.0349071770123085</v>
      </c>
      <c r="AM33" s="488" t="n">
        <f aca="false">IF(H33&gt;Vout, 0, IF(L33&gt;P33/2,0,ABS(L33-P33/2)*Vsd_Q4*Deadtime*Fsw))</f>
        <v>0</v>
      </c>
      <c r="AN33" s="488" t="n">
        <f aca="false">(AM33+AL33+AK33*(1+RdsonTopTc*Ta-RdsonTopTc*25))/(1-AK33*RdsonTopTc*ThetaJA_Q4)</f>
        <v>0.035102936448265</v>
      </c>
      <c r="AO33" s="488" t="n">
        <f aca="false">CHOOSE(J33, SQRT(K33^2+(P33^2)/12), SQRT(1-O33)*SQRT(L33^2+(P33^2)/12), SQRT(1-O33)*SQRT(M33^2+(P33^2)/12))</f>
        <v>1.47353618907835</v>
      </c>
      <c r="AP33" s="488" t="n">
        <f aca="false">Rdson3*AO33^2</f>
        <v>0.00412548691099476</v>
      </c>
      <c r="AQ33" s="488" t="n">
        <f aca="false">CHOOSE(J33, 0, IF(L33&lt;P33/2,Deadtime*Fsw*IF(VfdSky_Q3&gt;0,0,Vsd_Q3)*(L33+P33/2), 2*Deadtime*Fsw*IF(VfdSky_Q3&gt;0,0,Vsd_Q3)*L33), IF(L33&lt;P33/2,Deadtime*Fsw/2*IF(VfdSky_Q3&gt;0,0,Vsd_Q3)*(L33+P33/2), 2*Deadtime*Fsw/2*IF(VfdSky_Q3&gt;0,0,Vsd_Q3)*L33))</f>
        <v>0.0192</v>
      </c>
      <c r="AR33" s="488" t="n">
        <f aca="false">(AQ33+AP33*(1+RdsonBotTc*Ta-RdsonBotTc*25))/(1-AP33*RdsonBotTc*ThetaJA_Q3)</f>
        <v>0.0233447486019543</v>
      </c>
      <c r="AS33" s="488" t="n">
        <f aca="false">CHOOSE(J33, Rdson3*Q33^2, Rdson1*Q33^2, 0)</f>
        <v>0</v>
      </c>
      <c r="AT33" s="488" t="n">
        <f aca="false">CHOOSE(J33, 2*Deadtime*Fsw*IF(VfdSky_Q2&gt;0,VfdSky_Q2,0)*K33, 2*Deadtime*Fsw*IF(VfdSky_Q3&gt;0,VfdSky_Q3,0)*L33, 2*Deadtime*Fsw/2*IF(VfdSky_Q2&gt;0,VfdSky_Q2,0)*K33+2*Deadtime*Fsw/2*IF(VfdSky_Q3&gt;0,VfdSky_Q3,0)*L33)</f>
        <v>0</v>
      </c>
      <c r="AU33" s="488" t="n">
        <f aca="false">CHOOSE(J33, IF(QrrSky_Q2&gt;0,QrrSky_Q2,Qrr_Q2*K33/Iout)*Fsw*(Vin-K33*Rdson1), IF(QrrSky_Q3&gt;0,QrrSky_Q3,Qrr_Q3)*Fsw*Vout,  IF(QrrSky_Q2&gt;0,QrrSky_Q2,Qrr_Q2*K33/Iout)*Fsw/2*(Vin-K33*Rdson1)+IF(QrrSky_Q3&gt;0,QrrSky_Q3,Qrr_Q3)*Fsw/2*Vout)</f>
        <v>0.086597384256</v>
      </c>
      <c r="AV33" s="488" t="n">
        <f aca="false">CHOOSE(J33, Rs*AF33^2, Rs*AJ33^2, Rs*(AF33^2+AJ33^2))</f>
        <v>0.00163700775746279</v>
      </c>
      <c r="AW33" s="488" t="n">
        <f aca="false">Rshunt_std/1000*Iout^2</f>
        <v>0.14832</v>
      </c>
      <c r="AX33" s="488" t="n">
        <f aca="false">IF(Vout&gt;8, Iq*Vout, Iq*Vin)</f>
        <v>0.036</v>
      </c>
      <c r="AY33" s="488" t="n">
        <f aca="false">CHOOSE(J33, (Qg_Q1+Qg_Q2)*Fsw, (Qg_Q3+Qg_Q4)*Fsw, (Qg_Q1+Qg_Q2+Qg_Q3+Qg_Q4)*Fsw/2)*IF(Vout&gt;8, Vout, Vin)</f>
        <v>0.1188</v>
      </c>
      <c r="AZ33" s="488" t="n">
        <f aca="false">(Vin-Vdd)*Fsw*(Qg_Q1+Qg_Q2)+(RdsonDRT+RdsonDRT2)*Fsw*Qg_Q1*Vdd/(RdsonDRT+2*Rgate1+RdsonDRT2)+(RdsonDRB+RdsonDRB2)*Fsw*Qg_Q2*Vdd/(RdsonDRB+2*Rgate2+RdsonDRB2)</f>
        <v>0.0522</v>
      </c>
      <c r="BA33" s="488" t="n">
        <f aca="false">SUM(AX33:AY33)</f>
        <v>0.1548</v>
      </c>
      <c r="BB33" s="488" t="n">
        <f aca="false">SUM(T33,W33,Z33,AE33,AI33,AN33,AR33, AT33,AU33,BA33,AV33,AW33)</f>
        <v>0.497004840528855</v>
      </c>
      <c r="BC33" s="419" t="n">
        <f aca="false">Vout*K33</f>
        <v>17.28</v>
      </c>
      <c r="BD33" s="589" t="n">
        <f aca="false">BC33/(BC33+BB33)</f>
        <v>0.972042262181548</v>
      </c>
      <c r="BE33" s="590" t="n">
        <f aca="false">IF(Vin&gt;Vout,ThetaJA_Q1*BK33,ThetaJA_Q4*BK33)</f>
        <v>4.61286050286125</v>
      </c>
      <c r="BF33" s="590" t="n">
        <f aca="false">IF(Vin&gt;Vout, ThetaJA_Q2*BL33, ThetaJA_Q3*BL33)</f>
        <v>2.59609427032172</v>
      </c>
      <c r="BG33" s="536"/>
      <c r="BH33" s="385" t="n">
        <f aca="false">BD33*100</f>
        <v>97.2042262181548</v>
      </c>
      <c r="BI33" s="488" t="n">
        <f aca="false">T33</f>
        <v>0.00762127719387551</v>
      </c>
      <c r="BJ33" s="488" t="n">
        <f aca="false">AE33+AI33+AN33+AR33+AU33</f>
        <v>0.184138011074899</v>
      </c>
      <c r="BK33" s="488" t="n">
        <f aca="false">IF(Vin&gt;Vout, AE33+AU33*0.66, AN33+AU33*0.66)</f>
        <v>0.092257210057225</v>
      </c>
      <c r="BL33" s="488" t="n">
        <f aca="false">IF(Vin&gt;Vout, AI33+AU33*0.33, AR33+AU33*0.33)</f>
        <v>0.0519218854064343</v>
      </c>
      <c r="BM33" s="488" t="n">
        <f aca="false">AV33</f>
        <v>0.00163700775746279</v>
      </c>
      <c r="BR33" s="0" t="n">
        <v>9.998642</v>
      </c>
      <c r="BS33" s="0" t="n">
        <v>0.6455</v>
      </c>
      <c r="BT33" s="0" t="n">
        <v>5.12373</v>
      </c>
      <c r="BU33" s="0" t="n">
        <v>90.4189385711991</v>
      </c>
      <c r="BV33" s="0" t="n">
        <v>350.4584847366</v>
      </c>
    </row>
    <row r="34" customFormat="false" ht="12.75" hidden="false" customHeight="false" outlineLevel="0" collapsed="false">
      <c r="A34" s="604" t="s">
        <v>634</v>
      </c>
      <c r="B34" s="583" t="s">
        <v>812</v>
      </c>
      <c r="C34" s="604" t="s">
        <v>697</v>
      </c>
      <c r="D34" s="585" t="s">
        <v>134</v>
      </c>
      <c r="E34" s="517"/>
      <c r="G34" s="0" t="n">
        <v>25</v>
      </c>
      <c r="H34" s="586" t="n">
        <f aca="false">Vin</f>
        <v>12</v>
      </c>
      <c r="I34" s="385" t="str">
        <f aca="false">IF(H34&gt;VIN_BB_to_buck, "BUCK", IF(H34&lt;VIN_boost_to_BB,"BOOST","BUCK-BST"))</f>
        <v>BUCK-BST</v>
      </c>
      <c r="J34" s="419" t="n">
        <f aca="false">IF(I34="BOOST",2, IF(I34="BUCK", 1,3))</f>
        <v>3</v>
      </c>
      <c r="K34" s="488" t="n">
        <f aca="false">Iout*G34/100</f>
        <v>1.5</v>
      </c>
      <c r="L34" s="385" t="n">
        <f aca="false">Vout*K34/(Vin*Efficiency)</f>
        <v>1.66666666666667</v>
      </c>
      <c r="M34" s="385" t="n">
        <f aca="false">K34/(1-O34)</f>
        <v>1.57068062827225</v>
      </c>
      <c r="N34" s="488" t="n">
        <f aca="false">CHOOSE(J34,(Vout+(Rdson2+Rs+Rdcr)*K34)/(Vin+(Rs+Rdson2-Rdson1)*K34), 1, IF(Vin&lt;Vout, D_max_buck_BB, Vout/Vin*(1-D_min_boost_exitBB_to_buck)))</f>
        <v>0.955</v>
      </c>
      <c r="O34" s="488" t="n">
        <f aca="false">CHOOSE(J34,0,(Vout+(Rdson3+Rdcr)*L34-Vin)/(Vout+(Rdson3-Rdson4-Rs)*L34), IF(Vin&gt;Vout,D_min_boost_exitBB_to_buck, (Vout-Vin*D_max_buck_BB)/Vout))</f>
        <v>0.0450000000000001</v>
      </c>
      <c r="P34" s="385" t="n">
        <f aca="false">MAX(0, CHOOSE(J34, (Vin-(Rdson1+Rdcr)*K34-Vout)*N34/(Fsw*Lf), (Vin-(Rdson4+Rdcr+Rs)*L34)*O34/(Fsw*Lf), IF(Vin&lt;Vout, (Vin-(Rdson4+Rdcr+Rs)*L34)*O34/(0.5*Fsw*Lf),(Vin-(Rdson1+Rdcr)*K34-Vout)*N34/(0.5*Fsw*Lf))))</f>
        <v>0</v>
      </c>
      <c r="Q34" s="385" t="n">
        <f aca="false">CHOOSE(J34, SQRT(K34^2+(P34^2)/12), SQRT(L34^2+(P34^2)/12), SQRT(M34^2+(P34^2)/12))</f>
        <v>1.57068062827225</v>
      </c>
      <c r="R34" s="488" t="n">
        <f aca="false">(Q34^2*Rdcr*(1+Ltc*Ta-Ltc*25))/(1-Q34^2*Rdcr*Ltc*ThetaCa)</f>
        <v>0.00827004395329496</v>
      </c>
      <c r="S34" s="488" t="n">
        <f aca="false">7.759*10^-3*Fsw^0.9458*(0.00787*P34)^2.304</f>
        <v>0</v>
      </c>
      <c r="T34" s="488" t="n">
        <f aca="false">R34+S34</f>
        <v>0.00827004395329496</v>
      </c>
      <c r="U34" s="385" t="n">
        <f aca="false">IF(Vin&gt;Vout, P34/SQRT(12), SQRT(O34/(1-O34))*SQRT(K34^2+(P34^2)/12))</f>
        <v>0.32560857238159</v>
      </c>
      <c r="V34" s="488" t="n">
        <f aca="false">RCoutEsr*U34^2</f>
        <v>0.000530104712041886</v>
      </c>
      <c r="W34" s="488" t="n">
        <f aca="false">V34</f>
        <v>0.000530104712041886</v>
      </c>
      <c r="X34" s="385" t="n">
        <f aca="false">IF(Vin&gt;Vout, SQRT(N34*(1-N34))*SQRT(K34^2+(P34^2)/12), P34/SQRT(12))</f>
        <v>0</v>
      </c>
      <c r="Y34" s="587" t="n">
        <f aca="false">RCinEsr*X34^2</f>
        <v>0</v>
      </c>
      <c r="Z34" s="588" t="n">
        <f aca="false">Y34</f>
        <v>0</v>
      </c>
      <c r="AA34" s="488" t="n">
        <f aca="false">CHOOSE(J34, SQRT(N34)*SQRT(K34^2+(P34^2)/12), SQRT(L34^2+(P34^2)/12), SQRT(N34)*SQRT(M34^2+(P34^2)/12))</f>
        <v>1.53493353028995</v>
      </c>
      <c r="AB34" s="488" t="n">
        <f aca="false">Rdson1*AA34^2</f>
        <v>0.0134293193717278</v>
      </c>
      <c r="AC34" s="488" t="n">
        <f aca="false">CHOOSE(J34, (Vin*K34/2)*(Fsw)*(Tr_buck+Tf_buck), 0, (Vin*K34/2)*(Fsw/2)*(Tr_buck+Tf_buck))</f>
        <v>0.00916527977044476</v>
      </c>
      <c r="AD34" s="488" t="n">
        <f aca="false">CHOOSE(J34, IF(K34&gt;P34/2,0,ABS(K34-P34/2)*Vsd_Q1*Deadtime*Fsw),0, IF(K34&gt;P34/2,0,ABS(K34-P34/2)*Vsd_Q1*Deadtime*Fsw/2))</f>
        <v>0</v>
      </c>
      <c r="AE34" s="488" t="n">
        <f aca="false">(AD34+AC34+AB34*(1+RdsonTopTc*Ta-RdsonTopTc*25))/(1-AB34*RdsonTopTc*ThetaJA_Q1)</f>
        <v>0.0226554485931058</v>
      </c>
      <c r="AF34" s="488" t="n">
        <f aca="false">CHOOSE(J34, SQRT((1-N34))*SQRT(K34^2+(P34^2)/12), 0, SQRT((1-N34))*SQRT(M34^2+(P34^2)/12))</f>
        <v>0.333191676998897</v>
      </c>
      <c r="AG34" s="488" t="n">
        <f aca="false">Rdson2*AF34^2</f>
        <v>0.000632795153641622</v>
      </c>
      <c r="AH34" s="488" t="n">
        <f aca="false">CHOOSE(J34, IF(K34&lt;P34/2,Deadtime*Fsw*IF(VfdSky_Q2&gt;0,0,Vsd_Q2)*(K34+P34/2),2*Deadtime*Fsw*IF(VfdSky_Q2&gt;0,0,Vsd_Q2)*K34),0, IF(K34&lt;P34/2,Deadtime*Fsw/2*IF(VfdSky_Q2&gt;0,0,Vsd_Q2)*(K34+P34/2),2*Deadtime*Fsw/2*IF(VfdSky_Q2&gt;0,0,Vsd_Q2)*K34))</f>
        <v>0.018</v>
      </c>
      <c r="AI34" s="488" t="n">
        <f aca="false">(AH34+AG34*(1+RdsonBotTc*Ta-RdsonBotTc*25))/(1-AG34*RdsonBotTc*ThetaJA_Q2)</f>
        <v>0.0186351536006188</v>
      </c>
      <c r="AJ34" s="488" t="n">
        <f aca="false">CHOOSE(J34, 0, SQRT(O34)*SQRT(L34^2+(P34^2)/12), SQRT(O34)*SQRT(M34^2+(P34^2)/12))</f>
        <v>0.333191676998897</v>
      </c>
      <c r="AK34" s="488" t="n">
        <f aca="false">Rdson4*AJ34^2</f>
        <v>0.000210931717880541</v>
      </c>
      <c r="AL34" s="488" t="n">
        <f aca="false">CHOOSE(J34, 0, (Vout*L34/2)*(Fsw)*(Tr_boost+Tf_boost), (Vout*Iout/2)*(Fsw/2)*(Tr_boost+Tf_boost))</f>
        <v>0.0349071770123085</v>
      </c>
      <c r="AM34" s="488" t="n">
        <f aca="false">IF(H34&gt;Vout, 0, IF(L34&gt;P34/2,0,ABS(L34-P34/2)*Vsd_Q4*Deadtime*Fsw))</f>
        <v>0</v>
      </c>
      <c r="AN34" s="488" t="n">
        <f aca="false">(AM34+AL34+AK34*(1+RdsonTopTc*Ta-RdsonTopTc*25))/(1-AK34*RdsonTopTc*ThetaJA_Q4)</f>
        <v>0.0351195902972916</v>
      </c>
      <c r="AO34" s="488" t="n">
        <f aca="false">CHOOSE(J34, SQRT(K34^2+(P34^2)/12), SQRT(1-O34)*SQRT(L34^2+(P34^2)/12), SQRT(1-O34)*SQRT(M34^2+(P34^2)/12))</f>
        <v>1.53493353028995</v>
      </c>
      <c r="AP34" s="488" t="n">
        <f aca="false">Rdson3*AO34^2</f>
        <v>0.00447643979057592</v>
      </c>
      <c r="AQ34" s="488" t="n">
        <f aca="false">CHOOSE(J34, 0, IF(L34&lt;P34/2,Deadtime*Fsw*IF(VfdSky_Q3&gt;0,0,Vsd_Q3)*(L34+P34/2), 2*Deadtime*Fsw*IF(VfdSky_Q3&gt;0,0,Vsd_Q3)*L34), IF(L34&lt;P34/2,Deadtime*Fsw/2*IF(VfdSky_Q3&gt;0,0,Vsd_Q3)*(L34+P34/2), 2*Deadtime*Fsw/2*IF(VfdSky_Q3&gt;0,0,Vsd_Q3)*L34))</f>
        <v>0.02</v>
      </c>
      <c r="AR34" s="488" t="n">
        <f aca="false">(AQ34+AP34*(1+RdsonBotTc*Ta-RdsonBotTc*25))/(1-AP34*RdsonBotTc*ThetaJA_Q3)</f>
        <v>0.0244983728888167</v>
      </c>
      <c r="AS34" s="488" t="n">
        <f aca="false">CHOOSE(J34, Rdson3*Q34^2, Rdson1*Q34^2, 0)</f>
        <v>0</v>
      </c>
      <c r="AT34" s="488" t="n">
        <f aca="false">CHOOSE(J34, 2*Deadtime*Fsw*IF(VfdSky_Q2&gt;0,VfdSky_Q2,0)*K34, 2*Deadtime*Fsw*IF(VfdSky_Q3&gt;0,VfdSky_Q3,0)*L34, 2*Deadtime*Fsw/2*IF(VfdSky_Q2&gt;0,VfdSky_Q2,0)*K34+2*Deadtime*Fsw/2*IF(VfdSky_Q3&gt;0,VfdSky_Q3,0)*L34)</f>
        <v>0</v>
      </c>
      <c r="AU34" s="488" t="n">
        <f aca="false">CHOOSE(J34, IF(QrrSky_Q2&gt;0,QrrSky_Q2,Qrr_Q2*K34/Iout)*Fsw*(Vin-K34*Rdson1), IF(QrrSky_Q3&gt;0,QrrSky_Q3,Qrr_Q3)*Fsw*Vout,  IF(QrrSky_Q2&gt;0,QrrSky_Q2,Qrr_Q2*K34/Iout)*Fsw/2*(Vin-K34*Rdson1)+IF(QrrSky_Q3&gt;0,QrrSky_Q3,Qrr_Q3)*Fsw/2*Vout)</f>
        <v>0.087729800625</v>
      </c>
      <c r="AV34" s="488" t="n">
        <f aca="false">CHOOSE(J34, Rs*AF34^2, Rs*AJ34^2, Rs*(AF34^2+AJ34^2))</f>
        <v>0.0017762670979414</v>
      </c>
      <c r="AW34" s="488" t="n">
        <f aca="false">Rshunt_std/1000*Iout^2</f>
        <v>0.14832</v>
      </c>
      <c r="AX34" s="488" t="n">
        <f aca="false">IF(Vout&gt;8, Iq*Vout, Iq*Vin)</f>
        <v>0.036</v>
      </c>
      <c r="AY34" s="488" t="n">
        <f aca="false">CHOOSE(J34, (Qg_Q1+Qg_Q2)*Fsw, (Qg_Q3+Qg_Q4)*Fsw, (Qg_Q1+Qg_Q2+Qg_Q3+Qg_Q4)*Fsw/2)*IF(Vout&gt;8, Vout, Vin)</f>
        <v>0.1188</v>
      </c>
      <c r="AZ34" s="488" t="n">
        <f aca="false">(Vin-Vdd)*Fsw*(Qg_Q1+Qg_Q2)+(RdsonDRT+RdsonDRT2)*Fsw*Qg_Q1*Vdd/(RdsonDRT+2*Rgate1+RdsonDRT2)+(RdsonDRB+RdsonDRB2)*Fsw*Qg_Q2*Vdd/(RdsonDRB+2*Rgate2+RdsonDRB2)</f>
        <v>0.0522</v>
      </c>
      <c r="BA34" s="488" t="n">
        <f aca="false">SUM(AX34:AY34)</f>
        <v>0.1548</v>
      </c>
      <c r="BB34" s="488" t="n">
        <f aca="false">SUM(T34,W34,Z34,AE34,AI34,AN34,AR34, AT34,AU34,BA34,AV34,AW34)</f>
        <v>0.502334781768111</v>
      </c>
      <c r="BC34" s="419" t="n">
        <f aca="false">Vout*K34</f>
        <v>18</v>
      </c>
      <c r="BD34" s="589" t="n">
        <f aca="false">BC34/(BC34+BB34)</f>
        <v>0.972850194978468</v>
      </c>
      <c r="BE34" s="590" t="n">
        <f aca="false">IF(Vin&gt;Vout,ThetaJA_Q1*BK34,ThetaJA_Q4*BK34)</f>
        <v>4.65106293548958</v>
      </c>
      <c r="BF34" s="590" t="n">
        <f aca="false">IF(Vin&gt;Vout, ThetaJA_Q2*BL34, ThetaJA_Q3*BL34)</f>
        <v>2.67246035475333</v>
      </c>
      <c r="BG34" s="536"/>
      <c r="BH34" s="385" t="n">
        <f aca="false">BD34*100</f>
        <v>97.2850194978468</v>
      </c>
      <c r="BI34" s="488" t="n">
        <f aca="false">T34</f>
        <v>0.00827004395329496</v>
      </c>
      <c r="BJ34" s="488" t="n">
        <f aca="false">AE34+AI34+AN34+AR34+AU34</f>
        <v>0.188638366004833</v>
      </c>
      <c r="BK34" s="488" t="n">
        <f aca="false">IF(Vin&gt;Vout, AE34+AU34*0.66, AN34+AU34*0.66)</f>
        <v>0.0930212587097916</v>
      </c>
      <c r="BL34" s="488" t="n">
        <f aca="false">IF(Vin&gt;Vout, AI34+AU34*0.33, AR34+AU34*0.33)</f>
        <v>0.0534492070950667</v>
      </c>
      <c r="BM34" s="488" t="n">
        <f aca="false">AV34</f>
        <v>0.0017762670979414</v>
      </c>
      <c r="BR34" s="0" t="n">
        <v>9.998605</v>
      </c>
      <c r="BS34" s="0" t="n">
        <v>0.8324</v>
      </c>
      <c r="BT34" s="0" t="n">
        <v>5.123156</v>
      </c>
      <c r="BU34" s="0" t="n">
        <v>91.6789463611051</v>
      </c>
      <c r="BV34" s="0" t="n">
        <v>387.059960352</v>
      </c>
    </row>
    <row r="35" customFormat="false" ht="12.75" hidden="false" customHeight="false" outlineLevel="0" collapsed="false">
      <c r="A35" s="599" t="s">
        <v>635</v>
      </c>
      <c r="B35" s="596" t="n">
        <f aca="false">Iq*1000</f>
        <v>3</v>
      </c>
      <c r="C35" s="597" t="s">
        <v>454</v>
      </c>
      <c r="D35" s="598" t="s">
        <v>851</v>
      </c>
      <c r="G35" s="0" t="n">
        <v>26</v>
      </c>
      <c r="H35" s="586" t="n">
        <f aca="false">Vin</f>
        <v>12</v>
      </c>
      <c r="I35" s="385" t="str">
        <f aca="false">IF(H35&gt;VIN_BB_to_buck, "BUCK", IF(H35&lt;VIN_boost_to_BB,"BOOST","BUCK-BST"))</f>
        <v>BUCK-BST</v>
      </c>
      <c r="J35" s="419" t="n">
        <f aca="false">IF(I35="BOOST",2, IF(I35="BUCK", 1,3))</f>
        <v>3</v>
      </c>
      <c r="K35" s="488" t="n">
        <f aca="false">Iout*G35/100</f>
        <v>1.56</v>
      </c>
      <c r="L35" s="385" t="n">
        <f aca="false">Vout*K35/(Vin*Efficiency)</f>
        <v>1.73333333333333</v>
      </c>
      <c r="M35" s="385" t="n">
        <f aca="false">K35/(1-O35)</f>
        <v>1.63350785340314</v>
      </c>
      <c r="N35" s="488" t="n">
        <f aca="false">CHOOSE(J35,(Vout+(Rdson2+Rs+Rdcr)*K35)/(Vin+(Rs+Rdson2-Rdson1)*K35), 1, IF(Vin&lt;Vout, D_max_buck_BB, Vout/Vin*(1-D_min_boost_exitBB_to_buck)))</f>
        <v>0.955</v>
      </c>
      <c r="O35" s="488" t="n">
        <f aca="false">CHOOSE(J35,0,(Vout+(Rdson3+Rdcr)*L35-Vin)/(Vout+(Rdson3-Rdson4-Rs)*L35), IF(Vin&gt;Vout,D_min_boost_exitBB_to_buck, (Vout-Vin*D_max_buck_BB)/Vout))</f>
        <v>0.0450000000000001</v>
      </c>
      <c r="P35" s="385" t="n">
        <f aca="false">MAX(0, CHOOSE(J35, (Vin-(Rdson1+Rdcr)*K35-Vout)*N35/(Fsw*Lf), (Vin-(Rdson4+Rdcr+Rs)*L35)*O35/(Fsw*Lf), IF(Vin&lt;Vout, (Vin-(Rdson4+Rdcr+Rs)*L35)*O35/(0.5*Fsw*Lf),(Vin-(Rdson1+Rdcr)*K35-Vout)*N35/(0.5*Fsw*Lf))))</f>
        <v>0</v>
      </c>
      <c r="Q35" s="385" t="n">
        <f aca="false">CHOOSE(J35, SQRT(K35^2+(P35^2)/12), SQRT(L35^2+(P35^2)/12), SQRT(M35^2+(P35^2)/12))</f>
        <v>1.63350785340314</v>
      </c>
      <c r="R35" s="488" t="n">
        <f aca="false">(Q35^2*Rdcr*(1+Ltc*Ta-Ltc*25))/(1-Q35^2*Rdcr*Ltc*ThetaCa)</f>
        <v>0.0089453624717983</v>
      </c>
      <c r="S35" s="488" t="n">
        <f aca="false">7.759*10^-3*Fsw^0.9458*(0.00787*P35)^2.304</f>
        <v>0</v>
      </c>
      <c r="T35" s="488" t="n">
        <f aca="false">R35+S35</f>
        <v>0.0089453624717983</v>
      </c>
      <c r="U35" s="385" t="n">
        <f aca="false">IF(Vin&gt;Vout, P35/SQRT(12), SQRT(O35/(1-O35))*SQRT(K35^2+(P35^2)/12))</f>
        <v>0.338632915276854</v>
      </c>
      <c r="V35" s="488" t="n">
        <f aca="false">RCoutEsr*U35^2</f>
        <v>0.000573361256544504</v>
      </c>
      <c r="W35" s="488" t="n">
        <f aca="false">V35</f>
        <v>0.000573361256544504</v>
      </c>
      <c r="X35" s="385" t="n">
        <f aca="false">IF(Vin&gt;Vout, SQRT(N35*(1-N35))*SQRT(K35^2+(P35^2)/12), P35/SQRT(12))</f>
        <v>0</v>
      </c>
      <c r="Y35" s="587" t="n">
        <f aca="false">RCinEsr*X35^2</f>
        <v>0</v>
      </c>
      <c r="Z35" s="588" t="n">
        <f aca="false">Y35</f>
        <v>0</v>
      </c>
      <c r="AA35" s="488" t="n">
        <f aca="false">CHOOSE(J35, SQRT(N35)*SQRT(K35^2+(P35^2)/12), SQRT(L35^2+(P35^2)/12), SQRT(N35)*SQRT(M35^2+(P35^2)/12))</f>
        <v>1.59633087150155</v>
      </c>
      <c r="AB35" s="488" t="n">
        <f aca="false">Rdson1*AA35^2</f>
        <v>0.0145251518324607</v>
      </c>
      <c r="AC35" s="488" t="n">
        <f aca="false">CHOOSE(J35, (Vin*K35/2)*(Fsw)*(Tr_buck+Tf_buck), 0, (Vin*K35/2)*(Fsw/2)*(Tr_buck+Tf_buck))</f>
        <v>0.00953189096126255</v>
      </c>
      <c r="AD35" s="488" t="n">
        <f aca="false">CHOOSE(J35, IF(K35&gt;P35/2,0,ABS(K35-P35/2)*Vsd_Q1*Deadtime*Fsw),0, IF(K35&gt;P35/2,0,ABS(K35-P35/2)*Vsd_Q1*Deadtime*Fsw/2))</f>
        <v>0</v>
      </c>
      <c r="AE35" s="488" t="n">
        <f aca="false">(AD35+AC35+AB35*(1+RdsonTopTc*Ta-RdsonTopTc*25))/(1-AB35*RdsonTopTc*ThetaJA_Q1)</f>
        <v>0.0241271328473011</v>
      </c>
      <c r="AF35" s="488" t="n">
        <f aca="false">CHOOSE(J35, SQRT((1-N35))*SQRT(K35^2+(P35^2)/12), 0, SQRT((1-N35))*SQRT(M35^2+(P35^2)/12))</f>
        <v>0.346519344078853</v>
      </c>
      <c r="AG35" s="488" t="n">
        <f aca="false">Rdson2*AF35^2</f>
        <v>0.000684431238178779</v>
      </c>
      <c r="AH35" s="488" t="n">
        <f aca="false">CHOOSE(J35, IF(K35&lt;P35/2,Deadtime*Fsw*IF(VfdSky_Q2&gt;0,0,Vsd_Q2)*(K35+P35/2),2*Deadtime*Fsw*IF(VfdSky_Q2&gt;0,0,Vsd_Q2)*K35),0, IF(K35&lt;P35/2,Deadtime*Fsw/2*IF(VfdSky_Q2&gt;0,0,Vsd_Q2)*(K35+P35/2),2*Deadtime*Fsw/2*IF(VfdSky_Q2&gt;0,0,Vsd_Q2)*K35))</f>
        <v>0.01872</v>
      </c>
      <c r="AI35" s="488" t="n">
        <f aca="false">(AH35+AG35*(1+RdsonBotTc*Ta-RdsonBotTc*25))/(1-AG35*RdsonBotTc*ThetaJA_Q2)</f>
        <v>0.0194070878016055</v>
      </c>
      <c r="AJ35" s="488" t="n">
        <f aca="false">CHOOSE(J35, 0, SQRT(O35)*SQRT(L35^2+(P35^2)/12), SQRT(O35)*SQRT(M35^2+(P35^2)/12))</f>
        <v>0.346519344078853</v>
      </c>
      <c r="AK35" s="488" t="n">
        <f aca="false">Rdson4*AJ35^2</f>
        <v>0.000228143746059593</v>
      </c>
      <c r="AL35" s="488" t="n">
        <f aca="false">CHOOSE(J35, 0, (Vout*L35/2)*(Fsw)*(Tr_boost+Tf_boost), (Vout*Iout/2)*(Fsw/2)*(Tr_boost+Tf_boost))</f>
        <v>0.0349071770123085</v>
      </c>
      <c r="AM35" s="488" t="n">
        <f aca="false">IF(H35&gt;Vout, 0, IF(L35&gt;P35/2,0,ABS(L35-P35/2)*Vsd_Q4*Deadtime*Fsw))</f>
        <v>0</v>
      </c>
      <c r="AN35" s="488" t="n">
        <f aca="false">(AM35+AL35+AK35*(1+RdsonTopTc*Ta-RdsonTopTc*25))/(1-AK35*RdsonTopTc*ThetaJA_Q4)</f>
        <v>0.035136924012262</v>
      </c>
      <c r="AO35" s="488" t="n">
        <f aca="false">CHOOSE(J35, SQRT(K35^2+(P35^2)/12), SQRT(1-O35)*SQRT(L35^2+(P35^2)/12), SQRT(1-O35)*SQRT(M35^2+(P35^2)/12))</f>
        <v>1.59633087150155</v>
      </c>
      <c r="AP35" s="488" t="n">
        <f aca="false">Rdson3*AO35^2</f>
        <v>0.00484171727748691</v>
      </c>
      <c r="AQ35" s="488" t="n">
        <f aca="false">CHOOSE(J35, 0, IF(L35&lt;P35/2,Deadtime*Fsw*IF(VfdSky_Q3&gt;0,0,Vsd_Q3)*(L35+P35/2), 2*Deadtime*Fsw*IF(VfdSky_Q3&gt;0,0,Vsd_Q3)*L35), IF(L35&lt;P35/2,Deadtime*Fsw/2*IF(VfdSky_Q3&gt;0,0,Vsd_Q3)*(L35+P35/2), 2*Deadtime*Fsw/2*IF(VfdSky_Q3&gt;0,0,Vsd_Q3)*L35))</f>
        <v>0.0208</v>
      </c>
      <c r="AR35" s="488" t="n">
        <f aca="false">(AQ35+AP35*(1+RdsonBotTc*Ta-RdsonBotTc*25))/(1-AP35*RdsonBotTc*ThetaJA_Q3)</f>
        <v>0.0256665713338631</v>
      </c>
      <c r="AS35" s="488" t="n">
        <f aca="false">CHOOSE(J35, Rdson3*Q35^2, Rdson1*Q35^2, 0)</f>
        <v>0</v>
      </c>
      <c r="AT35" s="488" t="n">
        <f aca="false">CHOOSE(J35, 2*Deadtime*Fsw*IF(VfdSky_Q2&gt;0,VfdSky_Q2,0)*K35, 2*Deadtime*Fsw*IF(VfdSky_Q3&gt;0,VfdSky_Q3,0)*L35, 2*Deadtime*Fsw/2*IF(VfdSky_Q2&gt;0,VfdSky_Q2,0)*K35+2*Deadtime*Fsw/2*IF(VfdSky_Q3&gt;0,VfdSky_Q3,0)*L35)</f>
        <v>0</v>
      </c>
      <c r="AU35" s="488" t="n">
        <f aca="false">CHOOSE(J35, IF(QrrSky_Q2&gt;0,QrrSky_Q2,Qrr_Q2*K35/Iout)*Fsw*(Vin-K35*Rdson1), IF(QrrSky_Q3&gt;0,QrrSky_Q3,Qrr_Q3)*Fsw*Vout,  IF(QrrSky_Q2&gt;0,QrrSky_Q2,Qrr_Q2*K35/Iout)*Fsw/2*(Vin-K35*Rdson1)+IF(QrrSky_Q3&gt;0,QrrSky_Q3,Qrr_Q3)*Fsw/2*Vout)</f>
        <v>0.088862152356</v>
      </c>
      <c r="AV35" s="488" t="n">
        <f aca="false">CHOOSE(J35, Rs*AF35^2, Rs*AJ35^2, Rs*(AF35^2+AJ35^2))</f>
        <v>0.00192121049313341</v>
      </c>
      <c r="AW35" s="488" t="n">
        <f aca="false">Rshunt_std/1000*Iout^2</f>
        <v>0.14832</v>
      </c>
      <c r="AX35" s="488" t="n">
        <f aca="false">IF(Vout&gt;8, Iq*Vout, Iq*Vin)</f>
        <v>0.036</v>
      </c>
      <c r="AY35" s="488" t="n">
        <f aca="false">CHOOSE(J35, (Qg_Q1+Qg_Q2)*Fsw, (Qg_Q3+Qg_Q4)*Fsw, (Qg_Q1+Qg_Q2+Qg_Q3+Qg_Q4)*Fsw/2)*IF(Vout&gt;8, Vout, Vin)</f>
        <v>0.1188</v>
      </c>
      <c r="AZ35" s="488" t="n">
        <f aca="false">(Vin-Vdd)*Fsw*(Qg_Q1+Qg_Q2)+(RdsonDRT+RdsonDRT2)*Fsw*Qg_Q1*Vdd/(RdsonDRT+2*Rgate1+RdsonDRT2)+(RdsonDRB+RdsonDRB2)*Fsw*Qg_Q2*Vdd/(RdsonDRB+2*Rgate2+RdsonDRB2)</f>
        <v>0.0522</v>
      </c>
      <c r="BA35" s="488" t="n">
        <f aca="false">SUM(AX35:AY35)</f>
        <v>0.1548</v>
      </c>
      <c r="BB35" s="488" t="n">
        <f aca="false">SUM(T35,W35,Z35,AE35,AI35,AN35,AR35, AT35,AU35,BA35,AV35,AW35)</f>
        <v>0.507759802572508</v>
      </c>
      <c r="BC35" s="419" t="n">
        <f aca="false">Vout*K35</f>
        <v>18.72</v>
      </c>
      <c r="BD35" s="589" t="n">
        <f aca="false">BC35/(BC35+BB35)</f>
        <v>0.97359235772726</v>
      </c>
      <c r="BE35" s="590" t="n">
        <f aca="false">IF(Vin&gt;Vout,ThetaJA_Q1*BK35,ThetaJA_Q4*BK35)</f>
        <v>4.6892972283611</v>
      </c>
      <c r="BF35" s="590" t="n">
        <f aca="false">IF(Vin&gt;Vout, ThetaJA_Q2*BL35, ThetaJA_Q3*BL35)</f>
        <v>2.74955408056716</v>
      </c>
      <c r="BG35" s="536"/>
      <c r="BH35" s="385" t="n">
        <f aca="false">BD35*100</f>
        <v>97.359235772726</v>
      </c>
      <c r="BI35" s="488" t="n">
        <f aca="false">T35</f>
        <v>0.0089453624717983</v>
      </c>
      <c r="BJ35" s="488" t="n">
        <f aca="false">AE35+AI35+AN35+AR35+AU35</f>
        <v>0.193199868351032</v>
      </c>
      <c r="BK35" s="488" t="n">
        <f aca="false">IF(Vin&gt;Vout, AE35+AU35*0.66, AN35+AU35*0.66)</f>
        <v>0.093785944567222</v>
      </c>
      <c r="BL35" s="488" t="n">
        <f aca="false">IF(Vin&gt;Vout, AI35+AU35*0.33, AR35+AU35*0.33)</f>
        <v>0.0549910816113431</v>
      </c>
      <c r="BM35" s="488" t="n">
        <f aca="false">AV35</f>
        <v>0.00192121049313341</v>
      </c>
      <c r="BR35" s="0" t="n">
        <v>9.998605</v>
      </c>
      <c r="BS35" s="0" t="n">
        <v>1.0529</v>
      </c>
      <c r="BT35" s="0" t="n">
        <v>5.121822</v>
      </c>
      <c r="BU35" s="0" t="n">
        <v>92.8899389662922</v>
      </c>
      <c r="BV35" s="0" t="n">
        <v>412.777629817</v>
      </c>
    </row>
    <row r="36" customFormat="false" ht="12.75" hidden="false" customHeight="false" outlineLevel="0" collapsed="false">
      <c r="A36" s="604" t="s">
        <v>852</v>
      </c>
      <c r="B36" s="583" t="s">
        <v>812</v>
      </c>
      <c r="C36" s="604" t="s">
        <v>697</v>
      </c>
      <c r="D36" s="585" t="s">
        <v>134</v>
      </c>
      <c r="G36" s="0" t="n">
        <v>27</v>
      </c>
      <c r="H36" s="586" t="n">
        <f aca="false">Vin</f>
        <v>12</v>
      </c>
      <c r="I36" s="385" t="str">
        <f aca="false">IF(H36&gt;VIN_BB_to_buck, "BUCK", IF(H36&lt;VIN_boost_to_BB,"BOOST","BUCK-BST"))</f>
        <v>BUCK-BST</v>
      </c>
      <c r="J36" s="419" t="n">
        <f aca="false">IF(I36="BOOST",2, IF(I36="BUCK", 1,3))</f>
        <v>3</v>
      </c>
      <c r="K36" s="488" t="n">
        <f aca="false">Iout*G36/100</f>
        <v>1.62</v>
      </c>
      <c r="L36" s="385" t="n">
        <f aca="false">Vout*K36/(Vin*Efficiency)</f>
        <v>1.8</v>
      </c>
      <c r="M36" s="385" t="n">
        <f aca="false">K36/(1-O36)</f>
        <v>1.69633507853403</v>
      </c>
      <c r="N36" s="488" t="n">
        <f aca="false">CHOOSE(J36,(Vout+(Rdson2+Rs+Rdcr)*K36)/(Vin+(Rs+Rdson2-Rdson1)*K36), 1, IF(Vin&lt;Vout, D_max_buck_BB, Vout/Vin*(1-D_min_boost_exitBB_to_buck)))</f>
        <v>0.955</v>
      </c>
      <c r="O36" s="488" t="n">
        <f aca="false">CHOOSE(J36,0,(Vout+(Rdson3+Rdcr)*L36-Vin)/(Vout+(Rdson3-Rdson4-Rs)*L36), IF(Vin&gt;Vout,D_min_boost_exitBB_to_buck, (Vout-Vin*D_max_buck_BB)/Vout))</f>
        <v>0.0450000000000001</v>
      </c>
      <c r="P36" s="385" t="n">
        <f aca="false">MAX(0, CHOOSE(J36, (Vin-(Rdson1+Rdcr)*K36-Vout)*N36/(Fsw*Lf), (Vin-(Rdson4+Rdcr+Rs)*L36)*O36/(Fsw*Lf), IF(Vin&lt;Vout, (Vin-(Rdson4+Rdcr+Rs)*L36)*O36/(0.5*Fsw*Lf),(Vin-(Rdson1+Rdcr)*K36-Vout)*N36/(0.5*Fsw*Lf))))</f>
        <v>0</v>
      </c>
      <c r="Q36" s="385" t="n">
        <f aca="false">CHOOSE(J36, SQRT(K36^2+(P36^2)/12), SQRT(L36^2+(P36^2)/12), SQRT(M36^2+(P36^2)/12))</f>
        <v>1.69633507853403</v>
      </c>
      <c r="R36" s="488" t="n">
        <f aca="false">(Q36^2*Rdcr*(1+Ltc*Ta-Ltc*25))/(1-Q36^2*Rdcr*Ltc*ThetaCa)</f>
        <v>0.00964724133988235</v>
      </c>
      <c r="S36" s="488" t="n">
        <f aca="false">7.759*10^-3*Fsw^0.9458*(0.00787*P36)^2.304</f>
        <v>0</v>
      </c>
      <c r="T36" s="488" t="n">
        <f aca="false">R36+S36</f>
        <v>0.00964724133988235</v>
      </c>
      <c r="U36" s="385" t="n">
        <f aca="false">IF(Vin&gt;Vout, P36/SQRT(12), SQRT(O36/(1-O36))*SQRT(K36^2+(P36^2)/12))</f>
        <v>0.351657258172117</v>
      </c>
      <c r="V36" s="488" t="n">
        <f aca="false">RCoutEsr*U36^2</f>
        <v>0.000618314136125656</v>
      </c>
      <c r="W36" s="488" t="n">
        <f aca="false">V36</f>
        <v>0.000618314136125656</v>
      </c>
      <c r="X36" s="385" t="n">
        <f aca="false">IF(Vin&gt;Vout, SQRT(N36*(1-N36))*SQRT(K36^2+(P36^2)/12), P36/SQRT(12))</f>
        <v>0</v>
      </c>
      <c r="Y36" s="587" t="n">
        <f aca="false">RCinEsr*X36^2</f>
        <v>0</v>
      </c>
      <c r="Z36" s="588" t="n">
        <f aca="false">Y36</f>
        <v>0</v>
      </c>
      <c r="AA36" s="488" t="n">
        <f aca="false">CHOOSE(J36, SQRT(N36)*SQRT(K36^2+(P36^2)/12), SQRT(L36^2+(P36^2)/12), SQRT(N36)*SQRT(M36^2+(P36^2)/12))</f>
        <v>1.65772821271315</v>
      </c>
      <c r="AB36" s="488" t="n">
        <f aca="false">Rdson1*AA36^2</f>
        <v>0.0156639581151833</v>
      </c>
      <c r="AC36" s="488" t="n">
        <f aca="false">CHOOSE(J36, (Vin*K36/2)*(Fsw)*(Tr_buck+Tf_buck), 0, (Vin*K36/2)*(Fsw/2)*(Tr_buck+Tf_buck))</f>
        <v>0.00989850215208034</v>
      </c>
      <c r="AD36" s="488" t="n">
        <f aca="false">CHOOSE(J36, IF(K36&gt;P36/2,0,ABS(K36-P36/2)*Vsd_Q1*Deadtime*Fsw),0, IF(K36&gt;P36/2,0,ABS(K36-P36/2)*Vsd_Q1*Deadtime*Fsw/2))</f>
        <v>0</v>
      </c>
      <c r="AE36" s="488" t="n">
        <f aca="false">(AD36+AC36+AB36*(1+RdsonTopTc*Ta-RdsonTopTc*25))/(1-AB36*RdsonTopTc*ThetaJA_Q1)</f>
        <v>0.0256427937968617</v>
      </c>
      <c r="AF36" s="488" t="n">
        <f aca="false">CHOOSE(J36, SQRT((1-N36))*SQRT(K36^2+(P36^2)/12), 0, SQRT((1-N36))*SQRT(M36^2+(P36^2)/12))</f>
        <v>0.359847011158809</v>
      </c>
      <c r="AG36" s="488" t="n">
        <f aca="false">Rdson2*AF36^2</f>
        <v>0.000738092267207588</v>
      </c>
      <c r="AH36" s="488" t="n">
        <f aca="false">CHOOSE(J36, IF(K36&lt;P36/2,Deadtime*Fsw*IF(VfdSky_Q2&gt;0,0,Vsd_Q2)*(K36+P36/2),2*Deadtime*Fsw*IF(VfdSky_Q2&gt;0,0,Vsd_Q2)*K36),0, IF(K36&lt;P36/2,Deadtime*Fsw/2*IF(VfdSky_Q2&gt;0,0,Vsd_Q2)*(K36+P36/2),2*Deadtime*Fsw/2*IF(VfdSky_Q2&gt;0,0,Vsd_Q2)*K36))</f>
        <v>0.01944</v>
      </c>
      <c r="AI36" s="488" t="n">
        <f aca="false">(AH36+AG36*(1+RdsonBotTc*Ta-RdsonBotTc*25))/(1-AG36*RdsonBotTc*ThetaJA_Q2)</f>
        <v>0.0201810713657514</v>
      </c>
      <c r="AJ36" s="488" t="n">
        <f aca="false">CHOOSE(J36, 0, SQRT(O36)*SQRT(L36^2+(P36^2)/12), SQRT(O36)*SQRT(M36^2+(P36^2)/12))</f>
        <v>0.359847011158809</v>
      </c>
      <c r="AK36" s="488" t="n">
        <f aca="false">Rdson4*AJ36^2</f>
        <v>0.000246030755735863</v>
      </c>
      <c r="AL36" s="488" t="n">
        <f aca="false">CHOOSE(J36, 0, (Vout*L36/2)*(Fsw)*(Tr_boost+Tf_boost), (Vout*Iout/2)*(Fsw/2)*(Tr_boost+Tf_boost))</f>
        <v>0.0349071770123085</v>
      </c>
      <c r="AM36" s="488" t="n">
        <f aca="false">IF(H36&gt;Vout, 0, IF(L36&gt;P36/2,0,ABS(L36-P36/2)*Vsd_Q4*Deadtime*Fsw))</f>
        <v>0</v>
      </c>
      <c r="AN36" s="488" t="n">
        <f aca="false">(AM36+AL36+AK36*(1+RdsonTopTc*Ta-RdsonTopTc*25))/(1-AK36*RdsonTopTc*ThetaJA_Q4)</f>
        <v>0.0351549376072179</v>
      </c>
      <c r="AO36" s="488" t="n">
        <f aca="false">CHOOSE(J36, SQRT(K36^2+(P36^2)/12), SQRT(1-O36)*SQRT(L36^2+(P36^2)/12), SQRT(1-O36)*SQRT(M36^2+(P36^2)/12))</f>
        <v>1.65772821271315</v>
      </c>
      <c r="AP36" s="488" t="n">
        <f aca="false">Rdson3*AO36^2</f>
        <v>0.00522131937172775</v>
      </c>
      <c r="AQ36" s="488" t="n">
        <f aca="false">CHOOSE(J36, 0, IF(L36&lt;P36/2,Deadtime*Fsw*IF(VfdSky_Q3&gt;0,0,Vsd_Q3)*(L36+P36/2), 2*Deadtime*Fsw*IF(VfdSky_Q3&gt;0,0,Vsd_Q3)*L36), IF(L36&lt;P36/2,Deadtime*Fsw/2*IF(VfdSky_Q3&gt;0,0,Vsd_Q3)*(L36+P36/2), 2*Deadtime*Fsw/2*IF(VfdSky_Q3&gt;0,0,Vsd_Q3)*L36))</f>
        <v>0.0216</v>
      </c>
      <c r="AR36" s="488" t="n">
        <f aca="false">(AQ36+AP36*(1+RdsonBotTc*Ta-RdsonBotTc*25))/(1-AP36*RdsonBotTc*ThetaJA_Q3)</f>
        <v>0.026849357185486</v>
      </c>
      <c r="AS36" s="488" t="n">
        <f aca="false">CHOOSE(J36, Rdson3*Q36^2, Rdson1*Q36^2, 0)</f>
        <v>0</v>
      </c>
      <c r="AT36" s="488" t="n">
        <f aca="false">CHOOSE(J36, 2*Deadtime*Fsw*IF(VfdSky_Q2&gt;0,VfdSky_Q2,0)*K36, 2*Deadtime*Fsw*IF(VfdSky_Q3&gt;0,VfdSky_Q3,0)*L36, 2*Deadtime*Fsw/2*IF(VfdSky_Q2&gt;0,VfdSky_Q2,0)*K36+2*Deadtime*Fsw/2*IF(VfdSky_Q3&gt;0,VfdSky_Q3,0)*L36)</f>
        <v>0</v>
      </c>
      <c r="AU36" s="488" t="n">
        <f aca="false">CHOOSE(J36, IF(QrrSky_Q2&gt;0,QrrSky_Q2,Qrr_Q2*K36/Iout)*Fsw*(Vin-K36*Rdson1), IF(QrrSky_Q3&gt;0,QrrSky_Q3,Qrr_Q3)*Fsw*Vout,  IF(QrrSky_Q2&gt;0,QrrSky_Q2,Qrr_Q2*K36/Iout)*Fsw/2*(Vin-K36*Rdson1)+IF(QrrSky_Q3&gt;0,QrrSky_Q3,Qrr_Q3)*Fsw/2*Vout)</f>
        <v>0.089994439449</v>
      </c>
      <c r="AV36" s="488" t="n">
        <f aca="false">CHOOSE(J36, Rs*AF36^2, Rs*AJ36^2, Rs*(AF36^2+AJ36^2))</f>
        <v>0.00207183794303885</v>
      </c>
      <c r="AW36" s="488" t="n">
        <f aca="false">Rshunt_std/1000*Iout^2</f>
        <v>0.14832</v>
      </c>
      <c r="AX36" s="488" t="n">
        <f aca="false">IF(Vout&gt;8, Iq*Vout, Iq*Vin)</f>
        <v>0.036</v>
      </c>
      <c r="AY36" s="488" t="n">
        <f aca="false">CHOOSE(J36, (Qg_Q1+Qg_Q2)*Fsw, (Qg_Q3+Qg_Q4)*Fsw, (Qg_Q1+Qg_Q2+Qg_Q3+Qg_Q4)*Fsw/2)*IF(Vout&gt;8, Vout, Vin)</f>
        <v>0.1188</v>
      </c>
      <c r="AZ36" s="488" t="n">
        <f aca="false">(Vin-Vdd)*Fsw*(Qg_Q1+Qg_Q2)+(RdsonDRT+RdsonDRT2)*Fsw*Qg_Q1*Vdd/(RdsonDRT+2*Rgate1+RdsonDRT2)+(RdsonDRB+RdsonDRB2)*Fsw*Qg_Q2*Vdd/(RdsonDRB+2*Rgate2+RdsonDRB2)</f>
        <v>0.0522</v>
      </c>
      <c r="BA36" s="488" t="n">
        <f aca="false">SUM(AX36:AY36)</f>
        <v>0.1548</v>
      </c>
      <c r="BB36" s="488" t="n">
        <f aca="false">SUM(T36,W36,Z36,AE36,AI36,AN36,AR36, AT36,AU36,BA36,AV36,AW36)</f>
        <v>0.513279992823364</v>
      </c>
      <c r="BC36" s="419" t="n">
        <f aca="false">Vout*K36</f>
        <v>19.44</v>
      </c>
      <c r="BD36" s="589" t="n">
        <f aca="false">BC36/(BC36+BB36)</f>
        <v>0.974275908872728</v>
      </c>
      <c r="BE36" s="590" t="n">
        <f aca="false">IF(Vin&gt;Vout,ThetaJA_Q1*BK36,ThetaJA_Q4*BK36)</f>
        <v>4.72756338217789</v>
      </c>
      <c r="BF36" s="590" t="n">
        <f aca="false">IF(Vin&gt;Vout, ThetaJA_Q2*BL36, ThetaJA_Q3*BL36)</f>
        <v>2.8273761101828</v>
      </c>
      <c r="BG36" s="536"/>
      <c r="BH36" s="385" t="n">
        <f aca="false">BD36*100</f>
        <v>97.4275908872728</v>
      </c>
      <c r="BI36" s="488" t="n">
        <f aca="false">T36</f>
        <v>0.00964724133988235</v>
      </c>
      <c r="BJ36" s="488" t="n">
        <f aca="false">AE36+AI36+AN36+AR36+AU36</f>
        <v>0.197822599404317</v>
      </c>
      <c r="BK36" s="488" t="n">
        <f aca="false">IF(Vin&gt;Vout, AE36+AU36*0.66, AN36+AU36*0.66)</f>
        <v>0.0945512676435579</v>
      </c>
      <c r="BL36" s="488" t="n">
        <f aca="false">IF(Vin&gt;Vout, AI36+AU36*0.33, AR36+AU36*0.33)</f>
        <v>0.056547522203656</v>
      </c>
      <c r="BM36" s="488" t="n">
        <f aca="false">AV36</f>
        <v>0.00207183794303885</v>
      </c>
      <c r="BR36" s="0" t="n">
        <v>9.998667</v>
      </c>
      <c r="BS36" s="0" t="n">
        <v>1.3093</v>
      </c>
      <c r="BT36" s="0" t="n">
        <v>5.119565</v>
      </c>
      <c r="BU36" s="0" t="n">
        <v>93.6903642149233</v>
      </c>
      <c r="BV36" s="0" t="n">
        <v>451.4207278807</v>
      </c>
    </row>
    <row r="37" customFormat="false" ht="12.75" hidden="false" customHeight="false" outlineLevel="0" collapsed="false">
      <c r="A37" s="600" t="s">
        <v>853</v>
      </c>
      <c r="B37" s="596" t="n">
        <f aca="false">Rdson1*1000</f>
        <v>5.7</v>
      </c>
      <c r="C37" s="609" t="s">
        <v>828</v>
      </c>
      <c r="D37" s="603" t="s">
        <v>854</v>
      </c>
      <c r="G37" s="0" t="n">
        <v>28</v>
      </c>
      <c r="H37" s="586" t="n">
        <f aca="false">Vin</f>
        <v>12</v>
      </c>
      <c r="I37" s="385" t="str">
        <f aca="false">IF(H37&gt;VIN_BB_to_buck, "BUCK", IF(H37&lt;VIN_boost_to_BB,"BOOST","BUCK-BST"))</f>
        <v>BUCK-BST</v>
      </c>
      <c r="J37" s="419" t="n">
        <f aca="false">IF(I37="BOOST",2, IF(I37="BUCK", 1,3))</f>
        <v>3</v>
      </c>
      <c r="K37" s="488" t="n">
        <f aca="false">Iout*G37/100</f>
        <v>1.68</v>
      </c>
      <c r="L37" s="385" t="n">
        <f aca="false">Vout*K37/(Vin*Efficiency)</f>
        <v>1.86666666666667</v>
      </c>
      <c r="M37" s="385" t="n">
        <f aca="false">K37/(1-O37)</f>
        <v>1.75916230366492</v>
      </c>
      <c r="N37" s="488" t="n">
        <f aca="false">CHOOSE(J37,(Vout+(Rdson2+Rs+Rdcr)*K37)/(Vin+(Rs+Rdson2-Rdson1)*K37), 1, IF(Vin&lt;Vout, D_max_buck_BB, Vout/Vin*(1-D_min_boost_exitBB_to_buck)))</f>
        <v>0.955</v>
      </c>
      <c r="O37" s="488" t="n">
        <f aca="false">CHOOSE(J37,0,(Vout+(Rdson3+Rdcr)*L37-Vin)/(Vout+(Rdson3-Rdson4-Rs)*L37), IF(Vin&gt;Vout,D_min_boost_exitBB_to_buck, (Vout-Vin*D_max_buck_BB)/Vout))</f>
        <v>0.0450000000000001</v>
      </c>
      <c r="P37" s="385" t="n">
        <f aca="false">MAX(0, CHOOSE(J37, (Vin-(Rdson1+Rdcr)*K37-Vout)*N37/(Fsw*Lf), (Vin-(Rdson4+Rdcr+Rs)*L37)*O37/(Fsw*Lf), IF(Vin&lt;Vout, (Vin-(Rdson4+Rdcr+Rs)*L37)*O37/(0.5*Fsw*Lf),(Vin-(Rdson1+Rdcr)*K37-Vout)*N37/(0.5*Fsw*Lf))))</f>
        <v>0</v>
      </c>
      <c r="Q37" s="385" t="n">
        <f aca="false">CHOOSE(J37, SQRT(K37^2+(P37^2)/12), SQRT(L37^2+(P37^2)/12), SQRT(M37^2+(P37^2)/12))</f>
        <v>1.75916230366492</v>
      </c>
      <c r="R37" s="488" t="n">
        <f aca="false">(Q37^2*Rdcr*(1+Ltc*Ta-Ltc*25))/(1-Q37^2*Rdcr*Ltc*ThetaCa)</f>
        <v>0.010375689487383</v>
      </c>
      <c r="S37" s="488" t="n">
        <f aca="false">7.759*10^-3*Fsw^0.9458*(0.00787*P37)^2.304</f>
        <v>0</v>
      </c>
      <c r="T37" s="488" t="n">
        <f aca="false">R37+S37</f>
        <v>0.010375689487383</v>
      </c>
      <c r="U37" s="385" t="n">
        <f aca="false">IF(Vin&gt;Vout, P37/SQRT(12), SQRT(O37/(1-O37))*SQRT(K37^2+(P37^2)/12))</f>
        <v>0.364681601067381</v>
      </c>
      <c r="V37" s="488" t="n">
        <f aca="false">RCoutEsr*U37^2</f>
        <v>0.000664963350785341</v>
      </c>
      <c r="W37" s="488" t="n">
        <f aca="false">V37</f>
        <v>0.000664963350785341</v>
      </c>
      <c r="X37" s="385" t="n">
        <f aca="false">IF(Vin&gt;Vout, SQRT(N37*(1-N37))*SQRT(K37^2+(P37^2)/12), P37/SQRT(12))</f>
        <v>0</v>
      </c>
      <c r="Y37" s="587" t="n">
        <f aca="false">RCinEsr*X37^2</f>
        <v>0</v>
      </c>
      <c r="Z37" s="588" t="n">
        <f aca="false">Y37</f>
        <v>0</v>
      </c>
      <c r="AA37" s="488" t="n">
        <f aca="false">CHOOSE(J37, SQRT(N37)*SQRT(K37^2+(P37^2)/12), SQRT(L37^2+(P37^2)/12), SQRT(N37)*SQRT(M37^2+(P37^2)/12))</f>
        <v>1.71912555392475</v>
      </c>
      <c r="AB37" s="488" t="n">
        <f aca="false">Rdson1*AA37^2</f>
        <v>0.0168457382198953</v>
      </c>
      <c r="AC37" s="488" t="n">
        <f aca="false">CHOOSE(J37, (Vin*K37/2)*(Fsw)*(Tr_buck+Tf_buck), 0, (Vin*K37/2)*(Fsw/2)*(Tr_buck+Tf_buck))</f>
        <v>0.0102651133428981</v>
      </c>
      <c r="AD37" s="488" t="n">
        <f aca="false">CHOOSE(J37, IF(K37&gt;P37/2,0,ABS(K37-P37/2)*Vsd_Q1*Deadtime*Fsw),0, IF(K37&gt;P37/2,0,ABS(K37-P37/2)*Vsd_Q1*Deadtime*Fsw/2))</f>
        <v>0</v>
      </c>
      <c r="AE37" s="488" t="n">
        <f aca="false">(AD37+AC37+AB37*(1+RdsonTopTc*Ta-RdsonTopTc*25))/(1-AB37*RdsonTopTc*ThetaJA_Q1)</f>
        <v>0.0272025008042885</v>
      </c>
      <c r="AF37" s="488" t="n">
        <f aca="false">CHOOSE(J37, SQRT((1-N37))*SQRT(K37^2+(P37^2)/12), 0, SQRT((1-N37))*SQRT(M37^2+(P37^2)/12))</f>
        <v>0.373174678238765</v>
      </c>
      <c r="AG37" s="488" t="n">
        <f aca="false">Rdson2*AF37^2</f>
        <v>0.000793778240728051</v>
      </c>
      <c r="AH37" s="488" t="n">
        <f aca="false">CHOOSE(J37, IF(K37&lt;P37/2,Deadtime*Fsw*IF(VfdSky_Q2&gt;0,0,Vsd_Q2)*(K37+P37/2),2*Deadtime*Fsw*IF(VfdSky_Q2&gt;0,0,Vsd_Q2)*K37),0, IF(K37&lt;P37/2,Deadtime*Fsw/2*IF(VfdSky_Q2&gt;0,0,Vsd_Q2)*(K37+P37/2),2*Deadtime*Fsw/2*IF(VfdSky_Q2&gt;0,0,Vsd_Q2)*K37))</f>
        <v>0.02016</v>
      </c>
      <c r="AI37" s="488" t="n">
        <f aca="false">(AH37+AG37*(1+RdsonBotTc*Ta-RdsonBotTc*25))/(1-AG37*RdsonBotTc*ThetaJA_Q2)</f>
        <v>0.0209571052995631</v>
      </c>
      <c r="AJ37" s="488" t="n">
        <f aca="false">CHOOSE(J37, 0, SQRT(O37)*SQRT(L37^2+(P37^2)/12), SQRT(O37)*SQRT(M37^2+(P37^2)/12))</f>
        <v>0.373174678238765</v>
      </c>
      <c r="AK37" s="488" t="n">
        <f aca="false">Rdson4*AJ37^2</f>
        <v>0.000264592746909351</v>
      </c>
      <c r="AL37" s="488" t="n">
        <f aca="false">CHOOSE(J37, 0, (Vout*L37/2)*(Fsw)*(Tr_boost+Tf_boost), (Vout*Iout/2)*(Fsw/2)*(Tr_boost+Tf_boost))</f>
        <v>0.0349071770123085</v>
      </c>
      <c r="AM37" s="488" t="n">
        <f aca="false">IF(H37&gt;Vout, 0, IF(L37&gt;P37/2,0,ABS(L37-P37/2)*Vsd_Q4*Deadtime*Fsw))</f>
        <v>0</v>
      </c>
      <c r="AN37" s="488" t="n">
        <f aca="false">(AM37+AL37+AK37*(1+RdsonTopTc*Ta-RdsonTopTc*25))/(1-AK37*RdsonTopTc*ThetaJA_Q4)</f>
        <v>0.035173631096752</v>
      </c>
      <c r="AO37" s="488" t="n">
        <f aca="false">CHOOSE(J37, SQRT(K37^2+(P37^2)/12), SQRT(1-O37)*SQRT(L37^2+(P37^2)/12), SQRT(1-O37)*SQRT(M37^2+(P37^2)/12))</f>
        <v>1.71912555392475</v>
      </c>
      <c r="AP37" s="488" t="n">
        <f aca="false">Rdson3*AO37^2</f>
        <v>0.00561524607329843</v>
      </c>
      <c r="AQ37" s="488" t="n">
        <f aca="false">CHOOSE(J37, 0, IF(L37&lt;P37/2,Deadtime*Fsw*IF(VfdSky_Q3&gt;0,0,Vsd_Q3)*(L37+P37/2), 2*Deadtime*Fsw*IF(VfdSky_Q3&gt;0,0,Vsd_Q3)*L37), IF(L37&lt;P37/2,Deadtime*Fsw/2*IF(VfdSky_Q3&gt;0,0,Vsd_Q3)*(L37+P37/2), 2*Deadtime*Fsw/2*IF(VfdSky_Q3&gt;0,0,Vsd_Q3)*L37))</f>
        <v>0.0224</v>
      </c>
      <c r="AR37" s="488" t="n">
        <f aca="false">(AQ37+AP37*(1+RdsonBotTc*Ta-RdsonBotTc*25))/(1-AP37*RdsonBotTc*ThetaJA_Q3)</f>
        <v>0.0280467439470619</v>
      </c>
      <c r="AS37" s="488" t="n">
        <f aca="false">CHOOSE(J37, Rdson3*Q37^2, Rdson1*Q37^2, 0)</f>
        <v>0</v>
      </c>
      <c r="AT37" s="488" t="n">
        <f aca="false">CHOOSE(J37, 2*Deadtime*Fsw*IF(VfdSky_Q2&gt;0,VfdSky_Q2,0)*K37, 2*Deadtime*Fsw*IF(VfdSky_Q3&gt;0,VfdSky_Q3,0)*L37, 2*Deadtime*Fsw/2*IF(VfdSky_Q2&gt;0,VfdSky_Q2,0)*K37+2*Deadtime*Fsw/2*IF(VfdSky_Q3&gt;0,VfdSky_Q3,0)*L37)</f>
        <v>0</v>
      </c>
      <c r="AU37" s="488" t="n">
        <f aca="false">CHOOSE(J37, IF(QrrSky_Q2&gt;0,QrrSky_Q2,Qrr_Q2*K37/Iout)*Fsw*(Vin-K37*Rdson1), IF(QrrSky_Q3&gt;0,QrrSky_Q3,Qrr_Q3)*Fsw*Vout,  IF(QrrSky_Q2&gt;0,QrrSky_Q2,Qrr_Q2*K37/Iout)*Fsw/2*(Vin-K37*Rdson1)+IF(QrrSky_Q3&gt;0,QrrSky_Q3,Qrr_Q3)*Fsw/2*Vout)</f>
        <v>0.091126661904</v>
      </c>
      <c r="AV37" s="488" t="n">
        <f aca="false">CHOOSE(J37, Rs*AF37^2, Rs*AJ37^2, Rs*(AF37^2+AJ37^2))</f>
        <v>0.00222814944765769</v>
      </c>
      <c r="AW37" s="488" t="n">
        <f aca="false">Rshunt_std/1000*Iout^2</f>
        <v>0.14832</v>
      </c>
      <c r="AX37" s="488" t="n">
        <f aca="false">IF(Vout&gt;8, Iq*Vout, Iq*Vin)</f>
        <v>0.036</v>
      </c>
      <c r="AY37" s="488" t="n">
        <f aca="false">CHOOSE(J37, (Qg_Q1+Qg_Q2)*Fsw, (Qg_Q3+Qg_Q4)*Fsw, (Qg_Q1+Qg_Q2+Qg_Q3+Qg_Q4)*Fsw/2)*IF(Vout&gt;8, Vout, Vin)</f>
        <v>0.1188</v>
      </c>
      <c r="AZ37" s="488" t="n">
        <f aca="false">(Vin-Vdd)*Fsw*(Qg_Q1+Qg_Q2)+(RdsonDRT+RdsonDRT2)*Fsw*Qg_Q1*Vdd/(RdsonDRT+2*Rgate1+RdsonDRT2)+(RdsonDRB+RdsonDRB2)*Fsw*Qg_Q2*Vdd/(RdsonDRB+2*Rgate2+RdsonDRB2)</f>
        <v>0.0522</v>
      </c>
      <c r="BA37" s="488" t="n">
        <f aca="false">SUM(AX37:AY37)</f>
        <v>0.1548</v>
      </c>
      <c r="BB37" s="488" t="n">
        <f aca="false">SUM(T37,W37,Z37,AE37,AI37,AN37,AR37, AT37,AU37,BA37,AV37,AW37)</f>
        <v>0.518895445337492</v>
      </c>
      <c r="BC37" s="419" t="n">
        <f aca="false">Vout*K37</f>
        <v>20.16</v>
      </c>
      <c r="BD37" s="589" t="n">
        <f aca="false">BC37/(BC37+BB37)</f>
        <v>0.974907003775461</v>
      </c>
      <c r="BE37" s="590" t="n">
        <f aca="false">IF(Vin&gt;Vout,ThetaJA_Q1*BK37,ThetaJA_Q4*BK37)</f>
        <v>4.7658613976696</v>
      </c>
      <c r="BF37" s="590" t="n">
        <f aca="false">IF(Vin&gt;Vout, ThetaJA_Q2*BL37, ThetaJA_Q3*BL37)</f>
        <v>2.9059271187691</v>
      </c>
      <c r="BG37" s="536"/>
      <c r="BH37" s="385" t="n">
        <f aca="false">BD37*100</f>
        <v>97.4907003775461</v>
      </c>
      <c r="BI37" s="488" t="n">
        <f aca="false">T37</f>
        <v>0.010375689487383</v>
      </c>
      <c r="BJ37" s="488" t="n">
        <f aca="false">AE37+AI37+AN37+AR37+AU37</f>
        <v>0.202506643051666</v>
      </c>
      <c r="BK37" s="488" t="n">
        <f aca="false">IF(Vin&gt;Vout, AE37+AU37*0.66, AN37+AU37*0.66)</f>
        <v>0.095317227953392</v>
      </c>
      <c r="BL37" s="488" t="n">
        <f aca="false">IF(Vin&gt;Vout, AI37+AU37*0.33, AR37+AU37*0.33)</f>
        <v>0.0581185423753819</v>
      </c>
      <c r="BM37" s="488" t="n">
        <f aca="false">AV37</f>
        <v>0.00222814944765769</v>
      </c>
      <c r="BR37" s="0" t="n">
        <v>9.998543</v>
      </c>
      <c r="BS37" s="0" t="n">
        <v>1.602</v>
      </c>
      <c r="BT37" s="0" t="n">
        <v>5.118281</v>
      </c>
      <c r="BU37" s="0" t="n">
        <v>93.8644733277484</v>
      </c>
      <c r="BV37" s="0" t="n">
        <v>535.9658971675</v>
      </c>
    </row>
    <row r="38" customFormat="false" ht="12.75" hidden="false" customHeight="false" outlineLevel="0" collapsed="false">
      <c r="A38" s="599" t="s">
        <v>642</v>
      </c>
      <c r="B38" s="596" t="n">
        <f aca="false">RdsonTopTc*1000000</f>
        <v>4000</v>
      </c>
      <c r="C38" s="597" t="s">
        <v>831</v>
      </c>
      <c r="D38" s="598" t="s">
        <v>855</v>
      </c>
      <c r="G38" s="0" t="n">
        <v>29</v>
      </c>
      <c r="H38" s="586" t="n">
        <f aca="false">Vin</f>
        <v>12</v>
      </c>
      <c r="I38" s="385" t="str">
        <f aca="false">IF(H38&gt;VIN_BB_to_buck, "BUCK", IF(H38&lt;VIN_boost_to_BB,"BOOST","BUCK-BST"))</f>
        <v>BUCK-BST</v>
      </c>
      <c r="J38" s="419" t="n">
        <f aca="false">IF(I38="BOOST",2, IF(I38="BUCK", 1,3))</f>
        <v>3</v>
      </c>
      <c r="K38" s="488" t="n">
        <f aca="false">Iout*G38/100</f>
        <v>1.74</v>
      </c>
      <c r="L38" s="385" t="n">
        <f aca="false">Vout*K38/(Vin*Efficiency)</f>
        <v>1.93333333333333</v>
      </c>
      <c r="M38" s="385" t="n">
        <f aca="false">K38/(1-O38)</f>
        <v>1.82198952879581</v>
      </c>
      <c r="N38" s="488" t="n">
        <f aca="false">CHOOSE(J38,(Vout+(Rdson2+Rs+Rdcr)*K38)/(Vin+(Rs+Rdson2-Rdson1)*K38), 1, IF(Vin&lt;Vout, D_max_buck_BB, Vout/Vin*(1-D_min_boost_exitBB_to_buck)))</f>
        <v>0.955</v>
      </c>
      <c r="O38" s="488" t="n">
        <f aca="false">CHOOSE(J38,0,(Vout+(Rdson3+Rdcr)*L38-Vin)/(Vout+(Rdson3-Rdson4-Rs)*L38), IF(Vin&gt;Vout,D_min_boost_exitBB_to_buck, (Vout-Vin*D_max_buck_BB)/Vout))</f>
        <v>0.0450000000000001</v>
      </c>
      <c r="P38" s="385" t="n">
        <f aca="false">MAX(0, CHOOSE(J38, (Vin-(Rdson1+Rdcr)*K38-Vout)*N38/(Fsw*Lf), (Vin-(Rdson4+Rdcr+Rs)*L38)*O38/(Fsw*Lf), IF(Vin&lt;Vout, (Vin-(Rdson4+Rdcr+Rs)*L38)*O38/(0.5*Fsw*Lf),(Vin-(Rdson1+Rdcr)*K38-Vout)*N38/(0.5*Fsw*Lf))))</f>
        <v>0</v>
      </c>
      <c r="Q38" s="385" t="n">
        <f aca="false">CHOOSE(J38, SQRT(K38^2+(P38^2)/12), SQRT(L38^2+(P38^2)/12), SQRT(M38^2+(P38^2)/12))</f>
        <v>1.82198952879581</v>
      </c>
      <c r="R38" s="488" t="n">
        <f aca="false">(Q38^2*Rdcr*(1+Ltc*Ta-Ltc*25))/(1-Q38^2*Rdcr*Ltc*ThetaCa)</f>
        <v>0.0111307161837595</v>
      </c>
      <c r="S38" s="488" t="n">
        <f aca="false">7.759*10^-3*Fsw^0.9458*(0.00787*P38)^2.304</f>
        <v>0</v>
      </c>
      <c r="T38" s="488" t="n">
        <f aca="false">R38+S38</f>
        <v>0.0111307161837595</v>
      </c>
      <c r="U38" s="385" t="n">
        <f aca="false">IF(Vin&gt;Vout, P38/SQRT(12), SQRT(O38/(1-O38))*SQRT(K38^2+(P38^2)/12))</f>
        <v>0.377705943962644</v>
      </c>
      <c r="V38" s="488" t="n">
        <f aca="false">RCoutEsr*U38^2</f>
        <v>0.000713308900523561</v>
      </c>
      <c r="W38" s="488" t="n">
        <f aca="false">V38</f>
        <v>0.000713308900523561</v>
      </c>
      <c r="X38" s="385" t="n">
        <f aca="false">IF(Vin&gt;Vout, SQRT(N38*(1-N38))*SQRT(K38^2+(P38^2)/12), P38/SQRT(12))</f>
        <v>0</v>
      </c>
      <c r="Y38" s="587" t="n">
        <f aca="false">RCinEsr*X38^2</f>
        <v>0</v>
      </c>
      <c r="Z38" s="588" t="n">
        <f aca="false">Y38</f>
        <v>0</v>
      </c>
      <c r="AA38" s="488" t="n">
        <f aca="false">CHOOSE(J38, SQRT(N38)*SQRT(K38^2+(P38^2)/12), SQRT(L38^2+(P38^2)/12), SQRT(N38)*SQRT(M38^2+(P38^2)/12))</f>
        <v>1.78052289513635</v>
      </c>
      <c r="AB38" s="488" t="n">
        <f aca="false">Rdson1*AA38^2</f>
        <v>0.0180704921465969</v>
      </c>
      <c r="AC38" s="488" t="n">
        <f aca="false">CHOOSE(J38, (Vin*K38/2)*(Fsw)*(Tr_buck+Tf_buck), 0, (Vin*K38/2)*(Fsw/2)*(Tr_buck+Tf_buck))</f>
        <v>0.0106317245337159</v>
      </c>
      <c r="AD38" s="488" t="n">
        <f aca="false">CHOOSE(J38, IF(K38&gt;P38/2,0,ABS(K38-P38/2)*Vsd_Q1*Deadtime*Fsw),0, IF(K38&gt;P38/2,0,ABS(K38-P38/2)*Vsd_Q1*Deadtime*Fsw/2))</f>
        <v>0</v>
      </c>
      <c r="AE38" s="488" t="n">
        <f aca="false">(AD38+AC38+AB38*(1+RdsonTopTc*Ta-RdsonTopTc*25))/(1-AB38*RdsonTopTc*ThetaJA_Q1)</f>
        <v>0.0288063255763327</v>
      </c>
      <c r="AF38" s="488" t="n">
        <f aca="false">CHOOSE(J38, SQRT((1-N38))*SQRT(K38^2+(P38^2)/12), 0, SQRT((1-N38))*SQRT(M38^2+(P38^2)/12))</f>
        <v>0.38650234531872</v>
      </c>
      <c r="AG38" s="488" t="n">
        <f aca="false">Rdson2*AF38^2</f>
        <v>0.000851489158740167</v>
      </c>
      <c r="AH38" s="488" t="n">
        <f aca="false">CHOOSE(J38, IF(K38&lt;P38/2,Deadtime*Fsw*IF(VfdSky_Q2&gt;0,0,Vsd_Q2)*(K38+P38/2),2*Deadtime*Fsw*IF(VfdSky_Q2&gt;0,0,Vsd_Q2)*K38),0, IF(K38&lt;P38/2,Deadtime*Fsw/2*IF(VfdSky_Q2&gt;0,0,Vsd_Q2)*(K38+P38/2),2*Deadtime*Fsw/2*IF(VfdSky_Q2&gt;0,0,Vsd_Q2)*K38))</f>
        <v>0.02088</v>
      </c>
      <c r="AI38" s="488" t="n">
        <f aca="false">(AH38+AG38*(1+RdsonBotTc*Ta-RdsonBotTc*25))/(1-AG38*RdsonBotTc*ThetaJA_Q2)</f>
        <v>0.0217351906145745</v>
      </c>
      <c r="AJ38" s="488" t="n">
        <f aca="false">CHOOSE(J38, 0, SQRT(O38)*SQRT(L38^2+(P38^2)/12), SQRT(O38)*SQRT(M38^2+(P38^2)/12))</f>
        <v>0.386502345318721</v>
      </c>
      <c r="AK38" s="488" t="n">
        <f aca="false">Rdson4*AJ38^2</f>
        <v>0.000283829719580056</v>
      </c>
      <c r="AL38" s="488" t="n">
        <f aca="false">CHOOSE(J38, 0, (Vout*L38/2)*(Fsw)*(Tr_boost+Tf_boost), (Vout*Iout/2)*(Fsw/2)*(Tr_boost+Tf_boost))</f>
        <v>0.0349071770123085</v>
      </c>
      <c r="AM38" s="488" t="n">
        <f aca="false">IF(H38&gt;Vout, 0, IF(L38&gt;P38/2,0,ABS(L38-P38/2)*Vsd_Q4*Deadtime*Fsw))</f>
        <v>0</v>
      </c>
      <c r="AN38" s="488" t="n">
        <f aca="false">(AM38+AL38+AK38*(1+RdsonTopTc*Ta-RdsonTopTc*25))/(1-AK38*RdsonTopTc*ThetaJA_Q4)</f>
        <v>0.035193004496008</v>
      </c>
      <c r="AO38" s="488" t="n">
        <f aca="false">CHOOSE(J38, SQRT(K38^2+(P38^2)/12), SQRT(1-O38)*SQRT(L38^2+(P38^2)/12), SQRT(1-O38)*SQRT(M38^2+(P38^2)/12))</f>
        <v>1.78052289513635</v>
      </c>
      <c r="AP38" s="488" t="n">
        <f aca="false">Rdson3*AO38^2</f>
        <v>0.00602349738219895</v>
      </c>
      <c r="AQ38" s="488" t="n">
        <f aca="false">CHOOSE(J38, 0, IF(L38&lt;P38/2,Deadtime*Fsw*IF(VfdSky_Q3&gt;0,0,Vsd_Q3)*(L38+P38/2), 2*Deadtime*Fsw*IF(VfdSky_Q3&gt;0,0,Vsd_Q3)*L38), IF(L38&lt;P38/2,Deadtime*Fsw/2*IF(VfdSky_Q3&gt;0,0,Vsd_Q3)*(L38+P38/2), 2*Deadtime*Fsw/2*IF(VfdSky_Q3&gt;0,0,Vsd_Q3)*L38))</f>
        <v>0.0232</v>
      </c>
      <c r="AR38" s="488" t="n">
        <f aca="false">(AQ38+AP38*(1+RdsonBotTc*Ta-RdsonBotTc*25))/(1-AP38*RdsonBotTc*ThetaJA_Q3)</f>
        <v>0.0292587453774364</v>
      </c>
      <c r="AS38" s="488" t="n">
        <f aca="false">CHOOSE(J38, Rdson3*Q38^2, Rdson1*Q38^2, 0)</f>
        <v>0</v>
      </c>
      <c r="AT38" s="488" t="n">
        <f aca="false">CHOOSE(J38, 2*Deadtime*Fsw*IF(VfdSky_Q2&gt;0,VfdSky_Q2,0)*K38, 2*Deadtime*Fsw*IF(VfdSky_Q3&gt;0,VfdSky_Q3,0)*L38, 2*Deadtime*Fsw/2*IF(VfdSky_Q2&gt;0,VfdSky_Q2,0)*K38+2*Deadtime*Fsw/2*IF(VfdSky_Q3&gt;0,VfdSky_Q3,0)*L38)</f>
        <v>0</v>
      </c>
      <c r="AU38" s="488" t="n">
        <f aca="false">CHOOSE(J38, IF(QrrSky_Q2&gt;0,QrrSky_Q2,Qrr_Q2*K38/Iout)*Fsw*(Vin-K38*Rdson1), IF(QrrSky_Q3&gt;0,QrrSky_Q3,Qrr_Q3)*Fsw*Vout,  IF(QrrSky_Q2&gt;0,QrrSky_Q2,Qrr_Q2*K38/Iout)*Fsw/2*(Vin-K38*Rdson1)+IF(QrrSky_Q3&gt;0,QrrSky_Q3,Qrr_Q3)*Fsw/2*Vout)</f>
        <v>0.092258819721</v>
      </c>
      <c r="AV38" s="488" t="n">
        <f aca="false">CHOOSE(J38, Rs*AF38^2, Rs*AJ38^2, Rs*(AF38^2+AJ38^2))</f>
        <v>0.00239014500698994</v>
      </c>
      <c r="AW38" s="488" t="n">
        <f aca="false">Rshunt_std/1000*Iout^2</f>
        <v>0.14832</v>
      </c>
      <c r="AX38" s="488" t="n">
        <f aca="false">IF(Vout&gt;8, Iq*Vout, Iq*Vin)</f>
        <v>0.036</v>
      </c>
      <c r="AY38" s="488" t="n">
        <f aca="false">CHOOSE(J38, (Qg_Q1+Qg_Q2)*Fsw, (Qg_Q3+Qg_Q4)*Fsw, (Qg_Q1+Qg_Q2+Qg_Q3+Qg_Q4)*Fsw/2)*IF(Vout&gt;8, Vout, Vin)</f>
        <v>0.1188</v>
      </c>
      <c r="AZ38" s="488" t="n">
        <f aca="false">(Vin-Vdd)*Fsw*(Qg_Q1+Qg_Q2)+(RdsonDRT+RdsonDRT2)*Fsw*Qg_Q1*Vdd/(RdsonDRT+2*Rgate1+RdsonDRT2)+(RdsonDRB+RdsonDRB2)*Fsw*Qg_Q2*Vdd/(RdsonDRB+2*Rgate2+RdsonDRB2)</f>
        <v>0.0522</v>
      </c>
      <c r="BA38" s="488" t="n">
        <f aca="false">SUM(AX38:AY38)</f>
        <v>0.1548</v>
      </c>
      <c r="BB38" s="488" t="n">
        <f aca="false">SUM(T38,W38,Z38,AE38,AI38,AN38,AR38, AT38,AU38,BA38,AV38,AW38)</f>
        <v>0.524606255876625</v>
      </c>
      <c r="BC38" s="419" t="n">
        <f aca="false">Vout*K38</f>
        <v>20.88</v>
      </c>
      <c r="BD38" s="589" t="n">
        <f aca="false">BC38/(BC38+BB38)</f>
        <v>0.975490964439834</v>
      </c>
      <c r="BE38" s="590" t="n">
        <f aca="false">IF(Vin&gt;Vout,ThetaJA_Q1*BK38,ThetaJA_Q4*BK38)</f>
        <v>4.8041912755934</v>
      </c>
      <c r="BF38" s="590" t="n">
        <f aca="false">IF(Vin&gt;Vout, ThetaJA_Q2*BL38, ThetaJA_Q3*BL38)</f>
        <v>2.98520779426832</v>
      </c>
      <c r="BG38" s="536"/>
      <c r="BH38" s="385" t="n">
        <f aca="false">BD38*100</f>
        <v>97.5490964439834</v>
      </c>
      <c r="BI38" s="488" t="n">
        <f aca="false">T38</f>
        <v>0.0111307161837595</v>
      </c>
      <c r="BJ38" s="488" t="n">
        <f aca="false">AE38+AI38+AN38+AR38+AU38</f>
        <v>0.207252085785352</v>
      </c>
      <c r="BK38" s="488" t="n">
        <f aca="false">IF(Vin&gt;Vout, AE38+AU38*0.66, AN38+AU38*0.66)</f>
        <v>0.096083825511868</v>
      </c>
      <c r="BL38" s="488" t="n">
        <f aca="false">IF(Vin&gt;Vout, AI38+AU38*0.33, AR38+AU38*0.33)</f>
        <v>0.0597041558853664</v>
      </c>
      <c r="BM38" s="488" t="n">
        <f aca="false">AV38</f>
        <v>0.00239014500698994</v>
      </c>
      <c r="BR38" s="0" t="n">
        <v>9.998543</v>
      </c>
      <c r="BS38" s="0" t="n">
        <v>1.935</v>
      </c>
      <c r="BT38" s="0" t="n">
        <v>5.117146</v>
      </c>
      <c r="BU38" s="0" t="n">
        <v>94.2245271980769</v>
      </c>
      <c r="BV38" s="0" t="n">
        <v>606.921164058999</v>
      </c>
    </row>
    <row r="39" customFormat="false" ht="12.75" hidden="false" customHeight="false" outlineLevel="0" collapsed="false">
      <c r="A39" s="600" t="s">
        <v>856</v>
      </c>
      <c r="B39" s="596" t="n">
        <f aca="false">Qg_Q1*1000000000</f>
        <v>11</v>
      </c>
      <c r="C39" s="597" t="s">
        <v>110</v>
      </c>
      <c r="D39" s="598" t="s">
        <v>857</v>
      </c>
      <c r="G39" s="0" t="n">
        <v>30</v>
      </c>
      <c r="H39" s="586" t="n">
        <f aca="false">Vin</f>
        <v>12</v>
      </c>
      <c r="I39" s="385" t="str">
        <f aca="false">IF(H39&gt;VIN_BB_to_buck, "BUCK", IF(H39&lt;VIN_boost_to_BB,"BOOST","BUCK-BST"))</f>
        <v>BUCK-BST</v>
      </c>
      <c r="J39" s="419" t="n">
        <f aca="false">IF(I39="BOOST",2, IF(I39="BUCK", 1,3))</f>
        <v>3</v>
      </c>
      <c r="K39" s="488" t="n">
        <f aca="false">Iout*G39/100</f>
        <v>1.8</v>
      </c>
      <c r="L39" s="385" t="n">
        <f aca="false">Vout*K39/(Vin*Efficiency)</f>
        <v>2</v>
      </c>
      <c r="M39" s="385" t="n">
        <f aca="false">K39/(1-O39)</f>
        <v>1.8848167539267</v>
      </c>
      <c r="N39" s="488" t="n">
        <f aca="false">CHOOSE(J39,(Vout+(Rdson2+Rs+Rdcr)*K39)/(Vin+(Rs+Rdson2-Rdson1)*K39), 1, IF(Vin&lt;Vout, D_max_buck_BB, Vout/Vin*(1-D_min_boost_exitBB_to_buck)))</f>
        <v>0.955</v>
      </c>
      <c r="O39" s="488" t="n">
        <f aca="false">CHOOSE(J39,0,(Vout+(Rdson3+Rdcr)*L39-Vin)/(Vout+(Rdson3-Rdson4-Rs)*L39), IF(Vin&gt;Vout,D_min_boost_exitBB_to_buck, (Vout-Vin*D_max_buck_BB)/Vout))</f>
        <v>0.0450000000000001</v>
      </c>
      <c r="P39" s="385" t="n">
        <f aca="false">MAX(0, CHOOSE(J39, (Vin-(Rdson1+Rdcr)*K39-Vout)*N39/(Fsw*Lf), (Vin-(Rdson4+Rdcr+Rs)*L39)*O39/(Fsw*Lf), IF(Vin&lt;Vout, (Vin-(Rdson4+Rdcr+Rs)*L39)*O39/(0.5*Fsw*Lf),(Vin-(Rdson1+Rdcr)*K39-Vout)*N39/(0.5*Fsw*Lf))))</f>
        <v>0</v>
      </c>
      <c r="Q39" s="385" t="n">
        <f aca="false">CHOOSE(J39, SQRT(K39^2+(P39^2)/12), SQRT(L39^2+(P39^2)/12), SQRT(M39^2+(P39^2)/12))</f>
        <v>1.8848167539267</v>
      </c>
      <c r="R39" s="488" t="n">
        <f aca="false">(Q39^2*Rdcr*(1+Ltc*Ta-Ltc*25))/(1-Q39^2*Rdcr*Ltc*ThetaCa)</f>
        <v>0.0119123310383896</v>
      </c>
      <c r="S39" s="488" t="n">
        <f aca="false">7.759*10^-3*Fsw^0.9458*(0.00787*P39)^2.304</f>
        <v>0</v>
      </c>
      <c r="T39" s="488" t="n">
        <f aca="false">R39+S39</f>
        <v>0.0119123310383896</v>
      </c>
      <c r="U39" s="385" t="n">
        <f aca="false">IF(Vin&gt;Vout, P39/SQRT(12), SQRT(O39/(1-O39))*SQRT(K39^2+(P39^2)/12))</f>
        <v>0.390730286857908</v>
      </c>
      <c r="V39" s="488" t="n">
        <f aca="false">RCoutEsr*U39^2</f>
        <v>0.000763350785340316</v>
      </c>
      <c r="W39" s="488" t="n">
        <f aca="false">V39</f>
        <v>0.000763350785340316</v>
      </c>
      <c r="X39" s="385" t="n">
        <f aca="false">IF(Vin&gt;Vout, SQRT(N39*(1-N39))*SQRT(K39^2+(P39^2)/12), P39/SQRT(12))</f>
        <v>0</v>
      </c>
      <c r="Y39" s="587" t="n">
        <f aca="false">RCinEsr*X39^2</f>
        <v>0</v>
      </c>
      <c r="Z39" s="588" t="n">
        <f aca="false">Y39</f>
        <v>0</v>
      </c>
      <c r="AA39" s="488" t="n">
        <f aca="false">CHOOSE(J39, SQRT(N39)*SQRT(K39^2+(P39^2)/12), SQRT(L39^2+(P39^2)/12), SQRT(N39)*SQRT(M39^2+(P39^2)/12))</f>
        <v>1.84192023634794</v>
      </c>
      <c r="AB39" s="488" t="n">
        <f aca="false">Rdson1*AA39^2</f>
        <v>0.019338219895288</v>
      </c>
      <c r="AC39" s="488" t="n">
        <f aca="false">CHOOSE(J39, (Vin*K39/2)*(Fsw)*(Tr_buck+Tf_buck), 0, (Vin*K39/2)*(Fsw/2)*(Tr_buck+Tf_buck))</f>
        <v>0.0109983357245337</v>
      </c>
      <c r="AD39" s="488" t="n">
        <f aca="false">CHOOSE(J39, IF(K39&gt;P39/2,0,ABS(K39-P39/2)*Vsd_Q1*Deadtime*Fsw),0, IF(K39&gt;P39/2,0,ABS(K39-P39/2)*Vsd_Q1*Deadtime*Fsw/2))</f>
        <v>0</v>
      </c>
      <c r="AE39" s="488" t="n">
        <f aca="false">(AD39+AC39+AB39*(1+RdsonTopTc*Ta-RdsonTopTc*25))/(1-AB39*RdsonTopTc*ThetaJA_Q1)</f>
        <v>0.0304543421729631</v>
      </c>
      <c r="AF39" s="488" t="n">
        <f aca="false">CHOOSE(J39, SQRT((1-N39))*SQRT(K39^2+(P39^2)/12), 0, SQRT((1-N39))*SQRT(M39^2+(P39^2)/12))</f>
        <v>0.399830012398676</v>
      </c>
      <c r="AG39" s="488" t="n">
        <f aca="false">Rdson2*AF39^2</f>
        <v>0.000911225021243936</v>
      </c>
      <c r="AH39" s="488" t="n">
        <f aca="false">CHOOSE(J39, IF(K39&lt;P39/2,Deadtime*Fsw*IF(VfdSky_Q2&gt;0,0,Vsd_Q2)*(K39+P39/2),2*Deadtime*Fsw*IF(VfdSky_Q2&gt;0,0,Vsd_Q2)*K39),0, IF(K39&lt;P39/2,Deadtime*Fsw/2*IF(VfdSky_Q2&gt;0,0,Vsd_Q2)*(K39+P39/2),2*Deadtime*Fsw/2*IF(VfdSky_Q2&gt;0,0,Vsd_Q2)*K39))</f>
        <v>0.0216</v>
      </c>
      <c r="AI39" s="488" t="n">
        <f aca="false">(AH39+AG39*(1+RdsonBotTc*Ta-RdsonBotTc*25))/(1-AG39*RdsonBotTc*ThetaJA_Q2)</f>
        <v>0.0225153283273506</v>
      </c>
      <c r="AJ39" s="488" t="n">
        <f aca="false">CHOOSE(J39, 0, SQRT(O39)*SQRT(L39^2+(P39^2)/12), SQRT(O39)*SQRT(M39^2+(P39^2)/12))</f>
        <v>0.399830012398676</v>
      </c>
      <c r="AK39" s="488" t="n">
        <f aca="false">Rdson4*AJ39^2</f>
        <v>0.000303741673747979</v>
      </c>
      <c r="AL39" s="488" t="n">
        <f aca="false">CHOOSE(J39, 0, (Vout*L39/2)*(Fsw)*(Tr_boost+Tf_boost), (Vout*Iout/2)*(Fsw/2)*(Tr_boost+Tf_boost))</f>
        <v>0.0349071770123085</v>
      </c>
      <c r="AM39" s="488" t="n">
        <f aca="false">IF(H39&gt;Vout, 0, IF(L39&gt;P39/2,0,ABS(L39-P39/2)*Vsd_Q4*Deadtime*Fsw))</f>
        <v>0</v>
      </c>
      <c r="AN39" s="488" t="n">
        <f aca="false">(AM39+AL39+AK39*(1+RdsonTopTc*Ta-RdsonTopTc*25))/(1-AK39*RdsonTopTc*ThetaJA_Q4)</f>
        <v>0.0352130578206805</v>
      </c>
      <c r="AO39" s="488" t="n">
        <f aca="false">CHOOSE(J39, SQRT(K39^2+(P39^2)/12), SQRT(1-O39)*SQRT(L39^2+(P39^2)/12), SQRT(1-O39)*SQRT(M39^2+(P39^2)/12))</f>
        <v>1.84192023634794</v>
      </c>
      <c r="AP39" s="488" t="n">
        <f aca="false">Rdson3*AO39^2</f>
        <v>0.00644607329842932</v>
      </c>
      <c r="AQ39" s="488" t="n">
        <f aca="false">CHOOSE(J39, 0, IF(L39&lt;P39/2,Deadtime*Fsw*IF(VfdSky_Q3&gt;0,0,Vsd_Q3)*(L39+P39/2), 2*Deadtime*Fsw*IF(VfdSky_Q3&gt;0,0,Vsd_Q3)*L39), IF(L39&lt;P39/2,Deadtime*Fsw/2*IF(VfdSky_Q3&gt;0,0,Vsd_Q3)*(L39+P39/2), 2*Deadtime*Fsw/2*IF(VfdSky_Q3&gt;0,0,Vsd_Q3)*L39))</f>
        <v>0.024</v>
      </c>
      <c r="AR39" s="488" t="n">
        <f aca="false">(AQ39+AP39*(1+RdsonBotTc*Ta-RdsonBotTc*25))/(1-AP39*RdsonBotTc*ThetaJA_Q3)</f>
        <v>0.0304853754914189</v>
      </c>
      <c r="AS39" s="488" t="n">
        <f aca="false">CHOOSE(J39, Rdson3*Q39^2, Rdson1*Q39^2, 0)</f>
        <v>0</v>
      </c>
      <c r="AT39" s="488" t="n">
        <f aca="false">CHOOSE(J39, 2*Deadtime*Fsw*IF(VfdSky_Q2&gt;0,VfdSky_Q2,0)*K39, 2*Deadtime*Fsw*IF(VfdSky_Q3&gt;0,VfdSky_Q3,0)*L39, 2*Deadtime*Fsw/2*IF(VfdSky_Q2&gt;0,VfdSky_Q2,0)*K39+2*Deadtime*Fsw/2*IF(VfdSky_Q3&gt;0,VfdSky_Q3,0)*L39)</f>
        <v>0</v>
      </c>
      <c r="AU39" s="488" t="n">
        <f aca="false">CHOOSE(J39, IF(QrrSky_Q2&gt;0,QrrSky_Q2,Qrr_Q2*K39/Iout)*Fsw*(Vin-K39*Rdson1), IF(QrrSky_Q3&gt;0,QrrSky_Q3,Qrr_Q3)*Fsw*Vout,  IF(QrrSky_Q2&gt;0,QrrSky_Q2,Qrr_Q2*K39/Iout)*Fsw/2*(Vin-K39*Rdson1)+IF(QrrSky_Q3&gt;0,QrrSky_Q3,Qrr_Q3)*Fsw/2*Vout)</f>
        <v>0.0933909129</v>
      </c>
      <c r="AV39" s="488" t="n">
        <f aca="false">CHOOSE(J39, Rs*AF39^2, Rs*AJ39^2, Rs*(AF39^2+AJ39^2))</f>
        <v>0.00255782462103561</v>
      </c>
      <c r="AW39" s="488" t="n">
        <f aca="false">Rshunt_std/1000*Iout^2</f>
        <v>0.14832</v>
      </c>
      <c r="AX39" s="488" t="n">
        <f aca="false">IF(Vout&gt;8, Iq*Vout, Iq*Vin)</f>
        <v>0.036</v>
      </c>
      <c r="AY39" s="488" t="n">
        <f aca="false">CHOOSE(J39, (Qg_Q1+Qg_Q2)*Fsw, (Qg_Q3+Qg_Q4)*Fsw, (Qg_Q1+Qg_Q2+Qg_Q3+Qg_Q4)*Fsw/2)*IF(Vout&gt;8, Vout, Vin)</f>
        <v>0.1188</v>
      </c>
      <c r="AZ39" s="488" t="n">
        <f aca="false">(Vin-Vdd)*Fsw*(Qg_Q1+Qg_Q2)+(RdsonDRT+RdsonDRT2)*Fsw*Qg_Q1*Vdd/(RdsonDRT+2*Rgate1+RdsonDRT2)+(RdsonDRB+RdsonDRB2)*Fsw*Qg_Q2*Vdd/(RdsonDRB+2*Rgate2+RdsonDRB2)</f>
        <v>0.0522</v>
      </c>
      <c r="BA39" s="488" t="n">
        <f aca="false">SUM(AX39:AY39)</f>
        <v>0.1548</v>
      </c>
      <c r="BB39" s="488" t="n">
        <f aca="false">SUM(T39,W39,Z39,AE39,AI39,AN39,AR39, AT39,AU39,BA39,AV39,AW39)</f>
        <v>0.530412523157179</v>
      </c>
      <c r="BC39" s="419" t="n">
        <f aca="false">Vout*K39</f>
        <v>21.6</v>
      </c>
      <c r="BD39" s="589" t="n">
        <f aca="false">BC39/(BC39+BB39)</f>
        <v>0.976032415907198</v>
      </c>
      <c r="BE39" s="590" t="n">
        <f aca="false">IF(Vin&gt;Vout,ThetaJA_Q1*BK39,ThetaJA_Q4*BK39)</f>
        <v>4.84255301673403</v>
      </c>
      <c r="BF39" s="590" t="n">
        <f aca="false">IF(Vin&gt;Vout, ThetaJA_Q2*BL39, ThetaJA_Q3*BL39)</f>
        <v>3.06521883742094</v>
      </c>
      <c r="BG39" s="536"/>
      <c r="BH39" s="385" t="n">
        <f aca="false">BD39*100</f>
        <v>97.6032415907198</v>
      </c>
      <c r="BI39" s="488" t="n">
        <f aca="false">T39</f>
        <v>0.0119123310383896</v>
      </c>
      <c r="BJ39" s="488" t="n">
        <f aca="false">AE39+AI39+AN39+AR39+AU39</f>
        <v>0.212059016712413</v>
      </c>
      <c r="BK39" s="488" t="n">
        <f aca="false">IF(Vin&gt;Vout, AE39+AU39*0.66, AN39+AU39*0.66)</f>
        <v>0.0968510603346806</v>
      </c>
      <c r="BL39" s="488" t="n">
        <f aca="false">IF(Vin&gt;Vout, AI39+AU39*0.33, AR39+AU39*0.33)</f>
        <v>0.0613043767484189</v>
      </c>
      <c r="BM39" s="488" t="n">
        <f aca="false">AV39</f>
        <v>0.00255782462103561</v>
      </c>
      <c r="BR39" s="0" t="n">
        <v>9.998506</v>
      </c>
      <c r="BS39" s="0" t="n">
        <v>2.31</v>
      </c>
      <c r="BT39" s="0" t="n">
        <v>5.116635</v>
      </c>
      <c r="BU39" s="0" t="n">
        <v>94.4926635027173</v>
      </c>
      <c r="BV39" s="0" t="n">
        <v>688.874130602002</v>
      </c>
    </row>
    <row r="40" customFormat="false" ht="12.75" hidden="false" customHeight="false" outlineLevel="0" collapsed="false">
      <c r="A40" s="600" t="s">
        <v>858</v>
      </c>
      <c r="B40" s="596" t="n">
        <f aca="false">Qgd_Q1*1000000000</f>
        <v>2.9</v>
      </c>
      <c r="C40" s="597" t="s">
        <v>110</v>
      </c>
      <c r="D40" s="618" t="s">
        <v>648</v>
      </c>
      <c r="G40" s="0" t="n">
        <v>31</v>
      </c>
      <c r="H40" s="586" t="n">
        <f aca="false">Vin</f>
        <v>12</v>
      </c>
      <c r="I40" s="385" t="str">
        <f aca="false">IF(H40&gt;VIN_BB_to_buck, "BUCK", IF(H40&lt;VIN_boost_to_BB,"BOOST","BUCK-BST"))</f>
        <v>BUCK-BST</v>
      </c>
      <c r="J40" s="419" t="n">
        <f aca="false">IF(I40="BOOST",2, IF(I40="BUCK", 1,3))</f>
        <v>3</v>
      </c>
      <c r="K40" s="488" t="n">
        <f aca="false">Iout*G40/100</f>
        <v>1.86</v>
      </c>
      <c r="L40" s="385" t="n">
        <f aca="false">Vout*K40/(Vin*Efficiency)</f>
        <v>2.06666666666667</v>
      </c>
      <c r="M40" s="385" t="n">
        <f aca="false">K40/(1-O40)</f>
        <v>1.94764397905759</v>
      </c>
      <c r="N40" s="488" t="n">
        <f aca="false">CHOOSE(J40,(Vout+(Rdson2+Rs+Rdcr)*K40)/(Vin+(Rs+Rdson2-Rdson1)*K40), 1, IF(Vin&lt;Vout, D_max_buck_BB, Vout/Vin*(1-D_min_boost_exitBB_to_buck)))</f>
        <v>0.955</v>
      </c>
      <c r="O40" s="488" t="n">
        <f aca="false">CHOOSE(J40,0,(Vout+(Rdson3+Rdcr)*L40-Vin)/(Vout+(Rdson3-Rdson4-Rs)*L40), IF(Vin&gt;Vout,D_min_boost_exitBB_to_buck, (Vout-Vin*D_max_buck_BB)/Vout))</f>
        <v>0.0450000000000001</v>
      </c>
      <c r="P40" s="385" t="n">
        <f aca="false">MAX(0, CHOOSE(J40, (Vin-(Rdson1+Rdcr)*K40-Vout)*N40/(Fsw*Lf), (Vin-(Rdson4+Rdcr+Rs)*L40)*O40/(Fsw*Lf), IF(Vin&lt;Vout, (Vin-(Rdson4+Rdcr+Rs)*L40)*O40/(0.5*Fsw*Lf),(Vin-(Rdson1+Rdcr)*K40-Vout)*N40/(0.5*Fsw*Lf))))</f>
        <v>0</v>
      </c>
      <c r="Q40" s="385" t="n">
        <f aca="false">CHOOSE(J40, SQRT(K40^2+(P40^2)/12), SQRT(L40^2+(P40^2)/12), SQRT(M40^2+(P40^2)/12))</f>
        <v>1.94764397905759</v>
      </c>
      <c r="R40" s="488" t="n">
        <f aca="false">(Q40^2*Rdcr*(1+Ltc*Ta-Ltc*25))/(1-Q40^2*Rdcr*Ltc*ThetaCa)</f>
        <v>0.0127205440008759</v>
      </c>
      <c r="S40" s="488" t="n">
        <f aca="false">7.759*10^-3*Fsw^0.9458*(0.00787*P40)^2.304</f>
        <v>0</v>
      </c>
      <c r="T40" s="488" t="n">
        <f aca="false">R40+S40</f>
        <v>0.0127205440008759</v>
      </c>
      <c r="U40" s="385" t="n">
        <f aca="false">IF(Vin&gt;Vout, P40/SQRT(12), SQRT(O40/(1-O40))*SQRT(K40^2+(P40^2)/12))</f>
        <v>0.403754629753172</v>
      </c>
      <c r="V40" s="488" t="n">
        <f aca="false">RCoutEsr*U40^2</f>
        <v>0.000815089005235604</v>
      </c>
      <c r="W40" s="488" t="n">
        <f aca="false">V40</f>
        <v>0.000815089005235604</v>
      </c>
      <c r="X40" s="385" t="n">
        <f aca="false">IF(Vin&gt;Vout, SQRT(N40*(1-N40))*SQRT(K40^2+(P40^2)/12), P40/SQRT(12))</f>
        <v>0</v>
      </c>
      <c r="Y40" s="587" t="n">
        <f aca="false">RCinEsr*X40^2</f>
        <v>0</v>
      </c>
      <c r="Z40" s="588" t="n">
        <f aca="false">Y40</f>
        <v>0</v>
      </c>
      <c r="AA40" s="488" t="n">
        <f aca="false">CHOOSE(J40, SQRT(N40)*SQRT(K40^2+(P40^2)/12), SQRT(L40^2+(P40^2)/12), SQRT(N40)*SQRT(M40^2+(P40^2)/12))</f>
        <v>1.90331757755954</v>
      </c>
      <c r="AB40" s="488" t="n">
        <f aca="false">Rdson1*AA40^2</f>
        <v>0.0206489214659686</v>
      </c>
      <c r="AC40" s="488" t="n">
        <f aca="false">CHOOSE(J40, (Vin*K40/2)*(Fsw)*(Tr_buck+Tf_buck), 0, (Vin*K40/2)*(Fsw/2)*(Tr_buck+Tf_buck))</f>
        <v>0.0113649469153515</v>
      </c>
      <c r="AD40" s="488" t="n">
        <f aca="false">CHOOSE(J40, IF(K40&gt;P40/2,0,ABS(K40-P40/2)*Vsd_Q1*Deadtime*Fsw),0, IF(K40&gt;P40/2,0,ABS(K40-P40/2)*Vsd_Q1*Deadtime*Fsw/2))</f>
        <v>0</v>
      </c>
      <c r="AE40" s="488" t="n">
        <f aca="false">(AD40+AC40+AB40*(1+RdsonTopTc*Ta-RdsonTopTc*25))/(1-AB40*RdsonTopTc*ThetaJA_Q1)</f>
        <v>0.0321466270166526</v>
      </c>
      <c r="AF40" s="488" t="n">
        <f aca="false">CHOOSE(J40, SQRT((1-N40))*SQRT(K40^2+(P40^2)/12), 0, SQRT((1-N40))*SQRT(M40^2+(P40^2)/12))</f>
        <v>0.413157679478632</v>
      </c>
      <c r="AG40" s="488" t="n">
        <f aca="false">Rdson2*AF40^2</f>
        <v>0.000972985828239359</v>
      </c>
      <c r="AH40" s="488" t="n">
        <f aca="false">CHOOSE(J40, IF(K40&lt;P40/2,Deadtime*Fsw*IF(VfdSky_Q2&gt;0,0,Vsd_Q2)*(K40+P40/2),2*Deadtime*Fsw*IF(VfdSky_Q2&gt;0,0,Vsd_Q2)*K40),0, IF(K40&lt;P40/2,Deadtime*Fsw/2*IF(VfdSky_Q2&gt;0,0,Vsd_Q2)*(K40+P40/2),2*Deadtime*Fsw/2*IF(VfdSky_Q2&gt;0,0,Vsd_Q2)*K40))</f>
        <v>0.02232</v>
      </c>
      <c r="AI40" s="488" t="n">
        <f aca="false">(AH40+AG40*(1+RdsonBotTc*Ta-RdsonBotTc*25))/(1-AG40*RdsonBotTc*ThetaJA_Q2)</f>
        <v>0.0232975194594928</v>
      </c>
      <c r="AJ40" s="488" t="n">
        <f aca="false">CHOOSE(J40, 0, SQRT(O40)*SQRT(L40^2+(P40^2)/12), SQRT(O40)*SQRT(M40^2+(P40^2)/12))</f>
        <v>0.413157679478632</v>
      </c>
      <c r="AK40" s="488" t="n">
        <f aca="false">Rdson4*AJ40^2</f>
        <v>0.00032432860941312</v>
      </c>
      <c r="AL40" s="488" t="n">
        <f aca="false">CHOOSE(J40, 0, (Vout*L40/2)*(Fsw)*(Tr_boost+Tf_boost), (Vout*Iout/2)*(Fsw/2)*(Tr_boost+Tf_boost))</f>
        <v>0.0349071770123085</v>
      </c>
      <c r="AM40" s="488" t="n">
        <f aca="false">IF(H40&gt;Vout, 0, IF(L40&gt;P40/2,0,ABS(L40-P40/2)*Vsd_Q4*Deadtime*Fsw))</f>
        <v>0</v>
      </c>
      <c r="AN40" s="488" t="n">
        <f aca="false">(AM40+AL40+AK40*(1+RdsonTopTc*Ta-RdsonTopTc*25))/(1-AK40*RdsonTopTc*ThetaJA_Q4)</f>
        <v>0.0352337910870152</v>
      </c>
      <c r="AO40" s="488" t="n">
        <f aca="false">CHOOSE(J40, SQRT(K40^2+(P40^2)/12), SQRT(1-O40)*SQRT(L40^2+(P40^2)/12), SQRT(1-O40)*SQRT(M40^2+(P40^2)/12))</f>
        <v>1.90331757755954</v>
      </c>
      <c r="AP40" s="488" t="n">
        <f aca="false">Rdson3*AO40^2</f>
        <v>0.00688297382198953</v>
      </c>
      <c r="AQ40" s="488" t="n">
        <f aca="false">CHOOSE(J40, 0, IF(L40&lt;P40/2,Deadtime*Fsw*IF(VfdSky_Q3&gt;0,0,Vsd_Q3)*(L40+P40/2), 2*Deadtime*Fsw*IF(VfdSky_Q3&gt;0,0,Vsd_Q3)*L40), IF(L40&lt;P40/2,Deadtime*Fsw/2*IF(VfdSky_Q3&gt;0,0,Vsd_Q3)*(L40+P40/2), 2*Deadtime*Fsw/2*IF(VfdSky_Q3&gt;0,0,Vsd_Q3)*L40))</f>
        <v>0.0248</v>
      </c>
      <c r="AR40" s="488" t="n">
        <f aca="false">(AQ40+AP40*(1+RdsonBotTc*Ta-RdsonBotTc*25))/(1-AP40*RdsonBotTc*ThetaJA_Q3)</f>
        <v>0.0317266485602895</v>
      </c>
      <c r="AS40" s="488" t="n">
        <f aca="false">CHOOSE(J40, Rdson3*Q40^2, Rdson1*Q40^2, 0)</f>
        <v>0</v>
      </c>
      <c r="AT40" s="488" t="n">
        <f aca="false">CHOOSE(J40, 2*Deadtime*Fsw*IF(VfdSky_Q2&gt;0,VfdSky_Q2,0)*K40, 2*Deadtime*Fsw*IF(VfdSky_Q3&gt;0,VfdSky_Q3,0)*L40, 2*Deadtime*Fsw/2*IF(VfdSky_Q2&gt;0,VfdSky_Q2,0)*K40+2*Deadtime*Fsw/2*IF(VfdSky_Q3&gt;0,VfdSky_Q3,0)*L40)</f>
        <v>0</v>
      </c>
      <c r="AU40" s="488" t="n">
        <f aca="false">CHOOSE(J40, IF(QrrSky_Q2&gt;0,QrrSky_Q2,Qrr_Q2*K40/Iout)*Fsw*(Vin-K40*Rdson1), IF(QrrSky_Q3&gt;0,QrrSky_Q3,Qrr_Q3)*Fsw*Vout,  IF(QrrSky_Q2&gt;0,QrrSky_Q2,Qrr_Q2*K40/Iout)*Fsw/2*(Vin-K40*Rdson1)+IF(QrrSky_Q3&gt;0,QrrSky_Q3,Qrr_Q3)*Fsw/2*Vout)</f>
        <v>0.094522941441</v>
      </c>
      <c r="AV40" s="488" t="n">
        <f aca="false">CHOOSE(J40, Rs*AF40^2, Rs*AJ40^2, Rs*(AF40^2+AJ40^2))</f>
        <v>0.00273118828979469</v>
      </c>
      <c r="AW40" s="488" t="n">
        <f aca="false">Rshunt_std/1000*Iout^2</f>
        <v>0.14832</v>
      </c>
      <c r="AX40" s="488" t="n">
        <f aca="false">IF(Vout&gt;8, Iq*Vout, Iq*Vin)</f>
        <v>0.036</v>
      </c>
      <c r="AY40" s="488" t="n">
        <f aca="false">CHOOSE(J40, (Qg_Q1+Qg_Q2)*Fsw, (Qg_Q3+Qg_Q4)*Fsw, (Qg_Q1+Qg_Q2+Qg_Q3+Qg_Q4)*Fsw/2)*IF(Vout&gt;8, Vout, Vin)</f>
        <v>0.1188</v>
      </c>
      <c r="AZ40" s="488" t="n">
        <f aca="false">(Vin-Vdd)*Fsw*(Qg_Q1+Qg_Q2)+(RdsonDRT+RdsonDRT2)*Fsw*Qg_Q1*Vdd/(RdsonDRT+2*Rgate1+RdsonDRT2)+(RdsonDRB+RdsonDRB2)*Fsw*Qg_Q2*Vdd/(RdsonDRB+2*Rgate2+RdsonDRB2)</f>
        <v>0.0522</v>
      </c>
      <c r="BA40" s="488" t="n">
        <f aca="false">SUM(AX40:AY40)</f>
        <v>0.1548</v>
      </c>
      <c r="BB40" s="488" t="n">
        <f aca="false">SUM(T40,W40,Z40,AE40,AI40,AN40,AR40, AT40,AU40,BA40,AV40,AW40)</f>
        <v>0.536314348860356</v>
      </c>
      <c r="BC40" s="419" t="n">
        <f aca="false">Vout*K40</f>
        <v>22.32</v>
      </c>
      <c r="BD40" s="589" t="n">
        <f aca="false">BC40/(BC40+BB40)</f>
        <v>0.976535396710315</v>
      </c>
      <c r="BE40" s="590" t="n">
        <f aca="false">IF(Vin&gt;Vout,ThetaJA_Q1*BK40,ThetaJA_Q4*BK40)</f>
        <v>4.88094662190376</v>
      </c>
      <c r="BF40" s="590" t="n">
        <f aca="false">IF(Vin&gt;Vout, ThetaJA_Q2*BL40, ThetaJA_Q3*BL40)</f>
        <v>3.14596096179098</v>
      </c>
      <c r="BG40" s="536"/>
      <c r="BH40" s="385" t="n">
        <f aca="false">BD40*100</f>
        <v>97.6535396710315</v>
      </c>
      <c r="BI40" s="488" t="n">
        <f aca="false">T40</f>
        <v>0.0127205440008759</v>
      </c>
      <c r="BJ40" s="488" t="n">
        <f aca="false">AE40+AI40+AN40+AR40+AU40</f>
        <v>0.21692752756445</v>
      </c>
      <c r="BK40" s="488" t="n">
        <f aca="false">IF(Vin&gt;Vout, AE40+AU40*0.66, AN40+AU40*0.66)</f>
        <v>0.0976189324380752</v>
      </c>
      <c r="BL40" s="488" t="n">
        <f aca="false">IF(Vin&gt;Vout, AI40+AU40*0.33, AR40+AU40*0.33)</f>
        <v>0.0629192192358195</v>
      </c>
      <c r="BM40" s="488" t="n">
        <f aca="false">AV40</f>
        <v>0.00273118828979469</v>
      </c>
      <c r="BR40" s="0" t="n">
        <v>9.998432</v>
      </c>
      <c r="BS40" s="0" t="n">
        <v>2.727</v>
      </c>
      <c r="BT40" s="0" t="n">
        <v>5.115812</v>
      </c>
      <c r="BU40" s="0" t="n">
        <v>94.5587704245173</v>
      </c>
      <c r="BV40" s="0" t="n">
        <v>802.776949312001</v>
      </c>
    </row>
    <row r="41" customFormat="false" ht="12.75" hidden="false" customHeight="false" outlineLevel="0" collapsed="false">
      <c r="A41" s="600" t="s">
        <v>859</v>
      </c>
      <c r="B41" s="619" t="n">
        <f aca="false">Qgs_Q1*1000000000</f>
        <v>3.3</v>
      </c>
      <c r="C41" s="603" t="s">
        <v>110</v>
      </c>
      <c r="D41" s="618"/>
      <c r="G41" s="0" t="n">
        <v>32</v>
      </c>
      <c r="H41" s="586" t="n">
        <f aca="false">Vin</f>
        <v>12</v>
      </c>
      <c r="I41" s="385" t="str">
        <f aca="false">IF(H41&gt;VIN_BB_to_buck, "BUCK", IF(H41&lt;VIN_boost_to_BB,"BOOST","BUCK-BST"))</f>
        <v>BUCK-BST</v>
      </c>
      <c r="J41" s="419" t="n">
        <f aca="false">IF(I41="BOOST",2, IF(I41="BUCK", 1,3))</f>
        <v>3</v>
      </c>
      <c r="K41" s="488" t="n">
        <f aca="false">Iout*G41/100</f>
        <v>1.92</v>
      </c>
      <c r="L41" s="385" t="n">
        <f aca="false">Vout*K41/(Vin*Efficiency)</f>
        <v>2.13333333333333</v>
      </c>
      <c r="M41" s="385" t="n">
        <f aca="false">K41/(1-O41)</f>
        <v>2.01047120418848</v>
      </c>
      <c r="N41" s="488" t="n">
        <f aca="false">CHOOSE(J41,(Vout+(Rdson2+Rs+Rdcr)*K41)/(Vin+(Rs+Rdson2-Rdson1)*K41), 1, IF(Vin&lt;Vout, D_max_buck_BB, Vout/Vin*(1-D_min_boost_exitBB_to_buck)))</f>
        <v>0.955</v>
      </c>
      <c r="O41" s="488" t="n">
        <f aca="false">CHOOSE(J41,0,(Vout+(Rdson3+Rdcr)*L41-Vin)/(Vout+(Rdson3-Rdson4-Rs)*L41), IF(Vin&gt;Vout,D_min_boost_exitBB_to_buck, (Vout-Vin*D_max_buck_BB)/Vout))</f>
        <v>0.0450000000000001</v>
      </c>
      <c r="P41" s="385" t="n">
        <f aca="false">MAX(0, CHOOSE(J41, (Vin-(Rdson1+Rdcr)*K41-Vout)*N41/(Fsw*Lf), (Vin-(Rdson4+Rdcr+Rs)*L41)*O41/(Fsw*Lf), IF(Vin&lt;Vout, (Vin-(Rdson4+Rdcr+Rs)*L41)*O41/(0.5*Fsw*Lf),(Vin-(Rdson1+Rdcr)*K41-Vout)*N41/(0.5*Fsw*Lf))))</f>
        <v>0</v>
      </c>
      <c r="Q41" s="385" t="n">
        <f aca="false">CHOOSE(J41, SQRT(K41^2+(P41^2)/12), SQRT(L41^2+(P41^2)/12), SQRT(M41^2+(P41^2)/12))</f>
        <v>2.01047120418848</v>
      </c>
      <c r="R41" s="488" t="n">
        <f aca="false">(Q41^2*Rdcr*(1+Ltc*Ta-Ltc*25))/(1-Q41^2*Rdcr*Ltc*ThetaCa)</f>
        <v>0.0135553653613625</v>
      </c>
      <c r="S41" s="488" t="n">
        <f aca="false">7.759*10^-3*Fsw^0.9458*(0.00787*P41)^2.304</f>
        <v>0</v>
      </c>
      <c r="T41" s="488" t="n">
        <f aca="false">R41+S41</f>
        <v>0.0135553653613625</v>
      </c>
      <c r="U41" s="385" t="n">
        <f aca="false">IF(Vin&gt;Vout, P41/SQRT(12), SQRT(O41/(1-O41))*SQRT(K41^2+(P41^2)/12))</f>
        <v>0.416778972648435</v>
      </c>
      <c r="V41" s="488" t="n">
        <f aca="false">RCoutEsr*U41^2</f>
        <v>0.000868523560209426</v>
      </c>
      <c r="W41" s="488" t="n">
        <f aca="false">V41</f>
        <v>0.000868523560209426</v>
      </c>
      <c r="X41" s="385" t="n">
        <f aca="false">IF(Vin&gt;Vout, SQRT(N41*(1-N41))*SQRT(K41^2+(P41^2)/12), P41/SQRT(12))</f>
        <v>0</v>
      </c>
      <c r="Y41" s="587" t="n">
        <f aca="false">RCinEsr*X41^2</f>
        <v>0</v>
      </c>
      <c r="Z41" s="588" t="n">
        <f aca="false">Y41</f>
        <v>0</v>
      </c>
      <c r="AA41" s="488" t="n">
        <f aca="false">CHOOSE(J41, SQRT(N41)*SQRT(K41^2+(P41^2)/12), SQRT(L41^2+(P41^2)/12), SQRT(N41)*SQRT(M41^2+(P41^2)/12))</f>
        <v>1.96471491877114</v>
      </c>
      <c r="AB41" s="488" t="n">
        <f aca="false">Rdson1*AA41^2</f>
        <v>0.0220025968586387</v>
      </c>
      <c r="AC41" s="488" t="n">
        <f aca="false">CHOOSE(J41, (Vin*K41/2)*(Fsw)*(Tr_buck+Tf_buck), 0, (Vin*K41/2)*(Fsw/2)*(Tr_buck+Tf_buck))</f>
        <v>0.0117315581061693</v>
      </c>
      <c r="AD41" s="488" t="n">
        <f aca="false">CHOOSE(J41, IF(K41&gt;P41/2,0,ABS(K41-P41/2)*Vsd_Q1*Deadtime*Fsw),0, IF(K41&gt;P41/2,0,ABS(K41-P41/2)*Vsd_Q1*Deadtime*Fsw/2))</f>
        <v>0</v>
      </c>
      <c r="AE41" s="488" t="n">
        <f aca="false">(AD41+AC41+AB41*(1+RdsonTopTc*Ta-RdsonTopTc*25))/(1-AB41*RdsonTopTc*ThetaJA_Q1)</f>
        <v>0.0338832589019835</v>
      </c>
      <c r="AF41" s="488" t="n">
        <f aca="false">CHOOSE(J41, SQRT((1-N41))*SQRT(K41^2+(P41^2)/12), 0, SQRT((1-N41))*SQRT(M41^2+(P41^2)/12))</f>
        <v>0.426485346558588</v>
      </c>
      <c r="AG41" s="488" t="n">
        <f aca="false">Rdson2*AF41^2</f>
        <v>0.00103677157972643</v>
      </c>
      <c r="AH41" s="488" t="n">
        <f aca="false">CHOOSE(J41, IF(K41&lt;P41/2,Deadtime*Fsw*IF(VfdSky_Q2&gt;0,0,Vsd_Q2)*(K41+P41/2),2*Deadtime*Fsw*IF(VfdSky_Q2&gt;0,0,Vsd_Q2)*K41),0, IF(K41&lt;P41/2,Deadtime*Fsw/2*IF(VfdSky_Q2&gt;0,0,Vsd_Q2)*(K41+P41/2),2*Deadtime*Fsw/2*IF(VfdSky_Q2&gt;0,0,Vsd_Q2)*K41))</f>
        <v>0.02304</v>
      </c>
      <c r="AI41" s="488" t="n">
        <f aca="false">(AH41+AG41*(1+RdsonBotTc*Ta-RdsonBotTc*25))/(1-AG41*RdsonBotTc*ThetaJA_Q2)</f>
        <v>0.0240817650376426</v>
      </c>
      <c r="AJ41" s="488" t="n">
        <f aca="false">CHOOSE(J41, 0, SQRT(O41)*SQRT(L41^2+(P41^2)/12), SQRT(O41)*SQRT(M41^2+(P41^2)/12))</f>
        <v>0.426485346558588</v>
      </c>
      <c r="AK41" s="488" t="n">
        <f aca="false">Rdson4*AJ41^2</f>
        <v>0.000345590526575478</v>
      </c>
      <c r="AL41" s="488" t="n">
        <f aca="false">CHOOSE(J41, 0, (Vout*L41/2)*(Fsw)*(Tr_boost+Tf_boost), (Vout*Iout/2)*(Fsw/2)*(Tr_boost+Tf_boost))</f>
        <v>0.0349071770123085</v>
      </c>
      <c r="AM41" s="488" t="n">
        <f aca="false">IF(H41&gt;Vout, 0, IF(L41&gt;P41/2,0,ABS(L41-P41/2)*Vsd_Q4*Deadtime*Fsw))</f>
        <v>0</v>
      </c>
      <c r="AN41" s="488" t="n">
        <f aca="false">(AM41+AL41+AK41*(1+RdsonTopTc*Ta-RdsonTopTc*25))/(1-AK41*RdsonTopTc*ThetaJA_Q4)</f>
        <v>0.0352552043118085</v>
      </c>
      <c r="AO41" s="488" t="n">
        <f aca="false">CHOOSE(J41, SQRT(K41^2+(P41^2)/12), SQRT(1-O41)*SQRT(L41^2+(P41^2)/12), SQRT(1-O41)*SQRT(M41^2+(P41^2)/12))</f>
        <v>1.96471491877114</v>
      </c>
      <c r="AP41" s="488" t="n">
        <f aca="false">Rdson3*AO41^2</f>
        <v>0.00733419895287958</v>
      </c>
      <c r="AQ41" s="488" t="n">
        <f aca="false">CHOOSE(J41, 0, IF(L41&lt;P41/2,Deadtime*Fsw*IF(VfdSky_Q3&gt;0,0,Vsd_Q3)*(L41+P41/2), 2*Deadtime*Fsw*IF(VfdSky_Q3&gt;0,0,Vsd_Q3)*L41), IF(L41&lt;P41/2,Deadtime*Fsw/2*IF(VfdSky_Q3&gt;0,0,Vsd_Q3)*(L41+P41/2), 2*Deadtime*Fsw/2*IF(VfdSky_Q3&gt;0,0,Vsd_Q3)*L41))</f>
        <v>0.0256</v>
      </c>
      <c r="AR41" s="488" t="n">
        <f aca="false">(AQ41+AP41*(1+RdsonBotTc*Ta-RdsonBotTc*25))/(1-AP41*RdsonBotTc*ThetaJA_Q3)</f>
        <v>0.0329825791123174</v>
      </c>
      <c r="AS41" s="488" t="n">
        <f aca="false">CHOOSE(J41, Rdson3*Q41^2, Rdson1*Q41^2, 0)</f>
        <v>0</v>
      </c>
      <c r="AT41" s="488" t="n">
        <f aca="false">CHOOSE(J41, 2*Deadtime*Fsw*IF(VfdSky_Q2&gt;0,VfdSky_Q2,0)*K41, 2*Deadtime*Fsw*IF(VfdSky_Q3&gt;0,VfdSky_Q3,0)*L41, 2*Deadtime*Fsw/2*IF(VfdSky_Q2&gt;0,VfdSky_Q2,0)*K41+2*Deadtime*Fsw/2*IF(VfdSky_Q3&gt;0,VfdSky_Q3,0)*L41)</f>
        <v>0</v>
      </c>
      <c r="AU41" s="488" t="n">
        <f aca="false">CHOOSE(J41, IF(QrrSky_Q2&gt;0,QrrSky_Q2,Qrr_Q2*K41/Iout)*Fsw*(Vin-K41*Rdson1), IF(QrrSky_Q3&gt;0,QrrSky_Q3,Qrr_Q3)*Fsw*Vout,  IF(QrrSky_Q2&gt;0,QrrSky_Q2,Qrr_Q2*K41/Iout)*Fsw/2*(Vin-K41*Rdson1)+IF(QrrSky_Q3&gt;0,QrrSky_Q3,Qrr_Q3)*Fsw/2*Vout)</f>
        <v>0.095654905344</v>
      </c>
      <c r="AV41" s="488" t="n">
        <f aca="false">CHOOSE(J41, Rs*AF41^2, Rs*AJ41^2, Rs*(AF41^2+AJ41^2))</f>
        <v>0.00291023601326718</v>
      </c>
      <c r="AW41" s="488" t="n">
        <f aca="false">Rshunt_std/1000*Iout^2</f>
        <v>0.14832</v>
      </c>
      <c r="AX41" s="488" t="n">
        <f aca="false">IF(Vout&gt;8, Iq*Vout, Iq*Vin)</f>
        <v>0.036</v>
      </c>
      <c r="AY41" s="488" t="n">
        <f aca="false">CHOOSE(J41, (Qg_Q1+Qg_Q2)*Fsw, (Qg_Q3+Qg_Q4)*Fsw, (Qg_Q1+Qg_Q2+Qg_Q3+Qg_Q4)*Fsw/2)*IF(Vout&gt;8, Vout, Vin)</f>
        <v>0.1188</v>
      </c>
      <c r="AZ41" s="488" t="n">
        <f aca="false">(Vin-Vdd)*Fsw*(Qg_Q1+Qg_Q2)+(RdsonDRT+RdsonDRT2)*Fsw*Qg_Q1*Vdd/(RdsonDRT+2*Rgate1+RdsonDRT2)+(RdsonDRB+RdsonDRB2)*Fsw*Qg_Q2*Vdd/(RdsonDRB+2*Rgate2+RdsonDRB2)</f>
        <v>0.0522</v>
      </c>
      <c r="BA41" s="488" t="n">
        <f aca="false">SUM(AX41:AY41)</f>
        <v>0.1548</v>
      </c>
      <c r="BB41" s="488" t="n">
        <f aca="false">SUM(T41,W41,Z41,AE41,AI41,AN41,AR41, AT41,AU41,BA41,AV41,AW41)</f>
        <v>0.542311837642591</v>
      </c>
      <c r="BC41" s="419" t="n">
        <f aca="false">Vout*K41</f>
        <v>23.04</v>
      </c>
      <c r="BD41" s="589" t="n">
        <f aca="false">BC41/(BC41+BB41)</f>
        <v>0.977003448967334</v>
      </c>
      <c r="BE41" s="590" t="n">
        <f aca="false">IF(Vin&gt;Vout,ThetaJA_Q1*BK41,ThetaJA_Q4*BK41)</f>
        <v>4.91937209194243</v>
      </c>
      <c r="BF41" s="590" t="n">
        <f aca="false">IF(Vin&gt;Vout, ThetaJA_Q2*BL41, ThetaJA_Q3*BL41)</f>
        <v>3.22743489379187</v>
      </c>
      <c r="BG41" s="536"/>
      <c r="BH41" s="385" t="n">
        <f aca="false">BD41*100</f>
        <v>97.7003448967334</v>
      </c>
      <c r="BI41" s="488" t="n">
        <f aca="false">T41</f>
        <v>0.0135553653613625</v>
      </c>
      <c r="BJ41" s="488" t="n">
        <f aca="false">AE41+AI41+AN41+AR41+AU41</f>
        <v>0.221857712707752</v>
      </c>
      <c r="BK41" s="488" t="n">
        <f aca="false">IF(Vin&gt;Vout, AE41+AU41*0.66, AN41+AU41*0.66)</f>
        <v>0.0983874418388485</v>
      </c>
      <c r="BL41" s="488" t="n">
        <f aca="false">IF(Vin&gt;Vout, AI41+AU41*0.33, AR41+AU41*0.33)</f>
        <v>0.0645486978758374</v>
      </c>
      <c r="BM41" s="488" t="n">
        <f aca="false">AV41</f>
        <v>0.00291023601326718</v>
      </c>
      <c r="BR41" s="0" t="n">
        <v>9.998518</v>
      </c>
      <c r="BS41" s="0" t="n">
        <v>3.186</v>
      </c>
      <c r="BT41" s="0" t="n">
        <v>5.114889</v>
      </c>
      <c r="BU41" s="0" t="n">
        <v>94.5841193263365</v>
      </c>
      <c r="BV41" s="0" t="n">
        <v>933.109908060003</v>
      </c>
    </row>
    <row r="42" customFormat="false" ht="12.75" hidden="false" customHeight="false" outlineLevel="0" collapsed="false">
      <c r="A42" s="600" t="s">
        <v>860</v>
      </c>
      <c r="B42" s="596" t="n">
        <f aca="false">Rgate1</f>
        <v>1.5</v>
      </c>
      <c r="C42" s="601" t="s">
        <v>40</v>
      </c>
      <c r="D42" s="598" t="s">
        <v>651</v>
      </c>
      <c r="G42" s="0" t="n">
        <v>33</v>
      </c>
      <c r="H42" s="586" t="n">
        <f aca="false">Vin</f>
        <v>12</v>
      </c>
      <c r="I42" s="385" t="str">
        <f aca="false">IF(H42&gt;VIN_BB_to_buck, "BUCK", IF(H42&lt;VIN_boost_to_BB,"BOOST","BUCK-BST"))</f>
        <v>BUCK-BST</v>
      </c>
      <c r="J42" s="419" t="n">
        <f aca="false">IF(I42="BOOST",2, IF(I42="BUCK", 1,3))</f>
        <v>3</v>
      </c>
      <c r="K42" s="488" t="n">
        <f aca="false">Iout*G42/100</f>
        <v>1.98</v>
      </c>
      <c r="L42" s="385" t="n">
        <f aca="false">Vout*K42/(Vin*Efficiency)</f>
        <v>2.2</v>
      </c>
      <c r="M42" s="385" t="n">
        <f aca="false">K42/(1-O42)</f>
        <v>2.07329842931937</v>
      </c>
      <c r="N42" s="488" t="n">
        <f aca="false">CHOOSE(J42,(Vout+(Rdson2+Rs+Rdcr)*K42)/(Vin+(Rs+Rdson2-Rdson1)*K42), 1, IF(Vin&lt;Vout, D_max_buck_BB, Vout/Vin*(1-D_min_boost_exitBB_to_buck)))</f>
        <v>0.955</v>
      </c>
      <c r="O42" s="488" t="n">
        <f aca="false">CHOOSE(J42,0,(Vout+(Rdson3+Rdcr)*L42-Vin)/(Vout+(Rdson3-Rdson4-Rs)*L42), IF(Vin&gt;Vout,D_min_boost_exitBB_to_buck, (Vout-Vin*D_max_buck_BB)/Vout))</f>
        <v>0.0450000000000001</v>
      </c>
      <c r="P42" s="385" t="n">
        <f aca="false">MAX(0, CHOOSE(J42, (Vin-(Rdson1+Rdcr)*K42-Vout)*N42/(Fsw*Lf), (Vin-(Rdson4+Rdcr+Rs)*L42)*O42/(Fsw*Lf), IF(Vin&lt;Vout, (Vin-(Rdson4+Rdcr+Rs)*L42)*O42/(0.5*Fsw*Lf),(Vin-(Rdson1+Rdcr)*K42-Vout)*N42/(0.5*Fsw*Lf))))</f>
        <v>0</v>
      </c>
      <c r="Q42" s="385" t="n">
        <f aca="false">CHOOSE(J42, SQRT(K42^2+(P42^2)/12), SQRT(L42^2+(P42^2)/12), SQRT(M42^2+(P42^2)/12))</f>
        <v>2.07329842931937</v>
      </c>
      <c r="R42" s="488" t="n">
        <f aca="false">(Q42^2*Rdcr*(1+Ltc*Ta-Ltc*25))/(1-Q42^2*Rdcr*Ltc*ThetaCa)</f>
        <v>0.0144168057508634</v>
      </c>
      <c r="S42" s="488" t="n">
        <f aca="false">7.759*10^-3*Fsw^0.9458*(0.00787*P42)^2.304</f>
        <v>0</v>
      </c>
      <c r="T42" s="488" t="n">
        <f aca="false">R42+S42</f>
        <v>0.0144168057508634</v>
      </c>
      <c r="U42" s="385" t="n">
        <f aca="false">IF(Vin&gt;Vout, P42/SQRT(12), SQRT(O42/(1-O42))*SQRT(K42^2+(P42^2)/12))</f>
        <v>0.429803315543699</v>
      </c>
      <c r="V42" s="488" t="n">
        <f aca="false">RCoutEsr*U42^2</f>
        <v>0.000923654450261782</v>
      </c>
      <c r="W42" s="488" t="n">
        <f aca="false">V42</f>
        <v>0.000923654450261782</v>
      </c>
      <c r="X42" s="385" t="n">
        <f aca="false">IF(Vin&gt;Vout, SQRT(N42*(1-N42))*SQRT(K42^2+(P42^2)/12), P42/SQRT(12))</f>
        <v>0</v>
      </c>
      <c r="Y42" s="587" t="n">
        <f aca="false">RCinEsr*X42^2</f>
        <v>0</v>
      </c>
      <c r="Z42" s="588" t="n">
        <f aca="false">Y42</f>
        <v>0</v>
      </c>
      <c r="AA42" s="488" t="n">
        <f aca="false">CHOOSE(J42, SQRT(N42)*SQRT(K42^2+(P42^2)/12), SQRT(L42^2+(P42^2)/12), SQRT(N42)*SQRT(M42^2+(P42^2)/12))</f>
        <v>2.02611225998274</v>
      </c>
      <c r="AB42" s="488" t="n">
        <f aca="false">Rdson1*AA42^2</f>
        <v>0.0233992460732984</v>
      </c>
      <c r="AC42" s="488" t="n">
        <f aca="false">CHOOSE(J42, (Vin*K42/2)*(Fsw)*(Tr_buck+Tf_buck), 0, (Vin*K42/2)*(Fsw/2)*(Tr_buck+Tf_buck))</f>
        <v>0.0120981692969871</v>
      </c>
      <c r="AD42" s="488" t="n">
        <f aca="false">CHOOSE(J42, IF(K42&gt;P42/2,0,ABS(K42-P42/2)*Vsd_Q1*Deadtime*Fsw),0, IF(K42&gt;P42/2,0,ABS(K42-P42/2)*Vsd_Q1*Deadtime*Fsw/2))</f>
        <v>0</v>
      </c>
      <c r="AE42" s="488" t="n">
        <f aca="false">(AD42+AC42+AB42*(1+RdsonTopTc*Ta-RdsonTopTc*25))/(1-AB42*RdsonTopTc*ThetaJA_Q1)</f>
        <v>0.0356643190055751</v>
      </c>
      <c r="AF42" s="488" t="n">
        <f aca="false">CHOOSE(J42, SQRT((1-N42))*SQRT(K42^2+(P42^2)/12), 0, SQRT((1-N42))*SQRT(M42^2+(P42^2)/12))</f>
        <v>0.439813013638544</v>
      </c>
      <c r="AG42" s="488" t="n">
        <f aca="false">Rdson2*AF42^2</f>
        <v>0.00110258227570516</v>
      </c>
      <c r="AH42" s="488" t="n">
        <f aca="false">CHOOSE(J42, IF(K42&lt;P42/2,Deadtime*Fsw*IF(VfdSky_Q2&gt;0,0,Vsd_Q2)*(K42+P42/2),2*Deadtime*Fsw*IF(VfdSky_Q2&gt;0,0,Vsd_Q2)*K42),0, IF(K42&lt;P42/2,Deadtime*Fsw/2*IF(VfdSky_Q2&gt;0,0,Vsd_Q2)*(K42+P42/2),2*Deadtime*Fsw/2*IF(VfdSky_Q2&gt;0,0,Vsd_Q2)*K42))</f>
        <v>0.02376</v>
      </c>
      <c r="AI42" s="488" t="n">
        <f aca="false">(AH42+AG42*(1+RdsonBotTc*Ta-RdsonBotTc*25))/(1-AG42*RdsonBotTc*ThetaJA_Q2)</f>
        <v>0.0248680660934863</v>
      </c>
      <c r="AJ42" s="488" t="n">
        <f aca="false">CHOOSE(J42, 0, SQRT(O42)*SQRT(L42^2+(P42^2)/12), SQRT(O42)*SQRT(M42^2+(P42^2)/12))</f>
        <v>0.439813013638544</v>
      </c>
      <c r="AK42" s="488" t="n">
        <f aca="false">Rdson4*AJ42^2</f>
        <v>0.000367527425235055</v>
      </c>
      <c r="AL42" s="488" t="n">
        <f aca="false">CHOOSE(J42, 0, (Vout*L42/2)*(Fsw)*(Tr_boost+Tf_boost), (Vout*Iout/2)*(Fsw/2)*(Tr_boost+Tf_boost))</f>
        <v>0.0349071770123085</v>
      </c>
      <c r="AM42" s="488" t="n">
        <f aca="false">IF(H42&gt;Vout, 0, IF(L42&gt;P42/2,0,ABS(L42-P42/2)*Vsd_Q4*Deadtime*Fsw))</f>
        <v>0</v>
      </c>
      <c r="AN42" s="488" t="n">
        <f aca="false">(AM42+AL42+AK42*(1+RdsonTopTc*Ta-RdsonTopTc*25))/(1-AK42*RdsonTopTc*ThetaJA_Q4)</f>
        <v>0.0352772975124084</v>
      </c>
      <c r="AO42" s="488" t="n">
        <f aca="false">CHOOSE(J42, SQRT(K42^2+(P42^2)/12), SQRT(1-O42)*SQRT(L42^2+(P42^2)/12), SQRT(1-O42)*SQRT(M42^2+(P42^2)/12))</f>
        <v>2.02611225998274</v>
      </c>
      <c r="AP42" s="488" t="n">
        <f aca="false">Rdson3*AO42^2</f>
        <v>0.00779974869109948</v>
      </c>
      <c r="AQ42" s="488" t="n">
        <f aca="false">CHOOSE(J42, 0, IF(L42&lt;P42/2,Deadtime*Fsw*IF(VfdSky_Q3&gt;0,0,Vsd_Q3)*(L42+P42/2), 2*Deadtime*Fsw*IF(VfdSky_Q3&gt;0,0,Vsd_Q3)*L42), IF(L42&lt;P42/2,Deadtime*Fsw/2*IF(VfdSky_Q3&gt;0,0,Vsd_Q3)*(L42+P42/2), 2*Deadtime*Fsw/2*IF(VfdSky_Q3&gt;0,0,Vsd_Q3)*L42))</f>
        <v>0.0264</v>
      </c>
      <c r="AR42" s="488" t="n">
        <f aca="false">(AQ42+AP42*(1+RdsonBotTc*Ta-RdsonBotTc*25))/(1-AP42*RdsonBotTc*ThetaJA_Q3)</f>
        <v>0.0342531819332895</v>
      </c>
      <c r="AS42" s="488" t="n">
        <f aca="false">CHOOSE(J42, Rdson3*Q42^2, Rdson1*Q42^2, 0)</f>
        <v>0</v>
      </c>
      <c r="AT42" s="488" t="n">
        <f aca="false">CHOOSE(J42, 2*Deadtime*Fsw*IF(VfdSky_Q2&gt;0,VfdSky_Q2,0)*K42, 2*Deadtime*Fsw*IF(VfdSky_Q3&gt;0,VfdSky_Q3,0)*L42, 2*Deadtime*Fsw/2*IF(VfdSky_Q2&gt;0,VfdSky_Q2,0)*K42+2*Deadtime*Fsw/2*IF(VfdSky_Q3&gt;0,VfdSky_Q3,0)*L42)</f>
        <v>0</v>
      </c>
      <c r="AU42" s="488" t="n">
        <f aca="false">CHOOSE(J42, IF(QrrSky_Q2&gt;0,QrrSky_Q2,Qrr_Q2*K42/Iout)*Fsw*(Vin-K42*Rdson1), IF(QrrSky_Q3&gt;0,QrrSky_Q3,Qrr_Q3)*Fsw*Vout,  IF(QrrSky_Q2&gt;0,QrrSky_Q2,Qrr_Q2*K42/Iout)*Fsw/2*(Vin-K42*Rdson1)+IF(QrrSky_Q3&gt;0,QrrSky_Q3,Qrr_Q3)*Fsw/2*Vout)</f>
        <v>0.096786804609</v>
      </c>
      <c r="AV42" s="488" t="n">
        <f aca="false">CHOOSE(J42, Rs*AF42^2, Rs*AJ42^2, Rs*(AF42^2+AJ42^2))</f>
        <v>0.00309496779145309</v>
      </c>
      <c r="AW42" s="488" t="n">
        <f aca="false">Rshunt_std/1000*Iout^2</f>
        <v>0.14832</v>
      </c>
      <c r="AX42" s="488" t="n">
        <f aca="false">IF(Vout&gt;8, Iq*Vout, Iq*Vin)</f>
        <v>0.036</v>
      </c>
      <c r="AY42" s="488" t="n">
        <f aca="false">CHOOSE(J42, (Qg_Q1+Qg_Q2)*Fsw, (Qg_Q3+Qg_Q4)*Fsw, (Qg_Q1+Qg_Q2+Qg_Q3+Qg_Q4)*Fsw/2)*IF(Vout&gt;8, Vout, Vin)</f>
        <v>0.1188</v>
      </c>
      <c r="AZ42" s="488" t="n">
        <f aca="false">(Vin-Vdd)*Fsw*(Qg_Q1+Qg_Q2)+(RdsonDRT+RdsonDRT2)*Fsw*Qg_Q1*Vdd/(RdsonDRT+2*Rgate1+RdsonDRT2)+(RdsonDRB+RdsonDRB2)*Fsw*Qg_Q2*Vdd/(RdsonDRB+2*Rgate2+RdsonDRB2)</f>
        <v>0.0522</v>
      </c>
      <c r="BA42" s="488" t="n">
        <f aca="false">SUM(AX42:AY42)</f>
        <v>0.1548</v>
      </c>
      <c r="BB42" s="488" t="n">
        <f aca="false">SUM(T42,W42,Z42,AE42,AI42,AN42,AR42, AT42,AU42,BA42,AV42,AW42)</f>
        <v>0.548405097146338</v>
      </c>
      <c r="BC42" s="419" t="n">
        <f aca="false">Vout*K42</f>
        <v>23.76</v>
      </c>
      <c r="BD42" s="589" t="n">
        <f aca="false">BC42/(BC42+BB42)</f>
        <v>0.977439692363416</v>
      </c>
      <c r="BE42" s="590" t="n">
        <f aca="false">IF(Vin&gt;Vout,ThetaJA_Q1*BK42,ThetaJA_Q4*BK42)</f>
        <v>4.95782942771742</v>
      </c>
      <c r="BF42" s="590" t="n">
        <f aca="false">IF(Vin&gt;Vout, ThetaJA_Q2*BL42, ThetaJA_Q3*BL42)</f>
        <v>3.30964137271298</v>
      </c>
      <c r="BG42" s="536"/>
      <c r="BH42" s="385" t="n">
        <f aca="false">BD42*100</f>
        <v>97.7439692363416</v>
      </c>
      <c r="BI42" s="488" t="n">
        <f aca="false">T42</f>
        <v>0.0144168057508634</v>
      </c>
      <c r="BJ42" s="488" t="n">
        <f aca="false">AE42+AI42+AN42+AR42+AU42</f>
        <v>0.226849669153759</v>
      </c>
      <c r="BK42" s="488" t="n">
        <f aca="false">IF(Vin&gt;Vout, AE42+AU42*0.66, AN42+AU42*0.66)</f>
        <v>0.0991565885543484</v>
      </c>
      <c r="BL42" s="488" t="n">
        <f aca="false">IF(Vin&gt;Vout, AI42+AU42*0.33, AR42+AU42*0.33)</f>
        <v>0.0661928274542595</v>
      </c>
      <c r="BM42" s="488" t="n">
        <f aca="false">AV42</f>
        <v>0.00309496779145309</v>
      </c>
      <c r="BR42" s="0" t="n">
        <v>9.998419</v>
      </c>
      <c r="BS42" s="0" t="n">
        <v>3.692</v>
      </c>
      <c r="BT42" s="0" t="n">
        <v>5.113754</v>
      </c>
      <c r="BU42" s="0" t="n">
        <v>94.4413633747896</v>
      </c>
      <c r="BV42" s="0" t="n">
        <v>1111.239120522</v>
      </c>
    </row>
    <row r="43" customFormat="false" ht="12.75" hidden="false" customHeight="false" outlineLevel="0" collapsed="false">
      <c r="A43" s="600" t="s">
        <v>861</v>
      </c>
      <c r="B43" s="596" t="n">
        <f aca="false">Gfs_Q1</f>
        <v>60</v>
      </c>
      <c r="C43" s="597" t="s">
        <v>116</v>
      </c>
      <c r="D43" s="598" t="s">
        <v>862</v>
      </c>
      <c r="G43" s="0" t="n">
        <v>34</v>
      </c>
      <c r="H43" s="586" t="n">
        <f aca="false">Vin</f>
        <v>12</v>
      </c>
      <c r="I43" s="385" t="str">
        <f aca="false">IF(H43&gt;VIN_BB_to_buck, "BUCK", IF(H43&lt;VIN_boost_to_BB,"BOOST","BUCK-BST"))</f>
        <v>BUCK-BST</v>
      </c>
      <c r="J43" s="419" t="n">
        <f aca="false">IF(I43="BOOST",2, IF(I43="BUCK", 1,3))</f>
        <v>3</v>
      </c>
      <c r="K43" s="488" t="n">
        <f aca="false">Iout*G43/100</f>
        <v>2.04</v>
      </c>
      <c r="L43" s="385" t="n">
        <f aca="false">Vout*K43/(Vin*Efficiency)</f>
        <v>2.26666666666667</v>
      </c>
      <c r="M43" s="385" t="n">
        <f aca="false">K43/(1-O43)</f>
        <v>2.13612565445026</v>
      </c>
      <c r="N43" s="488" t="n">
        <f aca="false">CHOOSE(J43,(Vout+(Rdson2+Rs+Rdcr)*K43)/(Vin+(Rs+Rdson2-Rdson1)*K43), 1, IF(Vin&lt;Vout, D_max_buck_BB, Vout/Vin*(1-D_min_boost_exitBB_to_buck)))</f>
        <v>0.955</v>
      </c>
      <c r="O43" s="488" t="n">
        <f aca="false">CHOOSE(J43,0,(Vout+(Rdson3+Rdcr)*L43-Vin)/(Vout+(Rdson3-Rdson4-Rs)*L43), IF(Vin&gt;Vout,D_min_boost_exitBB_to_buck, (Vout-Vin*D_max_buck_BB)/Vout))</f>
        <v>0.0450000000000001</v>
      </c>
      <c r="P43" s="385" t="n">
        <f aca="false">MAX(0, CHOOSE(J43, (Vin-(Rdson1+Rdcr)*K43-Vout)*N43/(Fsw*Lf), (Vin-(Rdson4+Rdcr+Rs)*L43)*O43/(Fsw*Lf), IF(Vin&lt;Vout, (Vin-(Rdson4+Rdcr+Rs)*L43)*O43/(0.5*Fsw*Lf),(Vin-(Rdson1+Rdcr)*K43-Vout)*N43/(0.5*Fsw*Lf))))</f>
        <v>0</v>
      </c>
      <c r="Q43" s="385" t="n">
        <f aca="false">CHOOSE(J43, SQRT(K43^2+(P43^2)/12), SQRT(L43^2+(P43^2)/12), SQRT(M43^2+(P43^2)/12))</f>
        <v>2.13612565445026</v>
      </c>
      <c r="R43" s="488" t="n">
        <f aca="false">(Q43^2*Rdcr*(1+Ltc*Ta-Ltc*25))/(1-Q43^2*Rdcr*Ltc*ThetaCa)</f>
        <v>0.015304876141601</v>
      </c>
      <c r="S43" s="488" t="n">
        <f aca="false">7.759*10^-3*Fsw^0.9458*(0.00787*P43)^2.304</f>
        <v>0</v>
      </c>
      <c r="T43" s="488" t="n">
        <f aca="false">R43+S43</f>
        <v>0.015304876141601</v>
      </c>
      <c r="U43" s="385" t="n">
        <f aca="false">IF(Vin&gt;Vout, P43/SQRT(12), SQRT(O43/(1-O43))*SQRT(K43^2+(P43^2)/12))</f>
        <v>0.442827658438962</v>
      </c>
      <c r="V43" s="488" t="n">
        <f aca="false">RCoutEsr*U43^2</f>
        <v>0.000980481675392672</v>
      </c>
      <c r="W43" s="488" t="n">
        <f aca="false">V43</f>
        <v>0.000980481675392672</v>
      </c>
      <c r="X43" s="385" t="n">
        <f aca="false">IF(Vin&gt;Vout, SQRT(N43*(1-N43))*SQRT(K43^2+(P43^2)/12), P43/SQRT(12))</f>
        <v>0</v>
      </c>
      <c r="Y43" s="587" t="n">
        <f aca="false">RCinEsr*X43^2</f>
        <v>0</v>
      </c>
      <c r="Z43" s="588" t="n">
        <f aca="false">Y43</f>
        <v>0</v>
      </c>
      <c r="AA43" s="488" t="n">
        <f aca="false">CHOOSE(J43, SQRT(N43)*SQRT(K43^2+(P43^2)/12), SQRT(L43^2+(P43^2)/12), SQRT(N43)*SQRT(M43^2+(P43^2)/12))</f>
        <v>2.08750960119434</v>
      </c>
      <c r="AB43" s="488" t="n">
        <f aca="false">Rdson1*AA43^2</f>
        <v>0.0248388691099476</v>
      </c>
      <c r="AC43" s="488" t="n">
        <f aca="false">CHOOSE(J43, (Vin*K43/2)*(Fsw)*(Tr_buck+Tf_buck), 0, (Vin*K43/2)*(Fsw/2)*(Tr_buck+Tf_buck))</f>
        <v>0.0124647804878049</v>
      </c>
      <c r="AD43" s="488" t="n">
        <f aca="false">CHOOSE(J43, IF(K43&gt;P43/2,0,ABS(K43-P43/2)*Vsd_Q1*Deadtime*Fsw),0, IF(K43&gt;P43/2,0,ABS(K43-P43/2)*Vsd_Q1*Deadtime*Fsw/2))</f>
        <v>0</v>
      </c>
      <c r="AE43" s="488" t="n">
        <f aca="false">(AD43+AC43+AB43*(1+RdsonTopTc*Ta-RdsonTopTc*25))/(1-AB43*RdsonTopTc*ThetaJA_Q1)</f>
        <v>0.0374898908963366</v>
      </c>
      <c r="AF43" s="488" t="n">
        <f aca="false">CHOOSE(J43, SQRT((1-N43))*SQRT(K43^2+(P43^2)/12), 0, SQRT((1-N43))*SQRT(M43^2+(P43^2)/12))</f>
        <v>0.4531406807185</v>
      </c>
      <c r="AG43" s="488" t="n">
        <f aca="false">Rdson2*AF43^2</f>
        <v>0.00117041791617554</v>
      </c>
      <c r="AH43" s="488" t="n">
        <f aca="false">CHOOSE(J43, IF(K43&lt;P43/2,Deadtime*Fsw*IF(VfdSky_Q2&gt;0,0,Vsd_Q2)*(K43+P43/2),2*Deadtime*Fsw*IF(VfdSky_Q2&gt;0,0,Vsd_Q2)*K43),0, IF(K43&lt;P43/2,Deadtime*Fsw/2*IF(VfdSky_Q2&gt;0,0,Vsd_Q2)*(K43+P43/2),2*Deadtime*Fsw/2*IF(VfdSky_Q2&gt;0,0,Vsd_Q2)*K43))</f>
        <v>0.02448</v>
      </c>
      <c r="AI43" s="488" t="n">
        <f aca="false">(AH43+AG43*(1+RdsonBotTc*Ta-RdsonBotTc*25))/(1-AG43*RdsonBotTc*ThetaJA_Q2)</f>
        <v>0.0256564236637598</v>
      </c>
      <c r="AJ43" s="488" t="n">
        <f aca="false">CHOOSE(J43, 0, SQRT(O43)*SQRT(L43^2+(P43^2)/12), SQRT(O43)*SQRT(M43^2+(P43^2)/12))</f>
        <v>0.4531406807185</v>
      </c>
      <c r="AK43" s="488" t="n">
        <f aca="false">Rdson4*AJ43^2</f>
        <v>0.000390139305391848</v>
      </c>
      <c r="AL43" s="488" t="n">
        <f aca="false">CHOOSE(J43, 0, (Vout*L43/2)*(Fsw)*(Tr_boost+Tf_boost), (Vout*Iout/2)*(Fsw/2)*(Tr_boost+Tf_boost))</f>
        <v>0.0349071770123085</v>
      </c>
      <c r="AM43" s="488" t="n">
        <f aca="false">IF(H43&gt;Vout, 0, IF(L43&gt;P43/2,0,ABS(L43-P43/2)*Vsd_Q4*Deadtime*Fsw))</f>
        <v>0</v>
      </c>
      <c r="AN43" s="488" t="n">
        <f aca="false">(AM43+AL43+AK43*(1+RdsonTopTc*Ta-RdsonTopTc*25))/(1-AK43*RdsonTopTc*ThetaJA_Q4)</f>
        <v>0.0353000707067135</v>
      </c>
      <c r="AO43" s="488" t="n">
        <f aca="false">CHOOSE(J43, SQRT(K43^2+(P43^2)/12), SQRT(1-O43)*SQRT(L43^2+(P43^2)/12), SQRT(1-O43)*SQRT(M43^2+(P43^2)/12))</f>
        <v>2.08750960119434</v>
      </c>
      <c r="AP43" s="488" t="n">
        <f aca="false">Rdson3*AO43^2</f>
        <v>0.00827962303664921</v>
      </c>
      <c r="AQ43" s="488" t="n">
        <f aca="false">CHOOSE(J43, 0, IF(L43&lt;P43/2,Deadtime*Fsw*IF(VfdSky_Q3&gt;0,0,Vsd_Q3)*(L43+P43/2), 2*Deadtime*Fsw*IF(VfdSky_Q3&gt;0,0,Vsd_Q3)*L43), IF(L43&lt;P43/2,Deadtime*Fsw/2*IF(VfdSky_Q3&gt;0,0,Vsd_Q3)*(L43+P43/2), 2*Deadtime*Fsw/2*IF(VfdSky_Q3&gt;0,0,Vsd_Q3)*L43))</f>
        <v>0.0272</v>
      </c>
      <c r="AR43" s="488" t="n">
        <f aca="false">(AQ43+AP43*(1+RdsonBotTc*Ta-RdsonBotTc*25))/(1-AP43*RdsonBotTc*ThetaJA_Q3)</f>
        <v>0.035538472067052</v>
      </c>
      <c r="AS43" s="488" t="n">
        <f aca="false">CHOOSE(J43, Rdson3*Q43^2, Rdson1*Q43^2, 0)</f>
        <v>0</v>
      </c>
      <c r="AT43" s="488" t="n">
        <f aca="false">CHOOSE(J43, 2*Deadtime*Fsw*IF(VfdSky_Q2&gt;0,VfdSky_Q2,0)*K43, 2*Deadtime*Fsw*IF(VfdSky_Q3&gt;0,VfdSky_Q3,0)*L43, 2*Deadtime*Fsw/2*IF(VfdSky_Q2&gt;0,VfdSky_Q2,0)*K43+2*Deadtime*Fsw/2*IF(VfdSky_Q3&gt;0,VfdSky_Q3,0)*L43)</f>
        <v>0</v>
      </c>
      <c r="AU43" s="488" t="n">
        <f aca="false">CHOOSE(J43, IF(QrrSky_Q2&gt;0,QrrSky_Q2,Qrr_Q2*K43/Iout)*Fsw*(Vin-K43*Rdson1), IF(QrrSky_Q3&gt;0,QrrSky_Q3,Qrr_Q3)*Fsw*Vout,  IF(QrrSky_Q2&gt;0,QrrSky_Q2,Qrr_Q2*K43/Iout)*Fsw/2*(Vin-K43*Rdson1)+IF(QrrSky_Q3&gt;0,QrrSky_Q3,Qrr_Q3)*Fsw/2*Vout)</f>
        <v>0.097918639236</v>
      </c>
      <c r="AV43" s="488" t="n">
        <f aca="false">CHOOSE(J43, Rs*AF43^2, Rs*AJ43^2, Rs*(AF43^2+AJ43^2))</f>
        <v>0.00328538362435241</v>
      </c>
      <c r="AW43" s="488" t="n">
        <f aca="false">Rshunt_std/1000*Iout^2</f>
        <v>0.14832</v>
      </c>
      <c r="AX43" s="488" t="n">
        <f aca="false">IF(Vout&gt;8, Iq*Vout, Iq*Vin)</f>
        <v>0.036</v>
      </c>
      <c r="AY43" s="488" t="n">
        <f aca="false">CHOOSE(J43, (Qg_Q1+Qg_Q2)*Fsw, (Qg_Q3+Qg_Q4)*Fsw, (Qg_Q1+Qg_Q2+Qg_Q3+Qg_Q4)*Fsw/2)*IF(Vout&gt;8, Vout, Vin)</f>
        <v>0.1188</v>
      </c>
      <c r="AZ43" s="488" t="n">
        <f aca="false">(Vin-Vdd)*Fsw*(Qg_Q1+Qg_Q2)+(RdsonDRT+RdsonDRT2)*Fsw*Qg_Q1*Vdd/(RdsonDRT+2*Rgate1+RdsonDRT2)+(RdsonDRB+RdsonDRB2)*Fsw*Qg_Q2*Vdd/(RdsonDRB+2*Rgate2+RdsonDRB2)</f>
        <v>0.0522</v>
      </c>
      <c r="BA43" s="488" t="n">
        <f aca="false">SUM(AX43:AY43)</f>
        <v>0.1548</v>
      </c>
      <c r="BB43" s="488" t="n">
        <f aca="false">SUM(T43,W43,Z43,AE43,AI43,AN43,AR43, AT43,AU43,BA43,AV43,AW43)</f>
        <v>0.554594238011208</v>
      </c>
      <c r="BC43" s="419" t="n">
        <f aca="false">Vout*K43</f>
        <v>24.48</v>
      </c>
      <c r="BD43" s="589" t="n">
        <f aca="false">BC43/(BC43+BB43)</f>
        <v>0.977846885284478</v>
      </c>
      <c r="BE43" s="590" t="n">
        <f aca="false">IF(Vin&gt;Vout,ThetaJA_Q1*BK43,ThetaJA_Q4*BK43)</f>
        <v>4.99631863012368</v>
      </c>
      <c r="BF43" s="590" t="n">
        <f aca="false">IF(Vin&gt;Vout, ThetaJA_Q2*BL43, ThetaJA_Q3*BL43)</f>
        <v>3.3925811507466</v>
      </c>
      <c r="BG43" s="536"/>
      <c r="BH43" s="385" t="n">
        <f aca="false">BD43*100</f>
        <v>97.7846885284478</v>
      </c>
      <c r="BI43" s="488" t="n">
        <f aca="false">T43</f>
        <v>0.015304876141601</v>
      </c>
      <c r="BJ43" s="488" t="n">
        <f aca="false">AE43+AI43+AN43+AR43+AU43</f>
        <v>0.231903496569862</v>
      </c>
      <c r="BK43" s="488" t="n">
        <f aca="false">IF(Vin&gt;Vout, AE43+AU43*0.66, AN43+AU43*0.66)</f>
        <v>0.0999263726024735</v>
      </c>
      <c r="BL43" s="488" t="n">
        <f aca="false">IF(Vin&gt;Vout, AI43+AU43*0.33, AR43+AU43*0.33)</f>
        <v>0.0678516230149319</v>
      </c>
      <c r="BM43" s="488" t="n">
        <f aca="false">AV43</f>
        <v>0.00328538362435241</v>
      </c>
      <c r="BR43" s="0" t="n">
        <v>9.998246</v>
      </c>
      <c r="BS43" s="0" t="n">
        <v>4.243</v>
      </c>
      <c r="BT43" s="0" t="n">
        <v>5.112059</v>
      </c>
      <c r="BU43" s="0" t="n">
        <v>94.2671786158599</v>
      </c>
      <c r="BV43" s="0" t="n">
        <v>1319.09707756</v>
      </c>
    </row>
    <row r="44" customFormat="false" ht="12.75" hidden="false" customHeight="false" outlineLevel="0" collapsed="false">
      <c r="A44" s="600" t="s">
        <v>863</v>
      </c>
      <c r="B44" s="596" t="n">
        <f aca="false">Vth_Q1</f>
        <v>4</v>
      </c>
      <c r="C44" s="597" t="s">
        <v>11</v>
      </c>
      <c r="D44" s="598" t="s">
        <v>864</v>
      </c>
      <c r="G44" s="0" t="n">
        <v>35</v>
      </c>
      <c r="H44" s="586" t="n">
        <f aca="false">Vin</f>
        <v>12</v>
      </c>
      <c r="I44" s="385" t="str">
        <f aca="false">IF(H44&gt;VIN_BB_to_buck, "BUCK", IF(H44&lt;VIN_boost_to_BB,"BOOST","BUCK-BST"))</f>
        <v>BUCK-BST</v>
      </c>
      <c r="J44" s="419" t="n">
        <f aca="false">IF(I44="BOOST",2, IF(I44="BUCK", 1,3))</f>
        <v>3</v>
      </c>
      <c r="K44" s="488" t="n">
        <f aca="false">Iout*G44/100</f>
        <v>2.1</v>
      </c>
      <c r="L44" s="385" t="n">
        <f aca="false">Vout*K44/(Vin*Efficiency)</f>
        <v>2.33333333333333</v>
      </c>
      <c r="M44" s="385" t="n">
        <f aca="false">K44/(1-O44)</f>
        <v>2.19895287958115</v>
      </c>
      <c r="N44" s="488" t="n">
        <f aca="false">CHOOSE(J44,(Vout+(Rdson2+Rs+Rdcr)*K44)/(Vin+(Rs+Rdson2-Rdson1)*K44), 1, IF(Vin&lt;Vout, D_max_buck_BB, Vout/Vin*(1-D_min_boost_exitBB_to_buck)))</f>
        <v>0.955</v>
      </c>
      <c r="O44" s="488" t="n">
        <f aca="false">CHOOSE(J44,0,(Vout+(Rdson3+Rdcr)*L44-Vin)/(Vout+(Rdson3-Rdson4-Rs)*L44), IF(Vin&gt;Vout,D_min_boost_exitBB_to_buck, (Vout-Vin*D_max_buck_BB)/Vout))</f>
        <v>0.0450000000000001</v>
      </c>
      <c r="P44" s="385" t="n">
        <f aca="false">MAX(0, CHOOSE(J44, (Vin-(Rdson1+Rdcr)*K44-Vout)*N44/(Fsw*Lf), (Vin-(Rdson4+Rdcr+Rs)*L44)*O44/(Fsw*Lf), IF(Vin&lt;Vout, (Vin-(Rdson4+Rdcr+Rs)*L44)*O44/(0.5*Fsw*Lf),(Vin-(Rdson1+Rdcr)*K44-Vout)*N44/(0.5*Fsw*Lf))))</f>
        <v>0</v>
      </c>
      <c r="Q44" s="385" t="n">
        <f aca="false">CHOOSE(J44, SQRT(K44^2+(P44^2)/12), SQRT(L44^2+(P44^2)/12), SQRT(M44^2+(P44^2)/12))</f>
        <v>2.19895287958115</v>
      </c>
      <c r="R44" s="488" t="n">
        <f aca="false">(Q44^2*Rdcr*(1+Ltc*Ta-Ltc*25))/(1-Q44^2*Rdcr*Ltc*ThetaCa)</f>
        <v>0.0162195878473562</v>
      </c>
      <c r="S44" s="488" t="n">
        <f aca="false">7.759*10^-3*Fsw^0.9458*(0.00787*P44)^2.304</f>
        <v>0</v>
      </c>
      <c r="T44" s="488" t="n">
        <f aca="false">R44+S44</f>
        <v>0.0162195878473562</v>
      </c>
      <c r="U44" s="385" t="n">
        <f aca="false">IF(Vin&gt;Vout, P44/SQRT(12), SQRT(O44/(1-O44))*SQRT(K44^2+(P44^2)/12))</f>
        <v>0.455852001334226</v>
      </c>
      <c r="V44" s="488" t="n">
        <f aca="false">RCoutEsr*U44^2</f>
        <v>0.0010390052356021</v>
      </c>
      <c r="W44" s="488" t="n">
        <f aca="false">V44</f>
        <v>0.0010390052356021</v>
      </c>
      <c r="X44" s="385" t="n">
        <f aca="false">IF(Vin&gt;Vout, SQRT(N44*(1-N44))*SQRT(K44^2+(P44^2)/12), P44/SQRT(12))</f>
        <v>0</v>
      </c>
      <c r="Y44" s="587" t="n">
        <f aca="false">RCinEsr*X44^2</f>
        <v>0</v>
      </c>
      <c r="Z44" s="588" t="n">
        <f aca="false">Y44</f>
        <v>0</v>
      </c>
      <c r="AA44" s="488" t="n">
        <f aca="false">CHOOSE(J44, SQRT(N44)*SQRT(K44^2+(P44^2)/12), SQRT(L44^2+(P44^2)/12), SQRT(N44)*SQRT(M44^2+(P44^2)/12))</f>
        <v>2.14890694240593</v>
      </c>
      <c r="AB44" s="488" t="n">
        <f aca="false">Rdson1*AA44^2</f>
        <v>0.0263214659685864</v>
      </c>
      <c r="AC44" s="488" t="n">
        <f aca="false">CHOOSE(J44, (Vin*K44/2)*(Fsw)*(Tr_buck+Tf_buck), 0, (Vin*K44/2)*(Fsw/2)*(Tr_buck+Tf_buck))</f>
        <v>0.0128313916786227</v>
      </c>
      <c r="AD44" s="488" t="n">
        <f aca="false">CHOOSE(J44, IF(K44&gt;P44/2,0,ABS(K44-P44/2)*Vsd_Q1*Deadtime*Fsw),0, IF(K44&gt;P44/2,0,ABS(K44-P44/2)*Vsd_Q1*Deadtime*Fsw/2))</f>
        <v>0</v>
      </c>
      <c r="AE44" s="488" t="n">
        <f aca="false">(AD44+AC44+AB44*(1+RdsonTopTc*Ta-RdsonTopTc*25))/(1-AB44*RdsonTopTc*ThetaJA_Q1)</f>
        <v>0.0393600605460459</v>
      </c>
      <c r="AF44" s="488" t="n">
        <f aca="false">CHOOSE(J44, SQRT((1-N44))*SQRT(K44^2+(P44^2)/12), 0, SQRT((1-N44))*SQRT(M44^2+(P44^2)/12))</f>
        <v>0.466468347798456</v>
      </c>
      <c r="AG44" s="488" t="n">
        <f aca="false">Rdson2*AF44^2</f>
        <v>0.00124027850113758</v>
      </c>
      <c r="AH44" s="488" t="n">
        <f aca="false">CHOOSE(J44, IF(K44&lt;P44/2,Deadtime*Fsw*IF(VfdSky_Q2&gt;0,0,Vsd_Q2)*(K44+P44/2),2*Deadtime*Fsw*IF(VfdSky_Q2&gt;0,0,Vsd_Q2)*K44),0, IF(K44&lt;P44/2,Deadtime*Fsw/2*IF(VfdSky_Q2&gt;0,0,Vsd_Q2)*(K44+P44/2),2*Deadtime*Fsw/2*IF(VfdSky_Q2&gt;0,0,Vsd_Q2)*K44))</f>
        <v>0.0252</v>
      </c>
      <c r="AI44" s="488" t="n">
        <f aca="false">(AH44+AG44*(1+RdsonBotTc*Ta-RdsonBotTc*25))/(1-AG44*RdsonBotTc*ThetaJA_Q2)</f>
        <v>0.0264468387902525</v>
      </c>
      <c r="AJ44" s="488" t="n">
        <f aca="false">CHOOSE(J44, 0, SQRT(O44)*SQRT(L44^2+(P44^2)/12), SQRT(O44)*SQRT(M44^2+(P44^2)/12))</f>
        <v>0.466468347798456</v>
      </c>
      <c r="AK44" s="488" t="n">
        <f aca="false">Rdson4*AJ44^2</f>
        <v>0.00041342616704586</v>
      </c>
      <c r="AL44" s="488" t="n">
        <f aca="false">CHOOSE(J44, 0, (Vout*L44/2)*(Fsw)*(Tr_boost+Tf_boost), (Vout*Iout/2)*(Fsw/2)*(Tr_boost+Tf_boost))</f>
        <v>0.0349071770123085</v>
      </c>
      <c r="AM44" s="488" t="n">
        <f aca="false">IF(H44&gt;Vout, 0, IF(L44&gt;P44/2,0,ABS(L44-P44/2)*Vsd_Q4*Deadtime*Fsw))</f>
        <v>0</v>
      </c>
      <c r="AN44" s="488" t="n">
        <f aca="false">(AM44+AL44+AK44*(1+RdsonTopTc*Ta-RdsonTopTc*25))/(1-AK44*RdsonTopTc*ThetaJA_Q4)</f>
        <v>0.035323523913174</v>
      </c>
      <c r="AO44" s="488" t="n">
        <f aca="false">CHOOSE(J44, SQRT(K44^2+(P44^2)/12), SQRT(1-O44)*SQRT(L44^2+(P44^2)/12), SQRT(1-O44)*SQRT(M44^2+(P44^2)/12))</f>
        <v>2.14890694240593</v>
      </c>
      <c r="AP44" s="488" t="n">
        <f aca="false">Rdson3*AO44^2</f>
        <v>0.0087738219895288</v>
      </c>
      <c r="AQ44" s="488" t="n">
        <f aca="false">CHOOSE(J44, 0, IF(L44&lt;P44/2,Deadtime*Fsw*IF(VfdSky_Q3&gt;0,0,Vsd_Q3)*(L44+P44/2), 2*Deadtime*Fsw*IF(VfdSky_Q3&gt;0,0,Vsd_Q3)*L44), IF(L44&lt;P44/2,Deadtime*Fsw/2*IF(VfdSky_Q3&gt;0,0,Vsd_Q3)*(L44+P44/2), 2*Deadtime*Fsw/2*IF(VfdSky_Q3&gt;0,0,Vsd_Q3)*L44))</f>
        <v>0.028</v>
      </c>
      <c r="AR44" s="488" t="n">
        <f aca="false">(AQ44+AP44*(1+RdsonBotTc*Ta-RdsonBotTc*25))/(1-AP44*RdsonBotTc*ThetaJA_Q3)</f>
        <v>0.0368384648160615</v>
      </c>
      <c r="AS44" s="488" t="n">
        <f aca="false">CHOOSE(J44, Rdson3*Q44^2, Rdson1*Q44^2, 0)</f>
        <v>0</v>
      </c>
      <c r="AT44" s="488" t="n">
        <f aca="false">CHOOSE(J44, 2*Deadtime*Fsw*IF(VfdSky_Q2&gt;0,VfdSky_Q2,0)*K44, 2*Deadtime*Fsw*IF(VfdSky_Q3&gt;0,VfdSky_Q3,0)*L44, 2*Deadtime*Fsw/2*IF(VfdSky_Q2&gt;0,VfdSky_Q2,0)*K44+2*Deadtime*Fsw/2*IF(VfdSky_Q3&gt;0,VfdSky_Q3,0)*L44)</f>
        <v>0</v>
      </c>
      <c r="AU44" s="488" t="n">
        <f aca="false">CHOOSE(J44, IF(QrrSky_Q2&gt;0,QrrSky_Q2,Qrr_Q2*K44/Iout)*Fsw*(Vin-K44*Rdson1), IF(QrrSky_Q3&gt;0,QrrSky_Q3,Qrr_Q3)*Fsw*Vout,  IF(QrrSky_Q2&gt;0,QrrSky_Q2,Qrr_Q2*K44/Iout)*Fsw/2*(Vin-K44*Rdson1)+IF(QrrSky_Q3&gt;0,QrrSky_Q3,Qrr_Q3)*Fsw/2*Vout)</f>
        <v>0.099050409225</v>
      </c>
      <c r="AV44" s="488" t="n">
        <f aca="false">CHOOSE(J44, Rs*AF44^2, Rs*AJ44^2, Rs*(AF44^2+AJ44^2))</f>
        <v>0.00348148351196514</v>
      </c>
      <c r="AW44" s="488" t="n">
        <f aca="false">Rshunt_std/1000*Iout^2</f>
        <v>0.14832</v>
      </c>
      <c r="AX44" s="488" t="n">
        <f aca="false">IF(Vout&gt;8, Iq*Vout, Iq*Vin)</f>
        <v>0.036</v>
      </c>
      <c r="AY44" s="488" t="n">
        <f aca="false">CHOOSE(J44, (Qg_Q1+Qg_Q2)*Fsw, (Qg_Q3+Qg_Q4)*Fsw, (Qg_Q1+Qg_Q2+Qg_Q3+Qg_Q4)*Fsw/2)*IF(Vout&gt;8, Vout, Vin)</f>
        <v>0.1188</v>
      </c>
      <c r="AZ44" s="488" t="n">
        <f aca="false">(Vin-Vdd)*Fsw*(Qg_Q1+Qg_Q2)+(RdsonDRT+RdsonDRT2)*Fsw*Qg_Q1*Vdd/(RdsonDRT+2*Rgate1+RdsonDRT2)+(RdsonDRB+RdsonDRB2)*Fsw*Qg_Q2*Vdd/(RdsonDRB+2*Rgate2+RdsonDRB2)</f>
        <v>0.0522</v>
      </c>
      <c r="BA44" s="488" t="n">
        <f aca="false">SUM(AX44:AY44)</f>
        <v>0.1548</v>
      </c>
      <c r="BB44" s="488" t="n">
        <f aca="false">SUM(T44,W44,Z44,AE44,AI44,AN44,AR44, AT44,AU44,BA44,AV44,AW44)</f>
        <v>0.560879373885457</v>
      </c>
      <c r="BC44" s="419" t="n">
        <f aca="false">Vout*K44</f>
        <v>25.2</v>
      </c>
      <c r="BD44" s="589" t="n">
        <f aca="false">BC44/(BC44+BB44)</f>
        <v>0.978227475632915</v>
      </c>
      <c r="BE44" s="590" t="n">
        <f aca="false">IF(Vin&gt;Vout,ThetaJA_Q1*BK44,ThetaJA_Q4*BK44)</f>
        <v>5.0348397000837</v>
      </c>
      <c r="BF44" s="590" t="n">
        <f aca="false">IF(Vin&gt;Vout, ThetaJA_Q2*BL44, ThetaJA_Q3*BL44)</f>
        <v>3.47625499301558</v>
      </c>
      <c r="BG44" s="536"/>
      <c r="BH44" s="385" t="n">
        <f aca="false">BD44*100</f>
        <v>97.8227475632915</v>
      </c>
      <c r="BI44" s="488" t="n">
        <f aca="false">T44</f>
        <v>0.0162195878473562</v>
      </c>
      <c r="BJ44" s="488" t="n">
        <f aca="false">AE44+AI44+AN44+AR44+AU44</f>
        <v>0.237019297290534</v>
      </c>
      <c r="BK44" s="488" t="n">
        <f aca="false">IF(Vin&gt;Vout, AE44+AU44*0.66, AN44+AU44*0.66)</f>
        <v>0.100696794001674</v>
      </c>
      <c r="BL44" s="488" t="n">
        <f aca="false">IF(Vin&gt;Vout, AI44+AU44*0.33, AR44+AU44*0.33)</f>
        <v>0.0695250998603115</v>
      </c>
      <c r="BM44" s="488" t="n">
        <f aca="false">AV44</f>
        <v>0.00348148351196514</v>
      </c>
      <c r="BR44" s="0" t="n">
        <v>9.998147</v>
      </c>
      <c r="BS44" s="0" t="n">
        <v>4.849</v>
      </c>
      <c r="BT44" s="0" t="n">
        <v>5.110774</v>
      </c>
      <c r="BU44" s="0" t="n">
        <v>93.9538159946813</v>
      </c>
      <c r="BV44" s="0" t="n">
        <v>1594.798320901</v>
      </c>
    </row>
    <row r="45" customFormat="false" ht="12.75" hidden="false" customHeight="false" outlineLevel="0" collapsed="false">
      <c r="A45" s="620" t="s">
        <v>865</v>
      </c>
      <c r="B45" s="621" t="n">
        <f aca="false">Vsp_Q1</f>
        <v>4.1</v>
      </c>
      <c r="C45" s="622" t="s">
        <v>11</v>
      </c>
      <c r="G45" s="0" t="n">
        <v>36</v>
      </c>
      <c r="H45" s="586" t="n">
        <f aca="false">Vin</f>
        <v>12</v>
      </c>
      <c r="I45" s="385" t="str">
        <f aca="false">IF(H45&gt;VIN_BB_to_buck, "BUCK", IF(H45&lt;VIN_boost_to_BB,"BOOST","BUCK-BST"))</f>
        <v>BUCK-BST</v>
      </c>
      <c r="J45" s="419" t="n">
        <f aca="false">IF(I45="BOOST",2, IF(I45="BUCK", 1,3))</f>
        <v>3</v>
      </c>
      <c r="K45" s="488" t="n">
        <f aca="false">Iout*G45/100</f>
        <v>2.16</v>
      </c>
      <c r="L45" s="385" t="n">
        <f aca="false">Vout*K45/(Vin*Efficiency)</f>
        <v>2.4</v>
      </c>
      <c r="M45" s="385" t="n">
        <f aca="false">K45/(1-O45)</f>
        <v>2.26178010471204</v>
      </c>
      <c r="N45" s="488" t="n">
        <f aca="false">CHOOSE(J45,(Vout+(Rdson2+Rs+Rdcr)*K45)/(Vin+(Rs+Rdson2-Rdson1)*K45), 1, IF(Vin&lt;Vout, D_max_buck_BB, Vout/Vin*(1-D_min_boost_exitBB_to_buck)))</f>
        <v>0.955</v>
      </c>
      <c r="O45" s="488" t="n">
        <f aca="false">CHOOSE(J45,0,(Vout+(Rdson3+Rdcr)*L45-Vin)/(Vout+(Rdson3-Rdson4-Rs)*L45), IF(Vin&gt;Vout,D_min_boost_exitBB_to_buck, (Vout-Vin*D_max_buck_BB)/Vout))</f>
        <v>0.0450000000000001</v>
      </c>
      <c r="P45" s="385" t="n">
        <f aca="false">MAX(0, CHOOSE(J45, (Vin-(Rdson1+Rdcr)*K45-Vout)*N45/(Fsw*Lf), (Vin-(Rdson4+Rdcr+Rs)*L45)*O45/(Fsw*Lf), IF(Vin&lt;Vout, (Vin-(Rdson4+Rdcr+Rs)*L45)*O45/(0.5*Fsw*Lf),(Vin-(Rdson1+Rdcr)*K45-Vout)*N45/(0.5*Fsw*Lf))))</f>
        <v>0</v>
      </c>
      <c r="Q45" s="385" t="n">
        <f aca="false">CHOOSE(J45, SQRT(K45^2+(P45^2)/12), SQRT(L45^2+(P45^2)/12), SQRT(M45^2+(P45^2)/12))</f>
        <v>2.26178010471204</v>
      </c>
      <c r="R45" s="488" t="n">
        <f aca="false">(Q45^2*Rdcr*(1+Ltc*Ta-Ltc*25))/(1-Q45^2*Rdcr*Ltc*ThetaCa)</f>
        <v>0.0171609525238294</v>
      </c>
      <c r="S45" s="488" t="n">
        <f aca="false">7.759*10^-3*Fsw^0.9458*(0.00787*P45)^2.304</f>
        <v>0</v>
      </c>
      <c r="T45" s="488" t="n">
        <f aca="false">R45+S45</f>
        <v>0.0171609525238294</v>
      </c>
      <c r="U45" s="385" t="n">
        <f aca="false">IF(Vin&gt;Vout, P45/SQRT(12), SQRT(O45/(1-O45))*SQRT(K45^2+(P45^2)/12))</f>
        <v>0.46887634422949</v>
      </c>
      <c r="V45" s="488" t="n">
        <f aca="false">RCoutEsr*U45^2</f>
        <v>0.00109922513089005</v>
      </c>
      <c r="W45" s="488" t="n">
        <f aca="false">V45</f>
        <v>0.00109922513089005</v>
      </c>
      <c r="X45" s="385" t="n">
        <f aca="false">IF(Vin&gt;Vout, SQRT(N45*(1-N45))*SQRT(K45^2+(P45^2)/12), P45/SQRT(12))</f>
        <v>0</v>
      </c>
      <c r="Y45" s="587" t="n">
        <f aca="false">RCinEsr*X45^2</f>
        <v>0</v>
      </c>
      <c r="Z45" s="588" t="n">
        <f aca="false">Y45</f>
        <v>0</v>
      </c>
      <c r="AA45" s="488" t="n">
        <f aca="false">CHOOSE(J45, SQRT(N45)*SQRT(K45^2+(P45^2)/12), SQRT(L45^2+(P45^2)/12), SQRT(N45)*SQRT(M45^2+(P45^2)/12))</f>
        <v>2.21030428361753</v>
      </c>
      <c r="AB45" s="488" t="n">
        <f aca="false">Rdson1*AA45^2</f>
        <v>0.0278470366492147</v>
      </c>
      <c r="AC45" s="488" t="n">
        <f aca="false">CHOOSE(J45, (Vin*K45/2)*(Fsw)*(Tr_buck+Tf_buck), 0, (Vin*K45/2)*(Fsw/2)*(Tr_buck+Tf_buck))</f>
        <v>0.0131980028694405</v>
      </c>
      <c r="AD45" s="488" t="n">
        <f aca="false">CHOOSE(J45, IF(K45&gt;P45/2,0,ABS(K45-P45/2)*Vsd_Q1*Deadtime*Fsw),0, IF(K45&gt;P45/2,0,ABS(K45-P45/2)*Vsd_Q1*Deadtime*Fsw/2))</f>
        <v>0</v>
      </c>
      <c r="AE45" s="488" t="n">
        <f aca="false">(AD45+AC45+AB45*(1+RdsonTopTc*Ta-RdsonTopTc*25))/(1-AB45*RdsonTopTc*ThetaJA_Q1)</f>
        <v>0.0412749163402592</v>
      </c>
      <c r="AF45" s="488" t="n">
        <f aca="false">CHOOSE(J45, SQRT((1-N45))*SQRT(K45^2+(P45^2)/12), 0, SQRT((1-N45))*SQRT(M45^2+(P45^2)/12))</f>
        <v>0.479796014878412</v>
      </c>
      <c r="AG45" s="488" t="n">
        <f aca="false">Rdson2*AF45^2</f>
        <v>0.00131216403059127</v>
      </c>
      <c r="AH45" s="488" t="n">
        <f aca="false">CHOOSE(J45, IF(K45&lt;P45/2,Deadtime*Fsw*IF(VfdSky_Q2&gt;0,0,Vsd_Q2)*(K45+P45/2),2*Deadtime*Fsw*IF(VfdSky_Q2&gt;0,0,Vsd_Q2)*K45),0, IF(K45&lt;P45/2,Deadtime*Fsw/2*IF(VfdSky_Q2&gt;0,0,Vsd_Q2)*(K45+P45/2),2*Deadtime*Fsw/2*IF(VfdSky_Q2&gt;0,0,Vsd_Q2)*K45))</f>
        <v>0.02592</v>
      </c>
      <c r="AI45" s="488" t="n">
        <f aca="false">(AH45+AG45*(1+RdsonBotTc*Ta-RdsonBotTc*25))/(1-AG45*RdsonBotTc*ThetaJA_Q2)</f>
        <v>0.0272393125198126</v>
      </c>
      <c r="AJ45" s="488" t="n">
        <f aca="false">CHOOSE(J45, 0, SQRT(O45)*SQRT(L45^2+(P45^2)/12), SQRT(O45)*SQRT(M45^2+(P45^2)/12))</f>
        <v>0.479796014878412</v>
      </c>
      <c r="AK45" s="488" t="n">
        <f aca="false">Rdson4*AJ45^2</f>
        <v>0.00043738801019709</v>
      </c>
      <c r="AL45" s="488" t="n">
        <f aca="false">CHOOSE(J45, 0, (Vout*L45/2)*(Fsw)*(Tr_boost+Tf_boost), (Vout*Iout/2)*(Fsw/2)*(Tr_boost+Tf_boost))</f>
        <v>0.0349071770123085</v>
      </c>
      <c r="AM45" s="488" t="n">
        <f aca="false">IF(H45&gt;Vout, 0, IF(L45&gt;P45/2,0,ABS(L45-P45/2)*Vsd_Q4*Deadtime*Fsw))</f>
        <v>0</v>
      </c>
      <c r="AN45" s="488" t="n">
        <f aca="false">(AM45+AL45+AK45*(1+RdsonTopTc*Ta-RdsonTopTc*25))/(1-AK45*RdsonTopTc*ThetaJA_Q4)</f>
        <v>0.0353476571507909</v>
      </c>
      <c r="AO45" s="488" t="n">
        <f aca="false">CHOOSE(J45, SQRT(K45^2+(P45^2)/12), SQRT(1-O45)*SQRT(L45^2+(P45^2)/12), SQRT(1-O45)*SQRT(M45^2+(P45^2)/12))</f>
        <v>2.21030428361753</v>
      </c>
      <c r="AP45" s="488" t="n">
        <f aca="false">Rdson3*AO45^2</f>
        <v>0.00928234554973822</v>
      </c>
      <c r="AQ45" s="488" t="n">
        <f aca="false">CHOOSE(J45, 0, IF(L45&lt;P45/2,Deadtime*Fsw*IF(VfdSky_Q3&gt;0,0,Vsd_Q3)*(L45+P45/2), 2*Deadtime*Fsw*IF(VfdSky_Q3&gt;0,0,Vsd_Q3)*L45), IF(L45&lt;P45/2,Deadtime*Fsw/2*IF(VfdSky_Q3&gt;0,0,Vsd_Q3)*(L45+P45/2), 2*Deadtime*Fsw/2*IF(VfdSky_Q3&gt;0,0,Vsd_Q3)*L45))</f>
        <v>0.0288</v>
      </c>
      <c r="AR45" s="488" t="n">
        <f aca="false">(AQ45+AP45*(1+RdsonBotTc*Ta-RdsonBotTc*25))/(1-AP45*RdsonBotTc*ThetaJA_Q3)</f>
        <v>0.0381531757419496</v>
      </c>
      <c r="AS45" s="488" t="n">
        <f aca="false">CHOOSE(J45, Rdson3*Q45^2, Rdson1*Q45^2, 0)</f>
        <v>0</v>
      </c>
      <c r="AT45" s="488" t="n">
        <f aca="false">CHOOSE(J45, 2*Deadtime*Fsw*IF(VfdSky_Q2&gt;0,VfdSky_Q2,0)*K45, 2*Deadtime*Fsw*IF(VfdSky_Q3&gt;0,VfdSky_Q3,0)*L45, 2*Deadtime*Fsw/2*IF(VfdSky_Q2&gt;0,VfdSky_Q2,0)*K45+2*Deadtime*Fsw/2*IF(VfdSky_Q3&gt;0,VfdSky_Q3,0)*L45)</f>
        <v>0</v>
      </c>
      <c r="AU45" s="488" t="n">
        <f aca="false">CHOOSE(J45, IF(QrrSky_Q2&gt;0,QrrSky_Q2,Qrr_Q2*K45/Iout)*Fsw*(Vin-K45*Rdson1), IF(QrrSky_Q3&gt;0,QrrSky_Q3,Qrr_Q3)*Fsw*Vout,  IF(QrrSky_Q2&gt;0,QrrSky_Q2,Qrr_Q2*K45/Iout)*Fsw/2*(Vin-K45*Rdson1)+IF(QrrSky_Q3&gt;0,QrrSky_Q3,Qrr_Q3)*Fsw/2*Vout)</f>
        <v>0.100182114576</v>
      </c>
      <c r="AV45" s="488" t="n">
        <f aca="false">CHOOSE(J45, Rs*AF45^2, Rs*AJ45^2, Rs*(AF45^2+AJ45^2))</f>
        <v>0.00368326745429128</v>
      </c>
      <c r="AW45" s="488" t="n">
        <f aca="false">Rshunt_std/1000*Iout^2</f>
        <v>0.14832</v>
      </c>
      <c r="AX45" s="488" t="n">
        <f aca="false">IF(Vout&gt;8, Iq*Vout, Iq*Vin)</f>
        <v>0.036</v>
      </c>
      <c r="AY45" s="488" t="n">
        <f aca="false">CHOOSE(J45, (Qg_Q1+Qg_Q2)*Fsw, (Qg_Q3+Qg_Q4)*Fsw, (Qg_Q1+Qg_Q2+Qg_Q3+Qg_Q4)*Fsw/2)*IF(Vout&gt;8, Vout, Vin)</f>
        <v>0.1188</v>
      </c>
      <c r="AZ45" s="488" t="n">
        <f aca="false">(Vin-Vdd)*Fsw*(Qg_Q1+Qg_Q2)+(RdsonDRT+RdsonDRT2)*Fsw*Qg_Q1*Vdd/(RdsonDRT+2*Rgate1+RdsonDRT2)+(RdsonDRB+RdsonDRB2)*Fsw*Qg_Q2*Vdd/(RdsonDRB+2*Rgate2+RdsonDRB2)</f>
        <v>0.0522</v>
      </c>
      <c r="BA45" s="488" t="n">
        <f aca="false">SUM(AX45:AY45)</f>
        <v>0.1548</v>
      </c>
      <c r="BB45" s="488" t="n">
        <f aca="false">SUM(T45,W45,Z45,AE45,AI45,AN45,AR45, AT45,AU45,BA45,AV45,AW45)</f>
        <v>0.567260621437823</v>
      </c>
      <c r="BC45" s="419" t="n">
        <f aca="false">Vout*K45</f>
        <v>25.92</v>
      </c>
      <c r="BD45" s="589" t="n">
        <f aca="false">BC45/(BC45+BB45)</f>
        <v>0.978583643301388</v>
      </c>
      <c r="BE45" s="590" t="n">
        <f aca="false">IF(Vin&gt;Vout,ThetaJA_Q1*BK45,ThetaJA_Q4*BK45)</f>
        <v>5.07339263854754</v>
      </c>
      <c r="BF45" s="590" t="n">
        <f aca="false">IF(Vin&gt;Vout, ThetaJA_Q2*BL45, ThetaJA_Q3*BL45)</f>
        <v>3.56066367760148</v>
      </c>
      <c r="BG45" s="536"/>
      <c r="BH45" s="385" t="n">
        <f aca="false">BD45*100</f>
        <v>97.8583643301388</v>
      </c>
      <c r="BI45" s="488" t="n">
        <f aca="false">T45</f>
        <v>0.0171609525238294</v>
      </c>
      <c r="BJ45" s="488" t="n">
        <f aca="false">AE45+AI45+AN45+AR45+AU45</f>
        <v>0.242197176328812</v>
      </c>
      <c r="BK45" s="488" t="n">
        <f aca="false">IF(Vin&gt;Vout, AE45+AU45*0.66, AN45+AU45*0.66)</f>
        <v>0.101467852770951</v>
      </c>
      <c r="BL45" s="488" t="n">
        <f aca="false">IF(Vin&gt;Vout, AI45+AU45*0.33, AR45+AU45*0.33)</f>
        <v>0.0712132735520296</v>
      </c>
      <c r="BM45" s="488" t="n">
        <f aca="false">AV45</f>
        <v>0.00368326745429128</v>
      </c>
      <c r="BR45" s="0" t="n">
        <v>9.997986</v>
      </c>
      <c r="BS45" s="0" t="n">
        <v>5.496</v>
      </c>
      <c r="BT45" s="0" t="n">
        <v>5.109789</v>
      </c>
      <c r="BU45" s="0" t="n">
        <v>93.5997713628334</v>
      </c>
      <c r="BV45" s="0" t="n">
        <v>1920.30569234999</v>
      </c>
    </row>
    <row r="46" customFormat="false" ht="12.75" hidden="false" customHeight="false" outlineLevel="0" collapsed="false">
      <c r="A46" s="623" t="s">
        <v>866</v>
      </c>
      <c r="B46" s="596" t="n">
        <f aca="false">Vsd_Q1</f>
        <v>0.8</v>
      </c>
      <c r="C46" s="622" t="s">
        <v>11</v>
      </c>
      <c r="G46" s="0" t="n">
        <v>37</v>
      </c>
      <c r="H46" s="586" t="n">
        <f aca="false">Vin</f>
        <v>12</v>
      </c>
      <c r="I46" s="385" t="str">
        <f aca="false">IF(H46&gt;VIN_BB_to_buck, "BUCK", IF(H46&lt;VIN_boost_to_BB,"BOOST","BUCK-BST"))</f>
        <v>BUCK-BST</v>
      </c>
      <c r="J46" s="419" t="n">
        <f aca="false">IF(I46="BOOST",2, IF(I46="BUCK", 1,3))</f>
        <v>3</v>
      </c>
      <c r="K46" s="488" t="n">
        <f aca="false">Iout*G46/100</f>
        <v>2.22</v>
      </c>
      <c r="L46" s="385" t="n">
        <f aca="false">Vout*K46/(Vin*Efficiency)</f>
        <v>2.46666666666667</v>
      </c>
      <c r="M46" s="385" t="n">
        <f aca="false">K46/(1-O46)</f>
        <v>2.32460732984293</v>
      </c>
      <c r="N46" s="488" t="n">
        <f aca="false">CHOOSE(J46,(Vout+(Rdson2+Rs+Rdcr)*K46)/(Vin+(Rs+Rdson2-Rdson1)*K46), 1, IF(Vin&lt;Vout, D_max_buck_BB, Vout/Vin*(1-D_min_boost_exitBB_to_buck)))</f>
        <v>0.955</v>
      </c>
      <c r="O46" s="488" t="n">
        <f aca="false">CHOOSE(J46,0,(Vout+(Rdson3+Rdcr)*L46-Vin)/(Vout+(Rdson3-Rdson4-Rs)*L46), IF(Vin&gt;Vout,D_min_boost_exitBB_to_buck, (Vout-Vin*D_max_buck_BB)/Vout))</f>
        <v>0.0450000000000001</v>
      </c>
      <c r="P46" s="385" t="n">
        <f aca="false">MAX(0, CHOOSE(J46, (Vin-(Rdson1+Rdcr)*K46-Vout)*N46/(Fsw*Lf), (Vin-(Rdson4+Rdcr+Rs)*L46)*O46/(Fsw*Lf), IF(Vin&lt;Vout, (Vin-(Rdson4+Rdcr+Rs)*L46)*O46/(0.5*Fsw*Lf),(Vin-(Rdson1+Rdcr)*K46-Vout)*N46/(0.5*Fsw*Lf))))</f>
        <v>0</v>
      </c>
      <c r="Q46" s="385" t="n">
        <f aca="false">CHOOSE(J46, SQRT(K46^2+(P46^2)/12), SQRT(L46^2+(P46^2)/12), SQRT(M46^2+(P46^2)/12))</f>
        <v>2.32460732984293</v>
      </c>
      <c r="R46" s="488" t="n">
        <f aca="false">(Q46^2*Rdcr*(1+Ltc*Ta-Ltc*25))/(1-Q46^2*Rdcr*Ltc*ThetaCa)</f>
        <v>0.0181289821690123</v>
      </c>
      <c r="S46" s="488" t="n">
        <f aca="false">7.759*10^-3*Fsw^0.9458*(0.00787*P46)^2.304</f>
        <v>0</v>
      </c>
      <c r="T46" s="488" t="n">
        <f aca="false">R46+S46</f>
        <v>0.0181289821690123</v>
      </c>
      <c r="U46" s="385" t="n">
        <f aca="false">IF(Vin&gt;Vout, P46/SQRT(12), SQRT(O46/(1-O46))*SQRT(K46^2+(P46^2)/12))</f>
        <v>0.481900687124753</v>
      </c>
      <c r="V46" s="488" t="n">
        <f aca="false">RCoutEsr*U46^2</f>
        <v>0.00116114136125655</v>
      </c>
      <c r="W46" s="488" t="n">
        <f aca="false">V46</f>
        <v>0.00116114136125655</v>
      </c>
      <c r="X46" s="385" t="n">
        <f aca="false">IF(Vin&gt;Vout, SQRT(N46*(1-N46))*SQRT(K46^2+(P46^2)/12), P46/SQRT(12))</f>
        <v>0</v>
      </c>
      <c r="Y46" s="587" t="n">
        <f aca="false">RCinEsr*X46^2</f>
        <v>0</v>
      </c>
      <c r="Z46" s="588" t="n">
        <f aca="false">Y46</f>
        <v>0</v>
      </c>
      <c r="AA46" s="488" t="n">
        <f aca="false">CHOOSE(J46, SQRT(N46)*SQRT(K46^2+(P46^2)/12), SQRT(L46^2+(P46^2)/12), SQRT(N46)*SQRT(M46^2+(P46^2)/12))</f>
        <v>2.27170162482913</v>
      </c>
      <c r="AB46" s="488" t="n">
        <f aca="false">Rdson1*AA46^2</f>
        <v>0.0294155811518325</v>
      </c>
      <c r="AC46" s="488" t="n">
        <f aca="false">CHOOSE(J46, (Vin*K46/2)*(Fsw)*(Tr_buck+Tf_buck), 0, (Vin*K46/2)*(Fsw/2)*(Tr_buck+Tf_buck))</f>
        <v>0.0135646140602582</v>
      </c>
      <c r="AD46" s="488" t="n">
        <f aca="false">CHOOSE(J46, IF(K46&gt;P46/2,0,ABS(K46-P46/2)*Vsd_Q1*Deadtime*Fsw),0, IF(K46&gt;P46/2,0,ABS(K46-P46/2)*Vsd_Q1*Deadtime*Fsw/2))</f>
        <v>0</v>
      </c>
      <c r="AE46" s="488" t="n">
        <f aca="false">(AD46+AC46+AB46*(1+RdsonTopTc*Ta-RdsonTopTc*25))/(1-AB46*RdsonTopTc*ThetaJA_Q1)</f>
        <v>0.0432345490895521</v>
      </c>
      <c r="AF46" s="488" t="n">
        <f aca="false">CHOOSE(J46, SQRT((1-N46))*SQRT(K46^2+(P46^2)/12), 0, SQRT((1-N46))*SQRT(M46^2+(P46^2)/12))</f>
        <v>0.493123681958368</v>
      </c>
      <c r="AG46" s="488" t="n">
        <f aca="false">Rdson2*AF46^2</f>
        <v>0.00138607450453661</v>
      </c>
      <c r="AH46" s="488" t="n">
        <f aca="false">CHOOSE(J46, IF(K46&lt;P46/2,Deadtime*Fsw*IF(VfdSky_Q2&gt;0,0,Vsd_Q2)*(K46+P46/2),2*Deadtime*Fsw*IF(VfdSky_Q2&gt;0,0,Vsd_Q2)*K46),0, IF(K46&lt;P46/2,Deadtime*Fsw/2*IF(VfdSky_Q2&gt;0,0,Vsd_Q2)*(K46+P46/2),2*Deadtime*Fsw/2*IF(VfdSky_Q2&gt;0,0,Vsd_Q2)*K46))</f>
        <v>0.02664</v>
      </c>
      <c r="AI46" s="488" t="n">
        <f aca="false">(AH46+AG46*(1+RdsonBotTc*Ta-RdsonBotTc*25))/(1-AG46*RdsonBotTc*ThetaJA_Q2)</f>
        <v>0.028033845904351</v>
      </c>
      <c r="AJ46" s="488" t="n">
        <f aca="false">CHOOSE(J46, 0, SQRT(O46)*SQRT(L46^2+(P46^2)/12), SQRT(O46)*SQRT(M46^2+(P46^2)/12))</f>
        <v>0.493123681958368</v>
      </c>
      <c r="AK46" s="488" t="n">
        <f aca="false">Rdson4*AJ46^2</f>
        <v>0.000462024834845537</v>
      </c>
      <c r="AL46" s="488" t="n">
        <f aca="false">CHOOSE(J46, 0, (Vout*L46/2)*(Fsw)*(Tr_boost+Tf_boost), (Vout*Iout/2)*(Fsw/2)*(Tr_boost+Tf_boost))</f>
        <v>0.0349071770123085</v>
      </c>
      <c r="AM46" s="488" t="n">
        <f aca="false">IF(H46&gt;Vout, 0, IF(L46&gt;P46/2,0,ABS(L46-P46/2)*Vsd_Q4*Deadtime*Fsw))</f>
        <v>0</v>
      </c>
      <c r="AN46" s="488" t="n">
        <f aca="false">(AM46+AL46+AK46*(1+RdsonTopTc*Ta-RdsonTopTc*25))/(1-AK46*RdsonTopTc*ThetaJA_Q4)</f>
        <v>0.0353724704391166</v>
      </c>
      <c r="AO46" s="488" t="n">
        <f aca="false">CHOOSE(J46, SQRT(K46^2+(P46^2)/12), SQRT(1-O46)*SQRT(L46^2+(P46^2)/12), SQRT(1-O46)*SQRT(M46^2+(P46^2)/12))</f>
        <v>2.27170162482913</v>
      </c>
      <c r="AP46" s="488" t="n">
        <f aca="false">Rdson3*AO46^2</f>
        <v>0.00980519371727749</v>
      </c>
      <c r="AQ46" s="488" t="n">
        <f aca="false">CHOOSE(J46, 0, IF(L46&lt;P46/2,Deadtime*Fsw*IF(VfdSky_Q3&gt;0,0,Vsd_Q3)*(L46+P46/2), 2*Deadtime*Fsw*IF(VfdSky_Q3&gt;0,0,Vsd_Q3)*L46), IF(L46&lt;P46/2,Deadtime*Fsw/2*IF(VfdSky_Q3&gt;0,0,Vsd_Q3)*(L46+P46/2), 2*Deadtime*Fsw/2*IF(VfdSky_Q3&gt;0,0,Vsd_Q3)*L46))</f>
        <v>0.0296</v>
      </c>
      <c r="AR46" s="488" t="n">
        <f aca="false">(AQ46+AP46*(1+RdsonBotTc*Ta-RdsonBotTc*25))/(1-AP46*RdsonBotTc*ThetaJA_Q3)</f>
        <v>0.0394826206660969</v>
      </c>
      <c r="AS46" s="488" t="n">
        <f aca="false">CHOOSE(J46, Rdson3*Q46^2, Rdson1*Q46^2, 0)</f>
        <v>0</v>
      </c>
      <c r="AT46" s="488" t="n">
        <f aca="false">CHOOSE(J46, 2*Deadtime*Fsw*IF(VfdSky_Q2&gt;0,VfdSky_Q2,0)*K46, 2*Deadtime*Fsw*IF(VfdSky_Q3&gt;0,VfdSky_Q3,0)*L46, 2*Deadtime*Fsw/2*IF(VfdSky_Q2&gt;0,VfdSky_Q2,0)*K46+2*Deadtime*Fsw/2*IF(VfdSky_Q3&gt;0,VfdSky_Q3,0)*L46)</f>
        <v>0</v>
      </c>
      <c r="AU46" s="488" t="n">
        <f aca="false">CHOOSE(J46, IF(QrrSky_Q2&gt;0,QrrSky_Q2,Qrr_Q2*K46/Iout)*Fsw*(Vin-K46*Rdson1), IF(QrrSky_Q3&gt;0,QrrSky_Q3,Qrr_Q3)*Fsw*Vout,  IF(QrrSky_Q2&gt;0,QrrSky_Q2,Qrr_Q2*K46/Iout)*Fsw/2*(Vin-K46*Rdson1)+IF(QrrSky_Q3&gt;0,QrrSky_Q3,Qrr_Q3)*Fsw/2*Vout)</f>
        <v>0.101313755289</v>
      </c>
      <c r="AV46" s="488" t="n">
        <f aca="false">CHOOSE(J46, Rs*AF46^2, Rs*AJ46^2, Rs*(AF46^2+AJ46^2))</f>
        <v>0.00389073545133084</v>
      </c>
      <c r="AW46" s="488" t="n">
        <f aca="false">Rshunt_std/1000*Iout^2</f>
        <v>0.14832</v>
      </c>
      <c r="AX46" s="488" t="n">
        <f aca="false">IF(Vout&gt;8, Iq*Vout, Iq*Vin)</f>
        <v>0.036</v>
      </c>
      <c r="AY46" s="488" t="n">
        <f aca="false">CHOOSE(J46, (Qg_Q1+Qg_Q2)*Fsw, (Qg_Q3+Qg_Q4)*Fsw, (Qg_Q1+Qg_Q2+Qg_Q3+Qg_Q4)*Fsw/2)*IF(Vout&gt;8, Vout, Vin)</f>
        <v>0.1188</v>
      </c>
      <c r="AZ46" s="488" t="n">
        <f aca="false">(Vin-Vdd)*Fsw*(Qg_Q1+Qg_Q2)+(RdsonDRT+RdsonDRT2)*Fsw*Qg_Q1*Vdd/(RdsonDRT+2*Rgate1+RdsonDRT2)+(RdsonDRB+RdsonDRB2)*Fsw*Qg_Q2*Vdd/(RdsonDRB+2*Rgate2+RdsonDRB2)</f>
        <v>0.0522</v>
      </c>
      <c r="BA46" s="488" t="n">
        <f aca="false">SUM(AX46:AY46)</f>
        <v>0.1548</v>
      </c>
      <c r="BB46" s="488" t="n">
        <f aca="false">SUM(T46,W46,Z46,AE46,AI46,AN46,AR46, AT46,AU46,BA46,AV46,AW46)</f>
        <v>0.573738100369716</v>
      </c>
      <c r="BC46" s="419" t="n">
        <f aca="false">Vout*K46</f>
        <v>26.64</v>
      </c>
      <c r="BD46" s="589" t="n">
        <f aca="false">BC46/(BC46+BB46)</f>
        <v>0.978917335859791</v>
      </c>
      <c r="BE46" s="590" t="n">
        <f aca="false">IF(Vin&gt;Vout,ThetaJA_Q1*BK46,ThetaJA_Q4*BK46)</f>
        <v>5.11197744649283</v>
      </c>
      <c r="BF46" s="590" t="n">
        <f aca="false">IF(Vin&gt;Vout, ThetaJA_Q2*BL46, ThetaJA_Q3*BL46)</f>
        <v>3.64580799557334</v>
      </c>
      <c r="BG46" s="536"/>
      <c r="BH46" s="385" t="n">
        <f aca="false">BD46*100</f>
        <v>97.8917335859791</v>
      </c>
      <c r="BI46" s="488" t="n">
        <f aca="false">T46</f>
        <v>0.0181289821690123</v>
      </c>
      <c r="BJ46" s="488" t="n">
        <f aca="false">AE46+AI46+AN46+AR46+AU46</f>
        <v>0.247437241388117</v>
      </c>
      <c r="BK46" s="488" t="n">
        <f aca="false">IF(Vin&gt;Vout, AE46+AU46*0.66, AN46+AU46*0.66)</f>
        <v>0.102239548929857</v>
      </c>
      <c r="BL46" s="488" t="n">
        <f aca="false">IF(Vin&gt;Vout, AI46+AU46*0.33, AR46+AU46*0.33)</f>
        <v>0.0729161599114669</v>
      </c>
      <c r="BM46" s="488" t="n">
        <f aca="false">AV46</f>
        <v>0.00389073545133084</v>
      </c>
      <c r="BR46" s="0" t="n">
        <v>9.9979</v>
      </c>
      <c r="BS46" s="0" t="n">
        <v>6.195</v>
      </c>
      <c r="BT46" s="0" t="n">
        <v>5.109191</v>
      </c>
      <c r="BU46" s="0" t="n">
        <v>93.1566516721595</v>
      </c>
      <c r="BV46" s="0" t="n">
        <v>2325.1351759</v>
      </c>
    </row>
    <row r="47" customFormat="false" ht="12.75" hidden="false" customHeight="false" outlineLevel="0" collapsed="false">
      <c r="A47" s="624" t="s">
        <v>867</v>
      </c>
      <c r="B47" s="596" t="n">
        <f aca="false">ThetaJA_Q1</f>
        <v>50</v>
      </c>
      <c r="C47" s="611" t="s">
        <v>121</v>
      </c>
      <c r="D47" s="598" t="s">
        <v>665</v>
      </c>
      <c r="G47" s="0" t="n">
        <v>38</v>
      </c>
      <c r="H47" s="586" t="n">
        <f aca="false">Vin</f>
        <v>12</v>
      </c>
      <c r="I47" s="385" t="str">
        <f aca="false">IF(H47&gt;VIN_BB_to_buck, "BUCK", IF(H47&lt;VIN_boost_to_BB,"BOOST","BUCK-BST"))</f>
        <v>BUCK-BST</v>
      </c>
      <c r="J47" s="419" t="n">
        <f aca="false">IF(I47="BOOST",2, IF(I47="BUCK", 1,3))</f>
        <v>3</v>
      </c>
      <c r="K47" s="488" t="n">
        <f aca="false">Iout*G47/100</f>
        <v>2.28</v>
      </c>
      <c r="L47" s="385" t="n">
        <f aca="false">Vout*K47/(Vin*Efficiency)</f>
        <v>2.53333333333333</v>
      </c>
      <c r="M47" s="385" t="n">
        <f aca="false">K47/(1-O47)</f>
        <v>2.38743455497382</v>
      </c>
      <c r="N47" s="488" t="n">
        <f aca="false">CHOOSE(J47,(Vout+(Rdson2+Rs+Rdcr)*K47)/(Vin+(Rs+Rdson2-Rdson1)*K47), 1, IF(Vin&lt;Vout, D_max_buck_BB, Vout/Vin*(1-D_min_boost_exitBB_to_buck)))</f>
        <v>0.955</v>
      </c>
      <c r="O47" s="488" t="n">
        <f aca="false">CHOOSE(J47,0,(Vout+(Rdson3+Rdcr)*L47-Vin)/(Vout+(Rdson3-Rdson4-Rs)*L47), IF(Vin&gt;Vout,D_min_boost_exitBB_to_buck, (Vout-Vin*D_max_buck_BB)/Vout))</f>
        <v>0.0450000000000001</v>
      </c>
      <c r="P47" s="385" t="n">
        <f aca="false">MAX(0, CHOOSE(J47, (Vin-(Rdson1+Rdcr)*K47-Vout)*N47/(Fsw*Lf), (Vin-(Rdson4+Rdcr+Rs)*L47)*O47/(Fsw*Lf), IF(Vin&lt;Vout, (Vin-(Rdson4+Rdcr+Rs)*L47)*O47/(0.5*Fsw*Lf),(Vin-(Rdson1+Rdcr)*K47-Vout)*N47/(0.5*Fsw*Lf))))</f>
        <v>0</v>
      </c>
      <c r="Q47" s="385" t="n">
        <f aca="false">CHOOSE(J47, SQRT(K47^2+(P47^2)/12), SQRT(L47^2+(P47^2)/12), SQRT(M47^2+(P47^2)/12))</f>
        <v>2.38743455497382</v>
      </c>
      <c r="R47" s="488" t="n">
        <f aca="false">(Q47^2*Rdcr*(1+Ltc*Ta-Ltc*25))/(1-Q47^2*Rdcr*Ltc*ThetaCa)</f>
        <v>0.0191236891235709</v>
      </c>
      <c r="S47" s="488" t="n">
        <f aca="false">7.759*10^-3*Fsw^0.9458*(0.00787*P47)^2.304</f>
        <v>0</v>
      </c>
      <c r="T47" s="488" t="n">
        <f aca="false">R47+S47</f>
        <v>0.0191236891235709</v>
      </c>
      <c r="U47" s="385" t="n">
        <f aca="false">IF(Vin&gt;Vout, P47/SQRT(12), SQRT(O47/(1-O47))*SQRT(K47^2+(P47^2)/12))</f>
        <v>0.494925030020017</v>
      </c>
      <c r="V47" s="488" t="n">
        <f aca="false">RCoutEsr*U47^2</f>
        <v>0.00122475392670157</v>
      </c>
      <c r="W47" s="488" t="n">
        <f aca="false">V47</f>
        <v>0.00122475392670157</v>
      </c>
      <c r="X47" s="385" t="n">
        <f aca="false">IF(Vin&gt;Vout, SQRT(N47*(1-N47))*SQRT(K47^2+(P47^2)/12), P47/SQRT(12))</f>
        <v>0</v>
      </c>
      <c r="Y47" s="587" t="n">
        <f aca="false">RCinEsr*X47^2</f>
        <v>0</v>
      </c>
      <c r="Z47" s="588" t="n">
        <f aca="false">Y47</f>
        <v>0</v>
      </c>
      <c r="AA47" s="488" t="n">
        <f aca="false">CHOOSE(J47, SQRT(N47)*SQRT(K47^2+(P47^2)/12), SQRT(L47^2+(P47^2)/12), SQRT(N47)*SQRT(M47^2+(P47^2)/12))</f>
        <v>2.33309896604073</v>
      </c>
      <c r="AB47" s="488" t="n">
        <f aca="false">Rdson1*AA47^2</f>
        <v>0.0310270994764398</v>
      </c>
      <c r="AC47" s="488" t="n">
        <f aca="false">CHOOSE(J47, (Vin*K47/2)*(Fsw)*(Tr_buck+Tf_buck), 0, (Vin*K47/2)*(Fsw/2)*(Tr_buck+Tf_buck))</f>
        <v>0.013931225251076</v>
      </c>
      <c r="AD47" s="488" t="n">
        <f aca="false">CHOOSE(J47, IF(K47&gt;P47/2,0,ABS(K47-P47/2)*Vsd_Q1*Deadtime*Fsw),0, IF(K47&gt;P47/2,0,ABS(K47-P47/2)*Vsd_Q1*Deadtime*Fsw/2))</f>
        <v>0</v>
      </c>
      <c r="AE47" s="488" t="n">
        <f aca="false">(AD47+AC47+AB47*(1+RdsonTopTc*Ta-RdsonTopTc*25))/(1-AB47*RdsonTopTc*ThetaJA_Q1)</f>
        <v>0.0452390520410956</v>
      </c>
      <c r="AF47" s="488" t="n">
        <f aca="false">CHOOSE(J47, SQRT((1-N47))*SQRT(K47^2+(P47^2)/12), 0, SQRT((1-N47))*SQRT(M47^2+(P47^2)/12))</f>
        <v>0.506451349038323</v>
      </c>
      <c r="AG47" s="488" t="n">
        <f aca="false">Rdson2*AF47^2</f>
        <v>0.0014620099229736</v>
      </c>
      <c r="AH47" s="488" t="n">
        <f aca="false">CHOOSE(J47, IF(K47&lt;P47/2,Deadtime*Fsw*IF(VfdSky_Q2&gt;0,0,Vsd_Q2)*(K47+P47/2),2*Deadtime*Fsw*IF(VfdSky_Q2&gt;0,0,Vsd_Q2)*K47),0, IF(K47&lt;P47/2,Deadtime*Fsw/2*IF(VfdSky_Q2&gt;0,0,Vsd_Q2)*(K47+P47/2),2*Deadtime*Fsw/2*IF(VfdSky_Q2&gt;0,0,Vsd_Q2)*K47))</f>
        <v>0.02736</v>
      </c>
      <c r="AI47" s="488" t="n">
        <f aca="false">(AH47+AG47*(1+RdsonBotTc*Ta-RdsonBotTc*25))/(1-AG47*RdsonBotTc*ThetaJA_Q2)</f>
        <v>0.0288304400008466</v>
      </c>
      <c r="AJ47" s="488" t="n">
        <f aca="false">CHOOSE(J47, 0, SQRT(O47)*SQRT(L47^2+(P47^2)/12), SQRT(O47)*SQRT(M47^2+(P47^2)/12))</f>
        <v>0.506451349038324</v>
      </c>
      <c r="AK47" s="488" t="n">
        <f aca="false">Rdson4*AJ47^2</f>
        <v>0.000487336640991202</v>
      </c>
      <c r="AL47" s="488" t="n">
        <f aca="false">CHOOSE(J47, 0, (Vout*L47/2)*(Fsw)*(Tr_boost+Tf_boost), (Vout*Iout/2)*(Fsw/2)*(Tr_boost+Tf_boost))</f>
        <v>0.0349071770123085</v>
      </c>
      <c r="AM47" s="488" t="n">
        <f aca="false">IF(H47&gt;Vout, 0, IF(L47&gt;P47/2,0,ABS(L47-P47/2)*Vsd_Q4*Deadtime*Fsw))</f>
        <v>0</v>
      </c>
      <c r="AN47" s="488" t="n">
        <f aca="false">(AM47+AL47+AK47*(1+RdsonTopTc*Ta-RdsonTopTc*25))/(1-AK47*RdsonTopTc*ThetaJA_Q4)</f>
        <v>0.0353979637982548</v>
      </c>
      <c r="AO47" s="488" t="n">
        <f aca="false">CHOOSE(J47, SQRT(K47^2+(P47^2)/12), SQRT(1-O47)*SQRT(L47^2+(P47^2)/12), SQRT(1-O47)*SQRT(M47^2+(P47^2)/12))</f>
        <v>2.33309896604073</v>
      </c>
      <c r="AP47" s="488" t="n">
        <f aca="false">Rdson3*AO47^2</f>
        <v>0.0103423664921466</v>
      </c>
      <c r="AQ47" s="488" t="n">
        <f aca="false">CHOOSE(J47, 0, IF(L47&lt;P47/2,Deadtime*Fsw*IF(VfdSky_Q3&gt;0,0,Vsd_Q3)*(L47+P47/2), 2*Deadtime*Fsw*IF(VfdSky_Q3&gt;0,0,Vsd_Q3)*L47), IF(L47&lt;P47/2,Deadtime*Fsw/2*IF(VfdSky_Q3&gt;0,0,Vsd_Q3)*(L47+P47/2), 2*Deadtime*Fsw/2*IF(VfdSky_Q3&gt;0,0,Vsd_Q3)*L47))</f>
        <v>0.0304</v>
      </c>
      <c r="AR47" s="488" t="n">
        <f aca="false">(AQ47+AP47*(1+RdsonBotTc*Ta-RdsonBotTc*25))/(1-AP47*RdsonBotTc*ThetaJA_Q3)</f>
        <v>0.0408268156702203</v>
      </c>
      <c r="AS47" s="488" t="n">
        <f aca="false">CHOOSE(J47, Rdson3*Q47^2, Rdson1*Q47^2, 0)</f>
        <v>0</v>
      </c>
      <c r="AT47" s="488" t="n">
        <f aca="false">CHOOSE(J47, 2*Deadtime*Fsw*IF(VfdSky_Q2&gt;0,VfdSky_Q2,0)*K47, 2*Deadtime*Fsw*IF(VfdSky_Q3&gt;0,VfdSky_Q3,0)*L47, 2*Deadtime*Fsw/2*IF(VfdSky_Q2&gt;0,VfdSky_Q2,0)*K47+2*Deadtime*Fsw/2*IF(VfdSky_Q3&gt;0,VfdSky_Q3,0)*L47)</f>
        <v>0</v>
      </c>
      <c r="AU47" s="488" t="n">
        <f aca="false">CHOOSE(J47, IF(QrrSky_Q2&gt;0,QrrSky_Q2,Qrr_Q2*K47/Iout)*Fsw*(Vin-K47*Rdson1), IF(QrrSky_Q3&gt;0,QrrSky_Q3,Qrr_Q3)*Fsw*Vout,  IF(QrrSky_Q2&gt;0,QrrSky_Q2,Qrr_Q2*K47/Iout)*Fsw/2*(Vin-K47*Rdson1)+IF(QrrSky_Q3&gt;0,QrrSky_Q3,Qrr_Q3)*Fsw/2*Vout)</f>
        <v>0.102445331364</v>
      </c>
      <c r="AV47" s="488" t="n">
        <f aca="false">CHOOSE(J47, Rs*AF47^2, Rs*AJ47^2, Rs*(AF47^2+AJ47^2))</f>
        <v>0.0041038875030838</v>
      </c>
      <c r="AW47" s="488" t="n">
        <f aca="false">Rshunt_std/1000*Iout^2</f>
        <v>0.14832</v>
      </c>
      <c r="AX47" s="488" t="n">
        <f aca="false">IF(Vout&gt;8, Iq*Vout, Iq*Vin)</f>
        <v>0.036</v>
      </c>
      <c r="AY47" s="488" t="n">
        <f aca="false">CHOOSE(J47, (Qg_Q1+Qg_Q2)*Fsw, (Qg_Q3+Qg_Q4)*Fsw, (Qg_Q1+Qg_Q2+Qg_Q3+Qg_Q4)*Fsw/2)*IF(Vout&gt;8, Vout, Vin)</f>
        <v>0.1188</v>
      </c>
      <c r="AZ47" s="488" t="n">
        <f aca="false">(Vin-Vdd)*Fsw*(Qg_Q1+Qg_Q2)+(RdsonDRT+RdsonDRT2)*Fsw*Qg_Q1*Vdd/(RdsonDRT+2*Rgate1+RdsonDRT2)+(RdsonDRB+RdsonDRB2)*Fsw*Qg_Q2*Vdd/(RdsonDRB+2*Rgate2+RdsonDRB2)</f>
        <v>0.0522</v>
      </c>
      <c r="BA47" s="488" t="n">
        <f aca="false">SUM(AX47:AY47)</f>
        <v>0.1548</v>
      </c>
      <c r="BB47" s="488" t="n">
        <f aca="false">SUM(T47,W47,Z47,AE47,AI47,AN47,AR47, AT47,AU47,BA47,AV47,AW47)</f>
        <v>0.580311933427774</v>
      </c>
      <c r="BC47" s="419" t="n">
        <f aca="false">Vout*K47</f>
        <v>27.36</v>
      </c>
      <c r="BD47" s="589" t="n">
        <f aca="false">BC47/(BC47+BB47)</f>
        <v>0.979230298687772</v>
      </c>
      <c r="BE47" s="590" t="n">
        <f aca="false">IF(Vin&gt;Vout,ThetaJA_Q1*BK47,ThetaJA_Q4*BK47)</f>
        <v>5.15059412492474</v>
      </c>
      <c r="BF47" s="590" t="n">
        <f aca="false">IF(Vin&gt;Vout, ThetaJA_Q2*BL47, ThetaJA_Q3*BL47)</f>
        <v>3.73168875101702</v>
      </c>
      <c r="BG47" s="536"/>
      <c r="BH47" s="385" t="n">
        <f aca="false">BD47*100</f>
        <v>97.9230298687772</v>
      </c>
      <c r="BI47" s="488" t="n">
        <f aca="false">T47</f>
        <v>0.0191236891235709</v>
      </c>
      <c r="BJ47" s="488" t="n">
        <f aca="false">AE47+AI47+AN47+AR47+AU47</f>
        <v>0.252739602874417</v>
      </c>
      <c r="BK47" s="488" t="n">
        <f aca="false">IF(Vin&gt;Vout, AE47+AU47*0.66, AN47+AU47*0.66)</f>
        <v>0.103011882498495</v>
      </c>
      <c r="BL47" s="488" t="n">
        <f aca="false">IF(Vin&gt;Vout, AI47+AU47*0.33, AR47+AU47*0.33)</f>
        <v>0.0746337750203403</v>
      </c>
      <c r="BM47" s="488" t="n">
        <f aca="false">AV47</f>
        <v>0.0041038875030838</v>
      </c>
      <c r="BR47" s="0" t="n">
        <v>9.997627</v>
      </c>
      <c r="BS47" s="0" t="n">
        <v>6.947</v>
      </c>
      <c r="BT47" s="0" t="n">
        <v>5.108667</v>
      </c>
      <c r="BU47" s="0" t="n">
        <v>92.6568076347518</v>
      </c>
      <c r="BV47" s="0" t="n">
        <v>2812.629001201</v>
      </c>
    </row>
    <row r="48" customFormat="false" ht="12.75" hidden="false" customHeight="false" outlineLevel="0" collapsed="false">
      <c r="A48" s="604" t="s">
        <v>868</v>
      </c>
      <c r="B48" s="583" t="s">
        <v>812</v>
      </c>
      <c r="C48" s="604" t="s">
        <v>697</v>
      </c>
      <c r="D48" s="585" t="s">
        <v>134</v>
      </c>
      <c r="G48" s="0" t="n">
        <v>39</v>
      </c>
      <c r="H48" s="586" t="n">
        <f aca="false">Vin</f>
        <v>12</v>
      </c>
      <c r="I48" s="385" t="str">
        <f aca="false">IF(H48&gt;VIN_BB_to_buck, "BUCK", IF(H48&lt;VIN_boost_to_BB,"BOOST","BUCK-BST"))</f>
        <v>BUCK-BST</v>
      </c>
      <c r="J48" s="419" t="n">
        <f aca="false">IF(I48="BOOST",2, IF(I48="BUCK", 1,3))</f>
        <v>3</v>
      </c>
      <c r="K48" s="488" t="n">
        <f aca="false">Iout*G48/100</f>
        <v>2.34</v>
      </c>
      <c r="L48" s="385" t="n">
        <f aca="false">Vout*K48/(Vin*Efficiency)</f>
        <v>2.6</v>
      </c>
      <c r="M48" s="385" t="n">
        <f aca="false">K48/(1-O48)</f>
        <v>2.45026178010471</v>
      </c>
      <c r="N48" s="488" t="n">
        <f aca="false">CHOOSE(J48,(Vout+(Rdson2+Rs+Rdcr)*K48)/(Vin+(Rs+Rdson2-Rdson1)*K48), 1, IF(Vin&lt;Vout, D_max_buck_BB, Vout/Vin*(1-D_min_boost_exitBB_to_buck)))</f>
        <v>0.955</v>
      </c>
      <c r="O48" s="488" t="n">
        <f aca="false">CHOOSE(J48,0,(Vout+(Rdson3+Rdcr)*L48-Vin)/(Vout+(Rdson3-Rdson4-Rs)*L48), IF(Vin&gt;Vout,D_min_boost_exitBB_to_buck, (Vout-Vin*D_max_buck_BB)/Vout))</f>
        <v>0.0450000000000001</v>
      </c>
      <c r="P48" s="385" t="n">
        <f aca="false">MAX(0, CHOOSE(J48, (Vin-(Rdson1+Rdcr)*K48-Vout)*N48/(Fsw*Lf), (Vin-(Rdson4+Rdcr+Rs)*L48)*O48/(Fsw*Lf), IF(Vin&lt;Vout, (Vin-(Rdson4+Rdcr+Rs)*L48)*O48/(0.5*Fsw*Lf),(Vin-(Rdson1+Rdcr)*K48-Vout)*N48/(0.5*Fsw*Lf))))</f>
        <v>0</v>
      </c>
      <c r="Q48" s="385" t="n">
        <f aca="false">CHOOSE(J48, SQRT(K48^2+(P48^2)/12), SQRT(L48^2+(P48^2)/12), SQRT(M48^2+(P48^2)/12))</f>
        <v>2.45026178010471</v>
      </c>
      <c r="R48" s="488" t="n">
        <f aca="false">(Q48^2*Rdcr*(1+Ltc*Ta-Ltc*25))/(1-Q48^2*Rdcr*Ltc*ThetaCa)</f>
        <v>0.0201450860712395</v>
      </c>
      <c r="S48" s="488" t="n">
        <f aca="false">7.759*10^-3*Fsw^0.9458*(0.00787*P48)^2.304</f>
        <v>0</v>
      </c>
      <c r="T48" s="488" t="n">
        <f aca="false">R48+S48</f>
        <v>0.0201450860712395</v>
      </c>
      <c r="U48" s="385" t="n">
        <f aca="false">IF(Vin&gt;Vout, P48/SQRT(12), SQRT(O48/(1-O48))*SQRT(K48^2+(P48^2)/12))</f>
        <v>0.50794937291528</v>
      </c>
      <c r="V48" s="488" t="n">
        <f aca="false">RCoutEsr*U48^2</f>
        <v>0.00129006282722513</v>
      </c>
      <c r="W48" s="488" t="n">
        <f aca="false">V48</f>
        <v>0.00129006282722513</v>
      </c>
      <c r="X48" s="385" t="n">
        <f aca="false">IF(Vin&gt;Vout, SQRT(N48*(1-N48))*SQRT(K48^2+(P48^2)/12), P48/SQRT(12))</f>
        <v>0</v>
      </c>
      <c r="Y48" s="587" t="n">
        <f aca="false">RCinEsr*X48^2</f>
        <v>0</v>
      </c>
      <c r="Z48" s="588" t="n">
        <f aca="false">Y48</f>
        <v>0</v>
      </c>
      <c r="AA48" s="488" t="n">
        <f aca="false">CHOOSE(J48, SQRT(N48)*SQRT(K48^2+(P48^2)/12), SQRT(L48^2+(P48^2)/12), SQRT(N48)*SQRT(M48^2+(P48^2)/12))</f>
        <v>2.39449630725233</v>
      </c>
      <c r="AB48" s="488" t="n">
        <f aca="false">Rdson1*AA48^2</f>
        <v>0.0326815916230367</v>
      </c>
      <c r="AC48" s="488" t="n">
        <f aca="false">CHOOSE(J48, (Vin*K48/2)*(Fsw)*(Tr_buck+Tf_buck), 0, (Vin*K48/2)*(Fsw/2)*(Tr_buck+Tf_buck))</f>
        <v>0.0142978364418938</v>
      </c>
      <c r="AD48" s="488" t="n">
        <f aca="false">CHOOSE(J48, IF(K48&gt;P48/2,0,ABS(K48-P48/2)*Vsd_Q1*Deadtime*Fsw),0, IF(K48&gt;P48/2,0,ABS(K48-P48/2)*Vsd_Q1*Deadtime*Fsw/2))</f>
        <v>0</v>
      </c>
      <c r="AE48" s="488" t="n">
        <f aca="false">(AD48+AC48+AB48*(1+RdsonTopTc*Ta-RdsonTopTc*25))/(1-AB48*RdsonTopTc*ThetaJA_Q1)</f>
        <v>0.0472885208905711</v>
      </c>
      <c r="AF48" s="488" t="n">
        <f aca="false">CHOOSE(J48, SQRT((1-N48))*SQRT(K48^2+(P48^2)/12), 0, SQRT((1-N48))*SQRT(M48^2+(P48^2)/12))</f>
        <v>0.519779016118279</v>
      </c>
      <c r="AG48" s="488" t="n">
        <f aca="false">Rdson2*AF48^2</f>
        <v>0.00153997028590225</v>
      </c>
      <c r="AH48" s="488" t="n">
        <f aca="false">CHOOSE(J48, IF(K48&lt;P48/2,Deadtime*Fsw*IF(VfdSky_Q2&gt;0,0,Vsd_Q2)*(K48+P48/2),2*Deadtime*Fsw*IF(VfdSky_Q2&gt;0,0,Vsd_Q2)*K48),0, IF(K48&lt;P48/2,Deadtime*Fsw/2*IF(VfdSky_Q2&gt;0,0,Vsd_Q2)*(K48+P48/2),2*Deadtime*Fsw/2*IF(VfdSky_Q2&gt;0,0,Vsd_Q2)*K48))</f>
        <v>0.02808</v>
      </c>
      <c r="AI48" s="488" t="n">
        <f aca="false">(AH48+AG48*(1+RdsonBotTc*Ta-RdsonBotTc*25))/(1-AG48*RdsonBotTc*ThetaJA_Q2)</f>
        <v>0.0296290958713503</v>
      </c>
      <c r="AJ48" s="488" t="n">
        <f aca="false">CHOOSE(J48, 0, SQRT(O48)*SQRT(L48^2+(P48^2)/12), SQRT(O48)*SQRT(M48^2+(P48^2)/12))</f>
        <v>0.519779016118279</v>
      </c>
      <c r="AK48" s="488" t="n">
        <f aca="false">Rdson4*AJ48^2</f>
        <v>0.000513323428634084</v>
      </c>
      <c r="AL48" s="488" t="n">
        <f aca="false">CHOOSE(J48, 0, (Vout*L48/2)*(Fsw)*(Tr_boost+Tf_boost), (Vout*Iout/2)*(Fsw/2)*(Tr_boost+Tf_boost))</f>
        <v>0.0349071770123085</v>
      </c>
      <c r="AM48" s="488" t="n">
        <f aca="false">IF(H48&gt;Vout, 0, IF(L48&gt;P48/2,0,ABS(L48-P48/2)*Vsd_Q4*Deadtime*Fsw))</f>
        <v>0</v>
      </c>
      <c r="AN48" s="488" t="n">
        <f aca="false">(AM48+AL48+AK48*(1+RdsonTopTc*Ta-RdsonTopTc*25))/(1-AK48*RdsonTopTc*ThetaJA_Q4)</f>
        <v>0.0354241372488604</v>
      </c>
      <c r="AO48" s="488" t="n">
        <f aca="false">CHOOSE(J48, SQRT(K48^2+(P48^2)/12), SQRT(1-O48)*SQRT(L48^2+(P48^2)/12), SQRT(1-O48)*SQRT(M48^2+(P48^2)/12))</f>
        <v>2.39449630725233</v>
      </c>
      <c r="AP48" s="488" t="n">
        <f aca="false">Rdson3*AO48^2</f>
        <v>0.0108938638743456</v>
      </c>
      <c r="AQ48" s="488" t="n">
        <f aca="false">CHOOSE(J48, 0, IF(L48&lt;P48/2,Deadtime*Fsw*IF(VfdSky_Q3&gt;0,0,Vsd_Q3)*(L48+P48/2), 2*Deadtime*Fsw*IF(VfdSky_Q3&gt;0,0,Vsd_Q3)*L48), IF(L48&lt;P48/2,Deadtime*Fsw/2*IF(VfdSky_Q3&gt;0,0,Vsd_Q3)*(L48+P48/2), 2*Deadtime*Fsw/2*IF(VfdSky_Q3&gt;0,0,Vsd_Q3)*L48))</f>
        <v>0.0312</v>
      </c>
      <c r="AR48" s="488" t="n">
        <f aca="false">(AQ48+AP48*(1+RdsonBotTc*Ta-RdsonBotTc*25))/(1-AP48*RdsonBotTc*ThetaJA_Q3)</f>
        <v>0.0421857770969711</v>
      </c>
      <c r="AS48" s="488" t="n">
        <f aca="false">CHOOSE(J48, Rdson3*Q48^2, Rdson1*Q48^2, 0)</f>
        <v>0</v>
      </c>
      <c r="AT48" s="488" t="n">
        <f aca="false">CHOOSE(J48, 2*Deadtime*Fsw*IF(VfdSky_Q2&gt;0,VfdSky_Q2,0)*K48, 2*Deadtime*Fsw*IF(VfdSky_Q3&gt;0,VfdSky_Q3,0)*L48, 2*Deadtime*Fsw/2*IF(VfdSky_Q2&gt;0,VfdSky_Q2,0)*K48+2*Deadtime*Fsw/2*IF(VfdSky_Q3&gt;0,VfdSky_Q3,0)*L48)</f>
        <v>0</v>
      </c>
      <c r="AU48" s="488" t="n">
        <f aca="false">CHOOSE(J48, IF(QrrSky_Q2&gt;0,QrrSky_Q2,Qrr_Q2*K48/Iout)*Fsw*(Vin-K48*Rdson1), IF(QrrSky_Q3&gt;0,QrrSky_Q3,Qrr_Q3)*Fsw*Vout,  IF(QrrSky_Q2&gt;0,QrrSky_Q2,Qrr_Q2*K48/Iout)*Fsw/2*(Vin-K48*Rdson1)+IF(QrrSky_Q3&gt;0,QrrSky_Q3,Qrr_Q3)*Fsw/2*Vout)</f>
        <v>0.103576842801</v>
      </c>
      <c r="AV48" s="488" t="n">
        <f aca="false">CHOOSE(J48, Rs*AF48^2, Rs*AJ48^2, Rs*(AF48^2+AJ48^2))</f>
        <v>0.00432272360955018</v>
      </c>
      <c r="AW48" s="488" t="n">
        <f aca="false">Rshunt_std/1000*Iout^2</f>
        <v>0.14832</v>
      </c>
      <c r="AX48" s="488" t="n">
        <f aca="false">IF(Vout&gt;8, Iq*Vout, Iq*Vin)</f>
        <v>0.036</v>
      </c>
      <c r="AY48" s="488" t="n">
        <f aca="false">CHOOSE(J48, (Qg_Q1+Qg_Q2)*Fsw, (Qg_Q3+Qg_Q4)*Fsw, (Qg_Q1+Qg_Q2+Qg_Q3+Qg_Q4)*Fsw/2)*IF(Vout&gt;8, Vout, Vin)</f>
        <v>0.1188</v>
      </c>
      <c r="AZ48" s="488" t="n">
        <f aca="false">(Vin-Vdd)*Fsw*(Qg_Q1+Qg_Q2)+(RdsonDRT+RdsonDRT2)*Fsw*Qg_Q1*Vdd/(RdsonDRT+2*Rgate1+RdsonDRT2)+(RdsonDRB+RdsonDRB2)*Fsw*Qg_Q2*Vdd/(RdsonDRB+2*Rgate2+RdsonDRB2)</f>
        <v>0.0522</v>
      </c>
      <c r="BA48" s="488" t="n">
        <f aca="false">SUM(AX48:AY48)</f>
        <v>0.1548</v>
      </c>
      <c r="BB48" s="488" t="n">
        <f aca="false">SUM(T48,W48,Z48,AE48,AI48,AN48,AR48, AT48,AU48,BA48,AV48,AW48)</f>
        <v>0.586982246416768</v>
      </c>
      <c r="BC48" s="419" t="n">
        <f aca="false">Vout*K48</f>
        <v>28.08</v>
      </c>
      <c r="BD48" s="589" t="n">
        <f aca="false">BC48/(BC48+BB48)</f>
        <v>0.9795241005359</v>
      </c>
      <c r="BE48" s="590" t="n">
        <f aca="false">IF(Vin&gt;Vout,ThetaJA_Q1*BK48,ThetaJA_Q4*BK48)</f>
        <v>5.18924267487602</v>
      </c>
      <c r="BF48" s="590" t="n">
        <f aca="false">IF(Vin&gt;Vout, ThetaJA_Q2*BL48, ThetaJA_Q3*BL48)</f>
        <v>3.81830676106506</v>
      </c>
      <c r="BG48" s="536"/>
      <c r="BH48" s="385" t="n">
        <f aca="false">BD48*100</f>
        <v>97.95241005359</v>
      </c>
      <c r="BI48" s="488" t="n">
        <f aca="false">T48</f>
        <v>0.0201450860712395</v>
      </c>
      <c r="BJ48" s="488" t="n">
        <f aca="false">AE48+AI48+AN48+AR48+AU48</f>
        <v>0.258104373908753</v>
      </c>
      <c r="BK48" s="488" t="n">
        <f aca="false">IF(Vin&gt;Vout, AE48+AU48*0.66, AN48+AU48*0.66)</f>
        <v>0.10378485349752</v>
      </c>
      <c r="BL48" s="488" t="n">
        <f aca="false">IF(Vin&gt;Vout, AI48+AU48*0.33, AR48+AU48*0.33)</f>
        <v>0.0763661352213011</v>
      </c>
      <c r="BM48" s="488" t="n">
        <f aca="false">AV48</f>
        <v>0.00432272360955018</v>
      </c>
      <c r="BR48" s="0" t="n">
        <v>9.997528</v>
      </c>
      <c r="BS48" s="0" t="n">
        <v>7.753</v>
      </c>
      <c r="BT48" s="0" t="n">
        <v>5.10853</v>
      </c>
      <c r="BU48" s="0" t="n">
        <v>92.0343364197853</v>
      </c>
      <c r="BV48" s="0" t="n">
        <v>3427.97617364</v>
      </c>
    </row>
    <row r="49" customFormat="false" ht="12.75" hidden="false" customHeight="false" outlineLevel="0" collapsed="false">
      <c r="A49" s="600" t="s">
        <v>869</v>
      </c>
      <c r="B49" s="596" t="n">
        <f aca="false">Rdson2*1000</f>
        <v>5.7</v>
      </c>
      <c r="C49" s="609" t="s">
        <v>828</v>
      </c>
      <c r="D49" s="603" t="s">
        <v>870</v>
      </c>
      <c r="G49" s="0" t="n">
        <v>40</v>
      </c>
      <c r="H49" s="586" t="n">
        <f aca="false">Vin</f>
        <v>12</v>
      </c>
      <c r="I49" s="385" t="str">
        <f aca="false">IF(H49&gt;VIN_BB_to_buck, "BUCK", IF(H49&lt;VIN_boost_to_BB,"BOOST","BUCK-BST"))</f>
        <v>BUCK-BST</v>
      </c>
      <c r="J49" s="419" t="n">
        <f aca="false">IF(I49="BOOST",2, IF(I49="BUCK", 1,3))</f>
        <v>3</v>
      </c>
      <c r="K49" s="488" t="n">
        <f aca="false">Iout*G49/100</f>
        <v>2.4</v>
      </c>
      <c r="L49" s="385" t="n">
        <f aca="false">Vout*K49/(Vin*Efficiency)</f>
        <v>2.66666666666667</v>
      </c>
      <c r="M49" s="385" t="n">
        <f aca="false">K49/(1-O49)</f>
        <v>2.5130890052356</v>
      </c>
      <c r="N49" s="488" t="n">
        <f aca="false">CHOOSE(J49,(Vout+(Rdson2+Rs+Rdcr)*K49)/(Vin+(Rs+Rdson2-Rdson1)*K49), 1, IF(Vin&lt;Vout, D_max_buck_BB, Vout/Vin*(1-D_min_boost_exitBB_to_buck)))</f>
        <v>0.955</v>
      </c>
      <c r="O49" s="488" t="n">
        <f aca="false">CHOOSE(J49,0,(Vout+(Rdson3+Rdcr)*L49-Vin)/(Vout+(Rdson3-Rdson4-Rs)*L49), IF(Vin&gt;Vout,D_min_boost_exitBB_to_buck, (Vout-Vin*D_max_buck_BB)/Vout))</f>
        <v>0.0450000000000001</v>
      </c>
      <c r="P49" s="385" t="n">
        <f aca="false">MAX(0, CHOOSE(J49, (Vin-(Rdson1+Rdcr)*K49-Vout)*N49/(Fsw*Lf), (Vin-(Rdson4+Rdcr+Rs)*L49)*O49/(Fsw*Lf), IF(Vin&lt;Vout, (Vin-(Rdson4+Rdcr+Rs)*L49)*O49/(0.5*Fsw*Lf),(Vin-(Rdson1+Rdcr)*K49-Vout)*N49/(0.5*Fsw*Lf))))</f>
        <v>0</v>
      </c>
      <c r="Q49" s="385" t="n">
        <f aca="false">CHOOSE(J49, SQRT(K49^2+(P49^2)/12), SQRT(L49^2+(P49^2)/12), SQRT(M49^2+(P49^2)/12))</f>
        <v>2.5130890052356</v>
      </c>
      <c r="R49" s="488" t="n">
        <f aca="false">(Q49^2*Rdcr*(1+Ltc*Ta-Ltc*25))/(1-Q49^2*Rdcr*Ltc*ThetaCa)</f>
        <v>0.0211931860392259</v>
      </c>
      <c r="S49" s="488" t="n">
        <f aca="false">7.759*10^-3*Fsw^0.9458*(0.00787*P49)^2.304</f>
        <v>0</v>
      </c>
      <c r="T49" s="488" t="n">
        <f aca="false">R49+S49</f>
        <v>0.0211931860392259</v>
      </c>
      <c r="U49" s="385" t="n">
        <f aca="false">IF(Vin&gt;Vout, P49/SQRT(12), SQRT(O49/(1-O49))*SQRT(K49^2+(P49^2)/12))</f>
        <v>0.520973715810544</v>
      </c>
      <c r="V49" s="488" t="n">
        <f aca="false">RCoutEsr*U49^2</f>
        <v>0.00135706806282723</v>
      </c>
      <c r="W49" s="488" t="n">
        <f aca="false">V49</f>
        <v>0.00135706806282723</v>
      </c>
      <c r="X49" s="385" t="n">
        <f aca="false">IF(Vin&gt;Vout, SQRT(N49*(1-N49))*SQRT(K49^2+(P49^2)/12), P49/SQRT(12))</f>
        <v>0</v>
      </c>
      <c r="Y49" s="587" t="n">
        <f aca="false">RCinEsr*X49^2</f>
        <v>0</v>
      </c>
      <c r="Z49" s="588" t="n">
        <f aca="false">Y49</f>
        <v>0</v>
      </c>
      <c r="AA49" s="488" t="n">
        <f aca="false">CHOOSE(J49, SQRT(N49)*SQRT(K49^2+(P49^2)/12), SQRT(L49^2+(P49^2)/12), SQRT(N49)*SQRT(M49^2+(P49^2)/12))</f>
        <v>2.45589364846392</v>
      </c>
      <c r="AB49" s="488" t="n">
        <f aca="false">Rdson1*AA49^2</f>
        <v>0.0343790575916231</v>
      </c>
      <c r="AC49" s="488" t="n">
        <f aca="false">CHOOSE(J49, (Vin*K49/2)*(Fsw)*(Tr_buck+Tf_buck), 0, (Vin*K49/2)*(Fsw/2)*(Tr_buck+Tf_buck))</f>
        <v>0.0146644476327116</v>
      </c>
      <c r="AD49" s="488" t="n">
        <f aca="false">CHOOSE(J49, IF(K49&gt;P49/2,0,ABS(K49-P49/2)*Vsd_Q1*Deadtime*Fsw),0, IF(K49&gt;P49/2,0,ABS(K49-P49/2)*Vsd_Q1*Deadtime*Fsw/2))</f>
        <v>0</v>
      </c>
      <c r="AE49" s="488" t="n">
        <f aca="false">(AD49+AC49+AB49*(1+RdsonTopTc*Ta-RdsonTopTc*25))/(1-AB49*RdsonTopTc*ThetaJA_Q1)</f>
        <v>0.0493830537944244</v>
      </c>
      <c r="AF49" s="488" t="n">
        <f aca="false">CHOOSE(J49, SQRT((1-N49))*SQRT(K49^2+(P49^2)/12), 0, SQRT((1-N49))*SQRT(M49^2+(P49^2)/12))</f>
        <v>0.533106683198235</v>
      </c>
      <c r="AG49" s="488" t="n">
        <f aca="false">Rdson2*AF49^2</f>
        <v>0.00161995559332255</v>
      </c>
      <c r="AH49" s="488" t="n">
        <f aca="false">CHOOSE(J49, IF(K49&lt;P49/2,Deadtime*Fsw*IF(VfdSky_Q2&gt;0,0,Vsd_Q2)*(K49+P49/2),2*Deadtime*Fsw*IF(VfdSky_Q2&gt;0,0,Vsd_Q2)*K49),0, IF(K49&lt;P49/2,Deadtime*Fsw/2*IF(VfdSky_Q2&gt;0,0,Vsd_Q2)*(K49+P49/2),2*Deadtime*Fsw/2*IF(VfdSky_Q2&gt;0,0,Vsd_Q2)*K49))</f>
        <v>0.0288</v>
      </c>
      <c r="AI49" s="488" t="n">
        <f aca="false">(AH49+AG49*(1+RdsonBotTc*Ta-RdsonBotTc*25))/(1-AG49*RdsonBotTc*ThetaJA_Q2)</f>
        <v>0.0304298145829901</v>
      </c>
      <c r="AJ49" s="488" t="n">
        <f aca="false">CHOOSE(J49, 0, SQRT(O49)*SQRT(L49^2+(P49^2)/12), SQRT(O49)*SQRT(M49^2+(P49^2)/12))</f>
        <v>0.533106683198235</v>
      </c>
      <c r="AK49" s="488" t="n">
        <f aca="false">Rdson4*AJ49^2</f>
        <v>0.000539985197774185</v>
      </c>
      <c r="AL49" s="488" t="n">
        <f aca="false">CHOOSE(J49, 0, (Vout*L49/2)*(Fsw)*(Tr_boost+Tf_boost), (Vout*Iout/2)*(Fsw/2)*(Tr_boost+Tf_boost))</f>
        <v>0.0349071770123085</v>
      </c>
      <c r="AM49" s="488" t="n">
        <f aca="false">IF(H49&gt;Vout, 0, IF(L49&gt;P49/2,0,ABS(L49-P49/2)*Vsd_Q4*Deadtime*Fsw))</f>
        <v>0</v>
      </c>
      <c r="AN49" s="488" t="n">
        <f aca="false">(AM49+AL49+AK49*(1+RdsonTopTc*Ta-RdsonTopTc*25))/(1-AK49*RdsonTopTc*ThetaJA_Q4)</f>
        <v>0.0354509908121397</v>
      </c>
      <c r="AO49" s="488" t="n">
        <f aca="false">CHOOSE(J49, SQRT(K49^2+(P49^2)/12), SQRT(1-O49)*SQRT(L49^2+(P49^2)/12), SQRT(1-O49)*SQRT(M49^2+(P49^2)/12))</f>
        <v>2.45589364846392</v>
      </c>
      <c r="AP49" s="488" t="n">
        <f aca="false">Rdson3*AO49^2</f>
        <v>0.0114596858638743</v>
      </c>
      <c r="AQ49" s="488" t="n">
        <f aca="false">CHOOSE(J49, 0, IF(L49&lt;P49/2,Deadtime*Fsw*IF(VfdSky_Q3&gt;0,0,Vsd_Q3)*(L49+P49/2), 2*Deadtime*Fsw*IF(VfdSky_Q3&gt;0,0,Vsd_Q3)*L49), IF(L49&lt;P49/2,Deadtime*Fsw/2*IF(VfdSky_Q3&gt;0,0,Vsd_Q3)*(L49+P49/2), 2*Deadtime*Fsw/2*IF(VfdSky_Q3&gt;0,0,Vsd_Q3)*L49))</f>
        <v>0.032</v>
      </c>
      <c r="AR49" s="488" t="n">
        <f aca="false">(AQ49+AP49*(1+RdsonBotTc*Ta-RdsonBotTc*25))/(1-AP49*RdsonBotTc*ThetaJA_Q3)</f>
        <v>0.0435595215505443</v>
      </c>
      <c r="AS49" s="488" t="n">
        <f aca="false">CHOOSE(J49, Rdson3*Q49^2, Rdson1*Q49^2, 0)</f>
        <v>0</v>
      </c>
      <c r="AT49" s="488" t="n">
        <f aca="false">CHOOSE(J49, 2*Deadtime*Fsw*IF(VfdSky_Q2&gt;0,VfdSky_Q2,0)*K49, 2*Deadtime*Fsw*IF(VfdSky_Q3&gt;0,VfdSky_Q3,0)*L49, 2*Deadtime*Fsw/2*IF(VfdSky_Q2&gt;0,VfdSky_Q2,0)*K49+2*Deadtime*Fsw/2*IF(VfdSky_Q3&gt;0,VfdSky_Q3,0)*L49)</f>
        <v>0</v>
      </c>
      <c r="AU49" s="488" t="n">
        <f aca="false">CHOOSE(J49, IF(QrrSky_Q2&gt;0,QrrSky_Q2,Qrr_Q2*K49/Iout)*Fsw*(Vin-K49*Rdson1), IF(QrrSky_Q3&gt;0,QrrSky_Q3,Qrr_Q3)*Fsw*Vout,  IF(QrrSky_Q2&gt;0,QrrSky_Q2,Qrr_Q2*K49/Iout)*Fsw/2*(Vin-K49*Rdson1)+IF(QrrSky_Q3&gt;0,QrrSky_Q3,Qrr_Q3)*Fsw/2*Vout)</f>
        <v>0.1047082896</v>
      </c>
      <c r="AV49" s="488" t="n">
        <f aca="false">CHOOSE(J49, Rs*AF49^2, Rs*AJ49^2, Rs*(AF49^2+AJ49^2))</f>
        <v>0.00454724377072997</v>
      </c>
      <c r="AW49" s="488" t="n">
        <f aca="false">Rshunt_std/1000*Iout^2</f>
        <v>0.14832</v>
      </c>
      <c r="AX49" s="488" t="n">
        <f aca="false">IF(Vout&gt;8, Iq*Vout, Iq*Vin)</f>
        <v>0.036</v>
      </c>
      <c r="AY49" s="488" t="n">
        <f aca="false">CHOOSE(J49, (Qg_Q1+Qg_Q2)*Fsw, (Qg_Q3+Qg_Q4)*Fsw, (Qg_Q1+Qg_Q2+Qg_Q3+Qg_Q4)*Fsw/2)*IF(Vout&gt;8, Vout, Vin)</f>
        <v>0.1188</v>
      </c>
      <c r="AZ49" s="488" t="n">
        <f aca="false">(Vin-Vdd)*Fsw*(Qg_Q1+Qg_Q2)+(RdsonDRT+RdsonDRT2)*Fsw*Qg_Q1*Vdd/(RdsonDRT+2*Rgate1+RdsonDRT2)+(RdsonDRB+RdsonDRB2)*Fsw*Qg_Q2*Vdd/(RdsonDRB+2*Rgate2+RdsonDRB2)</f>
        <v>0.0522</v>
      </c>
      <c r="BA49" s="488" t="n">
        <f aca="false">SUM(AX49:AY49)</f>
        <v>0.1548</v>
      </c>
      <c r="BB49" s="488" t="n">
        <f aca="false">SUM(T49,W49,Z49,AE49,AI49,AN49,AR49, AT49,AU49,BA49,AV49,AW49)</f>
        <v>0.593749168212882</v>
      </c>
      <c r="BC49" s="419" t="n">
        <f aca="false">Vout*K49</f>
        <v>28.8</v>
      </c>
      <c r="BD49" s="589" t="n">
        <f aca="false">BC49/(BC49+BB49)</f>
        <v>0.979800155304619</v>
      </c>
      <c r="BE49" s="590" t="n">
        <f aca="false">IF(Vin&gt;Vout,ThetaJA_Q1*BK49,ThetaJA_Q4*BK49)</f>
        <v>5.22792309740699</v>
      </c>
      <c r="BF49" s="590" t="n">
        <f aca="false">IF(Vin&gt;Vout, ThetaJA_Q2*BL49, ThetaJA_Q3*BL49)</f>
        <v>3.90566285592722</v>
      </c>
      <c r="BG49" s="536"/>
      <c r="BH49" s="385" t="n">
        <f aca="false">BD49*100</f>
        <v>97.9800155304619</v>
      </c>
      <c r="BI49" s="488" t="n">
        <f aca="false">T49</f>
        <v>0.0211931860392259</v>
      </c>
      <c r="BJ49" s="488" t="n">
        <f aca="false">AE49+AI49+AN49+AR49+AU49</f>
        <v>0.263531670340099</v>
      </c>
      <c r="BK49" s="488" t="n">
        <f aca="false">IF(Vin&gt;Vout, AE49+AU49*0.66, AN49+AU49*0.66)</f>
        <v>0.10455846194814</v>
      </c>
      <c r="BL49" s="488" t="n">
        <f aca="false">IF(Vin&gt;Vout, AI49+AU49*0.33, AR49+AU49*0.33)</f>
        <v>0.0781132571185443</v>
      </c>
      <c r="BM49" s="488" t="n">
        <f aca="false">AV49</f>
        <v>0.00454724377072997</v>
      </c>
      <c r="BR49" s="0" t="n">
        <v>9.997009</v>
      </c>
      <c r="BS49" s="0" t="n">
        <v>8.612</v>
      </c>
      <c r="BT49" s="0" t="n">
        <v>5.108542</v>
      </c>
      <c r="BU49" s="0" t="n">
        <v>91.3463782566589</v>
      </c>
      <c r="BV49" s="0" t="n">
        <v>4167.806561282</v>
      </c>
    </row>
    <row r="50" customFormat="false" ht="12.75" hidden="false" customHeight="false" outlineLevel="0" collapsed="false">
      <c r="A50" s="600" t="s">
        <v>670</v>
      </c>
      <c r="B50" s="596" t="n">
        <f aca="false">RdsonBotTc*1000000</f>
        <v>4000</v>
      </c>
      <c r="C50" s="597" t="s">
        <v>831</v>
      </c>
      <c r="D50" s="598" t="s">
        <v>871</v>
      </c>
      <c r="G50" s="0" t="n">
        <v>41</v>
      </c>
      <c r="H50" s="586" t="n">
        <f aca="false">Vin</f>
        <v>12</v>
      </c>
      <c r="I50" s="385" t="str">
        <f aca="false">IF(H50&gt;VIN_BB_to_buck, "BUCK", IF(H50&lt;VIN_boost_to_BB,"BOOST","BUCK-BST"))</f>
        <v>BUCK-BST</v>
      </c>
      <c r="J50" s="419" t="n">
        <f aca="false">IF(I50="BOOST",2, IF(I50="BUCK", 1,3))</f>
        <v>3</v>
      </c>
      <c r="K50" s="488" t="n">
        <f aca="false">Iout*G50/100</f>
        <v>2.46</v>
      </c>
      <c r="L50" s="385" t="n">
        <f aca="false">Vout*K50/(Vin*Efficiency)</f>
        <v>2.73333333333333</v>
      </c>
      <c r="M50" s="385" t="n">
        <f aca="false">K50/(1-O50)</f>
        <v>2.57591623036649</v>
      </c>
      <c r="N50" s="488" t="n">
        <f aca="false">CHOOSE(J50,(Vout+(Rdson2+Rs+Rdcr)*K50)/(Vin+(Rs+Rdson2-Rdson1)*K50), 1, IF(Vin&lt;Vout, D_max_buck_BB, Vout/Vin*(1-D_min_boost_exitBB_to_buck)))</f>
        <v>0.955</v>
      </c>
      <c r="O50" s="488" t="n">
        <f aca="false">CHOOSE(J50,0,(Vout+(Rdson3+Rdcr)*L50-Vin)/(Vout+(Rdson3-Rdson4-Rs)*L50), IF(Vin&gt;Vout,D_min_boost_exitBB_to_buck, (Vout-Vin*D_max_buck_BB)/Vout))</f>
        <v>0.0450000000000001</v>
      </c>
      <c r="P50" s="385" t="n">
        <f aca="false">MAX(0, CHOOSE(J50, (Vin-(Rdson1+Rdcr)*K50-Vout)*N50/(Fsw*Lf), (Vin-(Rdson4+Rdcr+Rs)*L50)*O50/(Fsw*Lf), IF(Vin&lt;Vout, (Vin-(Rdson4+Rdcr+Rs)*L50)*O50/(0.5*Fsw*Lf),(Vin-(Rdson1+Rdcr)*K50-Vout)*N50/(0.5*Fsw*Lf))))</f>
        <v>0</v>
      </c>
      <c r="Q50" s="385" t="n">
        <f aca="false">CHOOSE(J50, SQRT(K50^2+(P50^2)/12), SQRT(L50^2+(P50^2)/12), SQRT(M50^2+(P50^2)/12))</f>
        <v>2.57591623036649</v>
      </c>
      <c r="R50" s="488" t="n">
        <f aca="false">(Q50^2*Rdcr*(1+Ltc*Ta-Ltc*25))/(1-Q50^2*Rdcr*Ltc*ThetaCa)</f>
        <v>0.0222680023986279</v>
      </c>
      <c r="S50" s="488" t="n">
        <f aca="false">7.759*10^-3*Fsw^0.9458*(0.00787*P50)^2.304</f>
        <v>0</v>
      </c>
      <c r="T50" s="488" t="n">
        <f aca="false">R50+S50</f>
        <v>0.0222680023986279</v>
      </c>
      <c r="U50" s="385" t="n">
        <f aca="false">IF(Vin&gt;Vout, P50/SQRT(12), SQRT(O50/(1-O50))*SQRT(K50^2+(P50^2)/12))</f>
        <v>0.533998058705808</v>
      </c>
      <c r="V50" s="488" t="n">
        <f aca="false">RCoutEsr*U50^2</f>
        <v>0.00142576963350786</v>
      </c>
      <c r="W50" s="488" t="n">
        <f aca="false">V50</f>
        <v>0.00142576963350786</v>
      </c>
      <c r="X50" s="385" t="n">
        <f aca="false">IF(Vin&gt;Vout, SQRT(N50*(1-N50))*SQRT(K50^2+(P50^2)/12), P50/SQRT(12))</f>
        <v>0</v>
      </c>
      <c r="Y50" s="587" t="n">
        <f aca="false">RCinEsr*X50^2</f>
        <v>0</v>
      </c>
      <c r="Z50" s="588" t="n">
        <f aca="false">Y50</f>
        <v>0</v>
      </c>
      <c r="AA50" s="488" t="n">
        <f aca="false">CHOOSE(J50, SQRT(N50)*SQRT(K50^2+(P50^2)/12), SQRT(L50^2+(P50^2)/12), SQRT(N50)*SQRT(M50^2+(P50^2)/12))</f>
        <v>2.51729098967552</v>
      </c>
      <c r="AB50" s="488" t="n">
        <f aca="false">Rdson1*AA50^2</f>
        <v>0.036119497382199</v>
      </c>
      <c r="AC50" s="488" t="n">
        <f aca="false">CHOOSE(J50, (Vin*K50/2)*(Fsw)*(Tr_buck+Tf_buck), 0, (Vin*K50/2)*(Fsw/2)*(Tr_buck+Tf_buck))</f>
        <v>0.0150310588235294</v>
      </c>
      <c r="AD50" s="488" t="n">
        <f aca="false">CHOOSE(J50, IF(K50&gt;P50/2,0,ABS(K50-P50/2)*Vsd_Q1*Deadtime*Fsw),0, IF(K50&gt;P50/2,0,ABS(K50-P50/2)*Vsd_Q1*Deadtime*Fsw/2))</f>
        <v>0</v>
      </c>
      <c r="AE50" s="488" t="n">
        <f aca="false">(AD50+AC50+AB50*(1+RdsonTopTc*Ta-RdsonTopTc*25))/(1-AB50*RdsonTopTc*ThetaJA_Q1)</f>
        <v>0.0515227513824649</v>
      </c>
      <c r="AF50" s="488" t="n">
        <f aca="false">CHOOSE(J50, SQRT((1-N50))*SQRT(K50^2+(P50^2)/12), 0, SQRT((1-N50))*SQRT(M50^2+(P50^2)/12))</f>
        <v>0.546434350278191</v>
      </c>
      <c r="AG50" s="488" t="n">
        <f aca="false">Rdson2*AF50^2</f>
        <v>0.00170196584523451</v>
      </c>
      <c r="AH50" s="488" t="n">
        <f aca="false">CHOOSE(J50, IF(K50&lt;P50/2,Deadtime*Fsw*IF(VfdSky_Q2&gt;0,0,Vsd_Q2)*(K50+P50/2),2*Deadtime*Fsw*IF(VfdSky_Q2&gt;0,0,Vsd_Q2)*K50),0, IF(K50&lt;P50/2,Deadtime*Fsw/2*IF(VfdSky_Q2&gt;0,0,Vsd_Q2)*(K50+P50/2),2*Deadtime*Fsw/2*IF(VfdSky_Q2&gt;0,0,Vsd_Q2)*K50))</f>
        <v>0.02952</v>
      </c>
      <c r="AI50" s="488" t="n">
        <f aca="false">(AH50+AG50*(1+RdsonBotTc*Ta-RdsonBotTc*25))/(1-AG50*RdsonBotTc*ThetaJA_Q2)</f>
        <v>0.0312325972079757</v>
      </c>
      <c r="AJ50" s="488" t="n">
        <f aca="false">CHOOSE(J50, 0, SQRT(O50)*SQRT(L50^2+(P50^2)/12), SQRT(O50)*SQRT(M50^2+(P50^2)/12))</f>
        <v>0.546434350278191</v>
      </c>
      <c r="AK50" s="488" t="n">
        <f aca="false">Rdson4*AJ50^2</f>
        <v>0.000567321948411503</v>
      </c>
      <c r="AL50" s="488" t="n">
        <f aca="false">CHOOSE(J50, 0, (Vout*L50/2)*(Fsw)*(Tr_boost+Tf_boost), (Vout*Iout/2)*(Fsw/2)*(Tr_boost+Tf_boost))</f>
        <v>0.0349071770123085</v>
      </c>
      <c r="AM50" s="488" t="n">
        <f aca="false">IF(H50&gt;Vout, 0, IF(L50&gt;P50/2,0,ABS(L50-P50/2)*Vsd_Q4*Deadtime*Fsw))</f>
        <v>0</v>
      </c>
      <c r="AN50" s="488" t="n">
        <f aca="false">(AM50+AL50+AK50*(1+RdsonTopTc*Ta-RdsonTopTc*25))/(1-AK50*RdsonTopTc*ThetaJA_Q4)</f>
        <v>0.0354785245098504</v>
      </c>
      <c r="AO50" s="488" t="n">
        <f aca="false">CHOOSE(J50, SQRT(K50^2+(P50^2)/12), SQRT(1-O50)*SQRT(L50^2+(P50^2)/12), SQRT(1-O50)*SQRT(M50^2+(P50^2)/12))</f>
        <v>2.51729098967552</v>
      </c>
      <c r="AP50" s="488" t="n">
        <f aca="false">Rdson3*AO50^2</f>
        <v>0.012039832460733</v>
      </c>
      <c r="AQ50" s="488" t="n">
        <f aca="false">CHOOSE(J50, 0, IF(L50&lt;P50/2,Deadtime*Fsw*IF(VfdSky_Q3&gt;0,0,Vsd_Q3)*(L50+P50/2), 2*Deadtime*Fsw*IF(VfdSky_Q3&gt;0,0,Vsd_Q3)*L50), IF(L50&lt;P50/2,Deadtime*Fsw/2*IF(VfdSky_Q3&gt;0,0,Vsd_Q3)*(L50+P50/2), 2*Deadtime*Fsw/2*IF(VfdSky_Q3&gt;0,0,Vsd_Q3)*L50))</f>
        <v>0.0328</v>
      </c>
      <c r="AR50" s="488" t="n">
        <f aca="false">(AQ50+AP50*(1+RdsonBotTc*Ta-RdsonBotTc*25))/(1-AP50*RdsonBotTc*ThetaJA_Q3)</f>
        <v>0.0449480658973005</v>
      </c>
      <c r="AS50" s="488" t="n">
        <f aca="false">CHOOSE(J50, Rdson3*Q50^2, Rdson1*Q50^2, 0)</f>
        <v>0</v>
      </c>
      <c r="AT50" s="488" t="n">
        <f aca="false">CHOOSE(J50, 2*Deadtime*Fsw*IF(VfdSky_Q2&gt;0,VfdSky_Q2,0)*K50, 2*Deadtime*Fsw*IF(VfdSky_Q3&gt;0,VfdSky_Q3,0)*L50, 2*Deadtime*Fsw/2*IF(VfdSky_Q2&gt;0,VfdSky_Q2,0)*K50+2*Deadtime*Fsw/2*IF(VfdSky_Q3&gt;0,VfdSky_Q3,0)*L50)</f>
        <v>0</v>
      </c>
      <c r="AU50" s="488" t="n">
        <f aca="false">CHOOSE(J50, IF(QrrSky_Q2&gt;0,QrrSky_Q2,Qrr_Q2*K50/Iout)*Fsw*(Vin-K50*Rdson1), IF(QrrSky_Q3&gt;0,QrrSky_Q3,Qrr_Q3)*Fsw*Vout,  IF(QrrSky_Q2&gt;0,QrrSky_Q2,Qrr_Q2*K50/Iout)*Fsw/2*(Vin-K50*Rdson1)+IF(QrrSky_Q3&gt;0,QrrSky_Q3,Qrr_Q3)*Fsw/2*Vout)</f>
        <v>0.105839671761</v>
      </c>
      <c r="AV50" s="488" t="n">
        <f aca="false">CHOOSE(J50, Rs*AF50^2, Rs*AJ50^2, Rs*(AF50^2+AJ50^2))</f>
        <v>0.00477744798662318</v>
      </c>
      <c r="AW50" s="488" t="n">
        <f aca="false">Rshunt_std/1000*Iout^2</f>
        <v>0.14832</v>
      </c>
      <c r="AX50" s="488" t="n">
        <f aca="false">IF(Vout&gt;8, Iq*Vout, Iq*Vin)</f>
        <v>0.036</v>
      </c>
      <c r="AY50" s="488" t="n">
        <f aca="false">CHOOSE(J50, (Qg_Q1+Qg_Q2)*Fsw, (Qg_Q3+Qg_Q4)*Fsw, (Qg_Q1+Qg_Q2+Qg_Q3+Qg_Q4)*Fsw/2)*IF(Vout&gt;8, Vout, Vin)</f>
        <v>0.1188</v>
      </c>
      <c r="AZ50" s="488" t="n">
        <f aca="false">(Vin-Vdd)*Fsw*(Qg_Q1+Qg_Q2)+(RdsonDRT+RdsonDRT2)*Fsw*Qg_Q1*Vdd/(RdsonDRT+2*Rgate1+RdsonDRT2)+(RdsonDRB+RdsonDRB2)*Fsw*Qg_Q2*Vdd/(RdsonDRB+2*Rgate2+RdsonDRB2)</f>
        <v>0.0522</v>
      </c>
      <c r="BA50" s="488" t="n">
        <f aca="false">SUM(AX50:AY50)</f>
        <v>0.1548</v>
      </c>
      <c r="BB50" s="488" t="n">
        <f aca="false">SUM(T50,W50,Z50,AE50,AI50,AN50,AR50, AT50,AU50,BA50,AV50,AW50)</f>
        <v>0.60061283077735</v>
      </c>
      <c r="BC50" s="419" t="n">
        <f aca="false">Vout*K50</f>
        <v>29.52</v>
      </c>
      <c r="BD50" s="589" t="n">
        <f aca="false">BC50/(BC50+BB50)</f>
        <v>0.980059740678196</v>
      </c>
      <c r="BE50" s="590" t="n">
        <f aca="false">IF(Vin&gt;Vout,ThetaJA_Q1*BK50,ThetaJA_Q4*BK50)</f>
        <v>5.26663539360552</v>
      </c>
      <c r="BF50" s="590" t="n">
        <f aca="false">IF(Vin&gt;Vout, ThetaJA_Q2*BL50, ThetaJA_Q3*BL50)</f>
        <v>3.99375787892152</v>
      </c>
      <c r="BG50" s="536"/>
      <c r="BH50" s="385" t="n">
        <f aca="false">BD50*100</f>
        <v>98.0059740678196</v>
      </c>
      <c r="BI50" s="488" t="n">
        <f aca="false">T50</f>
        <v>0.0222680023986279</v>
      </c>
      <c r="BJ50" s="488" t="n">
        <f aca="false">AE50+AI50+AN50+AR50+AU50</f>
        <v>0.269021610758591</v>
      </c>
      <c r="BK50" s="488" t="n">
        <f aca="false">IF(Vin&gt;Vout, AE50+AU50*0.66, AN50+AU50*0.66)</f>
        <v>0.10533270787211</v>
      </c>
      <c r="BL50" s="488" t="n">
        <f aca="false">IF(Vin&gt;Vout, AI50+AU50*0.33, AR50+AU50*0.33)</f>
        <v>0.0798751575784305</v>
      </c>
      <c r="BM50" s="488" t="n">
        <f aca="false">AV50</f>
        <v>0.00477744798662318</v>
      </c>
      <c r="BR50" s="0" t="n">
        <v>9.996959</v>
      </c>
      <c r="BS50" s="0" t="n">
        <v>9.523</v>
      </c>
      <c r="BT50" s="0" t="n">
        <v>5.108754</v>
      </c>
      <c r="BU50" s="0" t="n">
        <v>90.5478261916519</v>
      </c>
      <c r="BV50" s="0" t="n">
        <v>5078.581624081</v>
      </c>
    </row>
    <row r="51" customFormat="false" ht="12.75" hidden="false" customHeight="false" outlineLevel="0" collapsed="false">
      <c r="A51" s="600" t="s">
        <v>872</v>
      </c>
      <c r="B51" s="596" t="n">
        <f aca="false">Qg_Q2*1000000000</f>
        <v>11</v>
      </c>
      <c r="C51" s="597" t="s">
        <v>110</v>
      </c>
      <c r="D51" s="598" t="s">
        <v>857</v>
      </c>
      <c r="G51" s="0" t="n">
        <v>42</v>
      </c>
      <c r="H51" s="586" t="n">
        <f aca="false">Vin</f>
        <v>12</v>
      </c>
      <c r="I51" s="385" t="str">
        <f aca="false">IF(H51&gt;VIN_BB_to_buck, "BUCK", IF(H51&lt;VIN_boost_to_BB,"BOOST","BUCK-BST"))</f>
        <v>BUCK-BST</v>
      </c>
      <c r="J51" s="419" t="n">
        <f aca="false">IF(I51="BOOST",2, IF(I51="BUCK", 1,3))</f>
        <v>3</v>
      </c>
      <c r="K51" s="488" t="n">
        <f aca="false">Iout*G51/100</f>
        <v>2.52</v>
      </c>
      <c r="L51" s="385" t="n">
        <f aca="false">Vout*K51/(Vin*Efficiency)</f>
        <v>2.8</v>
      </c>
      <c r="M51" s="385" t="n">
        <f aca="false">K51/(1-O51)</f>
        <v>2.63874345549738</v>
      </c>
      <c r="N51" s="488" t="n">
        <f aca="false">CHOOSE(J51,(Vout+(Rdson2+Rs+Rdcr)*K51)/(Vin+(Rs+Rdson2-Rdson1)*K51), 1, IF(Vin&lt;Vout, D_max_buck_BB, Vout/Vin*(1-D_min_boost_exitBB_to_buck)))</f>
        <v>0.955</v>
      </c>
      <c r="O51" s="488" t="n">
        <f aca="false">CHOOSE(J51,0,(Vout+(Rdson3+Rdcr)*L51-Vin)/(Vout+(Rdson3-Rdson4-Rs)*L51), IF(Vin&gt;Vout,D_min_boost_exitBB_to_buck, (Vout-Vin*D_max_buck_BB)/Vout))</f>
        <v>0.0450000000000001</v>
      </c>
      <c r="P51" s="385" t="n">
        <f aca="false">MAX(0, CHOOSE(J51, (Vin-(Rdson1+Rdcr)*K51-Vout)*N51/(Fsw*Lf), (Vin-(Rdson4+Rdcr+Rs)*L51)*O51/(Fsw*Lf), IF(Vin&lt;Vout, (Vin-(Rdson4+Rdcr+Rs)*L51)*O51/(0.5*Fsw*Lf),(Vin-(Rdson1+Rdcr)*K51-Vout)*N51/(0.5*Fsw*Lf))))</f>
        <v>0</v>
      </c>
      <c r="Q51" s="385" t="n">
        <f aca="false">CHOOSE(J51, SQRT(K51^2+(P51^2)/12), SQRT(L51^2+(P51^2)/12), SQRT(M51^2+(P51^2)/12))</f>
        <v>2.63874345549738</v>
      </c>
      <c r="R51" s="488" t="n">
        <f aca="false">(Q51^2*Rdcr*(1+Ltc*Ta-Ltc*25))/(1-Q51^2*Rdcr*Ltc*ThetaCa)</f>
        <v>0.0233695488648599</v>
      </c>
      <c r="S51" s="488" t="n">
        <f aca="false">7.759*10^-3*Fsw^0.9458*(0.00787*P51)^2.304</f>
        <v>0</v>
      </c>
      <c r="T51" s="488" t="n">
        <f aca="false">R51+S51</f>
        <v>0.0233695488648599</v>
      </c>
      <c r="U51" s="385" t="n">
        <f aca="false">IF(Vin&gt;Vout, P51/SQRT(12), SQRT(O51/(1-O51))*SQRT(K51^2+(P51^2)/12))</f>
        <v>0.547022401601071</v>
      </c>
      <c r="V51" s="488" t="n">
        <f aca="false">RCoutEsr*U51^2</f>
        <v>0.00149616753926702</v>
      </c>
      <c r="W51" s="488" t="n">
        <f aca="false">V51</f>
        <v>0.00149616753926702</v>
      </c>
      <c r="X51" s="385" t="n">
        <f aca="false">IF(Vin&gt;Vout, SQRT(N51*(1-N51))*SQRT(K51^2+(P51^2)/12), P51/SQRT(12))</f>
        <v>0</v>
      </c>
      <c r="Y51" s="587" t="n">
        <f aca="false">RCinEsr*X51^2</f>
        <v>0</v>
      </c>
      <c r="Z51" s="588" t="n">
        <f aca="false">Y51</f>
        <v>0</v>
      </c>
      <c r="AA51" s="488" t="n">
        <f aca="false">CHOOSE(J51, SQRT(N51)*SQRT(K51^2+(P51^2)/12), SQRT(L51^2+(P51^2)/12), SQRT(N51)*SQRT(M51^2+(P51^2)/12))</f>
        <v>2.57868833088712</v>
      </c>
      <c r="AB51" s="488" t="n">
        <f aca="false">Rdson1*AA51^2</f>
        <v>0.0379029109947644</v>
      </c>
      <c r="AC51" s="488" t="n">
        <f aca="false">CHOOSE(J51, (Vin*K51/2)*(Fsw)*(Tr_buck+Tf_buck), 0, (Vin*K51/2)*(Fsw/2)*(Tr_buck+Tf_buck))</f>
        <v>0.0153976700143472</v>
      </c>
      <c r="AD51" s="488" t="n">
        <f aca="false">CHOOSE(J51, IF(K51&gt;P51/2,0,ABS(K51-P51/2)*Vsd_Q1*Deadtime*Fsw),0, IF(K51&gt;P51/2,0,ABS(K51-P51/2)*Vsd_Q1*Deadtime*Fsw/2))</f>
        <v>0</v>
      </c>
      <c r="AE51" s="488" t="n">
        <f aca="false">(AD51+AC51+AB51*(1+RdsonTopTc*Ta-RdsonTopTc*25))/(1-AB51*RdsonTopTc*ThetaJA_Q1)</f>
        <v>0.0537077167708108</v>
      </c>
      <c r="AF51" s="488" t="n">
        <f aca="false">CHOOSE(J51, SQRT((1-N51))*SQRT(K51^2+(P51^2)/12), 0, SQRT((1-N51))*SQRT(M51^2+(P51^2)/12))</f>
        <v>0.559762017358147</v>
      </c>
      <c r="AG51" s="488" t="n">
        <f aca="false">Rdson2*AF51^2</f>
        <v>0.00178600104163811</v>
      </c>
      <c r="AH51" s="488" t="n">
        <f aca="false">CHOOSE(J51, IF(K51&lt;P51/2,Deadtime*Fsw*IF(VfdSky_Q2&gt;0,0,Vsd_Q2)*(K51+P51/2),2*Deadtime*Fsw*IF(VfdSky_Q2&gt;0,0,Vsd_Q2)*K51),0, IF(K51&lt;P51/2,Deadtime*Fsw/2*IF(VfdSky_Q2&gt;0,0,Vsd_Q2)*(K51+P51/2),2*Deadtime*Fsw/2*IF(VfdSky_Q2&gt;0,0,Vsd_Q2)*K51))</f>
        <v>0.03024</v>
      </c>
      <c r="AI51" s="488" t="n">
        <f aca="false">(AH51+AG51*(1+RdsonBotTc*Ta-RdsonBotTc*25))/(1-AG51*RdsonBotTc*ThetaJA_Q2)</f>
        <v>0.0320374448236034</v>
      </c>
      <c r="AJ51" s="488" t="n">
        <f aca="false">CHOOSE(J51, 0, SQRT(O51)*SQRT(L51^2+(P51^2)/12), SQRT(O51)*SQRT(M51^2+(P51^2)/12))</f>
        <v>0.559762017358147</v>
      </c>
      <c r="AK51" s="488" t="n">
        <f aca="false">Rdson4*AJ51^2</f>
        <v>0.000595333680546039</v>
      </c>
      <c r="AL51" s="488" t="n">
        <f aca="false">CHOOSE(J51, 0, (Vout*L51/2)*(Fsw)*(Tr_boost+Tf_boost), (Vout*Iout/2)*(Fsw/2)*(Tr_boost+Tf_boost))</f>
        <v>0.0349071770123085</v>
      </c>
      <c r="AM51" s="488" t="n">
        <f aca="false">IF(H51&gt;Vout, 0, IF(L51&gt;P51/2,0,ABS(L51-P51/2)*Vsd_Q4*Deadtime*Fsw))</f>
        <v>0</v>
      </c>
      <c r="AN51" s="488" t="n">
        <f aca="false">(AM51+AL51+AK51*(1+RdsonTopTc*Ta-RdsonTopTc*25))/(1-AK51*RdsonTopTc*ThetaJA_Q4)</f>
        <v>0.0355067383643015</v>
      </c>
      <c r="AO51" s="488" t="n">
        <f aca="false">CHOOSE(J51, SQRT(K51^2+(P51^2)/12), SQRT(1-O51)*SQRT(L51^2+(P51^2)/12), SQRT(1-O51)*SQRT(M51^2+(P51^2)/12))</f>
        <v>2.57868833088712</v>
      </c>
      <c r="AP51" s="488" t="n">
        <f aca="false">Rdson3*AO51^2</f>
        <v>0.0126343036649215</v>
      </c>
      <c r="AQ51" s="488" t="n">
        <f aca="false">CHOOSE(J51, 0, IF(L51&lt;P51/2,Deadtime*Fsw*IF(VfdSky_Q3&gt;0,0,Vsd_Q3)*(L51+P51/2), 2*Deadtime*Fsw*IF(VfdSky_Q3&gt;0,0,Vsd_Q3)*L51), IF(L51&lt;P51/2,Deadtime*Fsw/2*IF(VfdSky_Q3&gt;0,0,Vsd_Q3)*(L51+P51/2), 2*Deadtime*Fsw/2*IF(VfdSky_Q3&gt;0,0,Vsd_Q3)*L51))</f>
        <v>0.0336</v>
      </c>
      <c r="AR51" s="488" t="n">
        <f aca="false">(AQ51+AP51*(1+RdsonBotTc*Ta-RdsonBotTc*25))/(1-AP51*RdsonBotTc*ThetaJA_Q3)</f>
        <v>0.0463514272663987</v>
      </c>
      <c r="AS51" s="488" t="n">
        <f aca="false">CHOOSE(J51, Rdson3*Q51^2, Rdson1*Q51^2, 0)</f>
        <v>0</v>
      </c>
      <c r="AT51" s="488" t="n">
        <f aca="false">CHOOSE(J51, 2*Deadtime*Fsw*IF(VfdSky_Q2&gt;0,VfdSky_Q2,0)*K51, 2*Deadtime*Fsw*IF(VfdSky_Q3&gt;0,VfdSky_Q3,0)*L51, 2*Deadtime*Fsw/2*IF(VfdSky_Q2&gt;0,VfdSky_Q2,0)*K51+2*Deadtime*Fsw/2*IF(VfdSky_Q3&gt;0,VfdSky_Q3,0)*L51)</f>
        <v>0</v>
      </c>
      <c r="AU51" s="488" t="n">
        <f aca="false">CHOOSE(J51, IF(QrrSky_Q2&gt;0,QrrSky_Q2,Qrr_Q2*K51/Iout)*Fsw*(Vin-K51*Rdson1), IF(QrrSky_Q3&gt;0,QrrSky_Q3,Qrr_Q3)*Fsw*Vout,  IF(QrrSky_Q2&gt;0,QrrSky_Q2,Qrr_Q2*K51/Iout)*Fsw/2*(Vin-K51*Rdson1)+IF(QrrSky_Q3&gt;0,QrrSky_Q3,Qrr_Q3)*Fsw/2*Vout)</f>
        <v>0.106970989284</v>
      </c>
      <c r="AV51" s="488" t="n">
        <f aca="false">CHOOSE(J51, Rs*AF51^2, Rs*AJ51^2, Rs*(AF51^2+AJ51^2))</f>
        <v>0.0050133362572298</v>
      </c>
      <c r="AW51" s="488" t="n">
        <f aca="false">Rshunt_std/1000*Iout^2</f>
        <v>0.14832</v>
      </c>
      <c r="AX51" s="488" t="n">
        <f aca="false">IF(Vout&gt;8, Iq*Vout, Iq*Vin)</f>
        <v>0.036</v>
      </c>
      <c r="AY51" s="488" t="n">
        <f aca="false">CHOOSE(J51, (Qg_Q1+Qg_Q2)*Fsw, (Qg_Q3+Qg_Q4)*Fsw, (Qg_Q1+Qg_Q2+Qg_Q3+Qg_Q4)*Fsw/2)*IF(Vout&gt;8, Vout, Vin)</f>
        <v>0.1188</v>
      </c>
      <c r="AZ51" s="488" t="n">
        <f aca="false">(Vin-Vdd)*Fsw*(Qg_Q1+Qg_Q2)+(RdsonDRT+RdsonDRT2)*Fsw*Qg_Q1*Vdd/(RdsonDRT+2*Rgate1+RdsonDRT2)+(RdsonDRB+RdsonDRB2)*Fsw*Qg_Q2*Vdd/(RdsonDRB+2*Rgate2+RdsonDRB2)</f>
        <v>0.0522</v>
      </c>
      <c r="BA51" s="488" t="n">
        <f aca="false">SUM(AX51:AY51)</f>
        <v>0.1548</v>
      </c>
      <c r="BB51" s="488" t="n">
        <f aca="false">SUM(T51,W51,Z51,AE51,AI51,AN51,AR51, AT51,AU51,BA51,AV51,AW51)</f>
        <v>0.607573369170471</v>
      </c>
      <c r="BC51" s="419" t="n">
        <f aca="false">Vout*K51</f>
        <v>30.24</v>
      </c>
      <c r="BD51" s="589" t="n">
        <f aca="false">BC51/(BC51+BB51)</f>
        <v>0.980304014131054</v>
      </c>
      <c r="BE51" s="590" t="n">
        <f aca="false">IF(Vin&gt;Vout,ThetaJA_Q1*BK51,ThetaJA_Q4*BK51)</f>
        <v>5.30537956458707</v>
      </c>
      <c r="BF51" s="590" t="n">
        <f aca="false">IF(Vin&gt;Vout, ThetaJA_Q2*BL51, ThetaJA_Q3*BL51)</f>
        <v>4.08259268650594</v>
      </c>
      <c r="BG51" s="536"/>
      <c r="BH51" s="385" t="n">
        <f aca="false">BD51*100</f>
        <v>98.0304014131054</v>
      </c>
      <c r="BI51" s="488" t="n">
        <f aca="false">T51</f>
        <v>0.0233695488648599</v>
      </c>
      <c r="BJ51" s="488" t="n">
        <f aca="false">AE51+AI51+AN51+AR51+AU51</f>
        <v>0.274574316509114</v>
      </c>
      <c r="BK51" s="488" t="n">
        <f aca="false">IF(Vin&gt;Vout, AE51+AU51*0.66, AN51+AU51*0.66)</f>
        <v>0.106107591291742</v>
      </c>
      <c r="BL51" s="488" t="n">
        <f aca="false">IF(Vin&gt;Vout, AI51+AU51*0.33, AR51+AU51*0.33)</f>
        <v>0.0816518537301187</v>
      </c>
      <c r="BM51" s="488" t="n">
        <f aca="false">AV51</f>
        <v>0.0050133362572298</v>
      </c>
      <c r="BR51" s="0" t="n">
        <v>9.996464</v>
      </c>
      <c r="BS51" s="0" t="n">
        <v>10.493</v>
      </c>
      <c r="BT51" s="0" t="n">
        <v>5.109228</v>
      </c>
      <c r="BU51" s="0" t="n">
        <v>89.6266602591066</v>
      </c>
      <c r="BV51" s="0" t="n">
        <v>6204.922158544</v>
      </c>
    </row>
    <row r="52" customFormat="false" ht="12.75" hidden="false" customHeight="false" outlineLevel="0" collapsed="false">
      <c r="A52" s="600" t="s">
        <v>873</v>
      </c>
      <c r="B52" s="596" t="n">
        <f aca="false">Rgate2</f>
        <v>1.5</v>
      </c>
      <c r="C52" s="601" t="s">
        <v>40</v>
      </c>
      <c r="D52" s="598" t="s">
        <v>651</v>
      </c>
      <c r="G52" s="0" t="n">
        <v>43</v>
      </c>
      <c r="H52" s="586" t="n">
        <f aca="false">Vin</f>
        <v>12</v>
      </c>
      <c r="I52" s="385" t="str">
        <f aca="false">IF(H52&gt;VIN_BB_to_buck, "BUCK", IF(H52&lt;VIN_boost_to_BB,"BOOST","BUCK-BST"))</f>
        <v>BUCK-BST</v>
      </c>
      <c r="J52" s="419" t="n">
        <f aca="false">IF(I52="BOOST",2, IF(I52="BUCK", 1,3))</f>
        <v>3</v>
      </c>
      <c r="K52" s="488" t="n">
        <f aca="false">Iout*G52/100</f>
        <v>2.58</v>
      </c>
      <c r="L52" s="385" t="n">
        <f aca="false">Vout*K52/(Vin*Efficiency)</f>
        <v>2.86666666666667</v>
      </c>
      <c r="M52" s="385" t="n">
        <f aca="false">K52/(1-O52)</f>
        <v>2.70157068062827</v>
      </c>
      <c r="N52" s="488" t="n">
        <f aca="false">CHOOSE(J52,(Vout+(Rdson2+Rs+Rdcr)*K52)/(Vin+(Rs+Rdson2-Rdson1)*K52), 1, IF(Vin&lt;Vout, D_max_buck_BB, Vout/Vin*(1-D_min_boost_exitBB_to_buck)))</f>
        <v>0.955</v>
      </c>
      <c r="O52" s="488" t="n">
        <f aca="false">CHOOSE(J52,0,(Vout+(Rdson3+Rdcr)*L52-Vin)/(Vout+(Rdson3-Rdson4-Rs)*L52), IF(Vin&gt;Vout,D_min_boost_exitBB_to_buck, (Vout-Vin*D_max_buck_BB)/Vout))</f>
        <v>0.0450000000000001</v>
      </c>
      <c r="P52" s="385" t="n">
        <f aca="false">MAX(0, CHOOSE(J52, (Vin-(Rdson1+Rdcr)*K52-Vout)*N52/(Fsw*Lf), (Vin-(Rdson4+Rdcr+Rs)*L52)*O52/(Fsw*Lf), IF(Vin&lt;Vout, (Vin-(Rdson4+Rdcr+Rs)*L52)*O52/(0.5*Fsw*Lf),(Vin-(Rdson1+Rdcr)*K52-Vout)*N52/(0.5*Fsw*Lf))))</f>
        <v>0</v>
      </c>
      <c r="Q52" s="385" t="n">
        <f aca="false">CHOOSE(J52, SQRT(K52^2+(P52^2)/12), SQRT(L52^2+(P52^2)/12), SQRT(M52^2+(P52^2)/12))</f>
        <v>2.70157068062827</v>
      </c>
      <c r="R52" s="488" t="n">
        <f aca="false">(Q52^2*Rdcr*(1+Ltc*Ta-Ltc*25))/(1-Q52^2*Rdcr*Ltc*ThetaCa)</f>
        <v>0.0244978394980925</v>
      </c>
      <c r="S52" s="488" t="n">
        <f aca="false">7.759*10^-3*Fsw^0.9458*(0.00787*P52)^2.304</f>
        <v>0</v>
      </c>
      <c r="T52" s="488" t="n">
        <f aca="false">R52+S52</f>
        <v>0.0244978394980925</v>
      </c>
      <c r="U52" s="385" t="n">
        <f aca="false">IF(Vin&gt;Vout, P52/SQRT(12), SQRT(O52/(1-O52))*SQRT(K52^2+(P52^2)/12))</f>
        <v>0.560046744496335</v>
      </c>
      <c r="V52" s="488" t="n">
        <f aca="false">RCoutEsr*U52^2</f>
        <v>0.00156826178010472</v>
      </c>
      <c r="W52" s="488" t="n">
        <f aca="false">V52</f>
        <v>0.00156826178010472</v>
      </c>
      <c r="X52" s="385" t="n">
        <f aca="false">IF(Vin&gt;Vout, SQRT(N52*(1-N52))*SQRT(K52^2+(P52^2)/12), P52/SQRT(12))</f>
        <v>0</v>
      </c>
      <c r="Y52" s="587" t="n">
        <f aca="false">RCinEsr*X52^2</f>
        <v>0</v>
      </c>
      <c r="Z52" s="588" t="n">
        <f aca="false">Y52</f>
        <v>0</v>
      </c>
      <c r="AA52" s="488" t="n">
        <f aca="false">CHOOSE(J52, SQRT(N52)*SQRT(K52^2+(P52^2)/12), SQRT(L52^2+(P52^2)/12), SQRT(N52)*SQRT(M52^2+(P52^2)/12))</f>
        <v>2.64008567209872</v>
      </c>
      <c r="AB52" s="488" t="n">
        <f aca="false">Rdson1*AA52^2</f>
        <v>0.0397292984293194</v>
      </c>
      <c r="AC52" s="488" t="n">
        <f aca="false">CHOOSE(J52, (Vin*K52/2)*(Fsw)*(Tr_buck+Tf_buck), 0, (Vin*K52/2)*(Fsw/2)*(Tr_buck+Tf_buck))</f>
        <v>0.015764281205165</v>
      </c>
      <c r="AD52" s="488" t="n">
        <f aca="false">CHOOSE(J52, IF(K52&gt;P52/2,0,ABS(K52-P52/2)*Vsd_Q1*Deadtime*Fsw),0, IF(K52&gt;P52/2,0,ABS(K52-P52/2)*Vsd_Q1*Deadtime*Fsw/2))</f>
        <v>0</v>
      </c>
      <c r="AE52" s="488" t="n">
        <f aca="false">(AD52+AC52+AB52*(1+RdsonTopTc*Ta-RdsonTopTc*25))/(1-AB52*RdsonTopTc*ThetaJA_Q1)</f>
        <v>0.0559380555751848</v>
      </c>
      <c r="AF52" s="488" t="n">
        <f aca="false">CHOOSE(J52, SQRT((1-N52))*SQRT(K52^2+(P52^2)/12), 0, SQRT((1-N52))*SQRT(M52^2+(P52^2)/12))</f>
        <v>0.573089684438103</v>
      </c>
      <c r="AG52" s="488" t="n">
        <f aca="false">Rdson2*AF52^2</f>
        <v>0.00187206118253338</v>
      </c>
      <c r="AH52" s="488" t="n">
        <f aca="false">CHOOSE(J52, IF(K52&lt;P52/2,Deadtime*Fsw*IF(VfdSky_Q2&gt;0,0,Vsd_Q2)*(K52+P52/2),2*Deadtime*Fsw*IF(VfdSky_Q2&gt;0,0,Vsd_Q2)*K52),0, IF(K52&lt;P52/2,Deadtime*Fsw/2*IF(VfdSky_Q2&gt;0,0,Vsd_Q2)*(K52+P52/2),2*Deadtime*Fsw/2*IF(VfdSky_Q2&gt;0,0,Vsd_Q2)*K52))</f>
        <v>0.03096</v>
      </c>
      <c r="AI52" s="488" t="n">
        <f aca="false">(AH52+AG52*(1+RdsonBotTc*Ta-RdsonBotTc*25))/(1-AG52*RdsonBotTc*ThetaJA_Q2)</f>
        <v>0.0328443585122606</v>
      </c>
      <c r="AJ52" s="488" t="n">
        <f aca="false">CHOOSE(J52, 0, SQRT(O52)*SQRT(L52^2+(P52^2)/12), SQRT(O52)*SQRT(M52^2+(P52^2)/12))</f>
        <v>0.573089684438103</v>
      </c>
      <c r="AK52" s="488" t="n">
        <f aca="false">Rdson4*AJ52^2</f>
        <v>0.000624020394177792</v>
      </c>
      <c r="AL52" s="488" t="n">
        <f aca="false">CHOOSE(J52, 0, (Vout*L52/2)*(Fsw)*(Tr_boost+Tf_boost), (Vout*Iout/2)*(Fsw/2)*(Tr_boost+Tf_boost))</f>
        <v>0.0349071770123085</v>
      </c>
      <c r="AM52" s="488" t="n">
        <f aca="false">IF(H52&gt;Vout, 0, IF(L52&gt;P52/2,0,ABS(L52-P52/2)*Vsd_Q4*Deadtime*Fsw))</f>
        <v>0</v>
      </c>
      <c r="AN52" s="488" t="n">
        <f aca="false">(AM52+AL52+AK52*(1+RdsonTopTc*Ta-RdsonTopTc*25))/(1-AK52*RdsonTopTc*ThetaJA_Q4)</f>
        <v>0.0355356323983536</v>
      </c>
      <c r="AO52" s="488" t="n">
        <f aca="false">CHOOSE(J52, SQRT(K52^2+(P52^2)/12), SQRT(1-O52)*SQRT(L52^2+(P52^2)/12), SQRT(1-O52)*SQRT(M52^2+(P52^2)/12))</f>
        <v>2.64008567209872</v>
      </c>
      <c r="AP52" s="488" t="n">
        <f aca="false">Rdson3*AO52^2</f>
        <v>0.0132430994764398</v>
      </c>
      <c r="AQ52" s="488" t="n">
        <f aca="false">CHOOSE(J52, 0, IF(L52&lt;P52/2,Deadtime*Fsw*IF(VfdSky_Q3&gt;0,0,Vsd_Q3)*(L52+P52/2), 2*Deadtime*Fsw*IF(VfdSky_Q3&gt;0,0,Vsd_Q3)*L52), IF(L52&lt;P52/2,Deadtime*Fsw/2*IF(VfdSky_Q3&gt;0,0,Vsd_Q3)*(L52+P52/2), 2*Deadtime*Fsw/2*IF(VfdSky_Q3&gt;0,0,Vsd_Q3)*L52))</f>
        <v>0.0344</v>
      </c>
      <c r="AR52" s="488" t="n">
        <f aca="false">(AQ52+AP52*(1+RdsonBotTc*Ta-RdsonBotTc*25))/(1-AP52*RdsonBotTc*ThetaJA_Q3)</f>
        <v>0.0477696230504416</v>
      </c>
      <c r="AS52" s="488" t="n">
        <f aca="false">CHOOSE(J52, Rdson3*Q52^2, Rdson1*Q52^2, 0)</f>
        <v>0</v>
      </c>
      <c r="AT52" s="488" t="n">
        <f aca="false">CHOOSE(J52, 2*Deadtime*Fsw*IF(VfdSky_Q2&gt;0,VfdSky_Q2,0)*K52, 2*Deadtime*Fsw*IF(VfdSky_Q3&gt;0,VfdSky_Q3,0)*L52, 2*Deadtime*Fsw/2*IF(VfdSky_Q2&gt;0,VfdSky_Q2,0)*K52+2*Deadtime*Fsw/2*IF(VfdSky_Q3&gt;0,VfdSky_Q3,0)*L52)</f>
        <v>0</v>
      </c>
      <c r="AU52" s="488" t="n">
        <f aca="false">CHOOSE(J52, IF(QrrSky_Q2&gt;0,QrrSky_Q2,Qrr_Q2*K52/Iout)*Fsw*(Vin-K52*Rdson1), IF(QrrSky_Q3&gt;0,QrrSky_Q3,Qrr_Q3)*Fsw*Vout,  IF(QrrSky_Q2&gt;0,QrrSky_Q2,Qrr_Q2*K52/Iout)*Fsw/2*(Vin-K52*Rdson1)+IF(QrrSky_Q3&gt;0,QrrSky_Q3,Qrr_Q3)*Fsw/2*Vout)</f>
        <v>0.108102242169</v>
      </c>
      <c r="AV52" s="488" t="n">
        <f aca="false">CHOOSE(J52, Rs*AF52^2, Rs*AJ52^2, Rs*(AF52^2+AJ52^2))</f>
        <v>0.00525490858254983</v>
      </c>
      <c r="AW52" s="488" t="n">
        <f aca="false">Rshunt_std/1000*Iout^2</f>
        <v>0.14832</v>
      </c>
      <c r="AX52" s="488" t="n">
        <f aca="false">IF(Vout&gt;8, Iq*Vout, Iq*Vin)</f>
        <v>0.036</v>
      </c>
      <c r="AY52" s="488" t="n">
        <f aca="false">CHOOSE(J52, (Qg_Q1+Qg_Q2)*Fsw, (Qg_Q3+Qg_Q4)*Fsw, (Qg_Q1+Qg_Q2+Qg_Q3+Qg_Q4)*Fsw/2)*IF(Vout&gt;8, Vout, Vin)</f>
        <v>0.1188</v>
      </c>
      <c r="AZ52" s="488" t="n">
        <f aca="false">(Vin-Vdd)*Fsw*(Qg_Q1+Qg_Q2)+(RdsonDRT+RdsonDRT2)*Fsw*Qg_Q1*Vdd/(RdsonDRT+2*Rgate1+RdsonDRT2)+(RdsonDRB+RdsonDRB2)*Fsw*Qg_Q2*Vdd/(RdsonDRB+2*Rgate2+RdsonDRB2)</f>
        <v>0.0522</v>
      </c>
      <c r="BA52" s="488" t="n">
        <f aca="false">SUM(AX52:AY52)</f>
        <v>0.1548</v>
      </c>
      <c r="BB52" s="488" t="n">
        <f aca="false">SUM(T52,W52,Z52,AE52,AI52,AN52,AR52, AT52,AU52,BA52,AV52,AW52)</f>
        <v>0.614630921565988</v>
      </c>
      <c r="BC52" s="419" t="n">
        <f aca="false">Vout*K52</f>
        <v>30.96</v>
      </c>
      <c r="BD52" s="589" t="n">
        <f aca="false">BC52/(BC52+BB52)</f>
        <v>0.980534026728839</v>
      </c>
      <c r="BE52" s="590" t="n">
        <f aca="false">IF(Vin&gt;Vout,ThetaJA_Q1*BK52,ThetaJA_Q4*BK52)</f>
        <v>5.34415561149468</v>
      </c>
      <c r="BF52" s="590" t="n">
        <f aca="false">IF(Vin&gt;Vout, ThetaJA_Q2*BL52, ThetaJA_Q3*BL52)</f>
        <v>4.17216814831058</v>
      </c>
      <c r="BG52" s="536"/>
      <c r="BH52" s="385" t="n">
        <f aca="false">BD52*100</f>
        <v>98.0534026728839</v>
      </c>
      <c r="BI52" s="488" t="n">
        <f aca="false">T52</f>
        <v>0.0244978394980925</v>
      </c>
      <c r="BJ52" s="488" t="n">
        <f aca="false">AE52+AI52+AN52+AR52+AU52</f>
        <v>0.280189911705241</v>
      </c>
      <c r="BK52" s="488" t="n">
        <f aca="false">IF(Vin&gt;Vout, AE52+AU52*0.66, AN52+AU52*0.66)</f>
        <v>0.106883112229894</v>
      </c>
      <c r="BL52" s="488" t="n">
        <f aca="false">IF(Vin&gt;Vout, AI52+AU52*0.33, AR52+AU52*0.33)</f>
        <v>0.0834433629662116</v>
      </c>
      <c r="BM52" s="488" t="n">
        <f aca="false">AV52</f>
        <v>0.00525490858254983</v>
      </c>
      <c r="BR52" s="0" t="n">
        <v>9.995982</v>
      </c>
      <c r="BS52" s="0" t="n">
        <v>11.519</v>
      </c>
      <c r="BT52" s="0" t="n">
        <v>5.110126</v>
      </c>
      <c r="BU52" s="0" t="n">
        <v>88.5913904202203</v>
      </c>
      <c r="BV52" s="0" t="n">
        <v>7580.320730974</v>
      </c>
    </row>
    <row r="53" customFormat="false" ht="12.75" hidden="false" customHeight="false" outlineLevel="0" collapsed="false">
      <c r="A53" s="600" t="s">
        <v>874</v>
      </c>
      <c r="B53" s="596" t="n">
        <f aca="false">Vsd_Q2</f>
        <v>0.8</v>
      </c>
      <c r="C53" s="597" t="s">
        <v>11</v>
      </c>
      <c r="D53" s="598" t="s">
        <v>875</v>
      </c>
      <c r="G53" s="0" t="n">
        <v>44</v>
      </c>
      <c r="H53" s="586" t="n">
        <f aca="false">Vin</f>
        <v>12</v>
      </c>
      <c r="I53" s="385" t="str">
        <f aca="false">IF(H53&gt;VIN_BB_to_buck, "BUCK", IF(H53&lt;VIN_boost_to_BB,"BOOST","BUCK-BST"))</f>
        <v>BUCK-BST</v>
      </c>
      <c r="J53" s="419" t="n">
        <f aca="false">IF(I53="BOOST",2, IF(I53="BUCK", 1,3))</f>
        <v>3</v>
      </c>
      <c r="K53" s="488" t="n">
        <f aca="false">Iout*G53/100</f>
        <v>2.64</v>
      </c>
      <c r="L53" s="385" t="n">
        <f aca="false">Vout*K53/(Vin*Efficiency)</f>
        <v>2.93333333333333</v>
      </c>
      <c r="M53" s="385" t="n">
        <f aca="false">K53/(1-O53)</f>
        <v>2.76439790575916</v>
      </c>
      <c r="N53" s="488" t="n">
        <f aca="false">CHOOSE(J53,(Vout+(Rdson2+Rs+Rdcr)*K53)/(Vin+(Rs+Rdson2-Rdson1)*K53), 1, IF(Vin&lt;Vout, D_max_buck_BB, Vout/Vin*(1-D_min_boost_exitBB_to_buck)))</f>
        <v>0.955</v>
      </c>
      <c r="O53" s="488" t="n">
        <f aca="false">CHOOSE(J53,0,(Vout+(Rdson3+Rdcr)*L53-Vin)/(Vout+(Rdson3-Rdson4-Rs)*L53), IF(Vin&gt;Vout,D_min_boost_exitBB_to_buck, (Vout-Vin*D_max_buck_BB)/Vout))</f>
        <v>0.0450000000000001</v>
      </c>
      <c r="P53" s="385" t="n">
        <f aca="false">MAX(0, CHOOSE(J53, (Vin-(Rdson1+Rdcr)*K53-Vout)*N53/(Fsw*Lf), (Vin-(Rdson4+Rdcr+Rs)*L53)*O53/(Fsw*Lf), IF(Vin&lt;Vout, (Vin-(Rdson4+Rdcr+Rs)*L53)*O53/(0.5*Fsw*Lf),(Vin-(Rdson1+Rdcr)*K53-Vout)*N53/(0.5*Fsw*Lf))))</f>
        <v>0</v>
      </c>
      <c r="Q53" s="385" t="n">
        <f aca="false">CHOOSE(J53, SQRT(K53^2+(P53^2)/12), SQRT(L53^2+(P53^2)/12), SQRT(M53^2+(P53^2)/12))</f>
        <v>2.76439790575916</v>
      </c>
      <c r="R53" s="488" t="n">
        <f aca="false">(Q53^2*Rdcr*(1+Ltc*Ta-Ltc*25))/(1-Q53^2*Rdcr*Ltc*ThetaCa)</f>
        <v>0.0256528887037014</v>
      </c>
      <c r="S53" s="488" t="n">
        <f aca="false">7.759*10^-3*Fsw^0.9458*(0.00787*P53)^2.304</f>
        <v>0</v>
      </c>
      <c r="T53" s="488" t="n">
        <f aca="false">R53+S53</f>
        <v>0.0256528887037014</v>
      </c>
      <c r="U53" s="385" t="n">
        <f aca="false">IF(Vin&gt;Vout, P53/SQRT(12), SQRT(O53/(1-O53))*SQRT(K53^2+(P53^2)/12))</f>
        <v>0.573071087391599</v>
      </c>
      <c r="V53" s="488" t="n">
        <f aca="false">RCoutEsr*U53^2</f>
        <v>0.00164205235602095</v>
      </c>
      <c r="W53" s="488" t="n">
        <f aca="false">V53</f>
        <v>0.00164205235602095</v>
      </c>
      <c r="X53" s="385" t="n">
        <f aca="false">IF(Vin&gt;Vout, SQRT(N53*(1-N53))*SQRT(K53^2+(P53^2)/12), P53/SQRT(12))</f>
        <v>0</v>
      </c>
      <c r="Y53" s="587" t="n">
        <f aca="false">RCinEsr*X53^2</f>
        <v>0</v>
      </c>
      <c r="Z53" s="588" t="n">
        <f aca="false">Y53</f>
        <v>0</v>
      </c>
      <c r="AA53" s="488" t="n">
        <f aca="false">CHOOSE(J53, SQRT(N53)*SQRT(K53^2+(P53^2)/12), SQRT(L53^2+(P53^2)/12), SQRT(N53)*SQRT(M53^2+(P53^2)/12))</f>
        <v>2.70148301331032</v>
      </c>
      <c r="AB53" s="488" t="n">
        <f aca="false">Rdson1*AA53^2</f>
        <v>0.0415986596858639</v>
      </c>
      <c r="AC53" s="488" t="n">
        <f aca="false">CHOOSE(J53, (Vin*K53/2)*(Fsw)*(Tr_buck+Tf_buck), 0, (Vin*K53/2)*(Fsw/2)*(Tr_buck+Tf_buck))</f>
        <v>0.0161308923959828</v>
      </c>
      <c r="AD53" s="488" t="n">
        <f aca="false">CHOOSE(J53, IF(K53&gt;P53/2,0,ABS(K53-P53/2)*Vsd_Q1*Deadtime*Fsw),0, IF(K53&gt;P53/2,0,ABS(K53-P53/2)*Vsd_Q1*Deadtime*Fsw/2))</f>
        <v>0</v>
      </c>
      <c r="AE53" s="488" t="n">
        <f aca="false">(AD53+AC53+AB53*(1+RdsonTopTc*Ta-RdsonTopTc*25))/(1-AB53*RdsonTopTc*ThetaJA_Q1)</f>
        <v>0.0582138759245629</v>
      </c>
      <c r="AF53" s="488" t="n">
        <f aca="false">CHOOSE(J53, SQRT((1-N53))*SQRT(K53^2+(P53^2)/12), 0, SQRT((1-N53))*SQRT(M53^2+(P53^2)/12))</f>
        <v>0.586417351518059</v>
      </c>
      <c r="AG53" s="488" t="n">
        <f aca="false">Rdson2*AF53^2</f>
        <v>0.00196014626792029</v>
      </c>
      <c r="AH53" s="488" t="n">
        <f aca="false">CHOOSE(J53, IF(K53&lt;P53/2,Deadtime*Fsw*IF(VfdSky_Q2&gt;0,0,Vsd_Q2)*(K53+P53/2),2*Deadtime*Fsw*IF(VfdSky_Q2&gt;0,0,Vsd_Q2)*K53),0, IF(K53&lt;P53/2,Deadtime*Fsw/2*IF(VfdSky_Q2&gt;0,0,Vsd_Q2)*(K53+P53/2),2*Deadtime*Fsw/2*IF(VfdSky_Q2&gt;0,0,Vsd_Q2)*K53))</f>
        <v>0.03168</v>
      </c>
      <c r="AI53" s="488" t="n">
        <f aca="false">(AH53+AG53*(1+RdsonBotTc*Ta-RdsonBotTc*25))/(1-AG53*RdsonBotTc*ThetaJA_Q2)</f>
        <v>0.0336533393614308</v>
      </c>
      <c r="AJ53" s="488" t="n">
        <f aca="false">CHOOSE(J53, 0, SQRT(O53)*SQRT(L53^2+(P53^2)/12), SQRT(O53)*SQRT(M53^2+(P53^2)/12))</f>
        <v>0.586417351518059</v>
      </c>
      <c r="AK53" s="488" t="n">
        <f aca="false">Rdson4*AJ53^2</f>
        <v>0.000653382089306764</v>
      </c>
      <c r="AL53" s="488" t="n">
        <f aca="false">CHOOSE(J53, 0, (Vout*L53/2)*(Fsw)*(Tr_boost+Tf_boost), (Vout*Iout/2)*(Fsw/2)*(Tr_boost+Tf_boost))</f>
        <v>0.0349071770123085</v>
      </c>
      <c r="AM53" s="488" t="n">
        <f aca="false">IF(H53&gt;Vout, 0, IF(L53&gt;P53/2,0,ABS(L53-P53/2)*Vsd_Q4*Deadtime*Fsw))</f>
        <v>0</v>
      </c>
      <c r="AN53" s="488" t="n">
        <f aca="false">(AM53+AL53+AK53*(1+RdsonTopTc*Ta-RdsonTopTc*25))/(1-AK53*RdsonTopTc*ThetaJA_Q4)</f>
        <v>0.0355652066354189</v>
      </c>
      <c r="AO53" s="488" t="n">
        <f aca="false">CHOOSE(J53, SQRT(K53^2+(P53^2)/12), SQRT(1-O53)*SQRT(L53^2+(P53^2)/12), SQRT(1-O53)*SQRT(M53^2+(P53^2)/12))</f>
        <v>2.70148301331032</v>
      </c>
      <c r="AP53" s="488" t="n">
        <f aca="false">Rdson3*AO53^2</f>
        <v>0.013866219895288</v>
      </c>
      <c r="AQ53" s="488" t="n">
        <f aca="false">CHOOSE(J53, 0, IF(L53&lt;P53/2,Deadtime*Fsw*IF(VfdSky_Q3&gt;0,0,Vsd_Q3)*(L53+P53/2), 2*Deadtime*Fsw*IF(VfdSky_Q3&gt;0,0,Vsd_Q3)*L53), IF(L53&lt;P53/2,Deadtime*Fsw/2*IF(VfdSky_Q3&gt;0,0,Vsd_Q3)*(L53+P53/2), 2*Deadtime*Fsw/2*IF(VfdSky_Q3&gt;0,0,Vsd_Q3)*L53))</f>
        <v>0.0352</v>
      </c>
      <c r="AR53" s="488" t="n">
        <f aca="false">(AQ53+AP53*(1+RdsonBotTc*Ta-RdsonBotTc*25))/(1-AP53*RdsonBotTc*ThetaJA_Q3)</f>
        <v>0.0492026709061319</v>
      </c>
      <c r="AS53" s="488" t="n">
        <f aca="false">CHOOSE(J53, Rdson3*Q53^2, Rdson1*Q53^2, 0)</f>
        <v>0</v>
      </c>
      <c r="AT53" s="488" t="n">
        <f aca="false">CHOOSE(J53, 2*Deadtime*Fsw*IF(VfdSky_Q2&gt;0,VfdSky_Q2,0)*K53, 2*Deadtime*Fsw*IF(VfdSky_Q3&gt;0,VfdSky_Q3,0)*L53, 2*Deadtime*Fsw/2*IF(VfdSky_Q2&gt;0,VfdSky_Q2,0)*K53+2*Deadtime*Fsw/2*IF(VfdSky_Q3&gt;0,VfdSky_Q3,0)*L53)</f>
        <v>0</v>
      </c>
      <c r="AU53" s="488" t="n">
        <f aca="false">CHOOSE(J53, IF(QrrSky_Q2&gt;0,QrrSky_Q2,Qrr_Q2*K53/Iout)*Fsw*(Vin-K53*Rdson1), IF(QrrSky_Q3&gt;0,QrrSky_Q3,Qrr_Q3)*Fsw*Vout,  IF(QrrSky_Q2&gt;0,QrrSky_Q2,Qrr_Q2*K53/Iout)*Fsw/2*(Vin-K53*Rdson1)+IF(QrrSky_Q3&gt;0,QrrSky_Q3,Qrr_Q3)*Fsw/2*Vout)</f>
        <v>0.109233430416</v>
      </c>
      <c r="AV53" s="488" t="n">
        <f aca="false">CHOOSE(J53, Rs*AF53^2, Rs*AJ53^2, Rs*(AF53^2+AJ53^2))</f>
        <v>0.00550216496258327</v>
      </c>
      <c r="AW53" s="488" t="n">
        <f aca="false">Rshunt_std/1000*Iout^2</f>
        <v>0.14832</v>
      </c>
      <c r="AX53" s="488" t="n">
        <f aca="false">IF(Vout&gt;8, Iq*Vout, Iq*Vin)</f>
        <v>0.036</v>
      </c>
      <c r="AY53" s="488" t="n">
        <f aca="false">CHOOSE(J53, (Qg_Q1+Qg_Q2)*Fsw, (Qg_Q3+Qg_Q4)*Fsw, (Qg_Q1+Qg_Q2+Qg_Q3+Qg_Q4)*Fsw/2)*IF(Vout&gt;8, Vout, Vin)</f>
        <v>0.1188</v>
      </c>
      <c r="AZ53" s="488" t="n">
        <f aca="false">(Vin-Vdd)*Fsw*(Qg_Q1+Qg_Q2)+(RdsonDRT+RdsonDRT2)*Fsw*Qg_Q1*Vdd/(RdsonDRT+2*Rgate1+RdsonDRT2)+(RdsonDRB+RdsonDRB2)*Fsw*Qg_Q2*Vdd/(RdsonDRB+2*Rgate2+RdsonDRB2)</f>
        <v>0.0522</v>
      </c>
      <c r="BA53" s="488" t="n">
        <f aca="false">SUM(AX53:AY53)</f>
        <v>0.1548</v>
      </c>
      <c r="BB53" s="488" t="n">
        <f aca="false">SUM(T53,W53,Z53,AE53,AI53,AN53,AR53, AT53,AU53,BA53,AV53,AW53)</f>
        <v>0.62178562926585</v>
      </c>
      <c r="BC53" s="419" t="n">
        <f aca="false">Vout*K53</f>
        <v>31.68</v>
      </c>
      <c r="BD53" s="589" t="n">
        <f aca="false">BC53/(BC53+BB53)</f>
        <v>0.980750735070742</v>
      </c>
      <c r="BE53" s="590" t="n">
        <f aca="false">IF(Vin&gt;Vout,ThetaJA_Q1*BK53,ThetaJA_Q4*BK53)</f>
        <v>5.38296353549895</v>
      </c>
      <c r="BF53" s="590" t="n">
        <f aca="false">IF(Vin&gt;Vout, ThetaJA_Q2*BL53, ThetaJA_Q3*BL53)</f>
        <v>4.2624851471706</v>
      </c>
      <c r="BG53" s="536"/>
      <c r="BH53" s="385" t="n">
        <f aca="false">BD53*100</f>
        <v>98.0750735070742</v>
      </c>
      <c r="BI53" s="488" t="n">
        <f aca="false">T53</f>
        <v>0.0256528887037014</v>
      </c>
      <c r="BJ53" s="488" t="n">
        <f aca="false">AE53+AI53+AN53+AR53+AU53</f>
        <v>0.285868523243545</v>
      </c>
      <c r="BK53" s="488" t="n">
        <f aca="false">IF(Vin&gt;Vout, AE53+AU53*0.66, AN53+AU53*0.66)</f>
        <v>0.107659270709979</v>
      </c>
      <c r="BL53" s="488" t="n">
        <f aca="false">IF(Vin&gt;Vout, AI53+AU53*0.33, AR53+AU53*0.33)</f>
        <v>0.0852497029434119</v>
      </c>
      <c r="BM53" s="488" t="n">
        <f aca="false">AV53</f>
        <v>0.00550216496258327</v>
      </c>
      <c r="BR53" s="0" t="n">
        <v>9.995574</v>
      </c>
      <c r="BS53" s="0" t="n">
        <v>12.605</v>
      </c>
      <c r="BT53" s="0" t="n">
        <v>5.111198</v>
      </c>
      <c r="BU53" s="0" t="n">
        <v>87.3865080982905</v>
      </c>
      <c r="BV53" s="0" t="n">
        <v>9299.433596102</v>
      </c>
    </row>
    <row r="54" customFormat="false" ht="12.75" hidden="false" customHeight="false" outlineLevel="0" collapsed="false">
      <c r="A54" s="600" t="s">
        <v>677</v>
      </c>
      <c r="B54" s="596" t="n">
        <f aca="false">Qrr_Q2*1000000000</f>
        <v>63</v>
      </c>
      <c r="C54" s="597" t="s">
        <v>110</v>
      </c>
      <c r="D54" s="598" t="s">
        <v>661</v>
      </c>
      <c r="E54" s="308"/>
      <c r="G54" s="0" t="n">
        <v>45</v>
      </c>
      <c r="H54" s="586" t="n">
        <f aca="false">Vin</f>
        <v>12</v>
      </c>
      <c r="I54" s="385" t="str">
        <f aca="false">IF(H54&gt;VIN_BB_to_buck, "BUCK", IF(H54&lt;VIN_boost_to_BB,"BOOST","BUCK-BST"))</f>
        <v>BUCK-BST</v>
      </c>
      <c r="J54" s="419" t="n">
        <f aca="false">IF(I54="BOOST",2, IF(I54="BUCK", 1,3))</f>
        <v>3</v>
      </c>
      <c r="K54" s="488" t="n">
        <f aca="false">Iout*G54/100</f>
        <v>2.7</v>
      </c>
      <c r="L54" s="385" t="n">
        <f aca="false">Vout*K54/(Vin*Efficiency)</f>
        <v>3</v>
      </c>
      <c r="M54" s="385" t="n">
        <f aca="false">K54/(1-O54)</f>
        <v>2.82722513089005</v>
      </c>
      <c r="N54" s="488" t="n">
        <f aca="false">CHOOSE(J54,(Vout+(Rdson2+Rs+Rdcr)*K54)/(Vin+(Rs+Rdson2-Rdson1)*K54), 1, IF(Vin&lt;Vout, D_max_buck_BB, Vout/Vin*(1-D_min_boost_exitBB_to_buck)))</f>
        <v>0.955</v>
      </c>
      <c r="O54" s="488" t="n">
        <f aca="false">CHOOSE(J54,0,(Vout+(Rdson3+Rdcr)*L54-Vin)/(Vout+(Rdson3-Rdson4-Rs)*L54), IF(Vin&gt;Vout,D_min_boost_exitBB_to_buck, (Vout-Vin*D_max_buck_BB)/Vout))</f>
        <v>0.0450000000000001</v>
      </c>
      <c r="P54" s="385" t="n">
        <f aca="false">MAX(0, CHOOSE(J54, (Vin-(Rdson1+Rdcr)*K54-Vout)*N54/(Fsw*Lf), (Vin-(Rdson4+Rdcr+Rs)*L54)*O54/(Fsw*Lf), IF(Vin&lt;Vout, (Vin-(Rdson4+Rdcr+Rs)*L54)*O54/(0.5*Fsw*Lf),(Vin-(Rdson1+Rdcr)*K54-Vout)*N54/(0.5*Fsw*Lf))))</f>
        <v>0</v>
      </c>
      <c r="Q54" s="385" t="n">
        <f aca="false">CHOOSE(J54, SQRT(K54^2+(P54^2)/12), SQRT(L54^2+(P54^2)/12), SQRT(M54^2+(P54^2)/12))</f>
        <v>2.82722513089005</v>
      </c>
      <c r="R54" s="488" t="n">
        <f aca="false">(Q54^2*Rdcr*(1+Ltc*Ta-Ltc*25))/(1-Q54^2*Rdcr*Ltc*ThetaCa)</f>
        <v>0.0268347112327289</v>
      </c>
      <c r="S54" s="488" t="n">
        <f aca="false">7.759*10^-3*Fsw^0.9458*(0.00787*P54)^2.304</f>
        <v>0</v>
      </c>
      <c r="T54" s="488" t="n">
        <f aca="false">R54+S54</f>
        <v>0.0268347112327289</v>
      </c>
      <c r="U54" s="385" t="n">
        <f aca="false">IF(Vin&gt;Vout, P54/SQRT(12), SQRT(O54/(1-O54))*SQRT(K54^2+(P54^2)/12))</f>
        <v>0.586095430286862</v>
      </c>
      <c r="V54" s="488" t="n">
        <f aca="false">RCoutEsr*U54^2</f>
        <v>0.00171753926701571</v>
      </c>
      <c r="W54" s="488" t="n">
        <f aca="false">V54</f>
        <v>0.00171753926701571</v>
      </c>
      <c r="X54" s="385" t="n">
        <f aca="false">IF(Vin&gt;Vout, SQRT(N54*(1-N54))*SQRT(K54^2+(P54^2)/12), P54/SQRT(12))</f>
        <v>0</v>
      </c>
      <c r="Y54" s="587" t="n">
        <f aca="false">RCinEsr*X54^2</f>
        <v>0</v>
      </c>
      <c r="Z54" s="588" t="n">
        <f aca="false">Y54</f>
        <v>0</v>
      </c>
      <c r="AA54" s="488" t="n">
        <f aca="false">CHOOSE(J54, SQRT(N54)*SQRT(K54^2+(P54^2)/12), SQRT(L54^2+(P54^2)/12), SQRT(N54)*SQRT(M54^2+(P54^2)/12))</f>
        <v>2.76288035452192</v>
      </c>
      <c r="AB54" s="488" t="n">
        <f aca="false">Rdson1*AA54^2</f>
        <v>0.0435109947643979</v>
      </c>
      <c r="AC54" s="488" t="n">
        <f aca="false">CHOOSE(J54, (Vin*K54/2)*(Fsw)*(Tr_buck+Tf_buck), 0, (Vin*K54/2)*(Fsw/2)*(Tr_buck+Tf_buck))</f>
        <v>0.0164975035868006</v>
      </c>
      <c r="AD54" s="488" t="n">
        <f aca="false">CHOOSE(J54, IF(K54&gt;P54/2,0,ABS(K54-P54/2)*Vsd_Q1*Deadtime*Fsw),0, IF(K54&gt;P54/2,0,ABS(K54-P54/2)*Vsd_Q1*Deadtime*Fsw/2))</f>
        <v>0</v>
      </c>
      <c r="AE54" s="488" t="n">
        <f aca="false">(AD54+AC54+AB54*(1+RdsonTopTc*Ta-RdsonTopTc*25))/(1-AB54*RdsonTopTc*ThetaJA_Q1)</f>
        <v>0.0605352884751795</v>
      </c>
      <c r="AF54" s="488" t="n">
        <f aca="false">CHOOSE(J54, SQRT((1-N54))*SQRT(K54^2+(P54^2)/12), 0, SQRT((1-N54))*SQRT(M54^2+(P54^2)/12))</f>
        <v>0.599745018598014</v>
      </c>
      <c r="AG54" s="488" t="n">
        <f aca="false">Rdson2*AF54^2</f>
        <v>0.00205025629779886</v>
      </c>
      <c r="AH54" s="488" t="n">
        <f aca="false">CHOOSE(J54, IF(K54&lt;P54/2,Deadtime*Fsw*IF(VfdSky_Q2&gt;0,0,Vsd_Q2)*(K54+P54/2),2*Deadtime*Fsw*IF(VfdSky_Q2&gt;0,0,Vsd_Q2)*K54),0, IF(K54&lt;P54/2,Deadtime*Fsw/2*IF(VfdSky_Q2&gt;0,0,Vsd_Q2)*(K54+P54/2),2*Deadtime*Fsw/2*IF(VfdSky_Q2&gt;0,0,Vsd_Q2)*K54))</f>
        <v>0.0324</v>
      </c>
      <c r="AI54" s="488" t="n">
        <f aca="false">(AH54+AG54*(1+RdsonBotTc*Ta-RdsonBotTc*25))/(1-AG54*RdsonBotTc*ThetaJA_Q2)</f>
        <v>0.0344643884636984</v>
      </c>
      <c r="AJ54" s="488" t="n">
        <f aca="false">CHOOSE(J54, 0, SQRT(O54)*SQRT(L54^2+(P54^2)/12), SQRT(O54)*SQRT(M54^2+(P54^2)/12))</f>
        <v>0.599745018598015</v>
      </c>
      <c r="AK54" s="488" t="n">
        <f aca="false">Rdson4*AJ54^2</f>
        <v>0.000683418765932953</v>
      </c>
      <c r="AL54" s="488" t="n">
        <f aca="false">CHOOSE(J54, 0, (Vout*L54/2)*(Fsw)*(Tr_boost+Tf_boost), (Vout*Iout/2)*(Fsw/2)*(Tr_boost+Tf_boost))</f>
        <v>0.0349071770123085</v>
      </c>
      <c r="AM54" s="488" t="n">
        <f aca="false">IF(H54&gt;Vout, 0, IF(L54&gt;P54/2,0,ABS(L54-P54/2)*Vsd_Q4*Deadtime*Fsw))</f>
        <v>0</v>
      </c>
      <c r="AN54" s="488" t="n">
        <f aca="false">(AM54+AL54+AK54*(1+RdsonTopTc*Ta-RdsonTopTc*25))/(1-AK54*RdsonTopTc*ThetaJA_Q4)</f>
        <v>0.035595461099461</v>
      </c>
      <c r="AO54" s="488" t="n">
        <f aca="false">CHOOSE(J54, SQRT(K54^2+(P54^2)/12), SQRT(1-O54)*SQRT(L54^2+(P54^2)/12), SQRT(1-O54)*SQRT(M54^2+(P54^2)/12))</f>
        <v>2.76288035452192</v>
      </c>
      <c r="AP54" s="488" t="n">
        <f aca="false">Rdson3*AO54^2</f>
        <v>0.014503664921466</v>
      </c>
      <c r="AQ54" s="488" t="n">
        <f aca="false">CHOOSE(J54, 0, IF(L54&lt;P54/2,Deadtime*Fsw*IF(VfdSky_Q3&gt;0,0,Vsd_Q3)*(L54+P54/2), 2*Deadtime*Fsw*IF(VfdSky_Q3&gt;0,0,Vsd_Q3)*L54), IF(L54&lt;P54/2,Deadtime*Fsw/2*IF(VfdSky_Q3&gt;0,0,Vsd_Q3)*(L54+P54/2), 2*Deadtime*Fsw/2*IF(VfdSky_Q3&gt;0,0,Vsd_Q3)*L54))</f>
        <v>0.036</v>
      </c>
      <c r="AR54" s="488" t="n">
        <f aca="false">(AQ54+AP54*(1+RdsonBotTc*Ta-RdsonBotTc*25))/(1-AP54*RdsonBotTc*ThetaJA_Q3)</f>
        <v>0.0506505887549413</v>
      </c>
      <c r="AS54" s="488" t="n">
        <f aca="false">CHOOSE(J54, Rdson3*Q54^2, Rdson1*Q54^2, 0)</f>
        <v>0</v>
      </c>
      <c r="AT54" s="488" t="n">
        <f aca="false">CHOOSE(J54, 2*Deadtime*Fsw*IF(VfdSky_Q2&gt;0,VfdSky_Q2,0)*K54, 2*Deadtime*Fsw*IF(VfdSky_Q3&gt;0,VfdSky_Q3,0)*L54, 2*Deadtime*Fsw/2*IF(VfdSky_Q2&gt;0,VfdSky_Q2,0)*K54+2*Deadtime*Fsw/2*IF(VfdSky_Q3&gt;0,VfdSky_Q3,0)*L54)</f>
        <v>0</v>
      </c>
      <c r="AU54" s="488" t="n">
        <f aca="false">CHOOSE(J54, IF(QrrSky_Q2&gt;0,QrrSky_Q2,Qrr_Q2*K54/Iout)*Fsw*(Vin-K54*Rdson1), IF(QrrSky_Q3&gt;0,QrrSky_Q3,Qrr_Q3)*Fsw*Vout,  IF(QrrSky_Q2&gt;0,QrrSky_Q2,Qrr_Q2*K54/Iout)*Fsw/2*(Vin-K54*Rdson1)+IF(QrrSky_Q3&gt;0,QrrSky_Q3,Qrr_Q3)*Fsw/2*Vout)</f>
        <v>0.110364554025</v>
      </c>
      <c r="AV54" s="488" t="n">
        <f aca="false">CHOOSE(J54, Rs*AF54^2, Rs*AJ54^2, Rs*(AF54^2+AJ54^2))</f>
        <v>0.00575510539733012</v>
      </c>
      <c r="AW54" s="488" t="n">
        <f aca="false">Rshunt_std/1000*Iout^2</f>
        <v>0.14832</v>
      </c>
      <c r="AX54" s="488" t="n">
        <f aca="false">IF(Vout&gt;8, Iq*Vout, Iq*Vin)</f>
        <v>0.036</v>
      </c>
      <c r="AY54" s="488" t="n">
        <f aca="false">CHOOSE(J54, (Qg_Q1+Qg_Q2)*Fsw, (Qg_Q3+Qg_Q4)*Fsw, (Qg_Q1+Qg_Q2+Qg_Q3+Qg_Q4)*Fsw/2)*IF(Vout&gt;8, Vout, Vin)</f>
        <v>0.1188</v>
      </c>
      <c r="AZ54" s="488" t="n">
        <f aca="false">(Vin-Vdd)*Fsw*(Qg_Q1+Qg_Q2)+(RdsonDRT+RdsonDRT2)*Fsw*Qg_Q1*Vdd/(RdsonDRT+2*Rgate1+RdsonDRT2)+(RdsonDRB+RdsonDRB2)*Fsw*Qg_Q2*Vdd/(RdsonDRB+2*Rgate2+RdsonDRB2)</f>
        <v>0.0522</v>
      </c>
      <c r="BA54" s="488" t="n">
        <f aca="false">SUM(AX54:AY54)</f>
        <v>0.1548</v>
      </c>
      <c r="BB54" s="488" t="n">
        <f aca="false">SUM(T54,W54,Z54,AE54,AI54,AN54,AR54, AT54,AU54,BA54,AV54,AW54)</f>
        <v>0.629037636715355</v>
      </c>
      <c r="BC54" s="419" t="n">
        <f aca="false">Vout*K54</f>
        <v>32.4</v>
      </c>
      <c r="BD54" s="589" t="n">
        <f aca="false">BC54/(BC54+BB54)</f>
        <v>0.980955011658708</v>
      </c>
      <c r="BE54" s="590" t="n">
        <f aca="false">IF(Vin&gt;Vout,ThetaJA_Q1*BK54,ThetaJA_Q4*BK54)</f>
        <v>5.42180333779805</v>
      </c>
      <c r="BF54" s="590" t="n">
        <f aca="false">IF(Vin&gt;Vout, ThetaJA_Q2*BL54, ThetaJA_Q3*BL54)</f>
        <v>4.35354457915957</v>
      </c>
      <c r="BG54" s="536"/>
      <c r="BH54" s="385" t="n">
        <f aca="false">BD54*100</f>
        <v>98.0955011658708</v>
      </c>
      <c r="BI54" s="488" t="n">
        <f aca="false">T54</f>
        <v>0.0268347112327289</v>
      </c>
      <c r="BJ54" s="488" t="n">
        <f aca="false">AE54+AI54+AN54+AR54+AU54</f>
        <v>0.29161028081828</v>
      </c>
      <c r="BK54" s="488" t="n">
        <f aca="false">IF(Vin&gt;Vout, AE54+AU54*0.66, AN54+AU54*0.66)</f>
        <v>0.108436066755961</v>
      </c>
      <c r="BL54" s="488" t="n">
        <f aca="false">IF(Vin&gt;Vout, AI54+AU54*0.33, AR54+AU54*0.33)</f>
        <v>0.0870708915831913</v>
      </c>
      <c r="BM54" s="488" t="n">
        <f aca="false">AV54</f>
        <v>0.00575510539733012</v>
      </c>
      <c r="BR54" s="0" t="n">
        <v>9.994967</v>
      </c>
      <c r="BS54" s="0" t="n">
        <v>13.75</v>
      </c>
      <c r="BT54" s="0" t="n">
        <v>5.112233</v>
      </c>
      <c r="BU54" s="0" t="n">
        <v>85.985113444925</v>
      </c>
      <c r="BV54" s="0" t="n">
        <v>11457.23053772</v>
      </c>
    </row>
    <row r="55" customFormat="false" ht="12.75" hidden="false" customHeight="false" outlineLevel="0" collapsed="false">
      <c r="A55" s="600" t="s">
        <v>678</v>
      </c>
      <c r="B55" s="596" t="n">
        <f aca="false">Trr_Q2*1000000000</f>
        <v>40</v>
      </c>
      <c r="C55" s="597" t="s">
        <v>850</v>
      </c>
      <c r="D55" s="625" t="s">
        <v>663</v>
      </c>
      <c r="E55" s="308"/>
      <c r="G55" s="0" t="n">
        <v>46</v>
      </c>
      <c r="H55" s="586" t="n">
        <f aca="false">Vin</f>
        <v>12</v>
      </c>
      <c r="I55" s="385" t="str">
        <f aca="false">IF(H55&gt;VIN_BB_to_buck, "BUCK", IF(H55&lt;VIN_boost_to_BB,"BOOST","BUCK-BST"))</f>
        <v>BUCK-BST</v>
      </c>
      <c r="J55" s="419" t="n">
        <f aca="false">IF(I55="BOOST",2, IF(I55="BUCK", 1,3))</f>
        <v>3</v>
      </c>
      <c r="K55" s="488" t="n">
        <f aca="false">Iout*G55/100</f>
        <v>2.76</v>
      </c>
      <c r="L55" s="385" t="n">
        <f aca="false">Vout*K55/(Vin*Efficiency)</f>
        <v>3.06666666666667</v>
      </c>
      <c r="M55" s="385" t="n">
        <f aca="false">K55/(1-O55)</f>
        <v>2.89005235602094</v>
      </c>
      <c r="N55" s="488" t="n">
        <f aca="false">CHOOSE(J55,(Vout+(Rdson2+Rs+Rdcr)*K55)/(Vin+(Rs+Rdson2-Rdson1)*K55), 1, IF(Vin&lt;Vout, D_max_buck_BB, Vout/Vin*(1-D_min_boost_exitBB_to_buck)))</f>
        <v>0.955</v>
      </c>
      <c r="O55" s="488" t="n">
        <f aca="false">CHOOSE(J55,0,(Vout+(Rdson3+Rdcr)*L55-Vin)/(Vout+(Rdson3-Rdson4-Rs)*L55), IF(Vin&gt;Vout,D_min_boost_exitBB_to_buck, (Vout-Vin*D_max_buck_BB)/Vout))</f>
        <v>0.0450000000000001</v>
      </c>
      <c r="P55" s="385" t="n">
        <f aca="false">MAX(0, CHOOSE(J55, (Vin-(Rdson1+Rdcr)*K55-Vout)*N55/(Fsw*Lf), (Vin-(Rdson4+Rdcr+Rs)*L55)*O55/(Fsw*Lf), IF(Vin&lt;Vout, (Vin-(Rdson4+Rdcr+Rs)*L55)*O55/(0.5*Fsw*Lf),(Vin-(Rdson1+Rdcr)*K55-Vout)*N55/(0.5*Fsw*Lf))))</f>
        <v>0</v>
      </c>
      <c r="Q55" s="385" t="n">
        <f aca="false">CHOOSE(J55, SQRT(K55^2+(P55^2)/12), SQRT(L55^2+(P55^2)/12), SQRT(M55^2+(P55^2)/12))</f>
        <v>2.89005235602094</v>
      </c>
      <c r="R55" s="488" t="n">
        <f aca="false">(Q55^2*Rdcr*(1+Ltc*Ta-Ltc*25))/(1-Q55^2*Rdcr*Ltc*ThetaCa)</f>
        <v>0.0280433221823559</v>
      </c>
      <c r="S55" s="488" t="n">
        <f aca="false">7.759*10^-3*Fsw^0.9458*(0.00787*P55)^2.304</f>
        <v>0</v>
      </c>
      <c r="T55" s="488" t="n">
        <f aca="false">R55+S55</f>
        <v>0.0280433221823559</v>
      </c>
      <c r="U55" s="385" t="n">
        <f aca="false">IF(Vin&gt;Vout, P55/SQRT(12), SQRT(O55/(1-O55))*SQRT(K55^2+(P55^2)/12))</f>
        <v>0.599119773182126</v>
      </c>
      <c r="V55" s="488" t="n">
        <f aca="false">RCoutEsr*U55^2</f>
        <v>0.00179472251308901</v>
      </c>
      <c r="W55" s="488" t="n">
        <f aca="false">V55</f>
        <v>0.00179472251308901</v>
      </c>
      <c r="X55" s="385" t="n">
        <f aca="false">IF(Vin&gt;Vout, SQRT(N55*(1-N55))*SQRT(K55^2+(P55^2)/12), P55/SQRT(12))</f>
        <v>0</v>
      </c>
      <c r="Y55" s="587" t="n">
        <f aca="false">RCinEsr*X55^2</f>
        <v>0</v>
      </c>
      <c r="Z55" s="588" t="n">
        <f aca="false">Y55</f>
        <v>0</v>
      </c>
      <c r="AA55" s="488" t="n">
        <f aca="false">CHOOSE(J55, SQRT(N55)*SQRT(K55^2+(P55^2)/12), SQRT(L55^2+(P55^2)/12), SQRT(N55)*SQRT(M55^2+(P55^2)/12))</f>
        <v>2.82427769573351</v>
      </c>
      <c r="AB55" s="488" t="n">
        <f aca="false">Rdson1*AA55^2</f>
        <v>0.0454663036649215</v>
      </c>
      <c r="AC55" s="488" t="n">
        <f aca="false">CHOOSE(J55, (Vin*K55/2)*(Fsw)*(Tr_buck+Tf_buck), 0, (Vin*K55/2)*(Fsw/2)*(Tr_buck+Tf_buck))</f>
        <v>0.0168641147776184</v>
      </c>
      <c r="AD55" s="488" t="n">
        <f aca="false">CHOOSE(J55, IF(K55&gt;P55/2,0,ABS(K55-P55/2)*Vsd_Q1*Deadtime*Fsw),0, IF(K55&gt;P55/2,0,ABS(K55-P55/2)*Vsd_Q1*Deadtime*Fsw/2))</f>
        <v>0</v>
      </c>
      <c r="AE55" s="488" t="n">
        <f aca="false">(AD55+AC55+AB55*(1+RdsonTopTc*Ta-RdsonTopTc*25))/(1-AB55*RdsonTopTc*ThetaJA_Q1)</f>
        <v>0.0629024064248935</v>
      </c>
      <c r="AF55" s="488" t="n">
        <f aca="false">CHOOSE(J55, SQRT((1-N55))*SQRT(K55^2+(P55^2)/12), 0, SQRT((1-N55))*SQRT(M55^2+(P55^2)/12))</f>
        <v>0.61307268567797</v>
      </c>
      <c r="AG55" s="488" t="n">
        <f aca="false">Rdson2*AF55^2</f>
        <v>0.00214239127216908</v>
      </c>
      <c r="AH55" s="488" t="n">
        <f aca="false">CHOOSE(J55, IF(K55&lt;P55/2,Deadtime*Fsw*IF(VfdSky_Q2&gt;0,0,Vsd_Q2)*(K55+P55/2),2*Deadtime*Fsw*IF(VfdSky_Q2&gt;0,0,Vsd_Q2)*K55),0, IF(K55&lt;P55/2,Deadtime*Fsw/2*IF(VfdSky_Q2&gt;0,0,Vsd_Q2)*(K55+P55/2),2*Deadtime*Fsw/2*IF(VfdSky_Q2&gt;0,0,Vsd_Q2)*K55))</f>
        <v>0.03312</v>
      </c>
      <c r="AI55" s="488" t="n">
        <f aca="false">(AH55+AG55*(1+RdsonBotTc*Ta-RdsonBotTc*25))/(1-AG55*RdsonBotTc*ThetaJA_Q2)</f>
        <v>0.0352775069167535</v>
      </c>
      <c r="AJ55" s="488" t="n">
        <f aca="false">CHOOSE(J55, 0, SQRT(O55)*SQRT(L55^2+(P55^2)/12), SQRT(O55)*SQRT(M55^2+(P55^2)/12))</f>
        <v>0.613072685677971</v>
      </c>
      <c r="AK55" s="488" t="n">
        <f aca="false">Rdson4*AJ55^2</f>
        <v>0.000714130424056359</v>
      </c>
      <c r="AL55" s="488" t="n">
        <f aca="false">CHOOSE(J55, 0, (Vout*L55/2)*(Fsw)*(Tr_boost+Tf_boost), (Vout*Iout/2)*(Fsw/2)*(Tr_boost+Tf_boost))</f>
        <v>0.0349071770123085</v>
      </c>
      <c r="AM55" s="488" t="n">
        <f aca="false">IF(H55&gt;Vout, 0, IF(L55&gt;P55/2,0,ABS(L55-P55/2)*Vsd_Q4*Deadtime*Fsw))</f>
        <v>0</v>
      </c>
      <c r="AN55" s="488" t="n">
        <f aca="false">(AM55+AL55+AK55*(1+RdsonTopTc*Ta-RdsonTopTc*25))/(1-AK55*RdsonTopTc*ThetaJA_Q4)</f>
        <v>0.0356263958149951</v>
      </c>
      <c r="AO55" s="488" t="n">
        <f aca="false">CHOOSE(J55, SQRT(K55^2+(P55^2)/12), SQRT(1-O55)*SQRT(L55^2+(P55^2)/12), SQRT(1-O55)*SQRT(M55^2+(P55^2)/12))</f>
        <v>2.82427769573351</v>
      </c>
      <c r="AP55" s="488" t="n">
        <f aca="false">Rdson3*AO55^2</f>
        <v>0.0151554345549738</v>
      </c>
      <c r="AQ55" s="488" t="n">
        <f aca="false">CHOOSE(J55, 0, IF(L55&lt;P55/2,Deadtime*Fsw*IF(VfdSky_Q3&gt;0,0,Vsd_Q3)*(L55+P55/2), 2*Deadtime*Fsw*IF(VfdSky_Q3&gt;0,0,Vsd_Q3)*L55), IF(L55&lt;P55/2,Deadtime*Fsw/2*IF(VfdSky_Q3&gt;0,0,Vsd_Q3)*(L55+P55/2), 2*Deadtime*Fsw/2*IF(VfdSky_Q3&gt;0,0,Vsd_Q3)*L55))</f>
        <v>0.0368</v>
      </c>
      <c r="AR55" s="488" t="n">
        <f aca="false">(AQ55+AP55*(1+RdsonBotTc*Ta-RdsonBotTc*25))/(1-AP55*RdsonBotTc*ThetaJA_Q3)</f>
        <v>0.0521133947837905</v>
      </c>
      <c r="AS55" s="488" t="n">
        <f aca="false">CHOOSE(J55, Rdson3*Q55^2, Rdson1*Q55^2, 0)</f>
        <v>0</v>
      </c>
      <c r="AT55" s="488" t="n">
        <f aca="false">CHOOSE(J55, 2*Deadtime*Fsw*IF(VfdSky_Q2&gt;0,VfdSky_Q2,0)*K55, 2*Deadtime*Fsw*IF(VfdSky_Q3&gt;0,VfdSky_Q3,0)*L55, 2*Deadtime*Fsw/2*IF(VfdSky_Q2&gt;0,VfdSky_Q2,0)*K55+2*Deadtime*Fsw/2*IF(VfdSky_Q3&gt;0,VfdSky_Q3,0)*L55)</f>
        <v>0</v>
      </c>
      <c r="AU55" s="488" t="n">
        <f aca="false">CHOOSE(J55, IF(QrrSky_Q2&gt;0,QrrSky_Q2,Qrr_Q2*K55/Iout)*Fsw*(Vin-K55*Rdson1), IF(QrrSky_Q3&gt;0,QrrSky_Q3,Qrr_Q3)*Fsw*Vout,  IF(QrrSky_Q2&gt;0,QrrSky_Q2,Qrr_Q2*K55/Iout)*Fsw/2*(Vin-K55*Rdson1)+IF(QrrSky_Q3&gt;0,QrrSky_Q3,Qrr_Q3)*Fsw/2*Vout)</f>
        <v>0.111495612996</v>
      </c>
      <c r="AV55" s="488" t="n">
        <f aca="false">CHOOSE(J55, Rs*AF55^2, Rs*AJ55^2, Rs*(AF55^2+AJ55^2))</f>
        <v>0.00601372988679039</v>
      </c>
      <c r="AW55" s="488" t="n">
        <f aca="false">Rshunt_std/1000*Iout^2</f>
        <v>0.14832</v>
      </c>
      <c r="AX55" s="488" t="n">
        <f aca="false">IF(Vout&gt;8, Iq*Vout, Iq*Vin)</f>
        <v>0.036</v>
      </c>
      <c r="AY55" s="488" t="n">
        <f aca="false">CHOOSE(J55, (Qg_Q1+Qg_Q2)*Fsw, (Qg_Q3+Qg_Q4)*Fsw, (Qg_Q1+Qg_Q2+Qg_Q3+Qg_Q4)*Fsw/2)*IF(Vout&gt;8, Vout, Vin)</f>
        <v>0.1188</v>
      </c>
      <c r="AZ55" s="488" t="n">
        <f aca="false">(Vin-Vdd)*Fsw*(Qg_Q1+Qg_Q2)+(RdsonDRT+RdsonDRT2)*Fsw*Qg_Q1*Vdd/(RdsonDRT+2*Rgate1+RdsonDRT2)+(RdsonDRB+RdsonDRB2)*Fsw*Qg_Q2*Vdd/(RdsonDRB+2*Rgate2+RdsonDRB2)</f>
        <v>0.0522</v>
      </c>
      <c r="BA55" s="488" t="n">
        <f aca="false">SUM(AX55:AY55)</f>
        <v>0.1548</v>
      </c>
      <c r="BB55" s="488" t="n">
        <f aca="false">SUM(T55,W55,Z55,AE55,AI55,AN55,AR55, AT55,AU55,BA55,AV55,AW55)</f>
        <v>0.636387091518668</v>
      </c>
      <c r="BC55" s="419" t="n">
        <f aca="false">Vout*K55</f>
        <v>33.12</v>
      </c>
      <c r="BD55" s="589" t="n">
        <f aca="false">BC55/(BC55+BB55)</f>
        <v>0.981147653930104</v>
      </c>
      <c r="BE55" s="590" t="n">
        <f aca="false">IF(Vin&gt;Vout,ThetaJA_Q1*BK55,ThetaJA_Q4*BK55)</f>
        <v>5.46067501961775</v>
      </c>
      <c r="BF55" s="590" t="n">
        <f aca="false">IF(Vin&gt;Vout, ThetaJA_Q2*BL55, ThetaJA_Q3*BL55)</f>
        <v>4.44534735362352</v>
      </c>
      <c r="BG55" s="536"/>
      <c r="BH55" s="385" t="n">
        <f aca="false">BD55*100</f>
        <v>98.1147653930104</v>
      </c>
      <c r="BI55" s="488" t="n">
        <f aca="false">T55</f>
        <v>0.0280433221823559</v>
      </c>
      <c r="BJ55" s="488" t="n">
        <f aca="false">AE55+AI55+AN55+AR55+AU55</f>
        <v>0.297415316936433</v>
      </c>
      <c r="BK55" s="488" t="n">
        <f aca="false">IF(Vin&gt;Vout, AE55+AU55*0.66, AN55+AU55*0.66)</f>
        <v>0.109213500392355</v>
      </c>
      <c r="BL55" s="488" t="n">
        <f aca="false">IF(Vin&gt;Vout, AI55+AU55*0.33, AR55+AU55*0.33)</f>
        <v>0.0889069470724705</v>
      </c>
      <c r="BM55" s="488" t="n">
        <f aca="false">AV55</f>
        <v>0.00601372988679039</v>
      </c>
      <c r="BR55" s="0" t="n">
        <v>9.994386</v>
      </c>
      <c r="BS55" s="0" t="n">
        <v>14.954</v>
      </c>
      <c r="BT55" s="0" t="n">
        <v>5.113031</v>
      </c>
      <c r="BU55" s="0" t="n">
        <v>84.3526502645786</v>
      </c>
      <c r="BV55" s="0" t="n">
        <v>14183.3185337</v>
      </c>
    </row>
    <row r="56" customFormat="false" ht="12.75" hidden="false" customHeight="false" outlineLevel="0" collapsed="false">
      <c r="A56" s="624" t="s">
        <v>876</v>
      </c>
      <c r="B56" s="596" t="n">
        <f aca="false">ThetaJA_Q2</f>
        <v>50</v>
      </c>
      <c r="C56" s="611" t="s">
        <v>121</v>
      </c>
      <c r="D56" s="625" t="s">
        <v>665</v>
      </c>
      <c r="E56" s="336"/>
      <c r="G56" s="0" t="n">
        <v>47</v>
      </c>
      <c r="H56" s="586" t="n">
        <f aca="false">Vin</f>
        <v>12</v>
      </c>
      <c r="I56" s="385" t="str">
        <f aca="false">IF(H56&gt;VIN_BB_to_buck, "BUCK", IF(H56&lt;VIN_boost_to_BB,"BOOST","BUCK-BST"))</f>
        <v>BUCK-BST</v>
      </c>
      <c r="J56" s="419" t="n">
        <f aca="false">IF(I56="BOOST",2, IF(I56="BUCK", 1,3))</f>
        <v>3</v>
      </c>
      <c r="K56" s="488" t="n">
        <f aca="false">Iout*G56/100</f>
        <v>2.82</v>
      </c>
      <c r="L56" s="385" t="n">
        <f aca="false">Vout*K56/(Vin*Efficiency)</f>
        <v>3.13333333333333</v>
      </c>
      <c r="M56" s="385" t="n">
        <f aca="false">K56/(1-O56)</f>
        <v>2.95287958115183</v>
      </c>
      <c r="N56" s="488" t="n">
        <f aca="false">CHOOSE(J56,(Vout+(Rdson2+Rs+Rdcr)*K56)/(Vin+(Rs+Rdson2-Rdson1)*K56), 1, IF(Vin&lt;Vout, D_max_buck_BB, Vout/Vin*(1-D_min_boost_exitBB_to_buck)))</f>
        <v>0.955</v>
      </c>
      <c r="O56" s="488" t="n">
        <f aca="false">CHOOSE(J56,0,(Vout+(Rdson3+Rdcr)*L56-Vin)/(Vout+(Rdson3-Rdson4-Rs)*L56), IF(Vin&gt;Vout,D_min_boost_exitBB_to_buck, (Vout-Vin*D_max_buck_BB)/Vout))</f>
        <v>0.0450000000000001</v>
      </c>
      <c r="P56" s="385" t="n">
        <f aca="false">MAX(0, CHOOSE(J56, (Vin-(Rdson1+Rdcr)*K56-Vout)*N56/(Fsw*Lf), (Vin-(Rdson4+Rdcr+Rs)*L56)*O56/(Fsw*Lf), IF(Vin&lt;Vout, (Vin-(Rdson4+Rdcr+Rs)*L56)*O56/(0.5*Fsw*Lf),(Vin-(Rdson1+Rdcr)*K56-Vout)*N56/(0.5*Fsw*Lf))))</f>
        <v>0</v>
      </c>
      <c r="Q56" s="385" t="n">
        <f aca="false">CHOOSE(J56, SQRT(K56^2+(P56^2)/12), SQRT(L56^2+(P56^2)/12), SQRT(M56^2+(P56^2)/12))</f>
        <v>2.95287958115183</v>
      </c>
      <c r="R56" s="488" t="n">
        <f aca="false">(Q56^2*Rdcr*(1+Ltc*Ta-Ltc*25))/(1-Q56^2*Rdcr*Ltc*ThetaCa)</f>
        <v>0.0292787369963851</v>
      </c>
      <c r="S56" s="488" t="n">
        <f aca="false">7.759*10^-3*Fsw^0.9458*(0.00787*P56)^2.304</f>
        <v>0</v>
      </c>
      <c r="T56" s="488" t="n">
        <f aca="false">R56+S56</f>
        <v>0.0292787369963851</v>
      </c>
      <c r="U56" s="385" t="n">
        <f aca="false">IF(Vin&gt;Vout, P56/SQRT(12), SQRT(O56/(1-O56))*SQRT(K56^2+(P56^2)/12))</f>
        <v>0.612144116077389</v>
      </c>
      <c r="V56" s="488" t="n">
        <f aca="false">RCoutEsr*U56^2</f>
        <v>0.00187360209424084</v>
      </c>
      <c r="W56" s="488" t="n">
        <f aca="false">V56</f>
        <v>0.00187360209424084</v>
      </c>
      <c r="X56" s="385" t="n">
        <f aca="false">IF(Vin&gt;Vout, SQRT(N56*(1-N56))*SQRT(K56^2+(P56^2)/12), P56/SQRT(12))</f>
        <v>0</v>
      </c>
      <c r="Y56" s="587" t="n">
        <f aca="false">RCinEsr*X56^2</f>
        <v>0</v>
      </c>
      <c r="Z56" s="588" t="n">
        <f aca="false">Y56</f>
        <v>0</v>
      </c>
      <c r="AA56" s="488" t="n">
        <f aca="false">CHOOSE(J56, SQRT(N56)*SQRT(K56^2+(P56^2)/12), SQRT(L56^2+(P56^2)/12), SQRT(N56)*SQRT(M56^2+(P56^2)/12))</f>
        <v>2.88567503694511</v>
      </c>
      <c r="AB56" s="488" t="n">
        <f aca="false">Rdson1*AA56^2</f>
        <v>0.0474645863874346</v>
      </c>
      <c r="AC56" s="488" t="n">
        <f aca="false">CHOOSE(J56, (Vin*K56/2)*(Fsw)*(Tr_buck+Tf_buck), 0, (Vin*K56/2)*(Fsw/2)*(Tr_buck+Tf_buck))</f>
        <v>0.0172307259684362</v>
      </c>
      <c r="AD56" s="488" t="n">
        <f aca="false">CHOOSE(J56, IF(K56&gt;P56/2,0,ABS(K56-P56/2)*Vsd_Q1*Deadtime*Fsw),0, IF(K56&gt;P56/2,0,ABS(K56-P56/2)*Vsd_Q1*Deadtime*Fsw/2))</f>
        <v>0</v>
      </c>
      <c r="AE56" s="488" t="n">
        <f aca="false">(AD56+AC56+AB56*(1+RdsonTopTc*Ta-RdsonTopTc*25))/(1-AB56*RdsonTopTc*ThetaJA_Q1)</f>
        <v>0.0653153455279177</v>
      </c>
      <c r="AF56" s="488" t="n">
        <f aca="false">CHOOSE(J56, SQRT((1-N56))*SQRT(K56^2+(P56^2)/12), 0, SQRT((1-N56))*SQRT(M56^2+(P56^2)/12))</f>
        <v>0.626400352757926</v>
      </c>
      <c r="AG56" s="488" t="n">
        <f aca="false">Rdson2*AF56^2</f>
        <v>0.00223655119103095</v>
      </c>
      <c r="AH56" s="488" t="n">
        <f aca="false">CHOOSE(J56, IF(K56&lt;P56/2,Deadtime*Fsw*IF(VfdSky_Q2&gt;0,0,Vsd_Q2)*(K56+P56/2),2*Deadtime*Fsw*IF(VfdSky_Q2&gt;0,0,Vsd_Q2)*K56),0, IF(K56&lt;P56/2,Deadtime*Fsw/2*IF(VfdSky_Q2&gt;0,0,Vsd_Q2)*(K56+P56/2),2*Deadtime*Fsw/2*IF(VfdSky_Q2&gt;0,0,Vsd_Q2)*K56))</f>
        <v>0.03384</v>
      </c>
      <c r="AI56" s="488" t="n">
        <f aca="false">(AH56+AG56*(1+RdsonBotTc*Ta-RdsonBotTc*25))/(1-AG56*RdsonBotTc*ThetaJA_Q2)</f>
        <v>0.0360926958233972</v>
      </c>
      <c r="AJ56" s="488" t="n">
        <f aca="false">CHOOSE(J56, 0, SQRT(O56)*SQRT(L56^2+(P56^2)/12), SQRT(O56)*SQRT(M56^2+(P56^2)/12))</f>
        <v>0.626400352757926</v>
      </c>
      <c r="AK56" s="488" t="n">
        <f aca="false">Rdson4*AJ56^2</f>
        <v>0.000745517063676983</v>
      </c>
      <c r="AL56" s="488" t="n">
        <f aca="false">CHOOSE(J56, 0, (Vout*L56/2)*(Fsw)*(Tr_boost+Tf_boost), (Vout*Iout/2)*(Fsw/2)*(Tr_boost+Tf_boost))</f>
        <v>0.0349071770123085</v>
      </c>
      <c r="AM56" s="488" t="n">
        <f aca="false">IF(H56&gt;Vout, 0, IF(L56&gt;P56/2,0,ABS(L56-P56/2)*Vsd_Q4*Deadtime*Fsw))</f>
        <v>0</v>
      </c>
      <c r="AN56" s="488" t="n">
        <f aca="false">(AM56+AL56+AK56*(1+RdsonTopTc*Ta-RdsonTopTc*25))/(1-AK56*RdsonTopTc*ThetaJA_Q4)</f>
        <v>0.0356580108070882</v>
      </c>
      <c r="AO56" s="488" t="n">
        <f aca="false">CHOOSE(J56, SQRT(K56^2+(P56^2)/12), SQRT(1-O56)*SQRT(L56^2+(P56^2)/12), SQRT(1-O56)*SQRT(M56^2+(P56^2)/12))</f>
        <v>2.88567503694511</v>
      </c>
      <c r="AP56" s="488" t="n">
        <f aca="false">Rdson3*AO56^2</f>
        <v>0.0158215287958115</v>
      </c>
      <c r="AQ56" s="488" t="n">
        <f aca="false">CHOOSE(J56, 0, IF(L56&lt;P56/2,Deadtime*Fsw*IF(VfdSky_Q3&gt;0,0,Vsd_Q3)*(L56+P56/2), 2*Deadtime*Fsw*IF(VfdSky_Q3&gt;0,0,Vsd_Q3)*L56), IF(L56&lt;P56/2,Deadtime*Fsw/2*IF(VfdSky_Q3&gt;0,0,Vsd_Q3)*(L56+P56/2), 2*Deadtime*Fsw/2*IF(VfdSky_Q3&gt;0,0,Vsd_Q3)*L56))</f>
        <v>0.0376</v>
      </c>
      <c r="AR56" s="488" t="n">
        <f aca="false">(AQ56+AP56*(1+RdsonBotTc*Ta-RdsonBotTc*25))/(1-AP56*RdsonBotTc*ThetaJA_Q3)</f>
        <v>0.053591107445742</v>
      </c>
      <c r="AS56" s="488" t="n">
        <f aca="false">CHOOSE(J56, Rdson3*Q56^2, Rdson1*Q56^2, 0)</f>
        <v>0</v>
      </c>
      <c r="AT56" s="488" t="n">
        <f aca="false">CHOOSE(J56, 2*Deadtime*Fsw*IF(VfdSky_Q2&gt;0,VfdSky_Q2,0)*K56, 2*Deadtime*Fsw*IF(VfdSky_Q3&gt;0,VfdSky_Q3,0)*L56, 2*Deadtime*Fsw/2*IF(VfdSky_Q2&gt;0,VfdSky_Q2,0)*K56+2*Deadtime*Fsw/2*IF(VfdSky_Q3&gt;0,VfdSky_Q3,0)*L56)</f>
        <v>0</v>
      </c>
      <c r="AU56" s="488" t="n">
        <f aca="false">CHOOSE(J56, IF(QrrSky_Q2&gt;0,QrrSky_Q2,Qrr_Q2*K56/Iout)*Fsw*(Vin-K56*Rdson1), IF(QrrSky_Q3&gt;0,QrrSky_Q3,Qrr_Q3)*Fsw*Vout,  IF(QrrSky_Q2&gt;0,QrrSky_Q2,Qrr_Q2*K56/Iout)*Fsw/2*(Vin-K56*Rdson1)+IF(QrrSky_Q3&gt;0,QrrSky_Q3,Qrr_Q3)*Fsw/2*Vout)</f>
        <v>0.112626607329</v>
      </c>
      <c r="AV56" s="488" t="n">
        <f aca="false">CHOOSE(J56, Rs*AF56^2, Rs*AJ56^2, Rs*(AF56^2+AJ56^2))</f>
        <v>0.00627803843096407</v>
      </c>
      <c r="AW56" s="488" t="n">
        <f aca="false">Rshunt_std/1000*Iout^2</f>
        <v>0.14832</v>
      </c>
      <c r="AX56" s="488" t="n">
        <f aca="false">IF(Vout&gt;8, Iq*Vout, Iq*Vin)</f>
        <v>0.036</v>
      </c>
      <c r="AY56" s="488" t="n">
        <f aca="false">CHOOSE(J56, (Qg_Q1+Qg_Q2)*Fsw, (Qg_Q3+Qg_Q4)*Fsw, (Qg_Q1+Qg_Q2+Qg_Q3+Qg_Q4)*Fsw/2)*IF(Vout&gt;8, Vout, Vin)</f>
        <v>0.1188</v>
      </c>
      <c r="AZ56" s="488" t="n">
        <f aca="false">(Vin-Vdd)*Fsw*(Qg_Q1+Qg_Q2)+(RdsonDRT+RdsonDRT2)*Fsw*Qg_Q1*Vdd/(RdsonDRT+2*Rgate1+RdsonDRT2)+(RdsonDRB+RdsonDRB2)*Fsw*Qg_Q2*Vdd/(RdsonDRB+2*Rgate2+RdsonDRB2)</f>
        <v>0.0522</v>
      </c>
      <c r="BA56" s="488" t="n">
        <f aca="false">SUM(AX56:AY56)</f>
        <v>0.1548</v>
      </c>
      <c r="BB56" s="488" t="n">
        <f aca="false">SUM(T56,W56,Z56,AE56,AI56,AN56,AR56, AT56,AU56,BA56,AV56,AW56)</f>
        <v>0.643834144454735</v>
      </c>
      <c r="BC56" s="419" t="n">
        <f aca="false">Vout*K56</f>
        <v>33.84</v>
      </c>
      <c r="BD56" s="589" t="n">
        <f aca="false">BC56/(BC56+BB56)</f>
        <v>0.981329392150604</v>
      </c>
      <c r="BE56" s="590" t="n">
        <f aca="false">IF(Vin&gt;Vout,ThetaJA_Q1*BK56,ThetaJA_Q4*BK56)</f>
        <v>5.49957858221141</v>
      </c>
      <c r="BF56" s="590" t="n">
        <f aca="false">IF(Vin&gt;Vout, ThetaJA_Q2*BL56, ThetaJA_Q3*BL56)</f>
        <v>4.5378943932156</v>
      </c>
      <c r="BG56" s="536"/>
      <c r="BH56" s="385" t="n">
        <f aca="false">BD56*100</f>
        <v>98.1329392150604</v>
      </c>
      <c r="BI56" s="488" t="n">
        <f aca="false">T56</f>
        <v>0.0292787369963851</v>
      </c>
      <c r="BJ56" s="488" t="n">
        <f aca="false">AE56+AI56+AN56+AR56+AU56</f>
        <v>0.303283766933145</v>
      </c>
      <c r="BK56" s="488" t="n">
        <f aca="false">IF(Vin&gt;Vout, AE56+AU56*0.66, AN56+AU56*0.66)</f>
        <v>0.109991571644228</v>
      </c>
      <c r="BL56" s="488" t="n">
        <f aca="false">IF(Vin&gt;Vout, AI56+AU56*0.33, AR56+AU56*0.33)</f>
        <v>0.090757887864312</v>
      </c>
      <c r="BM56" s="488" t="n">
        <f aca="false">AV56</f>
        <v>0.00627803843096407</v>
      </c>
      <c r="BS56" s="591"/>
      <c r="BT56" s="592"/>
    </row>
    <row r="57" customFormat="false" ht="12.75" hidden="false" customHeight="false" outlineLevel="0" collapsed="false">
      <c r="A57" s="604" t="s">
        <v>877</v>
      </c>
      <c r="B57" s="583" t="s">
        <v>812</v>
      </c>
      <c r="C57" s="604" t="s">
        <v>697</v>
      </c>
      <c r="D57" s="626" t="s">
        <v>878</v>
      </c>
      <c r="E57" s="517"/>
      <c r="G57" s="0" t="n">
        <v>48</v>
      </c>
      <c r="H57" s="586" t="n">
        <f aca="false">Vin</f>
        <v>12</v>
      </c>
      <c r="I57" s="385" t="str">
        <f aca="false">IF(H57&gt;VIN_BB_to_buck, "BUCK", IF(H57&lt;VIN_boost_to_BB,"BOOST","BUCK-BST"))</f>
        <v>BUCK-BST</v>
      </c>
      <c r="J57" s="419" t="n">
        <f aca="false">IF(I57="BOOST",2, IF(I57="BUCK", 1,3))</f>
        <v>3</v>
      </c>
      <c r="K57" s="488" t="n">
        <f aca="false">Iout*G57/100</f>
        <v>2.88</v>
      </c>
      <c r="L57" s="385" t="n">
        <f aca="false">Vout*K57/(Vin*Efficiency)</f>
        <v>3.2</v>
      </c>
      <c r="M57" s="385" t="n">
        <f aca="false">K57/(1-O57)</f>
        <v>3.01570680628272</v>
      </c>
      <c r="N57" s="488" t="n">
        <f aca="false">CHOOSE(J57,(Vout+(Rdson2+Rs+Rdcr)*K57)/(Vin+(Rs+Rdson2-Rdson1)*K57), 1, IF(Vin&lt;Vout, D_max_buck_BB, Vout/Vin*(1-D_min_boost_exitBB_to_buck)))</f>
        <v>0.955</v>
      </c>
      <c r="O57" s="488" t="n">
        <f aca="false">CHOOSE(J57,0,(Vout+(Rdson3+Rdcr)*L57-Vin)/(Vout+(Rdson3-Rdson4-Rs)*L57), IF(Vin&gt;Vout,D_min_boost_exitBB_to_buck, (Vout-Vin*D_max_buck_BB)/Vout))</f>
        <v>0.0450000000000001</v>
      </c>
      <c r="P57" s="385" t="n">
        <f aca="false">MAX(0, CHOOSE(J57, (Vin-(Rdson1+Rdcr)*K57-Vout)*N57/(Fsw*Lf), (Vin-(Rdson4+Rdcr+Rs)*L57)*O57/(Fsw*Lf), IF(Vin&lt;Vout, (Vin-(Rdson4+Rdcr+Rs)*L57)*O57/(0.5*Fsw*Lf),(Vin-(Rdson1+Rdcr)*K57-Vout)*N57/(0.5*Fsw*Lf))))</f>
        <v>0</v>
      </c>
      <c r="Q57" s="385" t="n">
        <f aca="false">CHOOSE(J57, SQRT(K57^2+(P57^2)/12), SQRT(L57^2+(P57^2)/12), SQRT(M57^2+(P57^2)/12))</f>
        <v>3.01570680628272</v>
      </c>
      <c r="R57" s="488" t="n">
        <f aca="false">(Q57^2*Rdcr*(1+Ltc*Ta-Ltc*25))/(1-Q57^2*Rdcr*Ltc*ThetaCa)</f>
        <v>0.0305409714657366</v>
      </c>
      <c r="S57" s="488" t="n">
        <f aca="false">7.759*10^-3*Fsw^0.9458*(0.00787*P57)^2.304</f>
        <v>0</v>
      </c>
      <c r="T57" s="488" t="n">
        <f aca="false">R57+S57</f>
        <v>0.0305409714657366</v>
      </c>
      <c r="U57" s="385" t="n">
        <f aca="false">IF(Vin&gt;Vout, P57/SQRT(12), SQRT(O57/(1-O57))*SQRT(K57^2+(P57^2)/12))</f>
        <v>0.625168458972653</v>
      </c>
      <c r="V57" s="488" t="n">
        <f aca="false">RCoutEsr*U57^2</f>
        <v>0.00195417801047121</v>
      </c>
      <c r="W57" s="488" t="n">
        <f aca="false">V57</f>
        <v>0.00195417801047121</v>
      </c>
      <c r="X57" s="385" t="n">
        <f aca="false">IF(Vin&gt;Vout, SQRT(N57*(1-N57))*SQRT(K57^2+(P57^2)/12), P57/SQRT(12))</f>
        <v>0</v>
      </c>
      <c r="Y57" s="587" t="n">
        <f aca="false">RCinEsr*X57^2</f>
        <v>0</v>
      </c>
      <c r="Z57" s="588" t="n">
        <f aca="false">Y57</f>
        <v>0</v>
      </c>
      <c r="AA57" s="488" t="n">
        <f aca="false">CHOOSE(J57, SQRT(N57)*SQRT(K57^2+(P57^2)/12), SQRT(L57^2+(P57^2)/12), SQRT(N57)*SQRT(M57^2+(P57^2)/12))</f>
        <v>2.94707237815671</v>
      </c>
      <c r="AB57" s="488" t="n">
        <f aca="false">Rdson1*AA57^2</f>
        <v>0.0495058429319372</v>
      </c>
      <c r="AC57" s="488" t="n">
        <f aca="false">CHOOSE(J57, (Vin*K57/2)*(Fsw)*(Tr_buck+Tf_buck), 0, (Vin*K57/2)*(Fsw/2)*(Tr_buck+Tf_buck))</f>
        <v>0.0175973371592539</v>
      </c>
      <c r="AD57" s="488" t="n">
        <f aca="false">CHOOSE(J57, IF(K57&gt;P57/2,0,ABS(K57-P57/2)*Vsd_Q1*Deadtime*Fsw),0, IF(K57&gt;P57/2,0,ABS(K57-P57/2)*Vsd_Q1*Deadtime*Fsw/2))</f>
        <v>0</v>
      </c>
      <c r="AE57" s="488" t="n">
        <f aca="false">(AD57+AC57+AB57*(1+RdsonTopTc*Ta-RdsonTopTc*25))/(1-AB57*RdsonTopTc*ThetaJA_Q1)</f>
        <v>0.067774224109915</v>
      </c>
      <c r="AF57" s="488" t="n">
        <f aca="false">CHOOSE(J57, SQRT((1-N57))*SQRT(K57^2+(P57^2)/12), 0, SQRT((1-N57))*SQRT(M57^2+(P57^2)/12))</f>
        <v>0.639728019837882</v>
      </c>
      <c r="AG57" s="488" t="n">
        <f aca="false">Rdson2*AF57^2</f>
        <v>0.00233273605438448</v>
      </c>
      <c r="AH57" s="488" t="n">
        <f aca="false">CHOOSE(J57, IF(K57&lt;P57/2,Deadtime*Fsw*IF(VfdSky_Q2&gt;0,0,Vsd_Q2)*(K57+P57/2),2*Deadtime*Fsw*IF(VfdSky_Q2&gt;0,0,Vsd_Q2)*K57),0, IF(K57&lt;P57/2,Deadtime*Fsw/2*IF(VfdSky_Q2&gt;0,0,Vsd_Q2)*(K57+P57/2),2*Deadtime*Fsw/2*IF(VfdSky_Q2&gt;0,0,Vsd_Q2)*K57))</f>
        <v>0.03456</v>
      </c>
      <c r="AI57" s="488" t="n">
        <f aca="false">(AH57+AG57*(1+RdsonBotTc*Ta-RdsonBotTc*25))/(1-AG57*RdsonBotTc*ThetaJA_Q2)</f>
        <v>0.0369099562915459</v>
      </c>
      <c r="AJ57" s="488" t="n">
        <f aca="false">CHOOSE(J57, 0, SQRT(O57)*SQRT(L57^2+(P57^2)/12), SQRT(O57)*SQRT(M57^2+(P57^2)/12))</f>
        <v>0.639728019837882</v>
      </c>
      <c r="AK57" s="488" t="n">
        <f aca="false">Rdson4*AJ57^2</f>
        <v>0.000777578684794826</v>
      </c>
      <c r="AL57" s="488" t="n">
        <f aca="false">CHOOSE(J57, 0, (Vout*L57/2)*(Fsw)*(Tr_boost+Tf_boost), (Vout*Iout/2)*(Fsw/2)*(Tr_boost+Tf_boost))</f>
        <v>0.0349071770123085</v>
      </c>
      <c r="AM57" s="488" t="n">
        <f aca="false">IF(H57&gt;Vout, 0, IF(L57&gt;P57/2,0,ABS(L57-P57/2)*Vsd_Q4*Deadtime*Fsw))</f>
        <v>0</v>
      </c>
      <c r="AN57" s="488" t="n">
        <f aca="false">(AM57+AL57+AK57*(1+RdsonTopTc*Ta-RdsonTopTc*25))/(1-AK57*RdsonTopTc*ThetaJA_Q4)</f>
        <v>0.035690306101359</v>
      </c>
      <c r="AO57" s="488" t="n">
        <f aca="false">CHOOSE(J57, SQRT(K57^2+(P57^2)/12), SQRT(1-O57)*SQRT(L57^2+(P57^2)/12), SQRT(1-O57)*SQRT(M57^2+(P57^2)/12))</f>
        <v>2.94707237815671</v>
      </c>
      <c r="AP57" s="488" t="n">
        <f aca="false">Rdson3*AO57^2</f>
        <v>0.0165019476439791</v>
      </c>
      <c r="AQ57" s="488" t="n">
        <f aca="false">CHOOSE(J57, 0, IF(L57&lt;P57/2,Deadtime*Fsw*IF(VfdSky_Q3&gt;0,0,Vsd_Q3)*(L57+P57/2), 2*Deadtime*Fsw*IF(VfdSky_Q3&gt;0,0,Vsd_Q3)*L57), IF(L57&lt;P57/2,Deadtime*Fsw/2*IF(VfdSky_Q3&gt;0,0,Vsd_Q3)*(L57+P57/2), 2*Deadtime*Fsw/2*IF(VfdSky_Q3&gt;0,0,Vsd_Q3)*L57))</f>
        <v>0.0384</v>
      </c>
      <c r="AR57" s="488" t="n">
        <f aca="false">(AQ57+AP57*(1+RdsonBotTc*Ta-RdsonBotTc*25))/(1-AP57*RdsonBotTc*ThetaJA_Q3)</f>
        <v>0.0550837454607044</v>
      </c>
      <c r="AS57" s="488" t="n">
        <f aca="false">CHOOSE(J57, Rdson3*Q57^2, Rdson1*Q57^2, 0)</f>
        <v>0</v>
      </c>
      <c r="AT57" s="488" t="n">
        <f aca="false">CHOOSE(J57, 2*Deadtime*Fsw*IF(VfdSky_Q2&gt;0,VfdSky_Q2,0)*K57, 2*Deadtime*Fsw*IF(VfdSky_Q3&gt;0,VfdSky_Q3,0)*L57, 2*Deadtime*Fsw/2*IF(VfdSky_Q2&gt;0,VfdSky_Q2,0)*K57+2*Deadtime*Fsw/2*IF(VfdSky_Q3&gt;0,VfdSky_Q3,0)*L57)</f>
        <v>0</v>
      </c>
      <c r="AU57" s="488" t="n">
        <f aca="false">CHOOSE(J57, IF(QrrSky_Q2&gt;0,QrrSky_Q2,Qrr_Q2*K57/Iout)*Fsw*(Vin-K57*Rdson1), IF(QrrSky_Q3&gt;0,QrrSky_Q3,Qrr_Q3)*Fsw*Vout,  IF(QrrSky_Q2&gt;0,QrrSky_Q2,Qrr_Q2*K57/Iout)*Fsw/2*(Vin-K57*Rdson1)+IF(QrrSky_Q3&gt;0,QrrSky_Q3,Qrr_Q3)*Fsw/2*Vout)</f>
        <v>0.113757537024</v>
      </c>
      <c r="AV57" s="488" t="n">
        <f aca="false">CHOOSE(J57, Rs*AF57^2, Rs*AJ57^2, Rs*(AF57^2+AJ57^2))</f>
        <v>0.00654803102985116</v>
      </c>
      <c r="AW57" s="488" t="n">
        <f aca="false">Rshunt_std/1000*Iout^2</f>
        <v>0.14832</v>
      </c>
      <c r="AX57" s="488" t="n">
        <f aca="false">IF(Vout&gt;8, Iq*Vout, Iq*Vin)</f>
        <v>0.036</v>
      </c>
      <c r="AY57" s="488" t="n">
        <f aca="false">CHOOSE(J57, (Qg_Q1+Qg_Q2)*Fsw, (Qg_Q3+Qg_Q4)*Fsw, (Qg_Q1+Qg_Q2+Qg_Q3+Qg_Q4)*Fsw/2)*IF(Vout&gt;8, Vout, Vin)</f>
        <v>0.1188</v>
      </c>
      <c r="AZ57" s="488" t="n">
        <f aca="false">(Vin-Vdd)*Fsw*(Qg_Q1+Qg_Q2)+(RdsonDRT+RdsonDRT2)*Fsw*Qg_Q1*Vdd/(RdsonDRT+2*Rgate1+RdsonDRT2)+(RdsonDRB+RdsonDRB2)*Fsw*Qg_Q2*Vdd/(RdsonDRB+2*Rgate2+RdsonDRB2)</f>
        <v>0.0522</v>
      </c>
      <c r="BA57" s="488" t="n">
        <f aca="false">SUM(AX57:AY57)</f>
        <v>0.1548</v>
      </c>
      <c r="BB57" s="488" t="n">
        <f aca="false">SUM(T57,W57,Z57,AE57,AI57,AN57,AR57, AT57,AU57,BA57,AV57,AW57)</f>
        <v>0.651378949493583</v>
      </c>
      <c r="BC57" s="419" t="n">
        <f aca="false">Vout*K57</f>
        <v>34.56</v>
      </c>
      <c r="BD57" s="589" t="n">
        <f aca="false">BC57/(BC57+BB57)</f>
        <v>0.981500896331612</v>
      </c>
      <c r="BE57" s="590" t="n">
        <f aca="false">IF(Vin&gt;Vout,ThetaJA_Q1*BK57,ThetaJA_Q4*BK57)</f>
        <v>5.53851402685995</v>
      </c>
      <c r="BF57" s="590" t="n">
        <f aca="false">IF(Vin&gt;Vout, ThetaJA_Q2*BL57, ThetaJA_Q3*BL57)</f>
        <v>4.63118663393122</v>
      </c>
      <c r="BG57" s="536"/>
      <c r="BH57" s="385" t="n">
        <f aca="false">BD57*100</f>
        <v>98.1500896331612</v>
      </c>
      <c r="BI57" s="488" t="n">
        <f aca="false">T57</f>
        <v>0.0305409714657366</v>
      </c>
      <c r="BJ57" s="488" t="n">
        <f aca="false">AE57+AI57+AN57+AR57+AU57</f>
        <v>0.309215768987524</v>
      </c>
      <c r="BK57" s="488" t="n">
        <f aca="false">IF(Vin&gt;Vout, AE57+AU57*0.66, AN57+AU57*0.66)</f>
        <v>0.110770280537199</v>
      </c>
      <c r="BL57" s="488" t="n">
        <f aca="false">IF(Vin&gt;Vout, AI57+AU57*0.33, AR57+AU57*0.33)</f>
        <v>0.0926237326786244</v>
      </c>
      <c r="BM57" s="488" t="n">
        <f aca="false">AV57</f>
        <v>0.00654803102985116</v>
      </c>
      <c r="BS57" s="591"/>
      <c r="BT57" s="592"/>
    </row>
    <row r="58" customFormat="false" ht="12.75" hidden="false" customHeight="false" outlineLevel="0" collapsed="false">
      <c r="A58" s="600" t="s">
        <v>683</v>
      </c>
      <c r="B58" s="627" t="n">
        <f aca="false">VfdSky_Q2</f>
        <v>0</v>
      </c>
      <c r="C58" s="597" t="s">
        <v>11</v>
      </c>
      <c r="D58" s="625" t="s">
        <v>684</v>
      </c>
      <c r="E58" s="517"/>
      <c r="G58" s="0" t="n">
        <v>49</v>
      </c>
      <c r="H58" s="586" t="n">
        <f aca="false">Vin</f>
        <v>12</v>
      </c>
      <c r="I58" s="385" t="str">
        <f aca="false">IF(H58&gt;VIN_BB_to_buck, "BUCK", IF(H58&lt;VIN_boost_to_BB,"BOOST","BUCK-BST"))</f>
        <v>BUCK-BST</v>
      </c>
      <c r="J58" s="419" t="n">
        <f aca="false">IF(I58="BOOST",2, IF(I58="BUCK", 1,3))</f>
        <v>3</v>
      </c>
      <c r="K58" s="488" t="n">
        <f aca="false">Iout*G58/100</f>
        <v>2.94</v>
      </c>
      <c r="L58" s="385" t="n">
        <f aca="false">Vout*K58/(Vin*Efficiency)</f>
        <v>3.26666666666667</v>
      </c>
      <c r="M58" s="385" t="n">
        <f aca="false">K58/(1-O58)</f>
        <v>3.07853403141361</v>
      </c>
      <c r="N58" s="488" t="n">
        <f aca="false">CHOOSE(J58,(Vout+(Rdson2+Rs+Rdcr)*K58)/(Vin+(Rs+Rdson2-Rdson1)*K58), 1, IF(Vin&lt;Vout, D_max_buck_BB, Vout/Vin*(1-D_min_boost_exitBB_to_buck)))</f>
        <v>0.955</v>
      </c>
      <c r="O58" s="488" t="n">
        <f aca="false">CHOOSE(J58,0,(Vout+(Rdson3+Rdcr)*L58-Vin)/(Vout+(Rdson3-Rdson4-Rs)*L58), IF(Vin&gt;Vout,D_min_boost_exitBB_to_buck, (Vout-Vin*D_max_buck_BB)/Vout))</f>
        <v>0.0450000000000001</v>
      </c>
      <c r="P58" s="385" t="n">
        <f aca="false">MAX(0, CHOOSE(J58, (Vin-(Rdson1+Rdcr)*K58-Vout)*N58/(Fsw*Lf), (Vin-(Rdson4+Rdcr+Rs)*L58)*O58/(Fsw*Lf), IF(Vin&lt;Vout, (Vin-(Rdson4+Rdcr+Rs)*L58)*O58/(0.5*Fsw*Lf),(Vin-(Rdson1+Rdcr)*K58-Vout)*N58/(0.5*Fsw*Lf))))</f>
        <v>0</v>
      </c>
      <c r="Q58" s="385" t="n">
        <f aca="false">CHOOSE(J58, SQRT(K58^2+(P58^2)/12), SQRT(L58^2+(P58^2)/12), SQRT(M58^2+(P58^2)/12))</f>
        <v>3.07853403141361</v>
      </c>
      <c r="R58" s="488" t="n">
        <f aca="false">(Q58^2*Rdcr*(1+Ltc*Ta-Ltc*25))/(1-Q58^2*Rdcr*Ltc*ThetaCa)</f>
        <v>0.0318300417289531</v>
      </c>
      <c r="S58" s="488" t="n">
        <f aca="false">7.759*10^-3*Fsw^0.9458*(0.00787*P58)^2.304</f>
        <v>0</v>
      </c>
      <c r="T58" s="488" t="n">
        <f aca="false">R58+S58</f>
        <v>0.0318300417289531</v>
      </c>
      <c r="U58" s="385" t="n">
        <f aca="false">IF(Vin&gt;Vout, P58/SQRT(12), SQRT(O58/(1-O58))*SQRT(K58^2+(P58^2)/12))</f>
        <v>0.638192801867916</v>
      </c>
      <c r="V58" s="488" t="n">
        <f aca="false">RCoutEsr*U58^2</f>
        <v>0.00203645026178011</v>
      </c>
      <c r="W58" s="488" t="n">
        <f aca="false">V58</f>
        <v>0.00203645026178011</v>
      </c>
      <c r="X58" s="385" t="n">
        <f aca="false">IF(Vin&gt;Vout, SQRT(N58*(1-N58))*SQRT(K58^2+(P58^2)/12), P58/SQRT(12))</f>
        <v>0</v>
      </c>
      <c r="Y58" s="587" t="n">
        <f aca="false">RCinEsr*X58^2</f>
        <v>0</v>
      </c>
      <c r="Z58" s="588" t="n">
        <f aca="false">Y58</f>
        <v>0</v>
      </c>
      <c r="AA58" s="488" t="n">
        <f aca="false">CHOOSE(J58, SQRT(N58)*SQRT(K58^2+(P58^2)/12), SQRT(L58^2+(P58^2)/12), SQRT(N58)*SQRT(M58^2+(P58^2)/12))</f>
        <v>3.00846971936831</v>
      </c>
      <c r="AB58" s="488" t="n">
        <f aca="false">Rdson1*AA58^2</f>
        <v>0.0515900732984293</v>
      </c>
      <c r="AC58" s="488" t="n">
        <f aca="false">CHOOSE(J58, (Vin*K58/2)*(Fsw)*(Tr_buck+Tf_buck), 0, (Vin*K58/2)*(Fsw/2)*(Tr_buck+Tf_buck))</f>
        <v>0.0179639483500717</v>
      </c>
      <c r="AD58" s="488" t="n">
        <f aca="false">CHOOSE(J58, IF(K58&gt;P58/2,0,ABS(K58-P58/2)*Vsd_Q1*Deadtime*Fsw),0, IF(K58&gt;P58/2,0,ABS(K58-P58/2)*Vsd_Q1*Deadtime*Fsw/2))</f>
        <v>0</v>
      </c>
      <c r="AE58" s="488" t="n">
        <f aca="false">(AD58+AC58+AB58*(1+RdsonTopTc*Ta-RdsonTopTc*25))/(1-AB58*RdsonTopTc*ThetaJA_Q1)</f>
        <v>0.0702791630834667</v>
      </c>
      <c r="AF58" s="488" t="n">
        <f aca="false">CHOOSE(J58, SQRT((1-N58))*SQRT(K58^2+(P58^2)/12), 0, SQRT((1-N58))*SQRT(M58^2+(P58^2)/12))</f>
        <v>0.653055686917838</v>
      </c>
      <c r="AG58" s="488" t="n">
        <f aca="false">Rdson2*AF58^2</f>
        <v>0.00243094586222966</v>
      </c>
      <c r="AH58" s="488" t="n">
        <f aca="false">CHOOSE(J58, IF(K58&lt;P58/2,Deadtime*Fsw*IF(VfdSky_Q2&gt;0,0,Vsd_Q2)*(K58+P58/2),2*Deadtime*Fsw*IF(VfdSky_Q2&gt;0,0,Vsd_Q2)*K58),0, IF(K58&lt;P58/2,Deadtime*Fsw/2*IF(VfdSky_Q2&gt;0,0,Vsd_Q2)*(K58+P58/2),2*Deadtime*Fsw/2*IF(VfdSky_Q2&gt;0,0,Vsd_Q2)*K58))</f>
        <v>0.03528</v>
      </c>
      <c r="AI58" s="488" t="n">
        <f aca="false">(AH58+AG58*(1+RdsonBotTc*Ta-RdsonBotTc*25))/(1-AG58*RdsonBotTc*ThetaJA_Q2)</f>
        <v>0.0377292894342367</v>
      </c>
      <c r="AJ58" s="488" t="n">
        <f aca="false">CHOOSE(J58, 0, SQRT(O58)*SQRT(L58^2+(P58^2)/12), SQRT(O58)*SQRT(M58^2+(P58^2)/12))</f>
        <v>0.653055686917838</v>
      </c>
      <c r="AK58" s="488" t="n">
        <f aca="false">Rdson4*AJ58^2</f>
        <v>0.000810315287409886</v>
      </c>
      <c r="AL58" s="488" t="n">
        <f aca="false">CHOOSE(J58, 0, (Vout*L58/2)*(Fsw)*(Tr_boost+Tf_boost), (Vout*Iout/2)*(Fsw/2)*(Tr_boost+Tf_boost))</f>
        <v>0.0349071770123085</v>
      </c>
      <c r="AM58" s="488" t="n">
        <f aca="false">IF(H58&gt;Vout, 0, IF(L58&gt;P58/2,0,ABS(L58-P58/2)*Vsd_Q4*Deadtime*Fsw))</f>
        <v>0</v>
      </c>
      <c r="AN58" s="488" t="n">
        <f aca="false">(AM58+AL58+AK58*(1+RdsonTopTc*Ta-RdsonTopTc*25))/(1-AK58*RdsonTopTc*ThetaJA_Q4)</f>
        <v>0.0357232817239779</v>
      </c>
      <c r="AO58" s="488" t="n">
        <f aca="false">CHOOSE(J58, SQRT(K58^2+(P58^2)/12), SQRT(1-O58)*SQRT(L58^2+(P58^2)/12), SQRT(1-O58)*SQRT(M58^2+(P58^2)/12))</f>
        <v>3.00846971936831</v>
      </c>
      <c r="AP58" s="488" t="n">
        <f aca="false">Rdson3*AO58^2</f>
        <v>0.0171966910994764</v>
      </c>
      <c r="AQ58" s="488" t="n">
        <f aca="false">CHOOSE(J58, 0, IF(L58&lt;P58/2,Deadtime*Fsw*IF(VfdSky_Q3&gt;0,0,Vsd_Q3)*(L58+P58/2), 2*Deadtime*Fsw*IF(VfdSky_Q3&gt;0,0,Vsd_Q3)*L58), IF(L58&lt;P58/2,Deadtime*Fsw/2*IF(VfdSky_Q3&gt;0,0,Vsd_Q3)*(L58+P58/2), 2*Deadtime*Fsw/2*IF(VfdSky_Q3&gt;0,0,Vsd_Q3)*L58))</f>
        <v>0.0392</v>
      </c>
      <c r="AR58" s="488" t="n">
        <f aca="false">(AQ58+AP58*(1+RdsonBotTc*Ta-RdsonBotTc*25))/(1-AP58*RdsonBotTc*ThetaJA_Q3)</f>
        <v>0.0565913278161491</v>
      </c>
      <c r="AS58" s="488" t="n">
        <f aca="false">CHOOSE(J58, Rdson3*Q58^2, Rdson1*Q58^2, 0)</f>
        <v>0</v>
      </c>
      <c r="AT58" s="488" t="n">
        <f aca="false">CHOOSE(J58, 2*Deadtime*Fsw*IF(VfdSky_Q2&gt;0,VfdSky_Q2,0)*K58, 2*Deadtime*Fsw*IF(VfdSky_Q3&gt;0,VfdSky_Q3,0)*L58, 2*Deadtime*Fsw/2*IF(VfdSky_Q2&gt;0,VfdSky_Q2,0)*K58+2*Deadtime*Fsw/2*IF(VfdSky_Q3&gt;0,VfdSky_Q3,0)*L58)</f>
        <v>0</v>
      </c>
      <c r="AU58" s="488" t="n">
        <f aca="false">CHOOSE(J58, IF(QrrSky_Q2&gt;0,QrrSky_Q2,Qrr_Q2*K58/Iout)*Fsw*(Vin-K58*Rdson1), IF(QrrSky_Q3&gt;0,QrrSky_Q3,Qrr_Q3)*Fsw*Vout,  IF(QrrSky_Q2&gt;0,QrrSky_Q2,Qrr_Q2*K58/Iout)*Fsw/2*(Vin-K58*Rdson1)+IF(QrrSky_Q3&gt;0,QrrSky_Q3,Qrr_Q3)*Fsw/2*Vout)</f>
        <v>0.114888402081</v>
      </c>
      <c r="AV58" s="488" t="n">
        <f aca="false">CHOOSE(J58, Rs*AF58^2, Rs*AJ58^2, Rs*(AF58^2+AJ58^2))</f>
        <v>0.00682370768345167</v>
      </c>
      <c r="AW58" s="488" t="n">
        <f aca="false">Rshunt_std/1000*Iout^2</f>
        <v>0.14832</v>
      </c>
      <c r="AX58" s="488" t="n">
        <f aca="false">IF(Vout&gt;8, Iq*Vout, Iq*Vin)</f>
        <v>0.036</v>
      </c>
      <c r="AY58" s="488" t="n">
        <f aca="false">CHOOSE(J58, (Qg_Q1+Qg_Q2)*Fsw, (Qg_Q3+Qg_Q4)*Fsw, (Qg_Q1+Qg_Q2+Qg_Q3+Qg_Q4)*Fsw/2)*IF(Vout&gt;8, Vout, Vin)</f>
        <v>0.1188</v>
      </c>
      <c r="AZ58" s="488" t="n">
        <f aca="false">(Vin-Vdd)*Fsw*(Qg_Q1+Qg_Q2)+(RdsonDRT+RdsonDRT2)*Fsw*Qg_Q1*Vdd/(RdsonDRT+2*Rgate1+RdsonDRT2)+(RdsonDRB+RdsonDRB2)*Fsw*Qg_Q2*Vdd/(RdsonDRB+2*Rgate2+RdsonDRB2)</f>
        <v>0.0522</v>
      </c>
      <c r="BA58" s="488" t="n">
        <f aca="false">SUM(AX58:AY58)</f>
        <v>0.1548</v>
      </c>
      <c r="BB58" s="488" t="n">
        <f aca="false">SUM(T58,W58,Z58,AE58,AI58,AN58,AR58, AT58,AU58,BA58,AV58,AW58)</f>
        <v>0.659021663813015</v>
      </c>
      <c r="BC58" s="419" t="n">
        <f aca="false">Vout*K58</f>
        <v>35.28</v>
      </c>
      <c r="BD58" s="589" t="n">
        <f aca="false">BC58/(BC58+BB58)</f>
        <v>0.981662782310054</v>
      </c>
      <c r="BE58" s="590" t="n">
        <f aca="false">IF(Vin&gt;Vout,ThetaJA_Q1*BK58,ThetaJA_Q4*BK58)</f>
        <v>5.57748135487189</v>
      </c>
      <c r="BF58" s="590" t="n">
        <f aca="false">IF(Vin&gt;Vout, ThetaJA_Q2*BL58, ThetaJA_Q3*BL58)</f>
        <v>4.72522502514396</v>
      </c>
      <c r="BG58" s="536"/>
      <c r="BH58" s="385" t="n">
        <f aca="false">BD58*100</f>
        <v>98.1662782310054</v>
      </c>
      <c r="BI58" s="488" t="n">
        <f aca="false">T58</f>
        <v>0.0318300417289531</v>
      </c>
      <c r="BJ58" s="488" t="n">
        <f aca="false">AE58+AI58+AN58+AR58+AU58</f>
        <v>0.31521146413883</v>
      </c>
      <c r="BK58" s="488" t="n">
        <f aca="false">IF(Vin&gt;Vout, AE58+AU58*0.66, AN58+AU58*0.66)</f>
        <v>0.111549627097438</v>
      </c>
      <c r="BL58" s="488" t="n">
        <f aca="false">IF(Vin&gt;Vout, AI58+AU58*0.33, AR58+AU58*0.33)</f>
        <v>0.0945045005028792</v>
      </c>
      <c r="BM58" s="488" t="n">
        <f aca="false">AV58</f>
        <v>0.00682370768345167</v>
      </c>
      <c r="BS58" s="591"/>
      <c r="BT58" s="592"/>
    </row>
    <row r="59" customFormat="false" ht="12.75" hidden="false" customHeight="false" outlineLevel="0" collapsed="false">
      <c r="A59" s="600" t="s">
        <v>685</v>
      </c>
      <c r="B59" s="628" t="n">
        <f aca="false">QrrSky_Q2*1000000000</f>
        <v>0</v>
      </c>
      <c r="C59" s="597" t="s">
        <v>110</v>
      </c>
      <c r="D59" s="625" t="s">
        <v>686</v>
      </c>
      <c r="E59" s="517"/>
      <c r="G59" s="0" t="n">
        <v>50</v>
      </c>
      <c r="H59" s="586" t="n">
        <f aca="false">Vin</f>
        <v>12</v>
      </c>
      <c r="I59" s="385" t="str">
        <f aca="false">IF(H59&gt;VIN_BB_to_buck, "BUCK", IF(H59&lt;VIN_boost_to_BB,"BOOST","BUCK-BST"))</f>
        <v>BUCK-BST</v>
      </c>
      <c r="J59" s="419" t="n">
        <f aca="false">IF(I59="BOOST",2, IF(I59="BUCK", 1,3))</f>
        <v>3</v>
      </c>
      <c r="K59" s="488" t="n">
        <f aca="false">Iout*G59/100</f>
        <v>3</v>
      </c>
      <c r="L59" s="385" t="n">
        <f aca="false">Vout*K59/(Vin*Efficiency)</f>
        <v>3.33333333333333</v>
      </c>
      <c r="M59" s="385" t="n">
        <f aca="false">K59/(1-O59)</f>
        <v>3.1413612565445</v>
      </c>
      <c r="N59" s="488" t="n">
        <f aca="false">CHOOSE(J59,(Vout+(Rdson2+Rs+Rdcr)*K59)/(Vin+(Rs+Rdson2-Rdson1)*K59), 1, IF(Vin&lt;Vout, D_max_buck_BB, Vout/Vin*(1-D_min_boost_exitBB_to_buck)))</f>
        <v>0.955</v>
      </c>
      <c r="O59" s="488" t="n">
        <f aca="false">CHOOSE(J59,0,(Vout+(Rdson3+Rdcr)*L59-Vin)/(Vout+(Rdson3-Rdson4-Rs)*L59), IF(Vin&gt;Vout,D_min_boost_exitBB_to_buck, (Vout-Vin*D_max_buck_BB)/Vout))</f>
        <v>0.0450000000000001</v>
      </c>
      <c r="P59" s="385" t="n">
        <f aca="false">MAX(0, CHOOSE(J59, (Vin-(Rdson1+Rdcr)*K59-Vout)*N59/(Fsw*Lf), (Vin-(Rdson4+Rdcr+Rs)*L59)*O59/(Fsw*Lf), IF(Vin&lt;Vout, (Vin-(Rdson4+Rdcr+Rs)*L59)*O59/(0.5*Fsw*Lf),(Vin-(Rdson1+Rdcr)*K59-Vout)*N59/(0.5*Fsw*Lf))))</f>
        <v>0</v>
      </c>
      <c r="Q59" s="385" t="n">
        <f aca="false">CHOOSE(J59, SQRT(K59^2+(P59^2)/12), SQRT(L59^2+(P59^2)/12), SQRT(M59^2+(P59^2)/12))</f>
        <v>3.1413612565445</v>
      </c>
      <c r="R59" s="488" t="n">
        <f aca="false">(Q59^2*Rdcr*(1+Ltc*Ta-Ltc*25))/(1-Q59^2*Rdcr*Ltc*ThetaCa)</f>
        <v>0.0331459642727182</v>
      </c>
      <c r="S59" s="488" t="n">
        <f aca="false">7.759*10^-3*Fsw^0.9458*(0.00787*P59)^2.304</f>
        <v>0</v>
      </c>
      <c r="T59" s="488" t="n">
        <f aca="false">R59+S59</f>
        <v>0.0331459642727182</v>
      </c>
      <c r="U59" s="385" t="n">
        <f aca="false">IF(Vin&gt;Vout, P59/SQRT(12), SQRT(O59/(1-O59))*SQRT(K59^2+(P59^2)/12))</f>
        <v>0.65121714476318</v>
      </c>
      <c r="V59" s="488" t="n">
        <f aca="false">RCoutEsr*U59^2</f>
        <v>0.00212041884816754</v>
      </c>
      <c r="W59" s="488" t="n">
        <f aca="false">V59</f>
        <v>0.00212041884816754</v>
      </c>
      <c r="X59" s="385" t="n">
        <f aca="false">IF(Vin&gt;Vout, SQRT(N59*(1-N59))*SQRT(K59^2+(P59^2)/12), P59/SQRT(12))</f>
        <v>0</v>
      </c>
      <c r="Y59" s="587" t="n">
        <f aca="false">RCinEsr*X59^2</f>
        <v>0</v>
      </c>
      <c r="Z59" s="588" t="n">
        <f aca="false">Y59</f>
        <v>0</v>
      </c>
      <c r="AA59" s="488" t="n">
        <f aca="false">CHOOSE(J59, SQRT(N59)*SQRT(K59^2+(P59^2)/12), SQRT(L59^2+(P59^2)/12), SQRT(N59)*SQRT(M59^2+(P59^2)/12))</f>
        <v>3.06986706057991</v>
      </c>
      <c r="AB59" s="488" t="n">
        <f aca="false">Rdson1*AA59^2</f>
        <v>0.053717277486911</v>
      </c>
      <c r="AC59" s="488" t="n">
        <f aca="false">CHOOSE(J59, (Vin*K59/2)*(Fsw)*(Tr_buck+Tf_buck), 0, (Vin*K59/2)*(Fsw/2)*(Tr_buck+Tf_buck))</f>
        <v>0.0183305595408895</v>
      </c>
      <c r="AD59" s="488" t="n">
        <f aca="false">CHOOSE(J59, IF(K59&gt;P59/2,0,ABS(K59-P59/2)*Vsd_Q1*Deadtime*Fsw),0, IF(K59&gt;P59/2,0,ABS(K59-P59/2)*Vsd_Q1*Deadtime*Fsw/2))</f>
        <v>0</v>
      </c>
      <c r="AE59" s="488" t="n">
        <f aca="false">(AD59+AC59+AB59*(1+RdsonTopTc*Ta-RdsonTopTc*25))/(1-AB59*RdsonTopTc*ThetaJA_Q1)</f>
        <v>0.0728302859639155</v>
      </c>
      <c r="AF59" s="488" t="n">
        <f aca="false">CHOOSE(J59, SQRT((1-N59))*SQRT(K59^2+(P59^2)/12), 0, SQRT((1-N59))*SQRT(M59^2+(P59^2)/12))</f>
        <v>0.666383353997794</v>
      </c>
      <c r="AG59" s="488" t="n">
        <f aca="false">Rdson2*AF59^2</f>
        <v>0.00253118061456649</v>
      </c>
      <c r="AH59" s="488" t="n">
        <f aca="false">CHOOSE(J59, IF(K59&lt;P59/2,Deadtime*Fsw*IF(VfdSky_Q2&gt;0,0,Vsd_Q2)*(K59+P59/2),2*Deadtime*Fsw*IF(VfdSky_Q2&gt;0,0,Vsd_Q2)*K59),0, IF(K59&lt;P59/2,Deadtime*Fsw/2*IF(VfdSky_Q2&gt;0,0,Vsd_Q2)*(K59+P59/2),2*Deadtime*Fsw/2*IF(VfdSky_Q2&gt;0,0,Vsd_Q2)*K59))</f>
        <v>0.036</v>
      </c>
      <c r="AI59" s="488" t="n">
        <f aca="false">(AH59+AG59*(1+RdsonBotTc*Ta-RdsonBotTc*25))/(1-AG59*RdsonBotTc*ThetaJA_Q2)</f>
        <v>0.0385506963696323</v>
      </c>
      <c r="AJ59" s="488" t="n">
        <f aca="false">CHOOSE(J59, 0, SQRT(O59)*SQRT(L59^2+(P59^2)/12), SQRT(O59)*SQRT(M59^2+(P59^2)/12))</f>
        <v>0.666383353997794</v>
      </c>
      <c r="AK59" s="488" t="n">
        <f aca="false">Rdson4*AJ59^2</f>
        <v>0.000843726871522164</v>
      </c>
      <c r="AL59" s="488" t="n">
        <f aca="false">CHOOSE(J59, 0, (Vout*L59/2)*(Fsw)*(Tr_boost+Tf_boost), (Vout*Iout/2)*(Fsw/2)*(Tr_boost+Tf_boost))</f>
        <v>0.0349071770123085</v>
      </c>
      <c r="AM59" s="488" t="n">
        <f aca="false">IF(H59&gt;Vout, 0, IF(L59&gt;P59/2,0,ABS(L59-P59/2)*Vsd_Q4*Deadtime*Fsw))</f>
        <v>0</v>
      </c>
      <c r="AN59" s="488" t="n">
        <f aca="false">(AM59+AL59+AK59*(1+RdsonTopTc*Ta-RdsonTopTc*25))/(1-AK59*RdsonTopTc*ThetaJA_Q4)</f>
        <v>0.0357569377016671</v>
      </c>
      <c r="AO59" s="488" t="n">
        <f aca="false">CHOOSE(J59, SQRT(K59^2+(P59^2)/12), SQRT(1-O59)*SQRT(L59^2+(P59^2)/12), SQRT(1-O59)*SQRT(M59^2+(P59^2)/12))</f>
        <v>3.06986706057991</v>
      </c>
      <c r="AP59" s="488" t="n">
        <f aca="false">Rdson3*AO59^2</f>
        <v>0.0179057591623037</v>
      </c>
      <c r="AQ59" s="488" t="n">
        <f aca="false">CHOOSE(J59, 0, IF(L59&lt;P59/2,Deadtime*Fsw*IF(VfdSky_Q3&gt;0,0,Vsd_Q3)*(L59+P59/2), 2*Deadtime*Fsw*IF(VfdSky_Q3&gt;0,0,Vsd_Q3)*L59), IF(L59&lt;P59/2,Deadtime*Fsw/2*IF(VfdSky_Q3&gt;0,0,Vsd_Q3)*(L59+P59/2), 2*Deadtime*Fsw/2*IF(VfdSky_Q3&gt;0,0,Vsd_Q3)*L59))</f>
        <v>0.04</v>
      </c>
      <c r="AR59" s="488" t="n">
        <f aca="false">(AQ59+AP59*(1+RdsonBotTc*Ta-RdsonBotTc*25))/(1-AP59*RdsonBotTc*ThetaJA_Q3)</f>
        <v>0.0581138737678388</v>
      </c>
      <c r="AS59" s="488" t="n">
        <f aca="false">CHOOSE(J59, Rdson3*Q59^2, Rdson1*Q59^2, 0)</f>
        <v>0</v>
      </c>
      <c r="AT59" s="488" t="n">
        <f aca="false">CHOOSE(J59, 2*Deadtime*Fsw*IF(VfdSky_Q2&gt;0,VfdSky_Q2,0)*K59, 2*Deadtime*Fsw*IF(VfdSky_Q3&gt;0,VfdSky_Q3,0)*L59, 2*Deadtime*Fsw/2*IF(VfdSky_Q2&gt;0,VfdSky_Q2,0)*K59+2*Deadtime*Fsw/2*IF(VfdSky_Q3&gt;0,VfdSky_Q3,0)*L59)</f>
        <v>0</v>
      </c>
      <c r="AU59" s="488" t="n">
        <f aca="false">CHOOSE(J59, IF(QrrSky_Q2&gt;0,QrrSky_Q2,Qrr_Q2*K59/Iout)*Fsw*(Vin-K59*Rdson1), IF(QrrSky_Q3&gt;0,QrrSky_Q3,Qrr_Q3)*Fsw*Vout,  IF(QrrSky_Q2&gt;0,QrrSky_Q2,Qrr_Q2*K59/Iout)*Fsw/2*(Vin-K59*Rdson1)+IF(QrrSky_Q3&gt;0,QrrSky_Q3,Qrr_Q3)*Fsw/2*Vout)</f>
        <v>0.1160192025</v>
      </c>
      <c r="AV59" s="488" t="n">
        <f aca="false">CHOOSE(J59, Rs*AF59^2, Rs*AJ59^2, Rs*(AF59^2+AJ59^2))</f>
        <v>0.00710506839176559</v>
      </c>
      <c r="AW59" s="488" t="n">
        <f aca="false">Rshunt_std/1000*Iout^2</f>
        <v>0.14832</v>
      </c>
      <c r="AX59" s="488" t="n">
        <f aca="false">IF(Vout&gt;8, Iq*Vout, Iq*Vin)</f>
        <v>0.036</v>
      </c>
      <c r="AY59" s="488" t="n">
        <f aca="false">CHOOSE(J59, (Qg_Q1+Qg_Q2)*Fsw, (Qg_Q3+Qg_Q4)*Fsw, (Qg_Q1+Qg_Q2+Qg_Q3+Qg_Q4)*Fsw/2)*IF(Vout&gt;8, Vout, Vin)</f>
        <v>0.1188</v>
      </c>
      <c r="AZ59" s="488" t="n">
        <f aca="false">(Vin-Vdd)*Fsw*(Qg_Q1+Qg_Q2)+(RdsonDRT+RdsonDRT2)*Fsw*Qg_Q1*Vdd/(RdsonDRT+2*Rgate1+RdsonDRT2)+(RdsonDRB+RdsonDRB2)*Fsw*Qg_Q2*Vdd/(RdsonDRB+2*Rgate2+RdsonDRB2)</f>
        <v>0.0522</v>
      </c>
      <c r="BA59" s="488" t="n">
        <f aca="false">SUM(AX59:AY59)</f>
        <v>0.1548</v>
      </c>
      <c r="BB59" s="488" t="n">
        <f aca="false">SUM(T59,W59,Z59,AE59,AI59,AN59,AR59, AT59,AU59,BA59,AV59,AW59)</f>
        <v>0.666762447815705</v>
      </c>
      <c r="BC59" s="419" t="n">
        <f aca="false">Vout*K59</f>
        <v>36</v>
      </c>
      <c r="BD59" s="589" t="n">
        <f aca="false">BC59/(BC59+BB59)</f>
        <v>0.98181561710651</v>
      </c>
      <c r="BE59" s="590" t="n">
        <f aca="false">IF(Vin&gt;Vout,ThetaJA_Q1*BK59,ThetaJA_Q4*BK59)</f>
        <v>5.61648056758336</v>
      </c>
      <c r="BF59" s="590" t="n">
        <f aca="false">IF(Vin&gt;Vout, ThetaJA_Q2*BL59, ThetaJA_Q3*BL59)</f>
        <v>4.82001052964194</v>
      </c>
      <c r="BG59" s="536"/>
      <c r="BH59" s="385" t="n">
        <f aca="false">BD59*100</f>
        <v>98.181561710651</v>
      </c>
      <c r="BI59" s="488" t="n">
        <f aca="false">T59</f>
        <v>0.0331459642727182</v>
      </c>
      <c r="BJ59" s="488" t="n">
        <f aca="false">AE59+AI59+AN59+AR59+AU59</f>
        <v>0.321270996303054</v>
      </c>
      <c r="BK59" s="488" t="n">
        <f aca="false">IF(Vin&gt;Vout, AE59+AU59*0.66, AN59+AU59*0.66)</f>
        <v>0.112329611351667</v>
      </c>
      <c r="BL59" s="488" t="n">
        <f aca="false">IF(Vin&gt;Vout, AI59+AU59*0.33, AR59+AU59*0.33)</f>
        <v>0.0964002105928388</v>
      </c>
      <c r="BM59" s="488" t="n">
        <f aca="false">AV59</f>
        <v>0.00710506839176559</v>
      </c>
      <c r="BS59" s="591"/>
      <c r="BT59" s="592"/>
    </row>
    <row r="60" customFormat="false" ht="12.75" hidden="false" customHeight="false" outlineLevel="0" collapsed="false">
      <c r="A60" s="600" t="s">
        <v>687</v>
      </c>
      <c r="B60" s="627" t="n">
        <f aca="false">Ireverse</f>
        <v>0</v>
      </c>
      <c r="C60" s="597" t="s">
        <v>454</v>
      </c>
      <c r="D60" s="625" t="s">
        <v>688</v>
      </c>
      <c r="E60" s="336"/>
      <c r="G60" s="0" t="n">
        <v>51</v>
      </c>
      <c r="H60" s="586" t="n">
        <f aca="false">Vin</f>
        <v>12</v>
      </c>
      <c r="I60" s="385" t="str">
        <f aca="false">IF(H60&gt;VIN_BB_to_buck, "BUCK", IF(H60&lt;VIN_boost_to_BB,"BOOST","BUCK-BST"))</f>
        <v>BUCK-BST</v>
      </c>
      <c r="J60" s="419" t="n">
        <f aca="false">IF(I60="BOOST",2, IF(I60="BUCK", 1,3))</f>
        <v>3</v>
      </c>
      <c r="K60" s="488" t="n">
        <f aca="false">Iout*G60/100</f>
        <v>3.06</v>
      </c>
      <c r="L60" s="385" t="n">
        <f aca="false">Vout*K60/(Vin*Efficiency)</f>
        <v>3.4</v>
      </c>
      <c r="M60" s="385" t="n">
        <f aca="false">K60/(1-O60)</f>
        <v>3.20418848167539</v>
      </c>
      <c r="N60" s="488" t="n">
        <f aca="false">CHOOSE(J60,(Vout+(Rdson2+Rs+Rdcr)*K60)/(Vin+(Rs+Rdson2-Rdson1)*K60), 1, IF(Vin&lt;Vout, D_max_buck_BB, Vout/Vin*(1-D_min_boost_exitBB_to_buck)))</f>
        <v>0.955</v>
      </c>
      <c r="O60" s="488" t="n">
        <f aca="false">CHOOSE(J60,0,(Vout+(Rdson3+Rdcr)*L60-Vin)/(Vout+(Rdson3-Rdson4-Rs)*L60), IF(Vin&gt;Vout,D_min_boost_exitBB_to_buck, (Vout-Vin*D_max_buck_BB)/Vout))</f>
        <v>0.0450000000000001</v>
      </c>
      <c r="P60" s="385" t="n">
        <f aca="false">MAX(0, CHOOSE(J60, (Vin-(Rdson1+Rdcr)*K60-Vout)*N60/(Fsw*Lf), (Vin-(Rdson4+Rdcr+Rs)*L60)*O60/(Fsw*Lf), IF(Vin&lt;Vout, (Vin-(Rdson4+Rdcr+Rs)*L60)*O60/(0.5*Fsw*Lf),(Vin-(Rdson1+Rdcr)*K60-Vout)*N60/(0.5*Fsw*Lf))))</f>
        <v>0</v>
      </c>
      <c r="Q60" s="385" t="n">
        <f aca="false">CHOOSE(J60, SQRT(K60^2+(P60^2)/12), SQRT(L60^2+(P60^2)/12), SQRT(M60^2+(P60^2)/12))</f>
        <v>3.20418848167539</v>
      </c>
      <c r="R60" s="488" t="n">
        <f aca="false">(Q60^2*Rdcr*(1+Ltc*Ta-Ltc*25))/(1-Q60^2*Rdcr*Ltc*ThetaCa)</f>
        <v>0.0344887559323845</v>
      </c>
      <c r="S60" s="488" t="n">
        <f aca="false">7.759*10^-3*Fsw^0.9458*(0.00787*P60)^2.304</f>
        <v>0</v>
      </c>
      <c r="T60" s="488" t="n">
        <f aca="false">R60+S60</f>
        <v>0.0344887559323845</v>
      </c>
      <c r="U60" s="385" t="n">
        <f aca="false">IF(Vin&gt;Vout, P60/SQRT(12), SQRT(O60/(1-O60))*SQRT(K60^2+(P60^2)/12))</f>
        <v>0.664241487658444</v>
      </c>
      <c r="V60" s="488" t="n">
        <f aca="false">RCoutEsr*U60^2</f>
        <v>0.00220608376963351</v>
      </c>
      <c r="W60" s="488" t="n">
        <f aca="false">V60</f>
        <v>0.00220608376963351</v>
      </c>
      <c r="X60" s="385" t="n">
        <f aca="false">IF(Vin&gt;Vout, SQRT(N60*(1-N60))*SQRT(K60^2+(P60^2)/12), P60/SQRT(12))</f>
        <v>0</v>
      </c>
      <c r="Y60" s="587" t="n">
        <f aca="false">RCinEsr*X60^2</f>
        <v>0</v>
      </c>
      <c r="Z60" s="588" t="n">
        <f aca="false">Y60</f>
        <v>0</v>
      </c>
      <c r="AA60" s="488" t="n">
        <f aca="false">CHOOSE(J60, SQRT(N60)*SQRT(K60^2+(P60^2)/12), SQRT(L60^2+(P60^2)/12), SQRT(N60)*SQRT(M60^2+(P60^2)/12))</f>
        <v>3.1312644017915</v>
      </c>
      <c r="AB60" s="488" t="n">
        <f aca="false">Rdson1*AA60^2</f>
        <v>0.0558874554973822</v>
      </c>
      <c r="AC60" s="488" t="n">
        <f aca="false">CHOOSE(J60, (Vin*K60/2)*(Fsw)*(Tr_buck+Tf_buck), 0, (Vin*K60/2)*(Fsw/2)*(Tr_buck+Tf_buck))</f>
        <v>0.0186971707317073</v>
      </c>
      <c r="AD60" s="488" t="n">
        <f aca="false">CHOOSE(J60, IF(K60&gt;P60/2,0,ABS(K60-P60/2)*Vsd_Q1*Deadtime*Fsw),0, IF(K60&gt;P60/2,0,ABS(K60-P60/2)*Vsd_Q1*Deadtime*Fsw/2))</f>
        <v>0</v>
      </c>
      <c r="AE60" s="488" t="n">
        <f aca="false">(AD60+AC60+AB60*(1+RdsonTopTc*Ta-RdsonTopTc*25))/(1-AB60*RdsonTopTc*ThetaJA_Q1)</f>
        <v>0.075427718885587</v>
      </c>
      <c r="AF60" s="488" t="n">
        <f aca="false">CHOOSE(J60, SQRT((1-N60))*SQRT(K60^2+(P60^2)/12), 0, SQRT((1-N60))*SQRT(M60^2+(P60^2)/12))</f>
        <v>0.67971102107775</v>
      </c>
      <c r="AG60" s="488" t="n">
        <f aca="false">Rdson2*AF60^2</f>
        <v>0.00263344031139498</v>
      </c>
      <c r="AH60" s="488" t="n">
        <f aca="false">CHOOSE(J60, IF(K60&lt;P60/2,Deadtime*Fsw*IF(VfdSky_Q2&gt;0,0,Vsd_Q2)*(K60+P60/2),2*Deadtime*Fsw*IF(VfdSky_Q2&gt;0,0,Vsd_Q2)*K60),0, IF(K60&lt;P60/2,Deadtime*Fsw/2*IF(VfdSky_Q2&gt;0,0,Vsd_Q2)*(K60+P60/2),2*Deadtime*Fsw/2*IF(VfdSky_Q2&gt;0,0,Vsd_Q2)*K60))</f>
        <v>0.03672</v>
      </c>
      <c r="AI60" s="488" t="n">
        <f aca="false">(AH60+AG60*(1+RdsonBotTc*Ta-RdsonBotTc*25))/(1-AG60*RdsonBotTc*ThetaJA_Q2)</f>
        <v>0.039374178221026</v>
      </c>
      <c r="AJ60" s="488" t="n">
        <f aca="false">CHOOSE(J60, 0, SQRT(O60)*SQRT(L60^2+(P60^2)/12), SQRT(O60)*SQRT(M60^2+(P60^2)/12))</f>
        <v>0.67971102107775</v>
      </c>
      <c r="AK60" s="488" t="n">
        <f aca="false">Rdson4*AJ60^2</f>
        <v>0.000877813437131659</v>
      </c>
      <c r="AL60" s="488" t="n">
        <f aca="false">CHOOSE(J60, 0, (Vout*L60/2)*(Fsw)*(Tr_boost+Tf_boost), (Vout*Iout/2)*(Fsw/2)*(Tr_boost+Tf_boost))</f>
        <v>0.0349071770123085</v>
      </c>
      <c r="AM60" s="488" t="n">
        <f aca="false">IF(H60&gt;Vout, 0, IF(L60&gt;P60/2,0,ABS(L60-P60/2)*Vsd_Q4*Deadtime*Fsw))</f>
        <v>0</v>
      </c>
      <c r="AN60" s="488" t="n">
        <f aca="false">(AM60+AL60+AK60*(1+RdsonTopTc*Ta-RdsonTopTc*25))/(1-AK60*RdsonTopTc*ThetaJA_Q4)</f>
        <v>0.0357912740617009</v>
      </c>
      <c r="AO60" s="488" t="n">
        <f aca="false">CHOOSE(J60, SQRT(K60^2+(P60^2)/12), SQRT(1-O60)*SQRT(L60^2+(P60^2)/12), SQRT(1-O60)*SQRT(M60^2+(P60^2)/12))</f>
        <v>3.1312644017915</v>
      </c>
      <c r="AP60" s="488" t="n">
        <f aca="false">Rdson3*AO60^2</f>
        <v>0.0186291518324607</v>
      </c>
      <c r="AQ60" s="488" t="n">
        <f aca="false">CHOOSE(J60, 0, IF(L60&lt;P60/2,Deadtime*Fsw*IF(VfdSky_Q3&gt;0,0,Vsd_Q3)*(L60+P60/2), 2*Deadtime*Fsw*IF(VfdSky_Q3&gt;0,0,Vsd_Q3)*L60), IF(L60&lt;P60/2,Deadtime*Fsw/2*IF(VfdSky_Q3&gt;0,0,Vsd_Q3)*(L60+P60/2), 2*Deadtime*Fsw/2*IF(VfdSky_Q3&gt;0,0,Vsd_Q3)*L60))</f>
        <v>0.0408</v>
      </c>
      <c r="AR60" s="488" t="n">
        <f aca="false">(AQ60+AP60*(1+RdsonBotTc*Ta-RdsonBotTc*25))/(1-AP60*RdsonBotTc*ThetaJA_Q3)</f>
        <v>0.059651402840568</v>
      </c>
      <c r="AS60" s="488" t="n">
        <f aca="false">CHOOSE(J60, Rdson3*Q60^2, Rdson1*Q60^2, 0)</f>
        <v>0</v>
      </c>
      <c r="AT60" s="488" t="n">
        <f aca="false">CHOOSE(J60, 2*Deadtime*Fsw*IF(VfdSky_Q2&gt;0,VfdSky_Q2,0)*K60, 2*Deadtime*Fsw*IF(VfdSky_Q3&gt;0,VfdSky_Q3,0)*L60, 2*Deadtime*Fsw/2*IF(VfdSky_Q2&gt;0,VfdSky_Q2,0)*K60+2*Deadtime*Fsw/2*IF(VfdSky_Q3&gt;0,VfdSky_Q3,0)*L60)</f>
        <v>0</v>
      </c>
      <c r="AU60" s="488" t="n">
        <f aca="false">CHOOSE(J60, IF(QrrSky_Q2&gt;0,QrrSky_Q2,Qrr_Q2*K60/Iout)*Fsw*(Vin-K60*Rdson1), IF(QrrSky_Q3&gt;0,QrrSky_Q3,Qrr_Q3)*Fsw*Vout,  IF(QrrSky_Q2&gt;0,QrrSky_Q2,Qrr_Q2*K60/Iout)*Fsw/2*(Vin-K60*Rdson1)+IF(QrrSky_Q3&gt;0,QrrSky_Q3,Qrr_Q3)*Fsw/2*Vout)</f>
        <v>0.117149938281</v>
      </c>
      <c r="AV60" s="488" t="n">
        <f aca="false">CHOOSE(J60, Rs*AF60^2, Rs*AJ60^2, Rs*(AF60^2+AJ60^2))</f>
        <v>0.00739211315479292</v>
      </c>
      <c r="AW60" s="488" t="n">
        <f aca="false">Rshunt_std/1000*Iout^2</f>
        <v>0.14832</v>
      </c>
      <c r="AX60" s="488" t="n">
        <f aca="false">IF(Vout&gt;8, Iq*Vout, Iq*Vin)</f>
        <v>0.036</v>
      </c>
      <c r="AY60" s="488" t="n">
        <f aca="false">CHOOSE(J60, (Qg_Q1+Qg_Q2)*Fsw, (Qg_Q3+Qg_Q4)*Fsw, (Qg_Q1+Qg_Q2+Qg_Q3+Qg_Q4)*Fsw/2)*IF(Vout&gt;8, Vout, Vin)</f>
        <v>0.1188</v>
      </c>
      <c r="AZ60" s="488" t="n">
        <f aca="false">(Vin-Vdd)*Fsw*(Qg_Q1+Qg_Q2)+(RdsonDRT+RdsonDRT2)*Fsw*Qg_Q1*Vdd/(RdsonDRT+2*Rgate1+RdsonDRT2)+(RdsonDRB+RdsonDRB2)*Fsw*Qg_Q2*Vdd/(RdsonDRB+2*Rgate2+RdsonDRB2)</f>
        <v>0.0522</v>
      </c>
      <c r="BA60" s="488" t="n">
        <f aca="false">SUM(AX60:AY60)</f>
        <v>0.1548</v>
      </c>
      <c r="BB60" s="488" t="n">
        <f aca="false">SUM(T60,W60,Z60,AE60,AI60,AN60,AR60, AT60,AU60,BA60,AV60,AW60)</f>
        <v>0.674601465146693</v>
      </c>
      <c r="BC60" s="419" t="n">
        <f aca="false">Vout*K60</f>
        <v>36.72</v>
      </c>
      <c r="BD60" s="589" t="n">
        <f aca="false">BC60/(BC60+BB60)</f>
        <v>0.981959923659691</v>
      </c>
      <c r="BE60" s="590" t="n">
        <f aca="false">IF(Vin&gt;Vout,ThetaJA_Q1*BK60,ThetaJA_Q4*BK60)</f>
        <v>5.65551166635804</v>
      </c>
      <c r="BF60" s="590" t="n">
        <f aca="false">IF(Vin&gt;Vout, ThetaJA_Q2*BL60, ThetaJA_Q3*BL60)</f>
        <v>4.9155441236649</v>
      </c>
      <c r="BG60" s="536"/>
      <c r="BH60" s="385" t="n">
        <f aca="false">BD60*100</f>
        <v>98.1959923659691</v>
      </c>
      <c r="BI60" s="488" t="n">
        <f aca="false">T60</f>
        <v>0.0344887559323845</v>
      </c>
      <c r="BJ60" s="488" t="n">
        <f aca="false">AE60+AI60+AN60+AR60+AU60</f>
        <v>0.327394512289882</v>
      </c>
      <c r="BK60" s="488" t="n">
        <f aca="false">IF(Vin&gt;Vout, AE60+AU60*0.66, AN60+AU60*0.66)</f>
        <v>0.113110233327161</v>
      </c>
      <c r="BL60" s="488" t="n">
        <f aca="false">IF(Vin&gt;Vout, AI60+AU60*0.33, AR60+AU60*0.33)</f>
        <v>0.098310882473298</v>
      </c>
      <c r="BM60" s="488" t="n">
        <f aca="false">AV60</f>
        <v>0.00739211315479292</v>
      </c>
      <c r="BS60" s="591"/>
      <c r="BT60" s="592"/>
    </row>
    <row r="61" customFormat="false" ht="12.75" hidden="false" customHeight="false" outlineLevel="0" collapsed="false">
      <c r="A61" s="604" t="s">
        <v>689</v>
      </c>
      <c r="B61" s="583" t="s">
        <v>812</v>
      </c>
      <c r="C61" s="604" t="s">
        <v>697</v>
      </c>
      <c r="D61" s="626" t="s">
        <v>878</v>
      </c>
      <c r="E61" s="308"/>
      <c r="G61" s="0" t="n">
        <v>52</v>
      </c>
      <c r="H61" s="586" t="n">
        <f aca="false">Vin</f>
        <v>12</v>
      </c>
      <c r="I61" s="385" t="str">
        <f aca="false">IF(H61&gt;VIN_BB_to_buck, "BUCK", IF(H61&lt;VIN_boost_to_BB,"BOOST","BUCK-BST"))</f>
        <v>BUCK-BST</v>
      </c>
      <c r="J61" s="419" t="n">
        <f aca="false">IF(I61="BOOST",2, IF(I61="BUCK", 1,3))</f>
        <v>3</v>
      </c>
      <c r="K61" s="488" t="n">
        <f aca="false">Iout*G61/100</f>
        <v>3.12</v>
      </c>
      <c r="L61" s="385" t="n">
        <f aca="false">Vout*K61/(Vin*Efficiency)</f>
        <v>3.46666666666667</v>
      </c>
      <c r="M61" s="385" t="n">
        <f aca="false">K61/(1-O61)</f>
        <v>3.26701570680628</v>
      </c>
      <c r="N61" s="488" t="n">
        <f aca="false">CHOOSE(J61,(Vout+(Rdson2+Rs+Rdcr)*K61)/(Vin+(Rs+Rdson2-Rdson1)*K61), 1, IF(Vin&lt;Vout, D_max_buck_BB, Vout/Vin*(1-D_min_boost_exitBB_to_buck)))</f>
        <v>0.955</v>
      </c>
      <c r="O61" s="488" t="n">
        <f aca="false">CHOOSE(J61,0,(Vout+(Rdson3+Rdcr)*L61-Vin)/(Vout+(Rdson3-Rdson4-Rs)*L61), IF(Vin&gt;Vout,D_min_boost_exitBB_to_buck, (Vout-Vin*D_max_buck_BB)/Vout))</f>
        <v>0.0450000000000001</v>
      </c>
      <c r="P61" s="385" t="n">
        <f aca="false">MAX(0, CHOOSE(J61, (Vin-(Rdson1+Rdcr)*K61-Vout)*N61/(Fsw*Lf), (Vin-(Rdson4+Rdcr+Rs)*L61)*O61/(Fsw*Lf), IF(Vin&lt;Vout, (Vin-(Rdson4+Rdcr+Rs)*L61)*O61/(0.5*Fsw*Lf),(Vin-(Rdson1+Rdcr)*K61-Vout)*N61/(0.5*Fsw*Lf))))</f>
        <v>0</v>
      </c>
      <c r="Q61" s="385" t="n">
        <f aca="false">CHOOSE(J61, SQRT(K61^2+(P61^2)/12), SQRT(L61^2+(P61^2)/12), SQRT(M61^2+(P61^2)/12))</f>
        <v>3.26701570680628</v>
      </c>
      <c r="R61" s="488" t="n">
        <f aca="false">(Q61^2*Rdcr*(1+Ltc*Ta-Ltc*25))/(1-Q61^2*Rdcr*Ltc*ThetaCa)</f>
        <v>0.0358584338925147</v>
      </c>
      <c r="S61" s="488" t="n">
        <f aca="false">7.759*10^-3*Fsw^0.9458*(0.00787*P61)^2.304</f>
        <v>0</v>
      </c>
      <c r="T61" s="488" t="n">
        <f aca="false">R61+S61</f>
        <v>0.0358584338925147</v>
      </c>
      <c r="U61" s="385" t="n">
        <f aca="false">IF(Vin&gt;Vout, P61/SQRT(12), SQRT(O61/(1-O61))*SQRT(K61^2+(P61^2)/12))</f>
        <v>0.677265830553707</v>
      </c>
      <c r="V61" s="488" t="n">
        <f aca="false">RCoutEsr*U61^2</f>
        <v>0.00229344502617801</v>
      </c>
      <c r="W61" s="488" t="n">
        <f aca="false">V61</f>
        <v>0.00229344502617801</v>
      </c>
      <c r="X61" s="385" t="n">
        <f aca="false">IF(Vin&gt;Vout, SQRT(N61*(1-N61))*SQRT(K61^2+(P61^2)/12), P61/SQRT(12))</f>
        <v>0</v>
      </c>
      <c r="Y61" s="587" t="n">
        <f aca="false">RCinEsr*X61^2</f>
        <v>0</v>
      </c>
      <c r="Z61" s="588" t="n">
        <f aca="false">Y61</f>
        <v>0</v>
      </c>
      <c r="AA61" s="488" t="n">
        <f aca="false">CHOOSE(J61, SQRT(N61)*SQRT(K61^2+(P61^2)/12), SQRT(L61^2+(P61^2)/12), SQRT(N61)*SQRT(M61^2+(P61^2)/12))</f>
        <v>3.1926617430031</v>
      </c>
      <c r="AB61" s="488" t="n">
        <f aca="false">Rdson1*AA61^2</f>
        <v>0.058100607329843</v>
      </c>
      <c r="AC61" s="488" t="n">
        <f aca="false">CHOOSE(J61, (Vin*K61/2)*(Fsw)*(Tr_buck+Tf_buck), 0, (Vin*K61/2)*(Fsw/2)*(Tr_buck+Tf_buck))</f>
        <v>0.0190637819225251</v>
      </c>
      <c r="AD61" s="488" t="n">
        <f aca="false">CHOOSE(J61, IF(K61&gt;P61/2,0,ABS(K61-P61/2)*Vsd_Q1*Deadtime*Fsw),0, IF(K61&gt;P61/2,0,ABS(K61-P61/2)*Vsd_Q1*Deadtime*Fsw/2))</f>
        <v>0</v>
      </c>
      <c r="AE61" s="488" t="n">
        <f aca="false">(AD61+AC61+AB61*(1+RdsonTopTc*Ta-RdsonTopTc*25))/(1-AB61*RdsonTopTc*ThetaJA_Q1)</f>
        <v>0.0780715906183952</v>
      </c>
      <c r="AF61" s="488" t="n">
        <f aca="false">CHOOSE(J61, SQRT((1-N61))*SQRT(K61^2+(P61^2)/12), 0, SQRT((1-N61))*SQRT(M61^2+(P61^2)/12))</f>
        <v>0.693038688157706</v>
      </c>
      <c r="AG61" s="488" t="n">
        <f aca="false">Rdson2*AF61^2</f>
        <v>0.00273772495271511</v>
      </c>
      <c r="AH61" s="488" t="n">
        <f aca="false">CHOOSE(J61, IF(K61&lt;P61/2,Deadtime*Fsw*IF(VfdSky_Q2&gt;0,0,Vsd_Q2)*(K61+P61/2),2*Deadtime*Fsw*IF(VfdSky_Q2&gt;0,0,Vsd_Q2)*K61),0, IF(K61&lt;P61/2,Deadtime*Fsw/2*IF(VfdSky_Q2&gt;0,0,Vsd_Q2)*(K61+P61/2),2*Deadtime*Fsw/2*IF(VfdSky_Q2&gt;0,0,Vsd_Q2)*K61))</f>
        <v>0.03744</v>
      </c>
      <c r="AI61" s="488" t="n">
        <f aca="false">(AH61+AG61*(1+RdsonBotTc*Ta-RdsonBotTc*25))/(1-AG61*RdsonBotTc*ThetaJA_Q2)</f>
        <v>0.040199736116847</v>
      </c>
      <c r="AJ61" s="488" t="n">
        <f aca="false">CHOOSE(J61, 0, SQRT(O61)*SQRT(L61^2+(P61^2)/12), SQRT(O61)*SQRT(M61^2+(P61^2)/12))</f>
        <v>0.693038688157706</v>
      </c>
      <c r="AK61" s="488" t="n">
        <f aca="false">Rdson4*AJ61^2</f>
        <v>0.000912574984238372</v>
      </c>
      <c r="AL61" s="488" t="n">
        <f aca="false">CHOOSE(J61, 0, (Vout*L61/2)*(Fsw)*(Tr_boost+Tf_boost), (Vout*Iout/2)*(Fsw/2)*(Tr_boost+Tf_boost))</f>
        <v>0.0349071770123085</v>
      </c>
      <c r="AM61" s="488" t="n">
        <f aca="false">IF(H61&gt;Vout, 0, IF(L61&gt;P61/2,0,ABS(L61-P61/2)*Vsd_Q4*Deadtime*Fsw))</f>
        <v>0</v>
      </c>
      <c r="AN61" s="488" t="n">
        <f aca="false">(AM61+AL61+AK61*(1+RdsonTopTc*Ta-RdsonTopTc*25))/(1-AK61*RdsonTopTc*ThetaJA_Q4)</f>
        <v>0.0358262908319051</v>
      </c>
      <c r="AO61" s="488" t="n">
        <f aca="false">CHOOSE(J61, SQRT(K61^2+(P61^2)/12), SQRT(1-O61)*SQRT(L61^2+(P61^2)/12), SQRT(1-O61)*SQRT(M61^2+(P61^2)/12))</f>
        <v>3.1926617430031</v>
      </c>
      <c r="AP61" s="488" t="n">
        <f aca="false">Rdson3*AO61^2</f>
        <v>0.0193668691099477</v>
      </c>
      <c r="AQ61" s="488" t="n">
        <f aca="false">CHOOSE(J61, 0, IF(L61&lt;P61/2,Deadtime*Fsw*IF(VfdSky_Q3&gt;0,0,Vsd_Q3)*(L61+P61/2), 2*Deadtime*Fsw*IF(VfdSky_Q3&gt;0,0,Vsd_Q3)*L61), IF(L61&lt;P61/2,Deadtime*Fsw/2*IF(VfdSky_Q3&gt;0,0,Vsd_Q3)*(L61+P61/2), 2*Deadtime*Fsw/2*IF(VfdSky_Q3&gt;0,0,Vsd_Q3)*L61))</f>
        <v>0.0416</v>
      </c>
      <c r="AR61" s="488" t="n">
        <f aca="false">(AQ61+AP61*(1+RdsonBotTc*Ta-RdsonBotTc*25))/(1-AP61*RdsonBotTc*ThetaJA_Q3)</f>
        <v>0.0612039348289167</v>
      </c>
      <c r="AS61" s="488" t="n">
        <f aca="false">CHOOSE(J61, Rdson3*Q61^2, Rdson1*Q61^2, 0)</f>
        <v>0</v>
      </c>
      <c r="AT61" s="488" t="n">
        <f aca="false">CHOOSE(J61, 2*Deadtime*Fsw*IF(VfdSky_Q2&gt;0,VfdSky_Q2,0)*K61, 2*Deadtime*Fsw*IF(VfdSky_Q3&gt;0,VfdSky_Q3,0)*L61, 2*Deadtime*Fsw/2*IF(VfdSky_Q2&gt;0,VfdSky_Q2,0)*K61+2*Deadtime*Fsw/2*IF(VfdSky_Q3&gt;0,VfdSky_Q3,0)*L61)</f>
        <v>0</v>
      </c>
      <c r="AU61" s="488" t="n">
        <f aca="false">CHOOSE(J61, IF(QrrSky_Q2&gt;0,QrrSky_Q2,Qrr_Q2*K61/Iout)*Fsw*(Vin-K61*Rdson1), IF(QrrSky_Q3&gt;0,QrrSky_Q3,Qrr_Q3)*Fsw*Vout,  IF(QrrSky_Q2&gt;0,QrrSky_Q2,Qrr_Q2*K61/Iout)*Fsw/2*(Vin-K61*Rdson1)+IF(QrrSky_Q3&gt;0,QrrSky_Q3,Qrr_Q3)*Fsw/2*Vout)</f>
        <v>0.118280609424</v>
      </c>
      <c r="AV61" s="488" t="n">
        <f aca="false">CHOOSE(J61, Rs*AF61^2, Rs*AJ61^2, Rs*(AF61^2+AJ61^2))</f>
        <v>0.00768484197253366</v>
      </c>
      <c r="AW61" s="488" t="n">
        <f aca="false">Rshunt_std/1000*Iout^2</f>
        <v>0.14832</v>
      </c>
      <c r="AX61" s="488" t="n">
        <f aca="false">IF(Vout&gt;8, Iq*Vout, Iq*Vin)</f>
        <v>0.036</v>
      </c>
      <c r="AY61" s="488" t="n">
        <f aca="false">CHOOSE(J61, (Qg_Q1+Qg_Q2)*Fsw, (Qg_Q3+Qg_Q4)*Fsw, (Qg_Q1+Qg_Q2+Qg_Q3+Qg_Q4)*Fsw/2)*IF(Vout&gt;8, Vout, Vin)</f>
        <v>0.1188</v>
      </c>
      <c r="AZ61" s="488" t="n">
        <f aca="false">(Vin-Vdd)*Fsw*(Qg_Q1+Qg_Q2)+(RdsonDRT+RdsonDRT2)*Fsw*Qg_Q1*Vdd/(RdsonDRT+2*Rgate1+RdsonDRT2)+(RdsonDRB+RdsonDRB2)*Fsw*Qg_Q2*Vdd/(RdsonDRB+2*Rgate2+RdsonDRB2)</f>
        <v>0.0522</v>
      </c>
      <c r="BA61" s="488" t="n">
        <f aca="false">SUM(AX61:AY61)</f>
        <v>0.1548</v>
      </c>
      <c r="BB61" s="488" t="n">
        <f aca="false">SUM(T61,W61,Z61,AE61,AI61,AN61,AR61, AT61,AU61,BA61,AV61,AW61)</f>
        <v>0.682538882711291</v>
      </c>
      <c r="BC61" s="419" t="n">
        <f aca="false">Vout*K61</f>
        <v>37.44</v>
      </c>
      <c r="BD61" s="589" t="n">
        <f aca="false">BC61/(BC61+BB61)</f>
        <v>0.982096185020331</v>
      </c>
      <c r="BE61" s="590" t="n">
        <f aca="false">IF(Vin&gt;Vout,ThetaJA_Q1*BK61,ThetaJA_Q4*BK61)</f>
        <v>5.69457465258726</v>
      </c>
      <c r="BF61" s="590" t="n">
        <f aca="false">IF(Vin&gt;Vout, ThetaJA_Q2*BL61, ThetaJA_Q3*BL61)</f>
        <v>5.01182679694184</v>
      </c>
      <c r="BG61" s="536"/>
      <c r="BH61" s="385" t="n">
        <f aca="false">BD61*100</f>
        <v>98.2096185020331</v>
      </c>
      <c r="BI61" s="488" t="n">
        <f aca="false">T61</f>
        <v>0.0358584338925147</v>
      </c>
      <c r="BJ61" s="488" t="n">
        <f aca="false">AE61+AI61+AN61+AR61+AU61</f>
        <v>0.333582161820064</v>
      </c>
      <c r="BK61" s="488" t="n">
        <f aca="false">IF(Vin&gt;Vout, AE61+AU61*0.66, AN61+AU61*0.66)</f>
        <v>0.113891493051745</v>
      </c>
      <c r="BL61" s="488" t="n">
        <f aca="false">IF(Vin&gt;Vout, AI61+AU61*0.33, AR61+AU61*0.33)</f>
        <v>0.100236535938837</v>
      </c>
      <c r="BM61" s="488" t="n">
        <f aca="false">AV61</f>
        <v>0.00768484197253366</v>
      </c>
      <c r="BS61" s="591"/>
      <c r="BT61" s="592"/>
    </row>
    <row r="62" customFormat="false" ht="12.75" hidden="false" customHeight="false" outlineLevel="0" collapsed="false">
      <c r="A62" s="629" t="s">
        <v>879</v>
      </c>
      <c r="B62" s="630" t="n">
        <v>30</v>
      </c>
      <c r="C62" s="611" t="s">
        <v>121</v>
      </c>
      <c r="D62" s="625" t="s">
        <v>665</v>
      </c>
      <c r="G62" s="0" t="n">
        <v>53</v>
      </c>
      <c r="H62" s="586" t="n">
        <f aca="false">Vin</f>
        <v>12</v>
      </c>
      <c r="I62" s="385" t="str">
        <f aca="false">IF(H62&gt;VIN_BB_to_buck, "BUCK", IF(H62&lt;VIN_boost_to_BB,"BOOST","BUCK-BST"))</f>
        <v>BUCK-BST</v>
      </c>
      <c r="J62" s="419" t="n">
        <f aca="false">IF(I62="BOOST",2, IF(I62="BUCK", 1,3))</f>
        <v>3</v>
      </c>
      <c r="K62" s="488" t="n">
        <f aca="false">Iout*G62/100</f>
        <v>3.18</v>
      </c>
      <c r="L62" s="385" t="n">
        <f aca="false">Vout*K62/(Vin*Efficiency)</f>
        <v>3.53333333333333</v>
      </c>
      <c r="M62" s="385" t="n">
        <f aca="false">K62/(1-O62)</f>
        <v>3.32984293193717</v>
      </c>
      <c r="N62" s="488" t="n">
        <f aca="false">CHOOSE(J62,(Vout+(Rdson2+Rs+Rdcr)*K62)/(Vin+(Rs+Rdson2-Rdson1)*K62), 1, IF(Vin&lt;Vout, D_max_buck_BB, Vout/Vin*(1-D_min_boost_exitBB_to_buck)))</f>
        <v>0.955</v>
      </c>
      <c r="O62" s="488" t="n">
        <f aca="false">CHOOSE(J62,0,(Vout+(Rdson3+Rdcr)*L62-Vin)/(Vout+(Rdson3-Rdson4-Rs)*L62), IF(Vin&gt;Vout,D_min_boost_exitBB_to_buck, (Vout-Vin*D_max_buck_BB)/Vout))</f>
        <v>0.0450000000000001</v>
      </c>
      <c r="P62" s="385" t="n">
        <f aca="false">MAX(0, CHOOSE(J62, (Vin-(Rdson1+Rdcr)*K62-Vout)*N62/(Fsw*Lf), (Vin-(Rdson4+Rdcr+Rs)*L62)*O62/(Fsw*Lf), IF(Vin&lt;Vout, (Vin-(Rdson4+Rdcr+Rs)*L62)*O62/(0.5*Fsw*Lf),(Vin-(Rdson1+Rdcr)*K62-Vout)*N62/(0.5*Fsw*Lf))))</f>
        <v>0</v>
      </c>
      <c r="Q62" s="385" t="n">
        <f aca="false">CHOOSE(J62, SQRT(K62^2+(P62^2)/12), SQRT(L62^2+(P62^2)/12), SQRT(M62^2+(P62^2)/12))</f>
        <v>3.32984293193717</v>
      </c>
      <c r="R62" s="488" t="n">
        <f aca="false">(Q62^2*Rdcr*(1+Ltc*Ta-Ltc*25))/(1-Q62^2*Rdcr*Ltc*ThetaCa)</f>
        <v>0.0372550156874328</v>
      </c>
      <c r="S62" s="488" t="n">
        <f aca="false">7.759*10^-3*Fsw^0.9458*(0.00787*P62)^2.304</f>
        <v>0</v>
      </c>
      <c r="T62" s="488" t="n">
        <f aca="false">R62+S62</f>
        <v>0.0372550156874328</v>
      </c>
      <c r="U62" s="385" t="n">
        <f aca="false">IF(Vin&gt;Vout, P62/SQRT(12), SQRT(O62/(1-O62))*SQRT(K62^2+(P62^2)/12))</f>
        <v>0.690290173448971</v>
      </c>
      <c r="V62" s="488" t="n">
        <f aca="false">RCoutEsr*U62^2</f>
        <v>0.00238250261780105</v>
      </c>
      <c r="W62" s="488" t="n">
        <f aca="false">V62</f>
        <v>0.00238250261780105</v>
      </c>
      <c r="X62" s="385" t="n">
        <f aca="false">IF(Vin&gt;Vout, SQRT(N62*(1-N62))*SQRT(K62^2+(P62^2)/12), P62/SQRT(12))</f>
        <v>0</v>
      </c>
      <c r="Y62" s="587" t="n">
        <f aca="false">RCinEsr*X62^2</f>
        <v>0</v>
      </c>
      <c r="Z62" s="588" t="n">
        <f aca="false">Y62</f>
        <v>0</v>
      </c>
      <c r="AA62" s="488" t="n">
        <f aca="false">CHOOSE(J62, SQRT(N62)*SQRT(K62^2+(P62^2)/12), SQRT(L62^2+(P62^2)/12), SQRT(N62)*SQRT(M62^2+(P62^2)/12))</f>
        <v>3.2540590842147</v>
      </c>
      <c r="AB62" s="488" t="n">
        <f aca="false">Rdson1*AA62^2</f>
        <v>0.0603567329842932</v>
      </c>
      <c r="AC62" s="488" t="n">
        <f aca="false">CHOOSE(J62, (Vin*K62/2)*(Fsw)*(Tr_buck+Tf_buck), 0, (Vin*K62/2)*(Fsw/2)*(Tr_buck+Tf_buck))</f>
        <v>0.0194303931133429</v>
      </c>
      <c r="AD62" s="488" t="n">
        <f aca="false">CHOOSE(J62, IF(K62&gt;P62/2,0,ABS(K62-P62/2)*Vsd_Q1*Deadtime*Fsw),0, IF(K62&gt;P62/2,0,ABS(K62-P62/2)*Vsd_Q1*Deadtime*Fsw/2))</f>
        <v>0</v>
      </c>
      <c r="AE62" s="488" t="n">
        <f aca="false">(AD62+AC62+AB62*(1+RdsonTopTc*Ta-RdsonTopTc*25))/(1-AB62*RdsonTopTc*ThetaJA_Q1)</f>
        <v>0.0807620325848344</v>
      </c>
      <c r="AF62" s="488" t="n">
        <f aca="false">CHOOSE(J62, SQRT((1-N62))*SQRT(K62^2+(P62^2)/12), 0, SQRT((1-N62))*SQRT(M62^2+(P62^2)/12))</f>
        <v>0.706366355237661</v>
      </c>
      <c r="AG62" s="488" t="n">
        <f aca="false">Rdson2*AF62^2</f>
        <v>0.00284403453852691</v>
      </c>
      <c r="AH62" s="488" t="n">
        <f aca="false">CHOOSE(J62, IF(K62&lt;P62/2,Deadtime*Fsw*IF(VfdSky_Q2&gt;0,0,Vsd_Q2)*(K62+P62/2),2*Deadtime*Fsw*IF(VfdSky_Q2&gt;0,0,Vsd_Q2)*K62),0, IF(K62&lt;P62/2,Deadtime*Fsw/2*IF(VfdSky_Q2&gt;0,0,Vsd_Q2)*(K62+P62/2),2*Deadtime*Fsw/2*IF(VfdSky_Q2&gt;0,0,Vsd_Q2)*K62))</f>
        <v>0.03816</v>
      </c>
      <c r="AI62" s="488" t="n">
        <f aca="false">(AH62+AG62*(1+RdsonBotTc*Ta-RdsonBotTc*25))/(1-AG62*RdsonBotTc*ThetaJA_Q2)</f>
        <v>0.0410273711906651</v>
      </c>
      <c r="AJ62" s="488" t="n">
        <f aca="false">CHOOSE(J62, 0, SQRT(O62)*SQRT(L62^2+(P62^2)/12), SQRT(O62)*SQRT(M62^2+(P62^2)/12))</f>
        <v>0.706366355237662</v>
      </c>
      <c r="AK62" s="488" t="n">
        <f aca="false">Rdson4*AJ62^2</f>
        <v>0.000948011512842303</v>
      </c>
      <c r="AL62" s="488" t="n">
        <f aca="false">CHOOSE(J62, 0, (Vout*L62/2)*(Fsw)*(Tr_boost+Tf_boost), (Vout*Iout/2)*(Fsw/2)*(Tr_boost+Tf_boost))</f>
        <v>0.0349071770123085</v>
      </c>
      <c r="AM62" s="488" t="n">
        <f aca="false">IF(H62&gt;Vout, 0, IF(L62&gt;P62/2,0,ABS(L62-P62/2)*Vsd_Q4*Deadtime*Fsw))</f>
        <v>0</v>
      </c>
      <c r="AN62" s="488" t="n">
        <f aca="false">(AM62+AL62+AK62*(1+RdsonTopTc*Ta-RdsonTopTc*25))/(1-AK62*RdsonTopTc*ThetaJA_Q4)</f>
        <v>0.035861988040658</v>
      </c>
      <c r="AO62" s="488" t="n">
        <f aca="false">CHOOSE(J62, SQRT(K62^2+(P62^2)/12), SQRT(1-O62)*SQRT(L62^2+(P62^2)/12), SQRT(1-O62)*SQRT(M62^2+(P62^2)/12))</f>
        <v>3.2540590842147</v>
      </c>
      <c r="AP62" s="488" t="n">
        <f aca="false">Rdson3*AO62^2</f>
        <v>0.0201189109947644</v>
      </c>
      <c r="AQ62" s="488" t="n">
        <f aca="false">CHOOSE(J62, 0, IF(L62&lt;P62/2,Deadtime*Fsw*IF(VfdSky_Q3&gt;0,0,Vsd_Q3)*(L62+P62/2), 2*Deadtime*Fsw*IF(VfdSky_Q3&gt;0,0,Vsd_Q3)*L62), IF(L62&lt;P62/2,Deadtime*Fsw/2*IF(VfdSky_Q3&gt;0,0,Vsd_Q3)*(L62+P62/2), 2*Deadtime*Fsw/2*IF(VfdSky_Q3&gt;0,0,Vsd_Q3)*L62))</f>
        <v>0.0424</v>
      </c>
      <c r="AR62" s="488" t="n">
        <f aca="false">(AQ62+AP62*(1+RdsonBotTc*Ta-RdsonBotTc*25))/(1-AP62*RdsonBotTc*ThetaJA_Q3)</f>
        <v>0.0627714897980154</v>
      </c>
      <c r="AS62" s="488" t="n">
        <f aca="false">CHOOSE(J62, Rdson3*Q62^2, Rdson1*Q62^2, 0)</f>
        <v>0</v>
      </c>
      <c r="AT62" s="488" t="n">
        <f aca="false">CHOOSE(J62, 2*Deadtime*Fsw*IF(VfdSky_Q2&gt;0,VfdSky_Q2,0)*K62, 2*Deadtime*Fsw*IF(VfdSky_Q3&gt;0,VfdSky_Q3,0)*L62, 2*Deadtime*Fsw/2*IF(VfdSky_Q2&gt;0,VfdSky_Q2,0)*K62+2*Deadtime*Fsw/2*IF(VfdSky_Q3&gt;0,VfdSky_Q3,0)*L62)</f>
        <v>0</v>
      </c>
      <c r="AU62" s="488" t="n">
        <f aca="false">CHOOSE(J62, IF(QrrSky_Q2&gt;0,QrrSky_Q2,Qrr_Q2*K62/Iout)*Fsw*(Vin-K62*Rdson1), IF(QrrSky_Q3&gt;0,QrrSky_Q3,Qrr_Q3)*Fsw*Vout,  IF(QrrSky_Q2&gt;0,QrrSky_Q2,Qrr_Q2*K62/Iout)*Fsw/2*(Vin-K62*Rdson1)+IF(QrrSky_Q3&gt;0,QrrSky_Q3,Qrr_Q3)*Fsw/2*Vout)</f>
        <v>0.119411215929</v>
      </c>
      <c r="AV62" s="488" t="n">
        <f aca="false">CHOOSE(J62, Rs*AF62^2, Rs*AJ62^2, Rs*(AF62^2+AJ62^2))</f>
        <v>0.00798325484498781</v>
      </c>
      <c r="AW62" s="488" t="n">
        <f aca="false">Rshunt_std/1000*Iout^2</f>
        <v>0.14832</v>
      </c>
      <c r="AX62" s="488" t="n">
        <f aca="false">IF(Vout&gt;8, Iq*Vout, Iq*Vin)</f>
        <v>0.036</v>
      </c>
      <c r="AY62" s="488" t="n">
        <f aca="false">CHOOSE(J62, (Qg_Q1+Qg_Q2)*Fsw, (Qg_Q3+Qg_Q4)*Fsw, (Qg_Q1+Qg_Q2+Qg_Q3+Qg_Q4)*Fsw/2)*IF(Vout&gt;8, Vout, Vin)</f>
        <v>0.1188</v>
      </c>
      <c r="AZ62" s="488" t="n">
        <f aca="false">(Vin-Vdd)*Fsw*(Qg_Q1+Qg_Q2)+(RdsonDRT+RdsonDRT2)*Fsw*Qg_Q1*Vdd/(RdsonDRT+2*Rgate1+RdsonDRT2)+(RdsonDRB+RdsonDRB2)*Fsw*Qg_Q2*Vdd/(RdsonDRB+2*Rgate2+RdsonDRB2)</f>
        <v>0.0522</v>
      </c>
      <c r="BA62" s="488" t="n">
        <f aca="false">SUM(AX62:AY62)</f>
        <v>0.1548</v>
      </c>
      <c r="BB62" s="488" t="n">
        <f aca="false">SUM(T62,W62,Z62,AE62,AI62,AN62,AR62, AT62,AU62,BA62,AV62,AW62)</f>
        <v>0.690574870693395</v>
      </c>
      <c r="BC62" s="419" t="n">
        <f aca="false">Vout*K62</f>
        <v>38.16</v>
      </c>
      <c r="BD62" s="589" t="n">
        <f aca="false">BC62/(BC62+BB62)</f>
        <v>0.982224848075174</v>
      </c>
      <c r="BE62" s="590" t="n">
        <f aca="false">IF(Vin&gt;Vout,ThetaJA_Q1*BK62,ThetaJA_Q4*BK62)</f>
        <v>5.7336695276899</v>
      </c>
      <c r="BF62" s="590" t="n">
        <f aca="false">IF(Vin&gt;Vout, ThetaJA_Q2*BL62, ThetaJA_Q3*BL62)</f>
        <v>5.10885955272927</v>
      </c>
      <c r="BG62" s="536"/>
      <c r="BH62" s="385" t="n">
        <f aca="false">BD62*100</f>
        <v>98.2224848075174</v>
      </c>
      <c r="BI62" s="488" t="n">
        <f aca="false">T62</f>
        <v>0.0372550156874328</v>
      </c>
      <c r="BJ62" s="488" t="n">
        <f aca="false">AE62+AI62+AN62+AR62+AU62</f>
        <v>0.339834097543173</v>
      </c>
      <c r="BK62" s="488" t="n">
        <f aca="false">IF(Vin&gt;Vout, AE62+AU62*0.66, AN62+AU62*0.66)</f>
        <v>0.114673390553798</v>
      </c>
      <c r="BL62" s="488" t="n">
        <f aca="false">IF(Vin&gt;Vout, AI62+AU62*0.33, AR62+AU62*0.33)</f>
        <v>0.102177191054585</v>
      </c>
      <c r="BM62" s="488" t="n">
        <f aca="false">AV62</f>
        <v>0.00798325484498781</v>
      </c>
      <c r="BS62" s="591"/>
      <c r="BT62" s="592"/>
    </row>
    <row r="63" customFormat="false" ht="12.75" hidden="false" customHeight="false" outlineLevel="0" collapsed="false">
      <c r="A63" s="600" t="s">
        <v>880</v>
      </c>
      <c r="B63" s="630" t="n">
        <v>2</v>
      </c>
      <c r="C63" s="611" t="s">
        <v>121</v>
      </c>
      <c r="D63" s="598" t="s">
        <v>665</v>
      </c>
      <c r="G63" s="0" t="n">
        <v>54</v>
      </c>
      <c r="H63" s="586" t="n">
        <f aca="false">Vin</f>
        <v>12</v>
      </c>
      <c r="I63" s="385" t="str">
        <f aca="false">IF(H63&gt;VIN_BB_to_buck, "BUCK", IF(H63&lt;VIN_boost_to_BB,"BOOST","BUCK-BST"))</f>
        <v>BUCK-BST</v>
      </c>
      <c r="J63" s="419" t="n">
        <f aca="false">IF(I63="BOOST",2, IF(I63="BUCK", 1,3))</f>
        <v>3</v>
      </c>
      <c r="K63" s="488" t="n">
        <f aca="false">Iout*G63/100</f>
        <v>3.24</v>
      </c>
      <c r="L63" s="385" t="n">
        <f aca="false">Vout*K63/(Vin*Efficiency)</f>
        <v>3.6</v>
      </c>
      <c r="M63" s="385" t="n">
        <f aca="false">K63/(1-O63)</f>
        <v>3.39267015706806</v>
      </c>
      <c r="N63" s="488" t="n">
        <f aca="false">CHOOSE(J63,(Vout+(Rdson2+Rs+Rdcr)*K63)/(Vin+(Rs+Rdson2-Rdson1)*K63), 1, IF(Vin&lt;Vout, D_max_buck_BB, Vout/Vin*(1-D_min_boost_exitBB_to_buck)))</f>
        <v>0.955</v>
      </c>
      <c r="O63" s="488" t="n">
        <f aca="false">CHOOSE(J63,0,(Vout+(Rdson3+Rdcr)*L63-Vin)/(Vout+(Rdson3-Rdson4-Rs)*L63), IF(Vin&gt;Vout,D_min_boost_exitBB_to_buck, (Vout-Vin*D_max_buck_BB)/Vout))</f>
        <v>0.0450000000000001</v>
      </c>
      <c r="P63" s="385" t="n">
        <f aca="false">MAX(0, CHOOSE(J63, (Vin-(Rdson1+Rdcr)*K63-Vout)*N63/(Fsw*Lf), (Vin-(Rdson4+Rdcr+Rs)*L63)*O63/(Fsw*Lf), IF(Vin&lt;Vout, (Vin-(Rdson4+Rdcr+Rs)*L63)*O63/(0.5*Fsw*Lf),(Vin-(Rdson1+Rdcr)*K63-Vout)*N63/(0.5*Fsw*Lf))))</f>
        <v>0</v>
      </c>
      <c r="Q63" s="385" t="n">
        <f aca="false">CHOOSE(J63, SQRT(K63^2+(P63^2)/12), SQRT(L63^2+(P63^2)/12), SQRT(M63^2+(P63^2)/12))</f>
        <v>3.39267015706806</v>
      </c>
      <c r="R63" s="488" t="n">
        <f aca="false">(Q63^2*Rdcr*(1+Ltc*Ta-Ltc*25))/(1-Q63^2*Rdcr*Ltc*ThetaCa)</f>
        <v>0.0386785192017875</v>
      </c>
      <c r="S63" s="488" t="n">
        <f aca="false">7.759*10^-3*Fsw^0.9458*(0.00787*P63)^2.304</f>
        <v>0</v>
      </c>
      <c r="T63" s="488" t="n">
        <f aca="false">R63+S63</f>
        <v>0.0386785192017875</v>
      </c>
      <c r="U63" s="385" t="n">
        <f aca="false">IF(Vin&gt;Vout, P63/SQRT(12), SQRT(O63/(1-O63))*SQRT(K63^2+(P63^2)/12))</f>
        <v>0.703314516344235</v>
      </c>
      <c r="V63" s="488" t="n">
        <f aca="false">RCoutEsr*U63^2</f>
        <v>0.00247325654450262</v>
      </c>
      <c r="W63" s="488" t="n">
        <f aca="false">V63</f>
        <v>0.00247325654450262</v>
      </c>
      <c r="X63" s="385" t="n">
        <f aca="false">IF(Vin&gt;Vout, SQRT(N63*(1-N63))*SQRT(K63^2+(P63^2)/12), P63/SQRT(12))</f>
        <v>0</v>
      </c>
      <c r="Y63" s="587" t="n">
        <f aca="false">RCinEsr*X63^2</f>
        <v>0</v>
      </c>
      <c r="Z63" s="588" t="n">
        <f aca="false">Y63</f>
        <v>0</v>
      </c>
      <c r="AA63" s="488" t="n">
        <f aca="false">CHOOSE(J63, SQRT(N63)*SQRT(K63^2+(P63^2)/12), SQRT(L63^2+(P63^2)/12), SQRT(N63)*SQRT(M63^2+(P63^2)/12))</f>
        <v>3.3154564254263</v>
      </c>
      <c r="AB63" s="488" t="n">
        <f aca="false">Rdson1*AA63^2</f>
        <v>0.062655832460733</v>
      </c>
      <c r="AC63" s="488" t="n">
        <f aca="false">CHOOSE(J63, (Vin*K63/2)*(Fsw)*(Tr_buck+Tf_buck), 0, (Vin*K63/2)*(Fsw/2)*(Tr_buck+Tf_buck))</f>
        <v>0.0197970043041607</v>
      </c>
      <c r="AD63" s="488" t="n">
        <f aca="false">CHOOSE(J63, IF(K63&gt;P63/2,0,ABS(K63-P63/2)*Vsd_Q1*Deadtime*Fsw),0, IF(K63&gt;P63/2,0,ABS(K63-P63/2)*Vsd_Q1*Deadtime*Fsw/2))</f>
        <v>0</v>
      </c>
      <c r="AE63" s="488" t="n">
        <f aca="false">(AD63+AC63+AB63*(1+RdsonTopTc*Ta-RdsonTopTc*25))/(1-AB63*RdsonTopTc*ThetaJA_Q1)</f>
        <v>0.0834991788773635</v>
      </c>
      <c r="AF63" s="488" t="n">
        <f aca="false">CHOOSE(J63, SQRT((1-N63))*SQRT(K63^2+(P63^2)/12), 0, SQRT((1-N63))*SQRT(M63^2+(P63^2)/12))</f>
        <v>0.719694022317617</v>
      </c>
      <c r="AG63" s="488" t="n">
        <f aca="false">Rdson2*AF63^2</f>
        <v>0.00295236906883035</v>
      </c>
      <c r="AH63" s="488" t="n">
        <f aca="false">CHOOSE(J63, IF(K63&lt;P63/2,Deadtime*Fsw*IF(VfdSky_Q2&gt;0,0,Vsd_Q2)*(K63+P63/2),2*Deadtime*Fsw*IF(VfdSky_Q2&gt;0,0,Vsd_Q2)*K63),0, IF(K63&lt;P63/2,Deadtime*Fsw/2*IF(VfdSky_Q2&gt;0,0,Vsd_Q2)*(K63+P63/2),2*Deadtime*Fsw/2*IF(VfdSky_Q2&gt;0,0,Vsd_Q2)*K63))</f>
        <v>0.03888</v>
      </c>
      <c r="AI63" s="488" t="n">
        <f aca="false">(AH63+AG63*(1+RdsonBotTc*Ta-RdsonBotTc*25))/(1-AG63*RdsonBotTc*ThetaJA_Q2)</f>
        <v>0.0418570845811962</v>
      </c>
      <c r="AJ63" s="488" t="n">
        <f aca="false">CHOOSE(J63, 0, SQRT(O63)*SQRT(L63^2+(P63^2)/12), SQRT(O63)*SQRT(M63^2+(P63^2)/12))</f>
        <v>0.719694022317618</v>
      </c>
      <c r="AK63" s="488" t="n">
        <f aca="false">Rdson4*AJ63^2</f>
        <v>0.000984123022943452</v>
      </c>
      <c r="AL63" s="488" t="n">
        <f aca="false">CHOOSE(J63, 0, (Vout*L63/2)*(Fsw)*(Tr_boost+Tf_boost), (Vout*Iout/2)*(Fsw/2)*(Tr_boost+Tf_boost))</f>
        <v>0.0349071770123085</v>
      </c>
      <c r="AM63" s="488" t="n">
        <f aca="false">IF(H63&gt;Vout, 0, IF(L63&gt;P63/2,0,ABS(L63-P63/2)*Vsd_Q4*Deadtime*Fsw))</f>
        <v>0</v>
      </c>
      <c r="AN63" s="488" t="n">
        <f aca="false">(AM63+AL63+AK63*(1+RdsonTopTc*Ta-RdsonTopTc*25))/(1-AK63*RdsonTopTc*ThetaJA_Q4)</f>
        <v>0.0358983657168896</v>
      </c>
      <c r="AO63" s="488" t="n">
        <f aca="false">CHOOSE(J63, SQRT(K63^2+(P63^2)/12), SQRT(1-O63)*SQRT(L63^2+(P63^2)/12), SQRT(1-O63)*SQRT(M63^2+(P63^2)/12))</f>
        <v>3.3154564254263</v>
      </c>
      <c r="AP63" s="488" t="n">
        <f aca="false">Rdson3*AO63^2</f>
        <v>0.020885277486911</v>
      </c>
      <c r="AQ63" s="488" t="n">
        <f aca="false">CHOOSE(J63, 0, IF(L63&lt;P63/2,Deadtime*Fsw*IF(VfdSky_Q3&gt;0,0,Vsd_Q3)*(L63+P63/2), 2*Deadtime*Fsw*IF(VfdSky_Q3&gt;0,0,Vsd_Q3)*L63), IF(L63&lt;P63/2,Deadtime*Fsw/2*IF(VfdSky_Q3&gt;0,0,Vsd_Q3)*(L63+P63/2), 2*Deadtime*Fsw/2*IF(VfdSky_Q3&gt;0,0,Vsd_Q3)*L63))</f>
        <v>0.0432</v>
      </c>
      <c r="AR63" s="488" t="n">
        <f aca="false">(AQ63+AP63*(1+RdsonBotTc*Ta-RdsonBotTc*25))/(1-AP63*RdsonBotTc*ThetaJA_Q3)</f>
        <v>0.0643540880843227</v>
      </c>
      <c r="AS63" s="488" t="n">
        <f aca="false">CHOOSE(J63, Rdson3*Q63^2, Rdson1*Q63^2, 0)</f>
        <v>0</v>
      </c>
      <c r="AT63" s="488" t="n">
        <f aca="false">CHOOSE(J63, 2*Deadtime*Fsw*IF(VfdSky_Q2&gt;0,VfdSky_Q2,0)*K63, 2*Deadtime*Fsw*IF(VfdSky_Q3&gt;0,VfdSky_Q3,0)*L63, 2*Deadtime*Fsw/2*IF(VfdSky_Q2&gt;0,VfdSky_Q2,0)*K63+2*Deadtime*Fsw/2*IF(VfdSky_Q3&gt;0,VfdSky_Q3,0)*L63)</f>
        <v>0</v>
      </c>
      <c r="AU63" s="488" t="n">
        <f aca="false">CHOOSE(J63, IF(QrrSky_Q2&gt;0,QrrSky_Q2,Qrr_Q2*K63/Iout)*Fsw*(Vin-K63*Rdson1), IF(QrrSky_Q3&gt;0,QrrSky_Q3,Qrr_Q3)*Fsw*Vout,  IF(QrrSky_Q2&gt;0,QrrSky_Q2,Qrr_Q2*K63/Iout)*Fsw/2*(Vin-K63*Rdson1)+IF(QrrSky_Q3&gt;0,QrrSky_Q3,Qrr_Q3)*Fsw/2*Vout)</f>
        <v>0.120541757796</v>
      </c>
      <c r="AV63" s="488" t="n">
        <f aca="false">CHOOSE(J63, Rs*AF63^2, Rs*AJ63^2, Rs*(AF63^2+AJ63^2))</f>
        <v>0.00828735177215538</v>
      </c>
      <c r="AW63" s="488" t="n">
        <f aca="false">Rshunt_std/1000*Iout^2</f>
        <v>0.14832</v>
      </c>
      <c r="AX63" s="488" t="n">
        <f aca="false">IF(Vout&gt;8, Iq*Vout, Iq*Vin)</f>
        <v>0.036</v>
      </c>
      <c r="AY63" s="488" t="n">
        <f aca="false">CHOOSE(J63, (Qg_Q1+Qg_Q2)*Fsw, (Qg_Q3+Qg_Q4)*Fsw, (Qg_Q1+Qg_Q2+Qg_Q3+Qg_Q4)*Fsw/2)*IF(Vout&gt;8, Vout, Vin)</f>
        <v>0.1188</v>
      </c>
      <c r="AZ63" s="488" t="n">
        <f aca="false">(Vin-Vdd)*Fsw*(Qg_Q1+Qg_Q2)+(RdsonDRT+RdsonDRT2)*Fsw*Qg_Q1*Vdd/(RdsonDRT+2*Rgate1+RdsonDRT2)+(RdsonDRB+RdsonDRB2)*Fsw*Qg_Q2*Vdd/(RdsonDRB+2*Rgate2+RdsonDRB2)</f>
        <v>0.0522</v>
      </c>
      <c r="BA63" s="488" t="n">
        <f aca="false">SUM(AX63:AY63)</f>
        <v>0.1548</v>
      </c>
      <c r="BB63" s="488" t="n">
        <f aca="false">SUM(T63,W63,Z63,AE63,AI63,AN63,AR63, AT63,AU63,BA63,AV63,AW63)</f>
        <v>0.698709602574217</v>
      </c>
      <c r="BC63" s="419" t="n">
        <f aca="false">Vout*K63</f>
        <v>38.88</v>
      </c>
      <c r="BD63" s="589" t="n">
        <f aca="false">BC63/(BC63+BB63)</f>
        <v>0.982346326861329</v>
      </c>
      <c r="BE63" s="590" t="n">
        <f aca="false">IF(Vin&gt;Vout,ThetaJA_Q1*BK63,ThetaJA_Q4*BK63)</f>
        <v>5.77279629311248</v>
      </c>
      <c r="BF63" s="590" t="n">
        <f aca="false">IF(Vin&gt;Vout, ThetaJA_Q2*BL63, ThetaJA_Q3*BL63)</f>
        <v>5.20664340785013</v>
      </c>
      <c r="BG63" s="536"/>
      <c r="BH63" s="385" t="n">
        <f aca="false">BD63*100</f>
        <v>98.2346326861329</v>
      </c>
      <c r="BI63" s="488" t="n">
        <f aca="false">T63</f>
        <v>0.0386785192017875</v>
      </c>
      <c r="BJ63" s="488" t="n">
        <f aca="false">AE63+AI63+AN63+AR63+AU63</f>
        <v>0.346150475055772</v>
      </c>
      <c r="BK63" s="488" t="n">
        <f aca="false">IF(Vin&gt;Vout, AE63+AU63*0.66, AN63+AU63*0.66)</f>
        <v>0.11545592586225</v>
      </c>
      <c r="BL63" s="488" t="n">
        <f aca="false">IF(Vin&gt;Vout, AI63+AU63*0.33, AR63+AU63*0.33)</f>
        <v>0.104132868157003</v>
      </c>
      <c r="BM63" s="488" t="n">
        <f aca="false">AV63</f>
        <v>0.00828735177215538</v>
      </c>
      <c r="BS63" s="591"/>
      <c r="BT63" s="592"/>
    </row>
    <row r="64" customFormat="false" ht="12.75" hidden="false" customHeight="false" outlineLevel="0" collapsed="false">
      <c r="A64" s="534"/>
      <c r="B64" s="381"/>
      <c r="G64" s="0" t="n">
        <v>55</v>
      </c>
      <c r="H64" s="586" t="n">
        <f aca="false">Vin</f>
        <v>12</v>
      </c>
      <c r="I64" s="385" t="str">
        <f aca="false">IF(H64&gt;VIN_BB_to_buck, "BUCK", IF(H64&lt;VIN_boost_to_BB,"BOOST","BUCK-BST"))</f>
        <v>BUCK-BST</v>
      </c>
      <c r="J64" s="419" t="n">
        <f aca="false">IF(I64="BOOST",2, IF(I64="BUCK", 1,3))</f>
        <v>3</v>
      </c>
      <c r="K64" s="488" t="n">
        <f aca="false">Iout*G64/100</f>
        <v>3.3</v>
      </c>
      <c r="L64" s="385" t="n">
        <f aca="false">Vout*K64/(Vin*Efficiency)</f>
        <v>3.66666666666667</v>
      </c>
      <c r="M64" s="385" t="n">
        <f aca="false">K64/(1-O64)</f>
        <v>3.45549738219895</v>
      </c>
      <c r="N64" s="488" t="n">
        <f aca="false">CHOOSE(J64,(Vout+(Rdson2+Rs+Rdcr)*K64)/(Vin+(Rs+Rdson2-Rdson1)*K64), 1, IF(Vin&lt;Vout, D_max_buck_BB, Vout/Vin*(1-D_min_boost_exitBB_to_buck)))</f>
        <v>0.955</v>
      </c>
      <c r="O64" s="488" t="n">
        <f aca="false">CHOOSE(J64,0,(Vout+(Rdson3+Rdcr)*L64-Vin)/(Vout+(Rdson3-Rdson4-Rs)*L64), IF(Vin&gt;Vout,D_min_boost_exitBB_to_buck, (Vout-Vin*D_max_buck_BB)/Vout))</f>
        <v>0.0450000000000001</v>
      </c>
      <c r="P64" s="385" t="n">
        <f aca="false">MAX(0, CHOOSE(J64, (Vin-(Rdson1+Rdcr)*K64-Vout)*N64/(Fsw*Lf), (Vin-(Rdson4+Rdcr+Rs)*L64)*O64/(Fsw*Lf), IF(Vin&lt;Vout, (Vin-(Rdson4+Rdcr+Rs)*L64)*O64/(0.5*Fsw*Lf),(Vin-(Rdson1+Rdcr)*K64-Vout)*N64/(0.5*Fsw*Lf))))</f>
        <v>0</v>
      </c>
      <c r="Q64" s="385" t="n">
        <f aca="false">CHOOSE(J64, SQRT(K64^2+(P64^2)/12), SQRT(L64^2+(P64^2)/12), SQRT(M64^2+(P64^2)/12))</f>
        <v>3.45549738219895</v>
      </c>
      <c r="R64" s="488" t="n">
        <f aca="false">(Q64^2*Rdcr*(1+Ltc*Ta-Ltc*25))/(1-Q64^2*Rdcr*Ltc*ThetaCa)</f>
        <v>0.0401289626711274</v>
      </c>
      <c r="S64" s="488" t="n">
        <f aca="false">7.759*10^-3*Fsw^0.9458*(0.00787*P64)^2.304</f>
        <v>0</v>
      </c>
      <c r="T64" s="488" t="n">
        <f aca="false">R64+S64</f>
        <v>0.0401289626711274</v>
      </c>
      <c r="U64" s="385" t="n">
        <f aca="false">IF(Vin&gt;Vout, P64/SQRT(12), SQRT(O64/(1-O64))*SQRT(K64^2+(P64^2)/12))</f>
        <v>0.716338859239498</v>
      </c>
      <c r="V64" s="488" t="n">
        <f aca="false">RCoutEsr*U64^2</f>
        <v>0.00256570680628273</v>
      </c>
      <c r="W64" s="488" t="n">
        <f aca="false">V64</f>
        <v>0.00256570680628273</v>
      </c>
      <c r="X64" s="385" t="n">
        <f aca="false">IF(Vin&gt;Vout, SQRT(N64*(1-N64))*SQRT(K64^2+(P64^2)/12), P64/SQRT(12))</f>
        <v>0</v>
      </c>
      <c r="Y64" s="587" t="n">
        <f aca="false">RCinEsr*X64^2</f>
        <v>0</v>
      </c>
      <c r="Z64" s="588" t="n">
        <f aca="false">Y64</f>
        <v>0</v>
      </c>
      <c r="AA64" s="488" t="n">
        <f aca="false">CHOOSE(J64, SQRT(N64)*SQRT(K64^2+(P64^2)/12), SQRT(L64^2+(P64^2)/12), SQRT(N64)*SQRT(M64^2+(P64^2)/12))</f>
        <v>3.3768537666379</v>
      </c>
      <c r="AB64" s="488" t="n">
        <f aca="false">Rdson1*AA64^2</f>
        <v>0.0649979057591623</v>
      </c>
      <c r="AC64" s="488" t="n">
        <f aca="false">CHOOSE(J64, (Vin*K64/2)*(Fsw)*(Tr_buck+Tf_buck), 0, (Vin*K64/2)*(Fsw/2)*(Tr_buck+Tf_buck))</f>
        <v>0.0201636154949785</v>
      </c>
      <c r="AD64" s="488" t="n">
        <f aca="false">CHOOSE(J64, IF(K64&gt;P64/2,0,ABS(K64-P64/2)*Vsd_Q1*Deadtime*Fsw),0, IF(K64&gt;P64/2,0,ABS(K64-P64/2)*Vsd_Q1*Deadtime*Fsw/2))</f>
        <v>0</v>
      </c>
      <c r="AE64" s="488" t="n">
        <f aca="false">(AD64+AC64+AB64*(1+RdsonTopTc*Ta-RdsonTopTc*25))/(1-AB64*RdsonTopTc*ThetaJA_Q1)</f>
        <v>0.0862831662761851</v>
      </c>
      <c r="AF64" s="488" t="n">
        <f aca="false">CHOOSE(J64, SQRT((1-N64))*SQRT(K64^2+(P64^2)/12), 0, SQRT((1-N64))*SQRT(M64^2+(P64^2)/12))</f>
        <v>0.733021689397573</v>
      </c>
      <c r="AG64" s="488" t="n">
        <f aca="false">Rdson2*AF64^2</f>
        <v>0.00306272854362545</v>
      </c>
      <c r="AH64" s="488" t="n">
        <f aca="false">CHOOSE(J64, IF(K64&lt;P64/2,Deadtime*Fsw*IF(VfdSky_Q2&gt;0,0,Vsd_Q2)*(K64+P64/2),2*Deadtime*Fsw*IF(VfdSky_Q2&gt;0,0,Vsd_Q2)*K64),0, IF(K64&lt;P64/2,Deadtime*Fsw/2*IF(VfdSky_Q2&gt;0,0,Vsd_Q2)*(K64+P64/2),2*Deadtime*Fsw/2*IF(VfdSky_Q2&gt;0,0,Vsd_Q2)*K64))</f>
        <v>0.0396</v>
      </c>
      <c r="AI64" s="488" t="n">
        <f aca="false">(AH64+AG64*(1+RdsonBotTc*Ta-RdsonBotTc*25))/(1-AG64*RdsonBotTc*ThetaJA_Q2)</f>
        <v>0.0426888774323069</v>
      </c>
      <c r="AJ64" s="488" t="n">
        <f aca="false">CHOOSE(J64, 0, SQRT(O64)*SQRT(L64^2+(P64^2)/12), SQRT(O64)*SQRT(M64^2+(P64^2)/12))</f>
        <v>0.733021689397573</v>
      </c>
      <c r="AK64" s="488" t="n">
        <f aca="false">Rdson4*AJ64^2</f>
        <v>0.00102090951454182</v>
      </c>
      <c r="AL64" s="488" t="n">
        <f aca="false">CHOOSE(J64, 0, (Vout*L64/2)*(Fsw)*(Tr_boost+Tf_boost), (Vout*Iout/2)*(Fsw/2)*(Tr_boost+Tf_boost))</f>
        <v>0.0349071770123085</v>
      </c>
      <c r="AM64" s="488" t="n">
        <f aca="false">IF(H64&gt;Vout, 0, IF(L64&gt;P64/2,0,ABS(L64-P64/2)*Vsd_Q4*Deadtime*Fsw))</f>
        <v>0</v>
      </c>
      <c r="AN64" s="488" t="n">
        <f aca="false">(AM64+AL64+AK64*(1+RdsonTopTc*Ta-RdsonTopTc*25))/(1-AK64*RdsonTopTc*ThetaJA_Q4)</f>
        <v>0.035935423890082</v>
      </c>
      <c r="AO64" s="488" t="n">
        <f aca="false">CHOOSE(J64, SQRT(K64^2+(P64^2)/12), SQRT(1-O64)*SQRT(L64^2+(P64^2)/12), SQRT(1-O64)*SQRT(M64^2+(P64^2)/12))</f>
        <v>3.3768537666379</v>
      </c>
      <c r="AP64" s="488" t="n">
        <f aca="false">Rdson3*AO64^2</f>
        <v>0.0216659685863874</v>
      </c>
      <c r="AQ64" s="488" t="n">
        <f aca="false">CHOOSE(J64, 0, IF(L64&lt;P64/2,Deadtime*Fsw*IF(VfdSky_Q3&gt;0,0,Vsd_Q3)*(L64+P64/2), 2*Deadtime*Fsw*IF(VfdSky_Q3&gt;0,0,Vsd_Q3)*L64), IF(L64&lt;P64/2,Deadtime*Fsw/2*IF(VfdSky_Q3&gt;0,0,Vsd_Q3)*(L64+P64/2), 2*Deadtime*Fsw/2*IF(VfdSky_Q3&gt;0,0,Vsd_Q3)*L64))</f>
        <v>0.044</v>
      </c>
      <c r="AR64" s="488" t="n">
        <f aca="false">(AQ64+AP64*(1+RdsonBotTc*Ta-RdsonBotTc*25))/(1-AP64*RdsonBotTc*ThetaJA_Q3)</f>
        <v>0.0659517502964153</v>
      </c>
      <c r="AS64" s="488" t="n">
        <f aca="false">CHOOSE(J64, Rdson3*Q64^2, Rdson1*Q64^2, 0)</f>
        <v>0</v>
      </c>
      <c r="AT64" s="488" t="n">
        <f aca="false">CHOOSE(J64, 2*Deadtime*Fsw*IF(VfdSky_Q2&gt;0,VfdSky_Q2,0)*K64, 2*Deadtime*Fsw*IF(VfdSky_Q3&gt;0,VfdSky_Q3,0)*L64, 2*Deadtime*Fsw/2*IF(VfdSky_Q2&gt;0,VfdSky_Q2,0)*K64+2*Deadtime*Fsw/2*IF(VfdSky_Q3&gt;0,VfdSky_Q3,0)*L64)</f>
        <v>0</v>
      </c>
      <c r="AU64" s="488" t="n">
        <f aca="false">CHOOSE(J64, IF(QrrSky_Q2&gt;0,QrrSky_Q2,Qrr_Q2*K64/Iout)*Fsw*(Vin-K64*Rdson1), IF(QrrSky_Q3&gt;0,QrrSky_Q3,Qrr_Q3)*Fsw*Vout,  IF(QrrSky_Q2&gt;0,QrrSky_Q2,Qrr_Q2*K64/Iout)*Fsw/2*(Vin-K64*Rdson1)+IF(QrrSky_Q3&gt;0,QrrSky_Q3,Qrr_Q3)*Fsw/2*Vout)</f>
        <v>0.121672235025</v>
      </c>
      <c r="AV64" s="488" t="n">
        <f aca="false">CHOOSE(J64, Rs*AF64^2, Rs*AJ64^2, Rs*(AF64^2+AJ64^2))</f>
        <v>0.00859713275403636</v>
      </c>
      <c r="AW64" s="488" t="n">
        <f aca="false">Rshunt_std/1000*Iout^2</f>
        <v>0.14832</v>
      </c>
      <c r="AX64" s="488" t="n">
        <f aca="false">IF(Vout&gt;8, Iq*Vout, Iq*Vin)</f>
        <v>0.036</v>
      </c>
      <c r="AY64" s="488" t="n">
        <f aca="false">CHOOSE(J64, (Qg_Q1+Qg_Q2)*Fsw, (Qg_Q3+Qg_Q4)*Fsw, (Qg_Q1+Qg_Q2+Qg_Q3+Qg_Q4)*Fsw/2)*IF(Vout&gt;8, Vout, Vin)</f>
        <v>0.1188</v>
      </c>
      <c r="AZ64" s="488" t="n">
        <f aca="false">(Vin-Vdd)*Fsw*(Qg_Q1+Qg_Q2)+(RdsonDRT+RdsonDRT2)*Fsw*Qg_Q1*Vdd/(RdsonDRT+2*Rgate1+RdsonDRT2)+(RdsonDRB+RdsonDRB2)*Fsw*Qg_Q2*Vdd/(RdsonDRB+2*Rgate2+RdsonDRB2)</f>
        <v>0.0522</v>
      </c>
      <c r="BA64" s="488" t="n">
        <f aca="false">SUM(AX64:AY64)</f>
        <v>0.1548</v>
      </c>
      <c r="BB64" s="488" t="n">
        <f aca="false">SUM(T64,W64,Z64,AE64,AI64,AN64,AR64, AT64,AU64,BA64,AV64,AW64)</f>
        <v>0.706943255151436</v>
      </c>
      <c r="BC64" s="419" t="n">
        <f aca="false">Vout*K64</f>
        <v>39.6</v>
      </c>
      <c r="BD64" s="589" t="n">
        <f aca="false">BC64/(BC64+BB64)</f>
        <v>0.982461005522638</v>
      </c>
      <c r="BE64" s="590" t="n">
        <f aca="false">IF(Vin&gt;Vout,ThetaJA_Q1*BK64,ThetaJA_Q4*BK64)</f>
        <v>5.8119549503291</v>
      </c>
      <c r="BF64" s="590" t="n">
        <f aca="false">IF(Vin&gt;Vout, ThetaJA_Q2*BL64, ThetaJA_Q3*BL64)</f>
        <v>5.30517939273327</v>
      </c>
      <c r="BG64" s="536"/>
      <c r="BH64" s="385" t="n">
        <f aca="false">BD64*100</f>
        <v>98.2461005522638</v>
      </c>
      <c r="BI64" s="488" t="n">
        <f aca="false">T64</f>
        <v>0.0401289626711274</v>
      </c>
      <c r="BJ64" s="488" t="n">
        <f aca="false">AE64+AI64+AN64+AR64+AU64</f>
        <v>0.352531452919989</v>
      </c>
      <c r="BK64" s="488" t="n">
        <f aca="false">IF(Vin&gt;Vout, AE64+AU64*0.66, AN64+AU64*0.66)</f>
        <v>0.116239099006582</v>
      </c>
      <c r="BL64" s="488" t="n">
        <f aca="false">IF(Vin&gt;Vout, AI64+AU64*0.33, AR64+AU64*0.33)</f>
        <v>0.106103587854665</v>
      </c>
      <c r="BM64" s="488" t="n">
        <f aca="false">AV64</f>
        <v>0.00859713275403636</v>
      </c>
      <c r="BS64" s="591"/>
      <c r="BT64" s="592"/>
    </row>
    <row r="65" customFormat="false" ht="12.75" hidden="false" customHeight="false" outlineLevel="0" collapsed="false">
      <c r="G65" s="0" t="n">
        <v>56</v>
      </c>
      <c r="H65" s="586" t="n">
        <f aca="false">Vin</f>
        <v>12</v>
      </c>
      <c r="I65" s="385" t="str">
        <f aca="false">IF(H65&gt;VIN_BB_to_buck, "BUCK", IF(H65&lt;VIN_boost_to_BB,"BOOST","BUCK-BST"))</f>
        <v>BUCK-BST</v>
      </c>
      <c r="J65" s="419" t="n">
        <f aca="false">IF(I65="BOOST",2, IF(I65="BUCK", 1,3))</f>
        <v>3</v>
      </c>
      <c r="K65" s="488" t="n">
        <f aca="false">Iout*G65/100</f>
        <v>3.36</v>
      </c>
      <c r="L65" s="385" t="n">
        <f aca="false">Vout*K65/(Vin*Efficiency)</f>
        <v>3.73333333333333</v>
      </c>
      <c r="M65" s="385" t="n">
        <f aca="false">K65/(1-O65)</f>
        <v>3.51832460732984</v>
      </c>
      <c r="N65" s="488" t="n">
        <f aca="false">CHOOSE(J65,(Vout+(Rdson2+Rs+Rdcr)*K65)/(Vin+(Rs+Rdson2-Rdson1)*K65), 1, IF(Vin&lt;Vout, D_max_buck_BB, Vout/Vin*(1-D_min_boost_exitBB_to_buck)))</f>
        <v>0.955</v>
      </c>
      <c r="O65" s="488" t="n">
        <f aca="false">CHOOSE(J65,0,(Vout+(Rdson3+Rdcr)*L65-Vin)/(Vout+(Rdson3-Rdson4-Rs)*L65), IF(Vin&gt;Vout,D_min_boost_exitBB_to_buck, (Vout-Vin*D_max_buck_BB)/Vout))</f>
        <v>0.0450000000000001</v>
      </c>
      <c r="P65" s="385" t="n">
        <f aca="false">MAX(0, CHOOSE(J65, (Vin-(Rdson1+Rdcr)*K65-Vout)*N65/(Fsw*Lf), (Vin-(Rdson4+Rdcr+Rs)*L65)*O65/(Fsw*Lf), IF(Vin&lt;Vout, (Vin-(Rdson4+Rdcr+Rs)*L65)*O65/(0.5*Fsw*Lf),(Vin-(Rdson1+Rdcr)*K65-Vout)*N65/(0.5*Fsw*Lf))))</f>
        <v>0</v>
      </c>
      <c r="Q65" s="385" t="n">
        <f aca="false">CHOOSE(J65, SQRT(K65^2+(P65^2)/12), SQRT(L65^2+(P65^2)/12), SQRT(M65^2+(P65^2)/12))</f>
        <v>3.51832460732984</v>
      </c>
      <c r="R65" s="488" t="n">
        <f aca="false">(Q65^2*Rdcr*(1+Ltc*Ta-Ltc*25))/(1-Q65^2*Rdcr*Ltc*ThetaCa)</f>
        <v>0.0416063646824866</v>
      </c>
      <c r="S65" s="488" t="n">
        <f aca="false">7.759*10^-3*Fsw^0.9458*(0.00787*P65)^2.304</f>
        <v>0</v>
      </c>
      <c r="T65" s="488" t="n">
        <f aca="false">R65+S65</f>
        <v>0.0416063646824866</v>
      </c>
      <c r="U65" s="385" t="n">
        <f aca="false">IF(Vin&gt;Vout, P65/SQRT(12), SQRT(O65/(1-O65))*SQRT(K65^2+(P65^2)/12))</f>
        <v>0.729363202134762</v>
      </c>
      <c r="V65" s="488" t="n">
        <f aca="false">RCoutEsr*U65^2</f>
        <v>0.00265985340314137</v>
      </c>
      <c r="W65" s="488" t="n">
        <f aca="false">V65</f>
        <v>0.00265985340314137</v>
      </c>
      <c r="X65" s="385" t="n">
        <f aca="false">IF(Vin&gt;Vout, SQRT(N65*(1-N65))*SQRT(K65^2+(P65^2)/12), P65/SQRT(12))</f>
        <v>0</v>
      </c>
      <c r="Y65" s="587" t="n">
        <f aca="false">RCinEsr*X65^2</f>
        <v>0</v>
      </c>
      <c r="Z65" s="588" t="n">
        <f aca="false">Y65</f>
        <v>0</v>
      </c>
      <c r="AA65" s="488" t="n">
        <f aca="false">CHOOSE(J65, SQRT(N65)*SQRT(K65^2+(P65^2)/12), SQRT(L65^2+(P65^2)/12), SQRT(N65)*SQRT(M65^2+(P65^2)/12))</f>
        <v>3.43825110784949</v>
      </c>
      <c r="AB65" s="488" t="n">
        <f aca="false">Rdson1*AA65^2</f>
        <v>0.0673829528795812</v>
      </c>
      <c r="AC65" s="488" t="n">
        <f aca="false">CHOOSE(J65, (Vin*K65/2)*(Fsw)*(Tr_buck+Tf_buck), 0, (Vin*K65/2)*(Fsw/2)*(Tr_buck+Tf_buck))</f>
        <v>0.0205302266857963</v>
      </c>
      <c r="AD65" s="488" t="n">
        <f aca="false">CHOOSE(J65, IF(K65&gt;P65/2,0,ABS(K65-P65/2)*Vsd_Q1*Deadtime*Fsw),0, IF(K65&gt;P65/2,0,ABS(K65-P65/2)*Vsd_Q1*Deadtime*Fsw/2))</f>
        <v>0</v>
      </c>
      <c r="AE65" s="488" t="n">
        <f aca="false">(AD65+AC65+AB65*(1+RdsonTopTc*Ta-RdsonTopTc*25))/(1-AB65*RdsonTopTc*ThetaJA_Q1)</f>
        <v>0.0891141342674268</v>
      </c>
      <c r="AF65" s="488" t="n">
        <f aca="false">CHOOSE(J65, SQRT((1-N65))*SQRT(K65^2+(P65^2)/12), 0, SQRT((1-N65))*SQRT(M65^2+(P65^2)/12))</f>
        <v>0.746349356477529</v>
      </c>
      <c r="AG65" s="488" t="n">
        <f aca="false">Rdson2*AF65^2</f>
        <v>0.0031751129629122</v>
      </c>
      <c r="AH65" s="488" t="n">
        <f aca="false">CHOOSE(J65, IF(K65&lt;P65/2,Deadtime*Fsw*IF(VfdSky_Q2&gt;0,0,Vsd_Q2)*(K65+P65/2),2*Deadtime*Fsw*IF(VfdSky_Q2&gt;0,0,Vsd_Q2)*K65),0, IF(K65&lt;P65/2,Deadtime*Fsw/2*IF(VfdSky_Q2&gt;0,0,Vsd_Q2)*(K65+P65/2),2*Deadtime*Fsw/2*IF(VfdSky_Q2&gt;0,0,Vsd_Q2)*K65))</f>
        <v>0.04032</v>
      </c>
      <c r="AI65" s="488" t="n">
        <f aca="false">(AH65+AG65*(1+RdsonBotTc*Ta-RdsonBotTc*25))/(1-AG65*RdsonBotTc*ThetaJA_Q2)</f>
        <v>0.0435227508930206</v>
      </c>
      <c r="AJ65" s="488" t="n">
        <f aca="false">CHOOSE(J65, 0, SQRT(O65)*SQRT(L65^2+(P65^2)/12), SQRT(O65)*SQRT(M65^2+(P65^2)/12))</f>
        <v>0.746349356477529</v>
      </c>
      <c r="AK65" s="488" t="n">
        <f aca="false">Rdson4*AJ65^2</f>
        <v>0.0010583709876374</v>
      </c>
      <c r="AL65" s="488" t="n">
        <f aca="false">CHOOSE(J65, 0, (Vout*L65/2)*(Fsw)*(Tr_boost+Tf_boost), (Vout*Iout/2)*(Fsw/2)*(Tr_boost+Tf_boost))</f>
        <v>0.0349071770123085</v>
      </c>
      <c r="AM65" s="488" t="n">
        <f aca="false">IF(H65&gt;Vout, 0, IF(L65&gt;P65/2,0,ABS(L65-P65/2)*Vsd_Q4*Deadtime*Fsw))</f>
        <v>0</v>
      </c>
      <c r="AN65" s="488" t="n">
        <f aca="false">(AM65+AL65+AK65*(1+RdsonTopTc*Ta-RdsonTopTc*25))/(1-AK65*RdsonTopTc*ThetaJA_Q4)</f>
        <v>0.0359731625902697</v>
      </c>
      <c r="AO65" s="488" t="n">
        <f aca="false">CHOOSE(J65, SQRT(K65^2+(P65^2)/12), SQRT(1-O65)*SQRT(L65^2+(P65^2)/12), SQRT(1-O65)*SQRT(M65^2+(P65^2)/12))</f>
        <v>3.43825110784949</v>
      </c>
      <c r="AP65" s="488" t="n">
        <f aca="false">Rdson3*AO65^2</f>
        <v>0.0224609842931937</v>
      </c>
      <c r="AQ65" s="488" t="n">
        <f aca="false">CHOOSE(J65, 0, IF(L65&lt;P65/2,Deadtime*Fsw*IF(VfdSky_Q3&gt;0,0,Vsd_Q3)*(L65+P65/2), 2*Deadtime*Fsw*IF(VfdSky_Q3&gt;0,0,Vsd_Q3)*L65), IF(L65&lt;P65/2,Deadtime*Fsw/2*IF(VfdSky_Q3&gt;0,0,Vsd_Q3)*(L65+P65/2), 2*Deadtime*Fsw/2*IF(VfdSky_Q3&gt;0,0,Vsd_Q3)*L65))</f>
        <v>0.0448</v>
      </c>
      <c r="AR65" s="488" t="n">
        <f aca="false">(AQ65+AP65*(1+RdsonBotTc*Ta-RdsonBotTc*25))/(1-AP65*RdsonBotTc*ThetaJA_Q3)</f>
        <v>0.0675644973157912</v>
      </c>
      <c r="AS65" s="488" t="n">
        <f aca="false">CHOOSE(J65, Rdson3*Q65^2, Rdson1*Q65^2, 0)</f>
        <v>0</v>
      </c>
      <c r="AT65" s="488" t="n">
        <f aca="false">CHOOSE(J65, 2*Deadtime*Fsw*IF(VfdSky_Q2&gt;0,VfdSky_Q2,0)*K65, 2*Deadtime*Fsw*IF(VfdSky_Q3&gt;0,VfdSky_Q3,0)*L65, 2*Deadtime*Fsw/2*IF(VfdSky_Q2&gt;0,VfdSky_Q2,0)*K65+2*Deadtime*Fsw/2*IF(VfdSky_Q3&gt;0,VfdSky_Q3,0)*L65)</f>
        <v>0</v>
      </c>
      <c r="AU65" s="488" t="n">
        <f aca="false">CHOOSE(J65, IF(QrrSky_Q2&gt;0,QrrSky_Q2,Qrr_Q2*K65/Iout)*Fsw*(Vin-K65*Rdson1), IF(QrrSky_Q3&gt;0,QrrSky_Q3,Qrr_Q3)*Fsw*Vout,  IF(QrrSky_Q2&gt;0,QrrSky_Q2,Qrr_Q2*K65/Iout)*Fsw/2*(Vin-K65*Rdson1)+IF(QrrSky_Q3&gt;0,QrrSky_Q3,Qrr_Q3)*Fsw/2*Vout)</f>
        <v>0.122802647616</v>
      </c>
      <c r="AV65" s="488" t="n">
        <f aca="false">CHOOSE(J65, Rs*AF65^2, Rs*AJ65^2, Rs*(AF65^2+AJ65^2))</f>
        <v>0.00891259779063075</v>
      </c>
      <c r="AW65" s="488" t="n">
        <f aca="false">Rshunt_std/1000*Iout^2</f>
        <v>0.14832</v>
      </c>
      <c r="AX65" s="488" t="n">
        <f aca="false">IF(Vout&gt;8, Iq*Vout, Iq*Vin)</f>
        <v>0.036</v>
      </c>
      <c r="AY65" s="488" t="n">
        <f aca="false">CHOOSE(J65, (Qg_Q1+Qg_Q2)*Fsw, (Qg_Q3+Qg_Q4)*Fsw, (Qg_Q1+Qg_Q2+Qg_Q3+Qg_Q4)*Fsw/2)*IF(Vout&gt;8, Vout, Vin)</f>
        <v>0.1188</v>
      </c>
      <c r="AZ65" s="488" t="n">
        <f aca="false">(Vin-Vdd)*Fsw*(Qg_Q1+Qg_Q2)+(RdsonDRT+RdsonDRT2)*Fsw*Qg_Q1*Vdd/(RdsonDRT+2*Rgate1+RdsonDRT2)+(RdsonDRB+RdsonDRB2)*Fsw*Qg_Q2*Vdd/(RdsonDRB+2*Rgate2+RdsonDRB2)</f>
        <v>0.0522</v>
      </c>
      <c r="BA65" s="488" t="n">
        <f aca="false">SUM(AX65:AY65)</f>
        <v>0.1548</v>
      </c>
      <c r="BB65" s="488" t="n">
        <f aca="false">SUM(T65,W65,Z65,AE65,AI65,AN65,AR65, AT65,AU65,BA65,AV65,AW65)</f>
        <v>0.715276008558767</v>
      </c>
      <c r="BC65" s="419" t="n">
        <f aca="false">Vout*K65</f>
        <v>40.32</v>
      </c>
      <c r="BD65" s="589" t="n">
        <f aca="false">BC65/(BC65+BB65)</f>
        <v>0.982569240952356</v>
      </c>
      <c r="BE65" s="590" t="n">
        <f aca="false">IF(Vin&gt;Vout,ThetaJA_Q1*BK65,ThetaJA_Q4*BK65)</f>
        <v>5.85114550084149</v>
      </c>
      <c r="BF65" s="590" t="n">
        <f aca="false">IF(Vin&gt;Vout, ThetaJA_Q2*BL65, ThetaJA_Q3*BL65)</f>
        <v>5.40446855145356</v>
      </c>
      <c r="BG65" s="536"/>
      <c r="BH65" s="385" t="n">
        <f aca="false">BD65*100</f>
        <v>98.2569240952356</v>
      </c>
      <c r="BI65" s="488" t="n">
        <f aca="false">T65</f>
        <v>0.0416063646824866</v>
      </c>
      <c r="BJ65" s="488" t="n">
        <f aca="false">AE65+AI65+AN65+AR65+AU65</f>
        <v>0.358977192682508</v>
      </c>
      <c r="BK65" s="488" t="n">
        <f aca="false">IF(Vin&gt;Vout, AE65+AU65*0.66, AN65+AU65*0.66)</f>
        <v>0.11702291001683</v>
      </c>
      <c r="BL65" s="488" t="n">
        <f aca="false">IF(Vin&gt;Vout, AI65+AU65*0.33, AR65+AU65*0.33)</f>
        <v>0.108089371029071</v>
      </c>
      <c r="BM65" s="488" t="n">
        <f aca="false">AV65</f>
        <v>0.00891259779063075</v>
      </c>
      <c r="BS65" s="591"/>
      <c r="BT65" s="592"/>
    </row>
    <row r="66" customFormat="false" ht="12.75" hidden="false" customHeight="false" outlineLevel="0" collapsed="false">
      <c r="A66" s="540" t="s">
        <v>692</v>
      </c>
      <c r="B66" s="631"/>
      <c r="C66" s="631"/>
      <c r="D66" s="632"/>
      <c r="G66" s="0" t="n">
        <v>57</v>
      </c>
      <c r="H66" s="586" t="n">
        <f aca="false">Vin</f>
        <v>12</v>
      </c>
      <c r="I66" s="385" t="str">
        <f aca="false">IF(H66&gt;VIN_BB_to_buck, "BUCK", IF(H66&lt;VIN_boost_to_BB,"BOOST","BUCK-BST"))</f>
        <v>BUCK-BST</v>
      </c>
      <c r="J66" s="419" t="n">
        <f aca="false">IF(I66="BOOST",2, IF(I66="BUCK", 1,3))</f>
        <v>3</v>
      </c>
      <c r="K66" s="488" t="n">
        <f aca="false">Iout*G66/100</f>
        <v>3.42</v>
      </c>
      <c r="L66" s="385" t="n">
        <f aca="false">Vout*K66/(Vin*Efficiency)</f>
        <v>3.8</v>
      </c>
      <c r="M66" s="385" t="n">
        <f aca="false">K66/(1-O66)</f>
        <v>3.58115183246073</v>
      </c>
      <c r="N66" s="488" t="n">
        <f aca="false">CHOOSE(J66,(Vout+(Rdson2+Rs+Rdcr)*K66)/(Vin+(Rs+Rdson2-Rdson1)*K66), 1, IF(Vin&lt;Vout, D_max_buck_BB, Vout/Vin*(1-D_min_boost_exitBB_to_buck)))</f>
        <v>0.955</v>
      </c>
      <c r="O66" s="488" t="n">
        <f aca="false">CHOOSE(J66,0,(Vout+(Rdson3+Rdcr)*L66-Vin)/(Vout+(Rdson3-Rdson4-Rs)*L66), IF(Vin&gt;Vout,D_min_boost_exitBB_to_buck, (Vout-Vin*D_max_buck_BB)/Vout))</f>
        <v>0.0450000000000001</v>
      </c>
      <c r="P66" s="385" t="n">
        <f aca="false">MAX(0, CHOOSE(J66, (Vin-(Rdson1+Rdcr)*K66-Vout)*N66/(Fsw*Lf), (Vin-(Rdson4+Rdcr+Rs)*L66)*O66/(Fsw*Lf), IF(Vin&lt;Vout, (Vin-(Rdson4+Rdcr+Rs)*L66)*O66/(0.5*Fsw*Lf),(Vin-(Rdson1+Rdcr)*K66-Vout)*N66/(0.5*Fsw*Lf))))</f>
        <v>0</v>
      </c>
      <c r="Q66" s="385" t="n">
        <f aca="false">CHOOSE(J66, SQRT(K66^2+(P66^2)/12), SQRT(L66^2+(P66^2)/12), SQRT(M66^2+(P66^2)/12))</f>
        <v>3.58115183246073</v>
      </c>
      <c r="R66" s="488" t="n">
        <f aca="false">(Q66^2*Rdcr*(1+Ltc*Ta-Ltc*25))/(1-Q66^2*Rdcr*Ltc*ThetaCa)</f>
        <v>0.0431107441749833</v>
      </c>
      <c r="S66" s="488" t="n">
        <f aca="false">7.759*10^-3*Fsw^0.9458*(0.00787*P66)^2.304</f>
        <v>0</v>
      </c>
      <c r="T66" s="488" t="n">
        <f aca="false">R66+S66</f>
        <v>0.0431107441749833</v>
      </c>
      <c r="U66" s="385" t="n">
        <f aca="false">IF(Vin&gt;Vout, P66/SQRT(12), SQRT(O66/(1-O66))*SQRT(K66^2+(P66^2)/12))</f>
        <v>0.742387545030025</v>
      </c>
      <c r="V66" s="488" t="n">
        <f aca="false">RCoutEsr*U66^2</f>
        <v>0.00275569633507854</v>
      </c>
      <c r="W66" s="488" t="n">
        <f aca="false">V66</f>
        <v>0.00275569633507854</v>
      </c>
      <c r="X66" s="385" t="n">
        <f aca="false">IF(Vin&gt;Vout, SQRT(N66*(1-N66))*SQRT(K66^2+(P66^2)/12), P66/SQRT(12))</f>
        <v>0</v>
      </c>
      <c r="Y66" s="587" t="n">
        <f aca="false">RCinEsr*X66^2</f>
        <v>0</v>
      </c>
      <c r="Z66" s="588" t="n">
        <f aca="false">Y66</f>
        <v>0</v>
      </c>
      <c r="AA66" s="488" t="n">
        <f aca="false">CHOOSE(J66, SQRT(N66)*SQRT(K66^2+(P66^2)/12), SQRT(L66^2+(P66^2)/12), SQRT(N66)*SQRT(M66^2+(P66^2)/12))</f>
        <v>3.49964844906109</v>
      </c>
      <c r="AB66" s="488" t="n">
        <f aca="false">Rdson1*AA66^2</f>
        <v>0.0698109738219895</v>
      </c>
      <c r="AC66" s="488" t="n">
        <f aca="false">CHOOSE(J66, (Vin*K66/2)*(Fsw)*(Tr_buck+Tf_buck), 0, (Vin*K66/2)*(Fsw/2)*(Tr_buck+Tf_buck))</f>
        <v>0.0208968378766141</v>
      </c>
      <c r="AD66" s="488" t="n">
        <f aca="false">CHOOSE(J66, IF(K66&gt;P66/2,0,ABS(K66-P66/2)*Vsd_Q1*Deadtime*Fsw),0, IF(K66&gt;P66/2,0,ABS(K66-P66/2)*Vsd_Q1*Deadtime*Fsw/2))</f>
        <v>0</v>
      </c>
      <c r="AE66" s="488" t="n">
        <f aca="false">(AD66+AC66+AB66*(1+RdsonTopTc*Ta-RdsonTopTc*25))/(1-AB66*RdsonTopTc*ThetaJA_Q1)</f>
        <v>0.0919922250617257</v>
      </c>
      <c r="AF66" s="488" t="n">
        <f aca="false">CHOOSE(J66, SQRT((1-N66))*SQRT(K66^2+(P66^2)/12), 0, SQRT((1-N66))*SQRT(M66^2+(P66^2)/12))</f>
        <v>0.759677023557485</v>
      </c>
      <c r="AG66" s="488" t="n">
        <f aca="false">Rdson2*AF66^2</f>
        <v>0.00328952232669061</v>
      </c>
      <c r="AH66" s="488" t="n">
        <f aca="false">CHOOSE(J66, IF(K66&lt;P66/2,Deadtime*Fsw*IF(VfdSky_Q2&gt;0,0,Vsd_Q2)*(K66+P66/2),2*Deadtime*Fsw*IF(VfdSky_Q2&gt;0,0,Vsd_Q2)*K66),0, IF(K66&lt;P66/2,Deadtime*Fsw/2*IF(VfdSky_Q2&gt;0,0,Vsd_Q2)*(K66+P66/2),2*Deadtime*Fsw/2*IF(VfdSky_Q2&gt;0,0,Vsd_Q2)*K66))</f>
        <v>0.04104</v>
      </c>
      <c r="AI66" s="488" t="n">
        <f aca="false">(AH66+AG66*(1+RdsonBotTc*Ta-RdsonBotTc*25))/(1-AG66*RdsonBotTc*ThetaJA_Q2)</f>
        <v>0.044358706117522</v>
      </c>
      <c r="AJ66" s="488" t="n">
        <f aca="false">CHOOSE(J66, 0, SQRT(O66)*SQRT(L66^2+(P66^2)/12), SQRT(O66)*SQRT(M66^2+(P66^2)/12))</f>
        <v>0.759677023557485</v>
      </c>
      <c r="AK66" s="488" t="n">
        <f aca="false">Rdson4*AJ66^2</f>
        <v>0.0010965074422302</v>
      </c>
      <c r="AL66" s="488" t="n">
        <f aca="false">CHOOSE(J66, 0, (Vout*L66/2)*(Fsw)*(Tr_boost+Tf_boost), (Vout*Iout/2)*(Fsw/2)*(Tr_boost+Tf_boost))</f>
        <v>0.0349071770123085</v>
      </c>
      <c r="AM66" s="488" t="n">
        <f aca="false">IF(H66&gt;Vout, 0, IF(L66&gt;P66/2,0,ABS(L66-P66/2)*Vsd_Q4*Deadtime*Fsw))</f>
        <v>0</v>
      </c>
      <c r="AN66" s="488" t="n">
        <f aca="false">(AM66+AL66+AK66*(1+RdsonTopTc*Ta-RdsonTopTc*25))/(1-AK66*RdsonTopTc*ThetaJA_Q4)</f>
        <v>0.0360115818480393</v>
      </c>
      <c r="AO66" s="488" t="n">
        <f aca="false">CHOOSE(J66, SQRT(K66^2+(P66^2)/12), SQRT(1-O66)*SQRT(L66^2+(P66^2)/12), SQRT(1-O66)*SQRT(M66^2+(P66^2)/12))</f>
        <v>3.49964844906109</v>
      </c>
      <c r="AP66" s="488" t="n">
        <f aca="false">Rdson3*AO66^2</f>
        <v>0.0232703246073298</v>
      </c>
      <c r="AQ66" s="488" t="n">
        <f aca="false">CHOOSE(J66, 0, IF(L66&lt;P66/2,Deadtime*Fsw*IF(VfdSky_Q3&gt;0,0,Vsd_Q3)*(L66+P66/2), 2*Deadtime*Fsw*IF(VfdSky_Q3&gt;0,0,Vsd_Q3)*L66), IF(L66&lt;P66/2,Deadtime*Fsw/2*IF(VfdSky_Q3&gt;0,0,Vsd_Q3)*(L66+P66/2), 2*Deadtime*Fsw/2*IF(VfdSky_Q3&gt;0,0,Vsd_Q3)*L66))</f>
        <v>0.0456</v>
      </c>
      <c r="AR66" s="488" t="n">
        <f aca="false">(AQ66+AP66*(1+RdsonBotTc*Ta-RdsonBotTc*25))/(1-AP66*RdsonBotTc*ThetaJA_Q3)</f>
        <v>0.0691923502976841</v>
      </c>
      <c r="AS66" s="488" t="n">
        <f aca="false">CHOOSE(J66, Rdson3*Q66^2, Rdson1*Q66^2, 0)</f>
        <v>0</v>
      </c>
      <c r="AT66" s="488" t="n">
        <f aca="false">CHOOSE(J66, 2*Deadtime*Fsw*IF(VfdSky_Q2&gt;0,VfdSky_Q2,0)*K66, 2*Deadtime*Fsw*IF(VfdSky_Q3&gt;0,VfdSky_Q3,0)*L66, 2*Deadtime*Fsw/2*IF(VfdSky_Q2&gt;0,VfdSky_Q2,0)*K66+2*Deadtime*Fsw/2*IF(VfdSky_Q3&gt;0,VfdSky_Q3,0)*L66)</f>
        <v>0</v>
      </c>
      <c r="AU66" s="488" t="n">
        <f aca="false">CHOOSE(J66, IF(QrrSky_Q2&gt;0,QrrSky_Q2,Qrr_Q2*K66/Iout)*Fsw*(Vin-K66*Rdson1), IF(QrrSky_Q3&gt;0,QrrSky_Q3,Qrr_Q3)*Fsw*Vout,  IF(QrrSky_Q2&gt;0,QrrSky_Q2,Qrr_Q2*K66/Iout)*Fsw/2*(Vin-K66*Rdson1)+IF(QrrSky_Q3&gt;0,QrrSky_Q3,Qrr_Q3)*Fsw/2*Vout)</f>
        <v>0.123932995569</v>
      </c>
      <c r="AV66" s="488" t="n">
        <f aca="false">CHOOSE(J66, Rs*AF66^2, Rs*AJ66^2, Rs*(AF66^2+AJ66^2))</f>
        <v>0.00923374688193855</v>
      </c>
      <c r="AW66" s="488" t="n">
        <f aca="false">Rshunt_std/1000*Iout^2</f>
        <v>0.14832</v>
      </c>
      <c r="AX66" s="488" t="n">
        <f aca="false">IF(Vout&gt;8, Iq*Vout, Iq*Vin)</f>
        <v>0.036</v>
      </c>
      <c r="AY66" s="488" t="n">
        <f aca="false">CHOOSE(J66, (Qg_Q1+Qg_Q2)*Fsw, (Qg_Q3+Qg_Q4)*Fsw, (Qg_Q1+Qg_Q2+Qg_Q3+Qg_Q4)*Fsw/2)*IF(Vout&gt;8, Vout, Vin)</f>
        <v>0.1188</v>
      </c>
      <c r="AZ66" s="488" t="n">
        <f aca="false">(Vin-Vdd)*Fsw*(Qg_Q1+Qg_Q2)+(RdsonDRT+RdsonDRT2)*Fsw*Qg_Q1*Vdd/(RdsonDRT+2*Rgate1+RdsonDRT2)+(RdsonDRB+RdsonDRB2)*Fsw*Qg_Q2*Vdd/(RdsonDRB+2*Rgate2+RdsonDRB2)</f>
        <v>0.0522</v>
      </c>
      <c r="BA66" s="488" t="n">
        <f aca="false">SUM(AX66:AY66)</f>
        <v>0.1548</v>
      </c>
      <c r="BB66" s="488" t="n">
        <f aca="false">SUM(T66,W66,Z66,AE66,AI66,AN66,AR66, AT66,AU66,BA66,AV66,AW66)</f>
        <v>0.723708046285971</v>
      </c>
      <c r="BC66" s="419" t="n">
        <f aca="false">Vout*K66</f>
        <v>41.04</v>
      </c>
      <c r="BD66" s="589" t="n">
        <f aca="false">BC66/(BC66+BB66)</f>
        <v>0.982671365160299</v>
      </c>
      <c r="BE66" s="590" t="n">
        <f aca="false">IF(Vin&gt;Vout,ThetaJA_Q1*BK66,ThetaJA_Q4*BK66)</f>
        <v>5.89036794617896</v>
      </c>
      <c r="BF66" s="590" t="n">
        <f aca="false">IF(Vin&gt;Vout, ThetaJA_Q2*BL66, ThetaJA_Q3*BL66)</f>
        <v>5.5045119417727</v>
      </c>
      <c r="BG66" s="536"/>
      <c r="BH66" s="385" t="n">
        <f aca="false">BD66*100</f>
        <v>98.2671365160299</v>
      </c>
      <c r="BI66" s="488" t="n">
        <f aca="false">T66</f>
        <v>0.0431107441749833</v>
      </c>
      <c r="BJ66" s="488" t="n">
        <f aca="false">AE66+AI66+AN66+AR66+AU66</f>
        <v>0.365487858893971</v>
      </c>
      <c r="BK66" s="488" t="n">
        <f aca="false">IF(Vin&gt;Vout, AE66+AU66*0.66, AN66+AU66*0.66)</f>
        <v>0.117807358923579</v>
      </c>
      <c r="BL66" s="488" t="n">
        <f aca="false">IF(Vin&gt;Vout, AI66+AU66*0.33, AR66+AU66*0.33)</f>
        <v>0.110090238835454</v>
      </c>
      <c r="BM66" s="488" t="n">
        <f aca="false">AV66</f>
        <v>0.00923374688193855</v>
      </c>
      <c r="BS66" s="591"/>
      <c r="BT66" s="592"/>
    </row>
    <row r="67" customFormat="false" ht="12.75" hidden="false" customHeight="false" outlineLevel="0" collapsed="false">
      <c r="A67" s="633" t="s">
        <v>607</v>
      </c>
      <c r="B67" s="583" t="s">
        <v>133</v>
      </c>
      <c r="C67" s="634" t="s">
        <v>697</v>
      </c>
      <c r="D67" s="632"/>
      <c r="G67" s="0" t="n">
        <v>58</v>
      </c>
      <c r="H67" s="586" t="n">
        <f aca="false">Vin</f>
        <v>12</v>
      </c>
      <c r="I67" s="385" t="str">
        <f aca="false">IF(H67&gt;VIN_BB_to_buck, "BUCK", IF(H67&lt;VIN_boost_to_BB,"BOOST","BUCK-BST"))</f>
        <v>BUCK-BST</v>
      </c>
      <c r="J67" s="419" t="n">
        <f aca="false">IF(I67="BOOST",2, IF(I67="BUCK", 1,3))</f>
        <v>3</v>
      </c>
      <c r="K67" s="488" t="n">
        <f aca="false">Iout*G67/100</f>
        <v>3.48</v>
      </c>
      <c r="L67" s="385" t="n">
        <f aca="false">Vout*K67/(Vin*Efficiency)</f>
        <v>3.86666666666667</v>
      </c>
      <c r="M67" s="385" t="n">
        <f aca="false">K67/(1-O67)</f>
        <v>3.64397905759162</v>
      </c>
      <c r="N67" s="488" t="n">
        <f aca="false">CHOOSE(J67,(Vout+(Rdson2+Rs+Rdcr)*K67)/(Vin+(Rs+Rdson2-Rdson1)*K67), 1, IF(Vin&lt;Vout, D_max_buck_BB, Vout/Vin*(1-D_min_boost_exitBB_to_buck)))</f>
        <v>0.955</v>
      </c>
      <c r="O67" s="488" t="n">
        <f aca="false">CHOOSE(J67,0,(Vout+(Rdson3+Rdcr)*L67-Vin)/(Vout+(Rdson3-Rdson4-Rs)*L67), IF(Vin&gt;Vout,D_min_boost_exitBB_to_buck, (Vout-Vin*D_max_buck_BB)/Vout))</f>
        <v>0.0450000000000001</v>
      </c>
      <c r="P67" s="385" t="n">
        <f aca="false">MAX(0, CHOOSE(J67, (Vin-(Rdson1+Rdcr)*K67-Vout)*N67/(Fsw*Lf), (Vin-(Rdson4+Rdcr+Rs)*L67)*O67/(Fsw*Lf), IF(Vin&lt;Vout, (Vin-(Rdson4+Rdcr+Rs)*L67)*O67/(0.5*Fsw*Lf),(Vin-(Rdson1+Rdcr)*K67-Vout)*N67/(0.5*Fsw*Lf))))</f>
        <v>0</v>
      </c>
      <c r="Q67" s="385" t="n">
        <f aca="false">CHOOSE(J67, SQRT(K67^2+(P67^2)/12), SQRT(L67^2+(P67^2)/12), SQRT(M67^2+(P67^2)/12))</f>
        <v>3.64397905759162</v>
      </c>
      <c r="R67" s="488" t="n">
        <f aca="false">(Q67^2*Rdcr*(1+Ltc*Ta-Ltc*25))/(1-Q67^2*Rdcr*Ltc*ThetaCa)</f>
        <v>0.0446421204404291</v>
      </c>
      <c r="S67" s="488" t="n">
        <f aca="false">7.759*10^-3*Fsw^0.9458*(0.00787*P67)^2.304</f>
        <v>0</v>
      </c>
      <c r="T67" s="488" t="n">
        <f aca="false">R67+S67</f>
        <v>0.0446421204404291</v>
      </c>
      <c r="U67" s="385" t="n">
        <f aca="false">IF(Vin&gt;Vout, P67/SQRT(12), SQRT(O67/(1-O67))*SQRT(K67^2+(P67^2)/12))</f>
        <v>0.755411887925289</v>
      </c>
      <c r="V67" s="488" t="n">
        <f aca="false">RCoutEsr*U67^2</f>
        <v>0.00285323560209425</v>
      </c>
      <c r="W67" s="488" t="n">
        <f aca="false">V67</f>
        <v>0.00285323560209425</v>
      </c>
      <c r="X67" s="385" t="n">
        <f aca="false">IF(Vin&gt;Vout, SQRT(N67*(1-N67))*SQRT(K67^2+(P67^2)/12), P67/SQRT(12))</f>
        <v>0</v>
      </c>
      <c r="Y67" s="587" t="n">
        <f aca="false">RCinEsr*X67^2</f>
        <v>0</v>
      </c>
      <c r="Z67" s="588" t="n">
        <f aca="false">Y67</f>
        <v>0</v>
      </c>
      <c r="AA67" s="488" t="n">
        <f aca="false">CHOOSE(J67, SQRT(N67)*SQRT(K67^2+(P67^2)/12), SQRT(L67^2+(P67^2)/12), SQRT(N67)*SQRT(M67^2+(P67^2)/12))</f>
        <v>3.56104579027269</v>
      </c>
      <c r="AB67" s="488" t="n">
        <f aca="false">Rdson1*AA67^2</f>
        <v>0.0722819685863874</v>
      </c>
      <c r="AC67" s="488" t="n">
        <f aca="false">CHOOSE(J67, (Vin*K67/2)*(Fsw)*(Tr_buck+Tf_buck), 0, (Vin*K67/2)*(Fsw/2)*(Tr_buck+Tf_buck))</f>
        <v>0.0212634490674319</v>
      </c>
      <c r="AD67" s="488" t="n">
        <f aca="false">CHOOSE(J67, IF(K67&gt;P67/2,0,ABS(K67-P67/2)*Vsd_Q1*Deadtime*Fsw),0, IF(K67&gt;P67/2,0,ABS(K67-P67/2)*Vsd_Q1*Deadtime*Fsw/2))</f>
        <v>0</v>
      </c>
      <c r="AE67" s="488" t="n">
        <f aca="false">(AD67+AC67+AB67*(1+RdsonTopTc*Ta-RdsonTopTc*25))/(1-AB67*RdsonTopTc*ThetaJA_Q1)</f>
        <v>0.0949175836132247</v>
      </c>
      <c r="AF67" s="488" t="n">
        <f aca="false">CHOOSE(J67, SQRT((1-N67))*SQRT(K67^2+(P67^2)/12), 0, SQRT((1-N67))*SQRT(M67^2+(P67^2)/12))</f>
        <v>0.773004690637441</v>
      </c>
      <c r="AG67" s="488" t="n">
        <f aca="false">Rdson2*AF67^2</f>
        <v>0.00340595663496067</v>
      </c>
      <c r="AH67" s="488" t="n">
        <f aca="false">CHOOSE(J67, IF(K67&lt;P67/2,Deadtime*Fsw*IF(VfdSky_Q2&gt;0,0,Vsd_Q2)*(K67+P67/2),2*Deadtime*Fsw*IF(VfdSky_Q2&gt;0,0,Vsd_Q2)*K67),0, IF(K67&lt;P67/2,Deadtime*Fsw/2*IF(VfdSky_Q2&gt;0,0,Vsd_Q2)*(K67+P67/2),2*Deadtime*Fsw/2*IF(VfdSky_Q2&gt;0,0,Vsd_Q2)*K67))</f>
        <v>0.04176</v>
      </c>
      <c r="AI67" s="488" t="n">
        <f aca="false">(AH67+AG67*(1+RdsonBotTc*Ta-RdsonBotTc*25))/(1-AG67*RdsonBotTc*ThetaJA_Q2)</f>
        <v>0.0451967442651624</v>
      </c>
      <c r="AJ67" s="488" t="n">
        <f aca="false">CHOOSE(J67, 0, SQRT(O67)*SQRT(L67^2+(P67^2)/12), SQRT(O67)*SQRT(M67^2+(P67^2)/12))</f>
        <v>0.773004690637441</v>
      </c>
      <c r="AK67" s="488" t="n">
        <f aca="false">Rdson4*AJ67^2</f>
        <v>0.00113531887832022</v>
      </c>
      <c r="AL67" s="488" t="n">
        <f aca="false">CHOOSE(J67, 0, (Vout*L67/2)*(Fsw)*(Tr_boost+Tf_boost), (Vout*Iout/2)*(Fsw/2)*(Tr_boost+Tf_boost))</f>
        <v>0.0349071770123085</v>
      </c>
      <c r="AM67" s="488" t="n">
        <f aca="false">IF(H67&gt;Vout, 0, IF(L67&gt;P67/2,0,ABS(L67-P67/2)*Vsd_Q4*Deadtime*Fsw))</f>
        <v>0</v>
      </c>
      <c r="AN67" s="488" t="n">
        <f aca="false">(AM67+AL67+AK67*(1+RdsonTopTc*Ta-RdsonTopTc*25))/(1-AK67*RdsonTopTc*ThetaJA_Q4)</f>
        <v>0.0360506816945296</v>
      </c>
      <c r="AO67" s="488" t="n">
        <f aca="false">CHOOSE(J67, SQRT(K67^2+(P67^2)/12), SQRT(1-O67)*SQRT(L67^2+(P67^2)/12), SQRT(1-O67)*SQRT(M67^2+(P67^2)/12))</f>
        <v>3.56104579027269</v>
      </c>
      <c r="AP67" s="488" t="n">
        <f aca="false">Rdson3*AO67^2</f>
        <v>0.0240939895287958</v>
      </c>
      <c r="AQ67" s="488" t="n">
        <f aca="false">CHOOSE(J67, 0, IF(L67&lt;P67/2,Deadtime*Fsw*IF(VfdSky_Q3&gt;0,0,Vsd_Q3)*(L67+P67/2), 2*Deadtime*Fsw*IF(VfdSky_Q3&gt;0,0,Vsd_Q3)*L67), IF(L67&lt;P67/2,Deadtime*Fsw/2*IF(VfdSky_Q3&gt;0,0,Vsd_Q3)*(L67+P67/2), 2*Deadtime*Fsw/2*IF(VfdSky_Q3&gt;0,0,Vsd_Q3)*L67))</f>
        <v>0.0464</v>
      </c>
      <c r="AR67" s="488" t="n">
        <f aca="false">(AQ67+AP67*(1+RdsonBotTc*Ta-RdsonBotTc*25))/(1-AP67*RdsonBotTc*ThetaJA_Q3)</f>
        <v>0.0708353306718913</v>
      </c>
      <c r="AS67" s="488" t="n">
        <f aca="false">CHOOSE(J67, Rdson3*Q67^2, Rdson1*Q67^2, 0)</f>
        <v>0</v>
      </c>
      <c r="AT67" s="488" t="n">
        <f aca="false">CHOOSE(J67, 2*Deadtime*Fsw*IF(VfdSky_Q2&gt;0,VfdSky_Q2,0)*K67, 2*Deadtime*Fsw*IF(VfdSky_Q3&gt;0,VfdSky_Q3,0)*L67, 2*Deadtime*Fsw/2*IF(VfdSky_Q2&gt;0,VfdSky_Q2,0)*K67+2*Deadtime*Fsw/2*IF(VfdSky_Q3&gt;0,VfdSky_Q3,0)*L67)</f>
        <v>0</v>
      </c>
      <c r="AU67" s="488" t="n">
        <f aca="false">CHOOSE(J67, IF(QrrSky_Q2&gt;0,QrrSky_Q2,Qrr_Q2*K67/Iout)*Fsw*(Vin-K67*Rdson1), IF(QrrSky_Q3&gt;0,QrrSky_Q3,Qrr_Q3)*Fsw*Vout,  IF(QrrSky_Q2&gt;0,QrrSky_Q2,Qrr_Q2*K67/Iout)*Fsw/2*(Vin-K67*Rdson1)+IF(QrrSky_Q3&gt;0,QrrSky_Q3,Qrr_Q3)*Fsw/2*Vout)</f>
        <v>0.125063278884</v>
      </c>
      <c r="AV67" s="488" t="n">
        <f aca="false">CHOOSE(J67, Rs*AF67^2, Rs*AJ67^2, Rs*(AF67^2+AJ67^2))</f>
        <v>0.00956058002795977</v>
      </c>
      <c r="AW67" s="488" t="n">
        <f aca="false">Rshunt_std/1000*Iout^2</f>
        <v>0.14832</v>
      </c>
      <c r="AX67" s="488" t="n">
        <f aca="false">IF(Vout&gt;8, Iq*Vout, Iq*Vin)</f>
        <v>0.036</v>
      </c>
      <c r="AY67" s="488" t="n">
        <f aca="false">CHOOSE(J67, (Qg_Q1+Qg_Q2)*Fsw, (Qg_Q3+Qg_Q4)*Fsw, (Qg_Q1+Qg_Q2+Qg_Q3+Qg_Q4)*Fsw/2)*IF(Vout&gt;8, Vout, Vin)</f>
        <v>0.1188</v>
      </c>
      <c r="AZ67" s="488" t="n">
        <f aca="false">(Vin-Vdd)*Fsw*(Qg_Q1+Qg_Q2)+(RdsonDRT+RdsonDRT2)*Fsw*Qg_Q1*Vdd/(RdsonDRT+2*Rgate1+RdsonDRT2)+(RdsonDRB+RdsonDRB2)*Fsw*Qg_Q2*Vdd/(RdsonDRB+2*Rgate2+RdsonDRB2)</f>
        <v>0.0522</v>
      </c>
      <c r="BA67" s="488" t="n">
        <f aca="false">SUM(AX67:AY67)</f>
        <v>0.1548</v>
      </c>
      <c r="BB67" s="488" t="n">
        <f aca="false">SUM(T67,W67,Z67,AE67,AI67,AN67,AR67, AT67,AU67,BA67,AV67,AW67)</f>
        <v>0.732239555199291</v>
      </c>
      <c r="BC67" s="419" t="n">
        <f aca="false">Vout*K67</f>
        <v>41.76</v>
      </c>
      <c r="BD67" s="589" t="n">
        <f aca="false">BC67/(BC67+BB67)</f>
        <v>0.982767687397411</v>
      </c>
      <c r="BE67" s="590" t="n">
        <f aca="false">IF(Vin&gt;Vout,ThetaJA_Q1*BK67,ThetaJA_Q4*BK67)</f>
        <v>5.92962228789848</v>
      </c>
      <c r="BF67" s="590" t="n">
        <f aca="false">IF(Vin&gt;Vout, ThetaJA_Q2*BL67, ThetaJA_Q3*BL67)</f>
        <v>5.60531063518056</v>
      </c>
      <c r="BG67" s="536"/>
      <c r="BH67" s="385" t="n">
        <f aca="false">BD67*100</f>
        <v>98.2767687397411</v>
      </c>
      <c r="BI67" s="488" t="n">
        <f aca="false">T67</f>
        <v>0.0446421204404291</v>
      </c>
      <c r="BJ67" s="488" t="n">
        <f aca="false">AE67+AI67+AN67+AR67+AU67</f>
        <v>0.372063619128808</v>
      </c>
      <c r="BK67" s="488" t="n">
        <f aca="false">IF(Vin&gt;Vout, AE67+AU67*0.66, AN67+AU67*0.66)</f>
        <v>0.11859244575797</v>
      </c>
      <c r="BL67" s="488" t="n">
        <f aca="false">IF(Vin&gt;Vout, AI67+AU67*0.33, AR67+AU67*0.33)</f>
        <v>0.112106212703611</v>
      </c>
      <c r="BM67" s="488" t="n">
        <f aca="false">AV67</f>
        <v>0.00956058002795977</v>
      </c>
      <c r="BS67" s="591"/>
      <c r="BT67" s="592"/>
    </row>
    <row r="68" customFormat="false" ht="12.75" hidden="false" customHeight="false" outlineLevel="0" collapsed="false">
      <c r="A68" s="635" t="s">
        <v>881</v>
      </c>
      <c r="B68" s="636" t="e">
        <f aca="false">#REF!</f>
        <v>#REF!</v>
      </c>
      <c r="C68" s="618" t="s">
        <v>882</v>
      </c>
      <c r="D68" s="632"/>
      <c r="G68" s="0" t="n">
        <v>59</v>
      </c>
      <c r="H68" s="586" t="n">
        <f aca="false">Vin</f>
        <v>12</v>
      </c>
      <c r="I68" s="385" t="str">
        <f aca="false">IF(H68&gt;VIN_BB_to_buck, "BUCK", IF(H68&lt;VIN_boost_to_BB,"BOOST","BUCK-BST"))</f>
        <v>BUCK-BST</v>
      </c>
      <c r="J68" s="419" t="n">
        <f aca="false">IF(I68="BOOST",2, IF(I68="BUCK", 1,3))</f>
        <v>3</v>
      </c>
      <c r="K68" s="488" t="n">
        <f aca="false">Iout*G68/100</f>
        <v>3.54</v>
      </c>
      <c r="L68" s="385" t="n">
        <f aca="false">Vout*K68/(Vin*Efficiency)</f>
        <v>3.93333333333333</v>
      </c>
      <c r="M68" s="385" t="n">
        <f aca="false">K68/(1-O68)</f>
        <v>3.70680628272251</v>
      </c>
      <c r="N68" s="488" t="n">
        <f aca="false">CHOOSE(J68,(Vout+(Rdson2+Rs+Rdcr)*K68)/(Vin+(Rs+Rdson2-Rdson1)*K68), 1, IF(Vin&lt;Vout, D_max_buck_BB, Vout/Vin*(1-D_min_boost_exitBB_to_buck)))</f>
        <v>0.955</v>
      </c>
      <c r="O68" s="488" t="n">
        <f aca="false">CHOOSE(J68,0,(Vout+(Rdson3+Rdcr)*L68-Vin)/(Vout+(Rdson3-Rdson4-Rs)*L68), IF(Vin&gt;Vout,D_min_boost_exitBB_to_buck, (Vout-Vin*D_max_buck_BB)/Vout))</f>
        <v>0.0450000000000001</v>
      </c>
      <c r="P68" s="385" t="n">
        <f aca="false">MAX(0, CHOOSE(J68, (Vin-(Rdson1+Rdcr)*K68-Vout)*N68/(Fsw*Lf), (Vin-(Rdson4+Rdcr+Rs)*L68)*O68/(Fsw*Lf), IF(Vin&lt;Vout, (Vin-(Rdson4+Rdcr+Rs)*L68)*O68/(0.5*Fsw*Lf),(Vin-(Rdson1+Rdcr)*K68-Vout)*N68/(0.5*Fsw*Lf))))</f>
        <v>0</v>
      </c>
      <c r="Q68" s="385" t="n">
        <f aca="false">CHOOSE(J68, SQRT(K68^2+(P68^2)/12), SQRT(L68^2+(P68^2)/12), SQRT(M68^2+(P68^2)/12))</f>
        <v>3.70680628272251</v>
      </c>
      <c r="R68" s="488" t="n">
        <f aca="false">(Q68^2*Rdcr*(1+Ltc*Ta-Ltc*25))/(1-Q68^2*Rdcr*Ltc*ThetaCa)</f>
        <v>0.0462005131239503</v>
      </c>
      <c r="S68" s="488" t="n">
        <f aca="false">7.759*10^-3*Fsw^0.9458*(0.00787*P68)^2.304</f>
        <v>0</v>
      </c>
      <c r="T68" s="488" t="n">
        <f aca="false">R68+S68</f>
        <v>0.0462005131239503</v>
      </c>
      <c r="U68" s="385" t="n">
        <f aca="false">IF(Vin&gt;Vout, P68/SQRT(12), SQRT(O68/(1-O68))*SQRT(K68^2+(P68^2)/12))</f>
        <v>0.768436230820553</v>
      </c>
      <c r="V68" s="488" t="n">
        <f aca="false">RCoutEsr*U68^2</f>
        <v>0.00295247120418849</v>
      </c>
      <c r="W68" s="488" t="n">
        <f aca="false">V68</f>
        <v>0.00295247120418849</v>
      </c>
      <c r="X68" s="385" t="n">
        <f aca="false">IF(Vin&gt;Vout, SQRT(N68*(1-N68))*SQRT(K68^2+(P68^2)/12), P68/SQRT(12))</f>
        <v>0</v>
      </c>
      <c r="Y68" s="587" t="n">
        <f aca="false">RCinEsr*X68^2</f>
        <v>0</v>
      </c>
      <c r="Z68" s="588" t="n">
        <f aca="false">Y68</f>
        <v>0</v>
      </c>
      <c r="AA68" s="488" t="n">
        <f aca="false">CHOOSE(J68, SQRT(N68)*SQRT(K68^2+(P68^2)/12), SQRT(L68^2+(P68^2)/12), SQRT(N68)*SQRT(M68^2+(P68^2)/12))</f>
        <v>3.62244313148429</v>
      </c>
      <c r="AB68" s="488" t="n">
        <f aca="false">Rdson1*AA68^2</f>
        <v>0.0747959371727749</v>
      </c>
      <c r="AC68" s="488" t="n">
        <f aca="false">CHOOSE(J68, (Vin*K68/2)*(Fsw)*(Tr_buck+Tf_buck), 0, (Vin*K68/2)*(Fsw/2)*(Tr_buck+Tf_buck))</f>
        <v>0.0216300602582496</v>
      </c>
      <c r="AD68" s="488" t="n">
        <f aca="false">CHOOSE(J68, IF(K68&gt;P68/2,0,ABS(K68-P68/2)*Vsd_Q1*Deadtime*Fsw),0, IF(K68&gt;P68/2,0,ABS(K68-P68/2)*Vsd_Q1*Deadtime*Fsw/2))</f>
        <v>0</v>
      </c>
      <c r="AE68" s="488" t="n">
        <f aca="false">(AD68+AC68+AB68*(1+RdsonTopTc*Ta-RdsonTopTc*25))/(1-AB68*RdsonTopTc*ThetaJA_Q1)</f>
        <v>0.0978903576389817</v>
      </c>
      <c r="AF68" s="488" t="n">
        <f aca="false">CHOOSE(J68, SQRT((1-N68))*SQRT(K68^2+(P68^2)/12), 0, SQRT((1-N68))*SQRT(M68^2+(P68^2)/12))</f>
        <v>0.786332357717397</v>
      </c>
      <c r="AG68" s="488" t="n">
        <f aca="false">Rdson2*AF68^2</f>
        <v>0.00352441588772238</v>
      </c>
      <c r="AH68" s="488" t="n">
        <f aca="false">CHOOSE(J68, IF(K68&lt;P68/2,Deadtime*Fsw*IF(VfdSky_Q2&gt;0,0,Vsd_Q2)*(K68+P68/2),2*Deadtime*Fsw*IF(VfdSky_Q2&gt;0,0,Vsd_Q2)*K68),0, IF(K68&lt;P68/2,Deadtime*Fsw/2*IF(VfdSky_Q2&gt;0,0,Vsd_Q2)*(K68+P68/2),2*Deadtime*Fsw/2*IF(VfdSky_Q2&gt;0,0,Vsd_Q2)*K68))</f>
        <v>0.04248</v>
      </c>
      <c r="AI68" s="488" t="n">
        <f aca="false">(AH68+AG68*(1+RdsonBotTc*Ta-RdsonBotTc*25))/(1-AG68*RdsonBotTc*ThetaJA_Q2)</f>
        <v>0.0460368665004654</v>
      </c>
      <c r="AJ68" s="488" t="n">
        <f aca="false">CHOOSE(J68, 0, SQRT(O68)*SQRT(L68^2+(P68^2)/12), SQRT(O68)*SQRT(M68^2+(P68^2)/12))</f>
        <v>0.786332357717397</v>
      </c>
      <c r="AK68" s="488" t="n">
        <f aca="false">Rdson4*AJ68^2</f>
        <v>0.00117480529590746</v>
      </c>
      <c r="AL68" s="488" t="n">
        <f aca="false">CHOOSE(J68, 0, (Vout*L68/2)*(Fsw)*(Tr_boost+Tf_boost), (Vout*Iout/2)*(Fsw/2)*(Tr_boost+Tf_boost))</f>
        <v>0.0349071770123085</v>
      </c>
      <c r="AM68" s="488" t="n">
        <f aca="false">IF(H68&gt;Vout, 0, IF(L68&gt;P68/2,0,ABS(L68-P68/2)*Vsd_Q4*Deadtime*Fsw))</f>
        <v>0</v>
      </c>
      <c r="AN68" s="488" t="n">
        <f aca="false">(AM68+AL68+AK68*(1+RdsonTopTc*Ta-RdsonTopTc*25))/(1-AK68*RdsonTopTc*ThetaJA_Q4)</f>
        <v>0.0360904621614318</v>
      </c>
      <c r="AO68" s="488" t="n">
        <f aca="false">CHOOSE(J68, SQRT(K68^2+(P68^2)/12), SQRT(1-O68)*SQRT(L68^2+(P68^2)/12), SQRT(1-O68)*SQRT(M68^2+(P68^2)/12))</f>
        <v>3.62244313148429</v>
      </c>
      <c r="AP68" s="488" t="n">
        <f aca="false">Rdson3*AO68^2</f>
        <v>0.0249319790575916</v>
      </c>
      <c r="AQ68" s="488" t="n">
        <f aca="false">CHOOSE(J68, 0, IF(L68&lt;P68/2,Deadtime*Fsw*IF(VfdSky_Q3&gt;0,0,Vsd_Q3)*(L68+P68/2), 2*Deadtime*Fsw*IF(VfdSky_Q3&gt;0,0,Vsd_Q3)*L68), IF(L68&lt;P68/2,Deadtime*Fsw/2*IF(VfdSky_Q3&gt;0,0,Vsd_Q3)*(L68+P68/2), 2*Deadtime*Fsw/2*IF(VfdSky_Q3&gt;0,0,Vsd_Q3)*L68))</f>
        <v>0.0472</v>
      </c>
      <c r="AR68" s="488" t="n">
        <f aca="false">(AQ68+AP68*(1+RdsonBotTc*Ta-RdsonBotTc*25))/(1-AP68*RdsonBotTc*ThetaJA_Q3)</f>
        <v>0.0724934601436142</v>
      </c>
      <c r="AS68" s="488" t="n">
        <f aca="false">CHOOSE(J68, Rdson3*Q68^2, Rdson1*Q68^2, 0)</f>
        <v>0</v>
      </c>
      <c r="AT68" s="488" t="n">
        <f aca="false">CHOOSE(J68, 2*Deadtime*Fsw*IF(VfdSky_Q2&gt;0,VfdSky_Q2,0)*K68, 2*Deadtime*Fsw*IF(VfdSky_Q3&gt;0,VfdSky_Q3,0)*L68, 2*Deadtime*Fsw/2*IF(VfdSky_Q2&gt;0,VfdSky_Q2,0)*K68+2*Deadtime*Fsw/2*IF(VfdSky_Q3&gt;0,VfdSky_Q3,0)*L68)</f>
        <v>0</v>
      </c>
      <c r="AU68" s="488" t="n">
        <f aca="false">CHOOSE(J68, IF(QrrSky_Q2&gt;0,QrrSky_Q2,Qrr_Q2*K68/Iout)*Fsw*(Vin-K68*Rdson1), IF(QrrSky_Q3&gt;0,QrrSky_Q3,Qrr_Q3)*Fsw*Vout,  IF(QrrSky_Q2&gt;0,QrrSky_Q2,Qrr_Q2*K68/Iout)*Fsw/2*(Vin-K68*Rdson1)+IF(QrrSky_Q3&gt;0,QrrSky_Q3,Qrr_Q3)*Fsw/2*Vout)</f>
        <v>0.126193497561</v>
      </c>
      <c r="AV68" s="488" t="n">
        <f aca="false">CHOOSE(J68, Rs*AF68^2, Rs*AJ68^2, Rs*(AF68^2+AJ68^2))</f>
        <v>0.0098930972286944</v>
      </c>
      <c r="AW68" s="488" t="n">
        <f aca="false">Rshunt_std/1000*Iout^2</f>
        <v>0.14832</v>
      </c>
      <c r="AX68" s="488" t="n">
        <f aca="false">IF(Vout&gt;8, Iq*Vout, Iq*Vin)</f>
        <v>0.036</v>
      </c>
      <c r="AY68" s="488" t="n">
        <f aca="false">CHOOSE(J68, (Qg_Q1+Qg_Q2)*Fsw, (Qg_Q3+Qg_Q4)*Fsw, (Qg_Q1+Qg_Q2+Qg_Q3+Qg_Q4)*Fsw/2)*IF(Vout&gt;8, Vout, Vin)</f>
        <v>0.1188</v>
      </c>
      <c r="AZ68" s="488" t="n">
        <f aca="false">(Vin-Vdd)*Fsw*(Qg_Q1+Qg_Q2)+(RdsonDRT+RdsonDRT2)*Fsw*Qg_Q1*Vdd/(RdsonDRT+2*Rgate1+RdsonDRT2)+(RdsonDRB+RdsonDRB2)*Fsw*Qg_Q2*Vdd/(RdsonDRB+2*Rgate2+RdsonDRB2)</f>
        <v>0.0522</v>
      </c>
      <c r="BA68" s="488" t="n">
        <f aca="false">SUM(AX68:AY68)</f>
        <v>0.1548</v>
      </c>
      <c r="BB68" s="488" t="n">
        <f aca="false">SUM(T68,W68,Z68,AE68,AI68,AN68,AR68, AT68,AU68,BA68,AV68,AW68)</f>
        <v>0.740870725562326</v>
      </c>
      <c r="BC68" s="419" t="n">
        <f aca="false">Vout*K68</f>
        <v>42.48</v>
      </c>
      <c r="BD68" s="589" t="n">
        <f aca="false">BC68/(BC68+BB68)</f>
        <v>0.98285849606625</v>
      </c>
      <c r="BE68" s="590" t="n">
        <f aca="false">IF(Vin&gt;Vout,ThetaJA_Q1*BK68,ThetaJA_Q4*BK68)</f>
        <v>5.96890852758459</v>
      </c>
      <c r="BF68" s="590" t="n">
        <f aca="false">IF(Vin&gt;Vout, ThetaJA_Q2*BL68, ThetaJA_Q3*BL68)</f>
        <v>5.70686571693721</v>
      </c>
      <c r="BG68" s="536"/>
      <c r="BH68" s="385" t="n">
        <f aca="false">BD68*100</f>
        <v>98.285849606625</v>
      </c>
      <c r="BI68" s="488" t="n">
        <f aca="false">T68</f>
        <v>0.0462005131239503</v>
      </c>
      <c r="BJ68" s="488" t="n">
        <f aca="false">AE68+AI68+AN68+AR68+AU68</f>
        <v>0.378704644005493</v>
      </c>
      <c r="BK68" s="488" t="n">
        <f aca="false">IF(Vin&gt;Vout, AE68+AU68*0.66, AN68+AU68*0.66)</f>
        <v>0.119378170551692</v>
      </c>
      <c r="BL68" s="488" t="n">
        <f aca="false">IF(Vin&gt;Vout, AI68+AU68*0.33, AR68+AU68*0.33)</f>
        <v>0.114137314338744</v>
      </c>
      <c r="BM68" s="488" t="n">
        <f aca="false">AV68</f>
        <v>0.0098930972286944</v>
      </c>
      <c r="BS68" s="591"/>
      <c r="BT68" s="592"/>
    </row>
    <row r="69" customFormat="false" ht="12.75" hidden="false" customHeight="false" outlineLevel="0" collapsed="false">
      <c r="A69" s="600" t="s">
        <v>883</v>
      </c>
      <c r="B69" s="636" t="e">
        <f aca="false">1-B68</f>
        <v>#REF!</v>
      </c>
      <c r="C69" s="618" t="s">
        <v>882</v>
      </c>
      <c r="G69" s="0" t="n">
        <v>60</v>
      </c>
      <c r="H69" s="586" t="n">
        <f aca="false">Vin</f>
        <v>12</v>
      </c>
      <c r="I69" s="385" t="str">
        <f aca="false">IF(H69&gt;VIN_BB_to_buck, "BUCK", IF(H69&lt;VIN_boost_to_BB,"BOOST","BUCK-BST"))</f>
        <v>BUCK-BST</v>
      </c>
      <c r="J69" s="419" t="n">
        <f aca="false">IF(I69="BOOST",2, IF(I69="BUCK", 1,3))</f>
        <v>3</v>
      </c>
      <c r="K69" s="488" t="n">
        <f aca="false">Iout*G69/100</f>
        <v>3.6</v>
      </c>
      <c r="L69" s="385" t="n">
        <f aca="false">Vout*K69/(Vin*Efficiency)</f>
        <v>4</v>
      </c>
      <c r="M69" s="385" t="n">
        <f aca="false">K69/(1-O69)</f>
        <v>3.7696335078534</v>
      </c>
      <c r="N69" s="488" t="n">
        <f aca="false">CHOOSE(J69,(Vout+(Rdson2+Rs+Rdcr)*K69)/(Vin+(Rs+Rdson2-Rdson1)*K69), 1, IF(Vin&lt;Vout, D_max_buck_BB, Vout/Vin*(1-D_min_boost_exitBB_to_buck)))</f>
        <v>0.955</v>
      </c>
      <c r="O69" s="488" t="n">
        <f aca="false">CHOOSE(J69,0,(Vout+(Rdson3+Rdcr)*L69-Vin)/(Vout+(Rdson3-Rdson4-Rs)*L69), IF(Vin&gt;Vout,D_min_boost_exitBB_to_buck, (Vout-Vin*D_max_buck_BB)/Vout))</f>
        <v>0.0450000000000001</v>
      </c>
      <c r="P69" s="385" t="n">
        <f aca="false">MAX(0, CHOOSE(J69, (Vin-(Rdson1+Rdcr)*K69-Vout)*N69/(Fsw*Lf), (Vin-(Rdson4+Rdcr+Rs)*L69)*O69/(Fsw*Lf), IF(Vin&lt;Vout, (Vin-(Rdson4+Rdcr+Rs)*L69)*O69/(0.5*Fsw*Lf),(Vin-(Rdson1+Rdcr)*K69-Vout)*N69/(0.5*Fsw*Lf))))</f>
        <v>0</v>
      </c>
      <c r="Q69" s="385" t="n">
        <f aca="false">CHOOSE(J69, SQRT(K69^2+(P69^2)/12), SQRT(L69^2+(P69^2)/12), SQRT(M69^2+(P69^2)/12))</f>
        <v>3.7696335078534</v>
      </c>
      <c r="R69" s="488" t="n">
        <f aca="false">(Q69^2*Rdcr*(1+Ltc*Ta-Ltc*25))/(1-Q69^2*Rdcr*Ltc*ThetaCa)</f>
        <v>0.047785942224621</v>
      </c>
      <c r="S69" s="488" t="n">
        <f aca="false">7.759*10^-3*Fsw^0.9458*(0.00787*P69)^2.304</f>
        <v>0</v>
      </c>
      <c r="T69" s="488" t="n">
        <f aca="false">R69+S69</f>
        <v>0.047785942224621</v>
      </c>
      <c r="U69" s="385" t="n">
        <f aca="false">IF(Vin&gt;Vout, P69/SQRT(12), SQRT(O69/(1-O69))*SQRT(K69^2+(P69^2)/12))</f>
        <v>0.781460573715816</v>
      </c>
      <c r="V69" s="488" t="n">
        <f aca="false">RCoutEsr*U69^2</f>
        <v>0.00305340314136126</v>
      </c>
      <c r="W69" s="488" t="n">
        <f aca="false">V69</f>
        <v>0.00305340314136126</v>
      </c>
      <c r="X69" s="385" t="n">
        <f aca="false">IF(Vin&gt;Vout, SQRT(N69*(1-N69))*SQRT(K69^2+(P69^2)/12), P69/SQRT(12))</f>
        <v>0</v>
      </c>
      <c r="Y69" s="587" t="n">
        <f aca="false">RCinEsr*X69^2</f>
        <v>0</v>
      </c>
      <c r="Z69" s="588" t="n">
        <f aca="false">Y69</f>
        <v>0</v>
      </c>
      <c r="AA69" s="488" t="n">
        <f aca="false">CHOOSE(J69, SQRT(N69)*SQRT(K69^2+(P69^2)/12), SQRT(L69^2+(P69^2)/12), SQRT(N69)*SQRT(M69^2+(P69^2)/12))</f>
        <v>3.68384047269589</v>
      </c>
      <c r="AB69" s="488" t="n">
        <f aca="false">Rdson1*AA69^2</f>
        <v>0.0773528795811519</v>
      </c>
      <c r="AC69" s="488" t="n">
        <f aca="false">CHOOSE(J69, (Vin*K69/2)*(Fsw)*(Tr_buck+Tf_buck), 0, (Vin*K69/2)*(Fsw/2)*(Tr_buck+Tf_buck))</f>
        <v>0.0219966714490674</v>
      </c>
      <c r="AD69" s="488" t="n">
        <f aca="false">CHOOSE(J69, IF(K69&gt;P69/2,0,ABS(K69-P69/2)*Vsd_Q1*Deadtime*Fsw),0, IF(K69&gt;P69/2,0,ABS(K69-P69/2)*Vsd_Q1*Deadtime*Fsw/2))</f>
        <v>0</v>
      </c>
      <c r="AE69" s="488" t="n">
        <f aca="false">(AD69+AC69+AB69*(1+RdsonTopTc*Ta-RdsonTopTc*25))/(1-AB69*RdsonTopTc*ThetaJA_Q1)</f>
        <v>0.1009106976388</v>
      </c>
      <c r="AF69" s="488" t="n">
        <f aca="false">CHOOSE(J69, SQRT((1-N69))*SQRT(K69^2+(P69^2)/12), 0, SQRT((1-N69))*SQRT(M69^2+(P69^2)/12))</f>
        <v>0.799660024797353</v>
      </c>
      <c r="AG69" s="488" t="n">
        <f aca="false">Rdson2*AF69^2</f>
        <v>0.00364490008497574</v>
      </c>
      <c r="AH69" s="488" t="n">
        <f aca="false">CHOOSE(J69, IF(K69&lt;P69/2,Deadtime*Fsw*IF(VfdSky_Q2&gt;0,0,Vsd_Q2)*(K69+P69/2),2*Deadtime*Fsw*IF(VfdSky_Q2&gt;0,0,Vsd_Q2)*K69),0, IF(K69&lt;P69/2,Deadtime*Fsw/2*IF(VfdSky_Q2&gt;0,0,Vsd_Q2)*(K69+P69/2),2*Deadtime*Fsw/2*IF(VfdSky_Q2&gt;0,0,Vsd_Q2)*K69))</f>
        <v>0.0432</v>
      </c>
      <c r="AI69" s="488" t="n">
        <f aca="false">(AH69+AG69*(1+RdsonBotTc*Ta-RdsonBotTc*25))/(1-AG69*RdsonBotTc*ThetaJA_Q2)</f>
        <v>0.046879073993132</v>
      </c>
      <c r="AJ69" s="488" t="n">
        <f aca="false">CHOOSE(J69, 0, SQRT(O69)*SQRT(L69^2+(P69^2)/12), SQRT(O69)*SQRT(M69^2+(P69^2)/12))</f>
        <v>0.799660024797353</v>
      </c>
      <c r="AK69" s="488" t="n">
        <f aca="false">Rdson4*AJ69^2</f>
        <v>0.00121496669499192</v>
      </c>
      <c r="AL69" s="488" t="n">
        <f aca="false">CHOOSE(J69, 0, (Vout*L69/2)*(Fsw)*(Tr_boost+Tf_boost), (Vout*Iout/2)*(Fsw/2)*(Tr_boost+Tf_boost))</f>
        <v>0.0349071770123085</v>
      </c>
      <c r="AM69" s="488" t="n">
        <f aca="false">IF(H69&gt;Vout, 0, IF(L69&gt;P69/2,0,ABS(L69-P69/2)*Vsd_Q4*Deadtime*Fsw))</f>
        <v>0</v>
      </c>
      <c r="AN69" s="488" t="n">
        <f aca="false">(AM69+AL69+AK69*(1+RdsonTopTc*Ta-RdsonTopTc*25))/(1-AK69*RdsonTopTc*ThetaJA_Q4)</f>
        <v>0.0361309232809896</v>
      </c>
      <c r="AO69" s="488" t="n">
        <f aca="false">CHOOSE(J69, SQRT(K69^2+(P69^2)/12), SQRT(1-O69)*SQRT(L69^2+(P69^2)/12), SQRT(1-O69)*SQRT(M69^2+(P69^2)/12))</f>
        <v>3.68384047269589</v>
      </c>
      <c r="AP69" s="488" t="n">
        <f aca="false">Rdson3*AO69^2</f>
        <v>0.0257842931937173</v>
      </c>
      <c r="AQ69" s="488" t="n">
        <f aca="false">CHOOSE(J69, 0, IF(L69&lt;P69/2,Deadtime*Fsw*IF(VfdSky_Q3&gt;0,0,Vsd_Q3)*(L69+P69/2), 2*Deadtime*Fsw*IF(VfdSky_Q3&gt;0,0,Vsd_Q3)*L69), IF(L69&lt;P69/2,Deadtime*Fsw/2*IF(VfdSky_Q3&gt;0,0,Vsd_Q3)*(L69+P69/2), 2*Deadtime*Fsw/2*IF(VfdSky_Q3&gt;0,0,Vsd_Q3)*L69))</f>
        <v>0.048</v>
      </c>
      <c r="AR69" s="488" t="n">
        <f aca="false">(AQ69+AP69*(1+RdsonBotTc*Ta-RdsonBotTc*25))/(1-AP69*RdsonBotTc*ThetaJA_Q3)</f>
        <v>0.0741667606943114</v>
      </c>
      <c r="AS69" s="488" t="n">
        <f aca="false">CHOOSE(J69, Rdson3*Q69^2, Rdson1*Q69^2, 0)</f>
        <v>0</v>
      </c>
      <c r="AT69" s="488" t="n">
        <f aca="false">CHOOSE(J69, 2*Deadtime*Fsw*IF(VfdSky_Q2&gt;0,VfdSky_Q2,0)*K69, 2*Deadtime*Fsw*IF(VfdSky_Q3&gt;0,VfdSky_Q3,0)*L69, 2*Deadtime*Fsw/2*IF(VfdSky_Q2&gt;0,VfdSky_Q2,0)*K69+2*Deadtime*Fsw/2*IF(VfdSky_Q3&gt;0,VfdSky_Q3,0)*L69)</f>
        <v>0</v>
      </c>
      <c r="AU69" s="488" t="n">
        <f aca="false">CHOOSE(J69, IF(QrrSky_Q2&gt;0,QrrSky_Q2,Qrr_Q2*K69/Iout)*Fsw*(Vin-K69*Rdson1), IF(QrrSky_Q3&gt;0,QrrSky_Q3,Qrr_Q3)*Fsw*Vout,  IF(QrrSky_Q2&gt;0,QrrSky_Q2,Qrr_Q2*K69/Iout)*Fsw/2*(Vin-K69*Rdson1)+IF(QrrSky_Q3&gt;0,QrrSky_Q3,Qrr_Q3)*Fsw/2*Vout)</f>
        <v>0.1273236516</v>
      </c>
      <c r="AV69" s="488" t="n">
        <f aca="false">CHOOSE(J69, Rs*AF69^2, Rs*AJ69^2, Rs*(AF69^2+AJ69^2))</f>
        <v>0.0102312984841424</v>
      </c>
      <c r="AW69" s="488" t="n">
        <f aca="false">Rshunt_std/1000*Iout^2</f>
        <v>0.14832</v>
      </c>
      <c r="AX69" s="488" t="n">
        <f aca="false">IF(Vout&gt;8, Iq*Vout, Iq*Vin)</f>
        <v>0.036</v>
      </c>
      <c r="AY69" s="488" t="n">
        <f aca="false">CHOOSE(J69, (Qg_Q1+Qg_Q2)*Fsw, (Qg_Q3+Qg_Q4)*Fsw, (Qg_Q1+Qg_Q2+Qg_Q3+Qg_Q4)*Fsw/2)*IF(Vout&gt;8, Vout, Vin)</f>
        <v>0.1188</v>
      </c>
      <c r="AZ69" s="488" t="n">
        <f aca="false">(Vin-Vdd)*Fsw*(Qg_Q1+Qg_Q2)+(RdsonDRT+RdsonDRT2)*Fsw*Qg_Q1*Vdd/(RdsonDRT+2*Rgate1+RdsonDRT2)+(RdsonDRB+RdsonDRB2)*Fsw*Qg_Q2*Vdd/(RdsonDRB+2*Rgate2+RdsonDRB2)</f>
        <v>0.0522</v>
      </c>
      <c r="BA69" s="488" t="n">
        <f aca="false">SUM(AX69:AY69)</f>
        <v>0.1548</v>
      </c>
      <c r="BB69" s="488" t="n">
        <f aca="false">SUM(T69,W69,Z69,AE69,AI69,AN69,AR69, AT69,AU69,BA69,AV69,AW69)</f>
        <v>0.749601751057358</v>
      </c>
      <c r="BC69" s="419" t="n">
        <f aca="false">Vout*K69</f>
        <v>43.2</v>
      </c>
      <c r="BD69" s="589" t="n">
        <f aca="false">BC69/(BC69+BB69)</f>
        <v>0.982944060442156</v>
      </c>
      <c r="BE69" s="590" t="n">
        <f aca="false">IF(Vin&gt;Vout,ThetaJA_Q1*BK69,ThetaJA_Q4*BK69)</f>
        <v>6.00822666684948</v>
      </c>
      <c r="BF69" s="590" t="n">
        <f aca="false">IF(Vin&gt;Vout, ThetaJA_Q2*BL69, ThetaJA_Q3*BL69)</f>
        <v>5.80917828611557</v>
      </c>
      <c r="BG69" s="536"/>
      <c r="BH69" s="385" t="n">
        <f aca="false">BD69*100</f>
        <v>98.2944060442156</v>
      </c>
      <c r="BI69" s="488" t="n">
        <f aca="false">T69</f>
        <v>0.047785942224621</v>
      </c>
      <c r="BJ69" s="488" t="n">
        <f aca="false">AE69+AI69+AN69+AR69+AU69</f>
        <v>0.385411107207233</v>
      </c>
      <c r="BK69" s="488" t="n">
        <f aca="false">IF(Vin&gt;Vout, AE69+AU69*0.66, AN69+AU69*0.66)</f>
        <v>0.12016453333699</v>
      </c>
      <c r="BL69" s="488" t="n">
        <f aca="false">IF(Vin&gt;Vout, AI69+AU69*0.33, AR69+AU69*0.33)</f>
        <v>0.116183565722311</v>
      </c>
      <c r="BM69" s="488" t="n">
        <f aca="false">AV69</f>
        <v>0.0102312984841424</v>
      </c>
      <c r="BS69" s="591"/>
      <c r="BT69" s="592"/>
    </row>
    <row r="70" customFormat="false" ht="12.75" hidden="false" customHeight="false" outlineLevel="0" collapsed="false">
      <c r="A70" s="637" t="s">
        <v>884</v>
      </c>
      <c r="B70" s="636" t="n">
        <f aca="false">Iripple_Vinnom</f>
        <v>0.0159099544072948</v>
      </c>
      <c r="C70" s="618" t="s">
        <v>16</v>
      </c>
      <c r="G70" s="0" t="n">
        <v>61</v>
      </c>
      <c r="H70" s="586" t="n">
        <f aca="false">Vin</f>
        <v>12</v>
      </c>
      <c r="I70" s="385" t="str">
        <f aca="false">IF(H70&gt;VIN_BB_to_buck, "BUCK", IF(H70&lt;VIN_boost_to_BB,"BOOST","BUCK-BST"))</f>
        <v>BUCK-BST</v>
      </c>
      <c r="J70" s="419" t="n">
        <f aca="false">IF(I70="BOOST",2, IF(I70="BUCK", 1,3))</f>
        <v>3</v>
      </c>
      <c r="K70" s="488" t="n">
        <f aca="false">Iout*G70/100</f>
        <v>3.66</v>
      </c>
      <c r="L70" s="385" t="n">
        <f aca="false">Vout*K70/(Vin*Efficiency)</f>
        <v>4.06666666666667</v>
      </c>
      <c r="M70" s="385" t="n">
        <f aca="false">K70/(1-O70)</f>
        <v>3.83246073298429</v>
      </c>
      <c r="N70" s="488" t="n">
        <f aca="false">CHOOSE(J70,(Vout+(Rdson2+Rs+Rdcr)*K70)/(Vin+(Rs+Rdson2-Rdson1)*K70), 1, IF(Vin&lt;Vout, D_max_buck_BB, Vout/Vin*(1-D_min_boost_exitBB_to_buck)))</f>
        <v>0.955</v>
      </c>
      <c r="O70" s="488" t="n">
        <f aca="false">CHOOSE(J70,0,(Vout+(Rdson3+Rdcr)*L70-Vin)/(Vout+(Rdson3-Rdson4-Rs)*L70), IF(Vin&gt;Vout,D_min_boost_exitBB_to_buck, (Vout-Vin*D_max_buck_BB)/Vout))</f>
        <v>0.0450000000000001</v>
      </c>
      <c r="P70" s="385" t="n">
        <f aca="false">MAX(0, CHOOSE(J70, (Vin-(Rdson1+Rdcr)*K70-Vout)*N70/(Fsw*Lf), (Vin-(Rdson4+Rdcr+Rs)*L70)*O70/(Fsw*Lf), IF(Vin&lt;Vout, (Vin-(Rdson4+Rdcr+Rs)*L70)*O70/(0.5*Fsw*Lf),(Vin-(Rdson1+Rdcr)*K70-Vout)*N70/(0.5*Fsw*Lf))))</f>
        <v>0</v>
      </c>
      <c r="Q70" s="385" t="n">
        <f aca="false">CHOOSE(J70, SQRT(K70^2+(P70^2)/12), SQRT(L70^2+(P70^2)/12), SQRT(M70^2+(P70^2)/12))</f>
        <v>3.83246073298429</v>
      </c>
      <c r="R70" s="488" t="n">
        <f aca="false">(Q70^2*Rdcr*(1+Ltc*Ta-Ltc*25))/(1-Q70^2*Rdcr*Ltc*ThetaCa)</f>
        <v>0.0493984280961074</v>
      </c>
      <c r="S70" s="488" t="n">
        <f aca="false">7.759*10^-3*Fsw^0.9458*(0.00787*P70)^2.304</f>
        <v>0</v>
      </c>
      <c r="T70" s="488" t="n">
        <f aca="false">R70+S70</f>
        <v>0.0493984280961074</v>
      </c>
      <c r="U70" s="385" t="n">
        <f aca="false">IF(Vin&gt;Vout, P70/SQRT(12), SQRT(O70/(1-O70))*SQRT(K70^2+(P70^2)/12))</f>
        <v>0.79448491661108</v>
      </c>
      <c r="V70" s="488" t="n">
        <f aca="false">RCoutEsr*U70^2</f>
        <v>0.00315603141361257</v>
      </c>
      <c r="W70" s="488" t="n">
        <f aca="false">V70</f>
        <v>0.00315603141361257</v>
      </c>
      <c r="X70" s="385" t="n">
        <f aca="false">IF(Vin&gt;Vout, SQRT(N70*(1-N70))*SQRT(K70^2+(P70^2)/12), P70/SQRT(12))</f>
        <v>0</v>
      </c>
      <c r="Y70" s="587" t="n">
        <f aca="false">RCinEsr*X70^2</f>
        <v>0</v>
      </c>
      <c r="Z70" s="588" t="n">
        <f aca="false">Y70</f>
        <v>0</v>
      </c>
      <c r="AA70" s="488" t="n">
        <f aca="false">CHOOSE(J70, SQRT(N70)*SQRT(K70^2+(P70^2)/12), SQRT(L70^2+(P70^2)/12), SQRT(N70)*SQRT(M70^2+(P70^2)/12))</f>
        <v>3.74523781390749</v>
      </c>
      <c r="AB70" s="488" t="n">
        <f aca="false">Rdson1*AA70^2</f>
        <v>0.0799527958115184</v>
      </c>
      <c r="AC70" s="488" t="n">
        <f aca="false">CHOOSE(J70, (Vin*K70/2)*(Fsw)*(Tr_buck+Tf_buck), 0, (Vin*K70/2)*(Fsw/2)*(Tr_buck+Tf_buck))</f>
        <v>0.0223632826398852</v>
      </c>
      <c r="AD70" s="488" t="n">
        <f aca="false">CHOOSE(J70, IF(K70&gt;P70/2,0,ABS(K70-P70/2)*Vsd_Q1*Deadtime*Fsw),0, IF(K70&gt;P70/2,0,ABS(K70-P70/2)*Vsd_Q1*Deadtime*Fsw/2))</f>
        <v>0</v>
      </c>
      <c r="AE70" s="488" t="n">
        <f aca="false">(AD70+AC70+AB70*(1+RdsonTopTc*Ta-RdsonTopTc*25))/(1-AB70*RdsonTopTc*ThetaJA_Q1)</f>
        <v>0.103978756915483</v>
      </c>
      <c r="AF70" s="488" t="n">
        <f aca="false">CHOOSE(J70, SQRT((1-N70))*SQRT(K70^2+(P70^2)/12), 0, SQRT((1-N70))*SQRT(M70^2+(P70^2)/12))</f>
        <v>0.812987691877309</v>
      </c>
      <c r="AG70" s="488" t="n">
        <f aca="false">Rdson2*AF70^2</f>
        <v>0.00376740922672076</v>
      </c>
      <c r="AH70" s="488" t="n">
        <f aca="false">CHOOSE(J70, IF(K70&lt;P70/2,Deadtime*Fsw*IF(VfdSky_Q2&gt;0,0,Vsd_Q2)*(K70+P70/2),2*Deadtime*Fsw*IF(VfdSky_Q2&gt;0,0,Vsd_Q2)*K70),0, IF(K70&lt;P70/2,Deadtime*Fsw/2*IF(VfdSky_Q2&gt;0,0,Vsd_Q2)*(K70+P70/2),2*Deadtime*Fsw/2*IF(VfdSky_Q2&gt;0,0,Vsd_Q2)*K70))</f>
        <v>0.04392</v>
      </c>
      <c r="AI70" s="488" t="n">
        <f aca="false">(AH70+AG70*(1+RdsonBotTc*Ta-RdsonBotTc*25))/(1-AG70*RdsonBotTc*ThetaJA_Q2)</f>
        <v>0.0477233679180457</v>
      </c>
      <c r="AJ70" s="488" t="n">
        <f aca="false">CHOOSE(J70, 0, SQRT(O70)*SQRT(L70^2+(P70^2)/12), SQRT(O70)*SQRT(M70^2+(P70^2)/12))</f>
        <v>0.812987691877309</v>
      </c>
      <c r="AK70" s="488" t="n">
        <f aca="false">Rdson4*AJ70^2</f>
        <v>0.00125580307557359</v>
      </c>
      <c r="AL70" s="488" t="n">
        <f aca="false">CHOOSE(J70, 0, (Vout*L70/2)*(Fsw)*(Tr_boost+Tf_boost), (Vout*Iout/2)*(Fsw/2)*(Tr_boost+Tf_boost))</f>
        <v>0.0349071770123085</v>
      </c>
      <c r="AM70" s="488" t="n">
        <f aca="false">IF(H70&gt;Vout, 0, IF(L70&gt;P70/2,0,ABS(L70-P70/2)*Vsd_Q4*Deadtime*Fsw))</f>
        <v>0</v>
      </c>
      <c r="AN70" s="488" t="n">
        <f aca="false">(AM70+AL70+AK70*(1+RdsonTopTc*Ta-RdsonTopTc*25))/(1-AK70*RdsonTopTc*ThetaJA_Q4)</f>
        <v>0.0361720650859991</v>
      </c>
      <c r="AO70" s="488" t="n">
        <f aca="false">CHOOSE(J70, SQRT(K70^2+(P70^2)/12), SQRT(1-O70)*SQRT(L70^2+(P70^2)/12), SQRT(1-O70)*SQRT(M70^2+(P70^2)/12))</f>
        <v>3.74523781390749</v>
      </c>
      <c r="AP70" s="488" t="n">
        <f aca="false">Rdson3*AO70^2</f>
        <v>0.0266509319371728</v>
      </c>
      <c r="AQ70" s="488" t="n">
        <f aca="false">CHOOSE(J70, 0, IF(L70&lt;P70/2,Deadtime*Fsw*IF(VfdSky_Q3&gt;0,0,Vsd_Q3)*(L70+P70/2), 2*Deadtime*Fsw*IF(VfdSky_Q3&gt;0,0,Vsd_Q3)*L70), IF(L70&lt;P70/2,Deadtime*Fsw/2*IF(VfdSky_Q3&gt;0,0,Vsd_Q3)*(L70+P70/2), 2*Deadtime*Fsw/2*IF(VfdSky_Q3&gt;0,0,Vsd_Q3)*L70))</f>
        <v>0.0488</v>
      </c>
      <c r="AR70" s="488" t="n">
        <f aca="false">(AQ70+AP70*(1+RdsonBotTc*Ta-RdsonBotTc*25))/(1-AP70*RdsonBotTc*ThetaJA_Q3)</f>
        <v>0.0758552545825642</v>
      </c>
      <c r="AS70" s="488" t="n">
        <f aca="false">CHOOSE(J70, Rdson3*Q70^2, Rdson1*Q70^2, 0)</f>
        <v>0</v>
      </c>
      <c r="AT70" s="488" t="n">
        <f aca="false">CHOOSE(J70, 2*Deadtime*Fsw*IF(VfdSky_Q2&gt;0,VfdSky_Q2,0)*K70, 2*Deadtime*Fsw*IF(VfdSky_Q3&gt;0,VfdSky_Q3,0)*L70, 2*Deadtime*Fsw/2*IF(VfdSky_Q2&gt;0,VfdSky_Q2,0)*K70+2*Deadtime*Fsw/2*IF(VfdSky_Q3&gt;0,VfdSky_Q3,0)*L70)</f>
        <v>0</v>
      </c>
      <c r="AU70" s="488" t="n">
        <f aca="false">CHOOSE(J70, IF(QrrSky_Q2&gt;0,QrrSky_Q2,Qrr_Q2*K70/Iout)*Fsw*(Vin-K70*Rdson1), IF(QrrSky_Q3&gt;0,QrrSky_Q3,Qrr_Q3)*Fsw*Vout,  IF(QrrSky_Q2&gt;0,QrrSky_Q2,Qrr_Q2*K70/Iout)*Fsw/2*(Vin-K70*Rdson1)+IF(QrrSky_Q3&gt;0,QrrSky_Q3,Qrr_Q3)*Fsw/2*Vout)</f>
        <v>0.128453741001</v>
      </c>
      <c r="AV70" s="488" t="n">
        <f aca="false">CHOOSE(J70, Rs*AF70^2, Rs*AJ70^2, Rs*(AF70^2+AJ70^2))</f>
        <v>0.0105751837943039</v>
      </c>
      <c r="AW70" s="488" t="n">
        <f aca="false">Rshunt_std/1000*Iout^2</f>
        <v>0.14832</v>
      </c>
      <c r="AX70" s="488" t="n">
        <f aca="false">IF(Vout&gt;8, Iq*Vout, Iq*Vin)</f>
        <v>0.036</v>
      </c>
      <c r="AY70" s="488" t="n">
        <f aca="false">CHOOSE(J70, (Qg_Q1+Qg_Q2)*Fsw, (Qg_Q3+Qg_Q4)*Fsw, (Qg_Q1+Qg_Q2+Qg_Q3+Qg_Q4)*Fsw/2)*IF(Vout&gt;8, Vout, Vin)</f>
        <v>0.1188</v>
      </c>
      <c r="AZ70" s="488" t="n">
        <f aca="false">(Vin-Vdd)*Fsw*(Qg_Q1+Qg_Q2)+(RdsonDRT+RdsonDRT2)*Fsw*Qg_Q1*Vdd/(RdsonDRT+2*Rgate1+RdsonDRT2)+(RdsonDRB+RdsonDRB2)*Fsw*Qg_Q2*Vdd/(RdsonDRB+2*Rgate2+RdsonDRB2)</f>
        <v>0.0522</v>
      </c>
      <c r="BA70" s="488" t="n">
        <f aca="false">SUM(AX70:AY70)</f>
        <v>0.1548</v>
      </c>
      <c r="BB70" s="488" t="n">
        <f aca="false">SUM(T70,W70,Z70,AE70,AI70,AN70,AR70, AT70,AU70,BA70,AV70,AW70)</f>
        <v>0.758432828807116</v>
      </c>
      <c r="BC70" s="419" t="n">
        <f aca="false">Vout*K70</f>
        <v>43.92</v>
      </c>
      <c r="BD70" s="589" t="n">
        <f aca="false">BC70/(BC70+BB70)</f>
        <v>0.983024632226623</v>
      </c>
      <c r="BE70" s="590" t="n">
        <f aca="false">IF(Vin&gt;Vout,ThetaJA_Q1*BK70,ThetaJA_Q4*BK70)</f>
        <v>6.04757670733295</v>
      </c>
      <c r="BF70" s="590" t="n">
        <f aca="false">IF(Vin&gt;Vout, ThetaJA_Q2*BL70, ThetaJA_Q3*BL70)</f>
        <v>5.91224945564471</v>
      </c>
      <c r="BG70" s="536"/>
      <c r="BH70" s="385" t="n">
        <f aca="false">BD70*100</f>
        <v>98.3024632226623</v>
      </c>
      <c r="BI70" s="488" t="n">
        <f aca="false">T70</f>
        <v>0.0493984280961074</v>
      </c>
      <c r="BJ70" s="488" t="n">
        <f aca="false">AE70+AI70+AN70+AR70+AU70</f>
        <v>0.392183185503092</v>
      </c>
      <c r="BK70" s="488" t="n">
        <f aca="false">IF(Vin&gt;Vout, AE70+AU70*0.66, AN70+AU70*0.66)</f>
        <v>0.120951534146659</v>
      </c>
      <c r="BL70" s="488" t="n">
        <f aca="false">IF(Vin&gt;Vout, AI70+AU70*0.33, AR70+AU70*0.33)</f>
        <v>0.118244989112894</v>
      </c>
      <c r="BM70" s="488" t="n">
        <f aca="false">AV70</f>
        <v>0.0105751837943039</v>
      </c>
      <c r="BS70" s="591"/>
      <c r="BT70" s="592"/>
    </row>
    <row r="71" customFormat="false" ht="12.75" hidden="false" customHeight="false" outlineLevel="0" collapsed="false">
      <c r="A71" s="633" t="s">
        <v>693</v>
      </c>
      <c r="B71" s="583" t="s">
        <v>133</v>
      </c>
      <c r="C71" s="585" t="s">
        <v>697</v>
      </c>
      <c r="G71" s="0" t="n">
        <v>62</v>
      </c>
      <c r="H71" s="586" t="n">
        <f aca="false">Vin</f>
        <v>12</v>
      </c>
      <c r="I71" s="385" t="str">
        <f aca="false">IF(H71&gt;VIN_BB_to_buck, "BUCK", IF(H71&lt;VIN_boost_to_BB,"BOOST","BUCK-BST"))</f>
        <v>BUCK-BST</v>
      </c>
      <c r="J71" s="419" t="n">
        <f aca="false">IF(I71="BOOST",2, IF(I71="BUCK", 1,3))</f>
        <v>3</v>
      </c>
      <c r="K71" s="488" t="n">
        <f aca="false">Iout*G71/100</f>
        <v>3.72</v>
      </c>
      <c r="L71" s="385" t="n">
        <f aca="false">Vout*K71/(Vin*Efficiency)</f>
        <v>4.13333333333333</v>
      </c>
      <c r="M71" s="385" t="n">
        <f aca="false">K71/(1-O71)</f>
        <v>3.89528795811518</v>
      </c>
      <c r="N71" s="488" t="n">
        <f aca="false">CHOOSE(J71,(Vout+(Rdson2+Rs+Rdcr)*K71)/(Vin+(Rs+Rdson2-Rdson1)*K71), 1, IF(Vin&lt;Vout, D_max_buck_BB, Vout/Vin*(1-D_min_boost_exitBB_to_buck)))</f>
        <v>0.955</v>
      </c>
      <c r="O71" s="488" t="n">
        <f aca="false">CHOOSE(J71,0,(Vout+(Rdson3+Rdcr)*L71-Vin)/(Vout+(Rdson3-Rdson4-Rs)*L71), IF(Vin&gt;Vout,D_min_boost_exitBB_to_buck, (Vout-Vin*D_max_buck_BB)/Vout))</f>
        <v>0.0450000000000001</v>
      </c>
      <c r="P71" s="385" t="n">
        <f aca="false">MAX(0, CHOOSE(J71, (Vin-(Rdson1+Rdcr)*K71-Vout)*N71/(Fsw*Lf), (Vin-(Rdson4+Rdcr+Rs)*L71)*O71/(Fsw*Lf), IF(Vin&lt;Vout, (Vin-(Rdson4+Rdcr+Rs)*L71)*O71/(0.5*Fsw*Lf),(Vin-(Rdson1+Rdcr)*K71-Vout)*N71/(0.5*Fsw*Lf))))</f>
        <v>0</v>
      </c>
      <c r="Q71" s="385" t="n">
        <f aca="false">CHOOSE(J71, SQRT(K71^2+(P71^2)/12), SQRT(L71^2+(P71^2)/12), SQRT(M71^2+(P71^2)/12))</f>
        <v>3.89528795811518</v>
      </c>
      <c r="R71" s="488" t="n">
        <f aca="false">(Q71^2*Rdcr*(1+Ltc*Ta-Ltc*25))/(1-Q71^2*Rdcr*Ltc*ThetaCa)</f>
        <v>0.0510379914473248</v>
      </c>
      <c r="S71" s="488" t="n">
        <f aca="false">7.759*10^-3*Fsw^0.9458*(0.00787*P71)^2.304</f>
        <v>0</v>
      </c>
      <c r="T71" s="488" t="n">
        <f aca="false">R71+S71</f>
        <v>0.0510379914473248</v>
      </c>
      <c r="U71" s="385" t="n">
        <f aca="false">IF(Vin&gt;Vout, P71/SQRT(12), SQRT(O71/(1-O71))*SQRT(K71^2+(P71^2)/12))</f>
        <v>0.807509259506343</v>
      </c>
      <c r="V71" s="488" t="n">
        <f aca="false">RCoutEsr*U71^2</f>
        <v>0.00326035602094241</v>
      </c>
      <c r="W71" s="488" t="n">
        <f aca="false">V71</f>
        <v>0.00326035602094241</v>
      </c>
      <c r="X71" s="385" t="n">
        <f aca="false">IF(Vin&gt;Vout, SQRT(N71*(1-N71))*SQRT(K71^2+(P71^2)/12), P71/SQRT(12))</f>
        <v>0</v>
      </c>
      <c r="Y71" s="587" t="n">
        <f aca="false">RCinEsr*X71^2</f>
        <v>0</v>
      </c>
      <c r="Z71" s="588" t="n">
        <f aca="false">Y71</f>
        <v>0</v>
      </c>
      <c r="AA71" s="488" t="n">
        <f aca="false">CHOOSE(J71, SQRT(N71)*SQRT(K71^2+(P71^2)/12), SQRT(L71^2+(P71^2)/12), SQRT(N71)*SQRT(M71^2+(P71^2)/12))</f>
        <v>3.80663515511908</v>
      </c>
      <c r="AB71" s="488" t="n">
        <f aca="false">Rdson1*AA71^2</f>
        <v>0.0825956858638744</v>
      </c>
      <c r="AC71" s="488" t="n">
        <f aca="false">CHOOSE(J71, (Vin*K71/2)*(Fsw)*(Tr_buck+Tf_buck), 0, (Vin*K71/2)*(Fsw/2)*(Tr_buck+Tf_buck))</f>
        <v>0.022729893830703</v>
      </c>
      <c r="AD71" s="488" t="n">
        <f aca="false">CHOOSE(J71, IF(K71&gt;P71/2,0,ABS(K71-P71/2)*Vsd_Q1*Deadtime*Fsw),0, IF(K71&gt;P71/2,0,ABS(K71-P71/2)*Vsd_Q1*Deadtime*Fsw/2))</f>
        <v>0</v>
      </c>
      <c r="AE71" s="488" t="n">
        <f aca="false">(AD71+AC71+AB71*(1+RdsonTopTc*Ta-RdsonTopTc*25))/(1-AB71*RdsonTopTc*ThetaJA_Q1)</f>
        <v>0.10709469159552</v>
      </c>
      <c r="AF71" s="488" t="n">
        <f aca="false">CHOOSE(J71, SQRT((1-N71))*SQRT(K71^2+(P71^2)/12), 0, SQRT((1-N71))*SQRT(M71^2+(P71^2)/12))</f>
        <v>0.826315358957264</v>
      </c>
      <c r="AG71" s="488" t="n">
        <f aca="false">Rdson2*AF71^2</f>
        <v>0.00389194331295743</v>
      </c>
      <c r="AH71" s="488" t="n">
        <f aca="false">CHOOSE(J71, IF(K71&lt;P71/2,Deadtime*Fsw*IF(VfdSky_Q2&gt;0,0,Vsd_Q2)*(K71+P71/2),2*Deadtime*Fsw*IF(VfdSky_Q2&gt;0,0,Vsd_Q2)*K71),0, IF(K71&lt;P71/2,Deadtime*Fsw/2*IF(VfdSky_Q2&gt;0,0,Vsd_Q2)*(K71+P71/2),2*Deadtime*Fsw/2*IF(VfdSky_Q2&gt;0,0,Vsd_Q2)*K71))</f>
        <v>0.04464</v>
      </c>
      <c r="AI71" s="488" t="n">
        <f aca="false">(AH71+AG71*(1+RdsonBotTc*Ta-RdsonBotTc*25))/(1-AG71*RdsonBotTc*ThetaJA_Q2)</f>
        <v>0.0485697494552783</v>
      </c>
      <c r="AJ71" s="488" t="n">
        <f aca="false">CHOOSE(J71, 0, SQRT(O71)*SQRT(L71^2+(P71^2)/12), SQRT(O71)*SQRT(M71^2+(P71^2)/12))</f>
        <v>0.826315358957265</v>
      </c>
      <c r="AK71" s="488" t="n">
        <f aca="false">Rdson4*AJ71^2</f>
        <v>0.00129731443765248</v>
      </c>
      <c r="AL71" s="488" t="n">
        <f aca="false">CHOOSE(J71, 0, (Vout*L71/2)*(Fsw)*(Tr_boost+Tf_boost), (Vout*Iout/2)*(Fsw/2)*(Tr_boost+Tf_boost))</f>
        <v>0.0349071770123085</v>
      </c>
      <c r="AM71" s="488" t="n">
        <f aca="false">IF(H71&gt;Vout, 0, IF(L71&gt;P71/2,0,ABS(L71-P71/2)*Vsd_Q4*Deadtime*Fsw))</f>
        <v>0</v>
      </c>
      <c r="AN71" s="488" t="n">
        <f aca="false">(AM71+AL71+AK71*(1+RdsonTopTc*Ta-RdsonTopTc*25))/(1-AK71*RdsonTopTc*ThetaJA_Q4)</f>
        <v>0.036213887609809</v>
      </c>
      <c r="AO71" s="488" t="n">
        <f aca="false">CHOOSE(J71, SQRT(K71^2+(P71^2)/12), SQRT(1-O71)*SQRT(L71^2+(P71^2)/12), SQRT(1-O71)*SQRT(M71^2+(P71^2)/12))</f>
        <v>3.80663515511908</v>
      </c>
      <c r="AP71" s="488" t="n">
        <f aca="false">Rdson3*AO71^2</f>
        <v>0.0275318952879581</v>
      </c>
      <c r="AQ71" s="488" t="n">
        <f aca="false">CHOOSE(J71, 0, IF(L71&lt;P71/2,Deadtime*Fsw*IF(VfdSky_Q3&gt;0,0,Vsd_Q3)*(L71+P71/2), 2*Deadtime*Fsw*IF(VfdSky_Q3&gt;0,0,Vsd_Q3)*L71), IF(L71&lt;P71/2,Deadtime*Fsw/2*IF(VfdSky_Q3&gt;0,0,Vsd_Q3)*(L71+P71/2), 2*Deadtime*Fsw/2*IF(VfdSky_Q3&gt;0,0,Vsd_Q3)*L71))</f>
        <v>0.0496</v>
      </c>
      <c r="AR71" s="488" t="n">
        <f aca="false">(AQ71+AP71*(1+RdsonBotTc*Ta-RdsonBotTc*25))/(1-AP71*RdsonBotTc*ThetaJA_Q3)</f>
        <v>0.0775589643449557</v>
      </c>
      <c r="AS71" s="488" t="n">
        <f aca="false">CHOOSE(J71, Rdson3*Q71^2, Rdson1*Q71^2, 0)</f>
        <v>0</v>
      </c>
      <c r="AT71" s="488" t="n">
        <f aca="false">CHOOSE(J71, 2*Deadtime*Fsw*IF(VfdSky_Q2&gt;0,VfdSky_Q2,0)*K71, 2*Deadtime*Fsw*IF(VfdSky_Q3&gt;0,VfdSky_Q3,0)*L71, 2*Deadtime*Fsw/2*IF(VfdSky_Q2&gt;0,VfdSky_Q2,0)*K71+2*Deadtime*Fsw/2*IF(VfdSky_Q3&gt;0,VfdSky_Q3,0)*L71)</f>
        <v>0</v>
      </c>
      <c r="AU71" s="488" t="n">
        <f aca="false">CHOOSE(J71, IF(QrrSky_Q2&gt;0,QrrSky_Q2,Qrr_Q2*K71/Iout)*Fsw*(Vin-K71*Rdson1), IF(QrrSky_Q3&gt;0,QrrSky_Q3,Qrr_Q3)*Fsw*Vout,  IF(QrrSky_Q2&gt;0,QrrSky_Q2,Qrr_Q2*K71/Iout)*Fsw/2*(Vin-K71*Rdson1)+IF(QrrSky_Q3&gt;0,QrrSky_Q3,Qrr_Q3)*Fsw/2*Vout)</f>
        <v>0.129583765764</v>
      </c>
      <c r="AV71" s="488" t="n">
        <f aca="false">CHOOSE(J71, Rs*AF71^2, Rs*AJ71^2, Rs*(AF71^2+AJ71^2))</f>
        <v>0.0109247531591788</v>
      </c>
      <c r="AW71" s="488" t="n">
        <f aca="false">Rshunt_std/1000*Iout^2</f>
        <v>0.14832</v>
      </c>
      <c r="AX71" s="488" t="n">
        <f aca="false">IF(Vout&gt;8, Iq*Vout, Iq*Vin)</f>
        <v>0.036</v>
      </c>
      <c r="AY71" s="488" t="n">
        <f aca="false">CHOOSE(J71, (Qg_Q1+Qg_Q2)*Fsw, (Qg_Q3+Qg_Q4)*Fsw, (Qg_Q1+Qg_Q2+Qg_Q3+Qg_Q4)*Fsw/2)*IF(Vout&gt;8, Vout, Vin)</f>
        <v>0.1188</v>
      </c>
      <c r="AZ71" s="488" t="n">
        <f aca="false">(Vin-Vdd)*Fsw*(Qg_Q1+Qg_Q2)+(RdsonDRT+RdsonDRT2)*Fsw*Qg_Q1*Vdd/(RdsonDRT+2*Rgate1+RdsonDRT2)+(RdsonDRB+RdsonDRB2)*Fsw*Qg_Q2*Vdd/(RdsonDRB+2*Rgate2+RdsonDRB2)</f>
        <v>0.0522</v>
      </c>
      <c r="BA71" s="488" t="n">
        <f aca="false">SUM(AX71:AY71)</f>
        <v>0.1548</v>
      </c>
      <c r="BB71" s="488" t="n">
        <f aca="false">SUM(T71,W71,Z71,AE71,AI71,AN71,AR71, AT71,AU71,BA71,AV71,AW71)</f>
        <v>0.767364159397009</v>
      </c>
      <c r="BC71" s="419" t="n">
        <f aca="false">Vout*K71</f>
        <v>44.64</v>
      </c>
      <c r="BD71" s="589" t="n">
        <f aca="false">BC71/(BC71+BB71)</f>
        <v>0.98310044695166</v>
      </c>
      <c r="BE71" s="590" t="n">
        <f aca="false">IF(Vin&gt;Vout,ThetaJA_Q1*BK71,ThetaJA_Q4*BK71)</f>
        <v>6.08695865070245</v>
      </c>
      <c r="BF71" s="590" t="n">
        <f aca="false">IF(Vin&gt;Vout, ThetaJA_Q2*BL71, ThetaJA_Q3*BL71)</f>
        <v>6.01608035235378</v>
      </c>
      <c r="BG71" s="536"/>
      <c r="BH71" s="385" t="n">
        <f aca="false">BD71*100</f>
        <v>98.310044695166</v>
      </c>
      <c r="BI71" s="488" t="n">
        <f aca="false">T71</f>
        <v>0.0510379914473248</v>
      </c>
      <c r="BJ71" s="488" t="n">
        <f aca="false">AE71+AI71+AN71+AR71+AU71</f>
        <v>0.399021058769563</v>
      </c>
      <c r="BK71" s="488" t="n">
        <f aca="false">IF(Vin&gt;Vout, AE71+AU71*0.66, AN71+AU71*0.66)</f>
        <v>0.121739173014049</v>
      </c>
      <c r="BL71" s="488" t="n">
        <f aca="false">IF(Vin&gt;Vout, AI71+AU71*0.33, AR71+AU71*0.33)</f>
        <v>0.120321607047076</v>
      </c>
      <c r="BM71" s="488" t="n">
        <f aca="false">AV71</f>
        <v>0.0109247531591788</v>
      </c>
      <c r="BS71" s="591"/>
      <c r="BT71" s="592"/>
    </row>
    <row r="72" customFormat="false" ht="12.75" hidden="false" customHeight="false" outlineLevel="0" collapsed="false">
      <c r="A72" s="635" t="s">
        <v>694</v>
      </c>
      <c r="B72" s="638" t="n">
        <f aca="false">(Qgd_Q1+Qgs_Q1/2)*(RdsonDRT+Rgate1)/(Vdd-Vsp_Q1)*1000000000</f>
        <v>4.01470588235294</v>
      </c>
      <c r="C72" s="618" t="s">
        <v>850</v>
      </c>
      <c r="D72" s="320" t="s">
        <v>885</v>
      </c>
      <c r="G72" s="0" t="n">
        <v>63</v>
      </c>
      <c r="H72" s="586" t="n">
        <f aca="false">Vin</f>
        <v>12</v>
      </c>
      <c r="I72" s="385" t="str">
        <f aca="false">IF(H72&gt;VIN_BB_to_buck, "BUCK", IF(H72&lt;VIN_boost_to_BB,"BOOST","BUCK-BST"))</f>
        <v>BUCK-BST</v>
      </c>
      <c r="J72" s="419" t="n">
        <f aca="false">IF(I72="BOOST",2, IF(I72="BUCK", 1,3))</f>
        <v>3</v>
      </c>
      <c r="K72" s="488" t="n">
        <f aca="false">Iout*G72/100</f>
        <v>3.78</v>
      </c>
      <c r="L72" s="385" t="n">
        <f aca="false">Vout*K72/(Vin*Efficiency)</f>
        <v>4.2</v>
      </c>
      <c r="M72" s="385" t="n">
        <f aca="false">K72/(1-O72)</f>
        <v>3.95811518324607</v>
      </c>
      <c r="N72" s="488" t="n">
        <f aca="false">CHOOSE(J72,(Vout+(Rdson2+Rs+Rdcr)*K72)/(Vin+(Rs+Rdson2-Rdson1)*K72), 1, IF(Vin&lt;Vout, D_max_buck_BB, Vout/Vin*(1-D_min_boost_exitBB_to_buck)))</f>
        <v>0.955</v>
      </c>
      <c r="O72" s="488" t="n">
        <f aca="false">CHOOSE(J72,0,(Vout+(Rdson3+Rdcr)*L72-Vin)/(Vout+(Rdson3-Rdson4-Rs)*L72), IF(Vin&gt;Vout,D_min_boost_exitBB_to_buck, (Vout-Vin*D_max_buck_BB)/Vout))</f>
        <v>0.0450000000000001</v>
      </c>
      <c r="P72" s="385" t="n">
        <f aca="false">MAX(0, CHOOSE(J72, (Vin-(Rdson1+Rdcr)*K72-Vout)*N72/(Fsw*Lf), (Vin-(Rdson4+Rdcr+Rs)*L72)*O72/(Fsw*Lf), IF(Vin&lt;Vout, (Vin-(Rdson4+Rdcr+Rs)*L72)*O72/(0.5*Fsw*Lf),(Vin-(Rdson1+Rdcr)*K72-Vout)*N72/(0.5*Fsw*Lf))))</f>
        <v>0</v>
      </c>
      <c r="Q72" s="385" t="n">
        <f aca="false">CHOOSE(J72, SQRT(K72^2+(P72^2)/12), SQRT(L72^2+(P72^2)/12), SQRT(M72^2+(P72^2)/12))</f>
        <v>3.95811518324607</v>
      </c>
      <c r="R72" s="488" t="n">
        <f aca="false">(Q72^2*Rdcr*(1+Ltc*Ta-Ltc*25))/(1-Q72^2*Rdcr*Ltc*ThetaCa)</f>
        <v>0.0527046533431055</v>
      </c>
      <c r="S72" s="488" t="n">
        <f aca="false">7.759*10^-3*Fsw^0.9458*(0.00787*P72)^2.304</f>
        <v>0</v>
      </c>
      <c r="T72" s="488" t="n">
        <f aca="false">R72+S72</f>
        <v>0.0527046533431055</v>
      </c>
      <c r="U72" s="385" t="n">
        <f aca="false">IF(Vin&gt;Vout, P72/SQRT(12), SQRT(O72/(1-O72))*SQRT(K72^2+(P72^2)/12))</f>
        <v>0.820533602401607</v>
      </c>
      <c r="V72" s="488" t="n">
        <f aca="false">RCoutEsr*U72^2</f>
        <v>0.00336637696335079</v>
      </c>
      <c r="W72" s="488" t="n">
        <f aca="false">V72</f>
        <v>0.00336637696335079</v>
      </c>
      <c r="X72" s="385" t="n">
        <f aca="false">IF(Vin&gt;Vout, SQRT(N72*(1-N72))*SQRT(K72^2+(P72^2)/12), P72/SQRT(12))</f>
        <v>0</v>
      </c>
      <c r="Y72" s="587" t="n">
        <f aca="false">RCinEsr*X72^2</f>
        <v>0</v>
      </c>
      <c r="Z72" s="588" t="n">
        <f aca="false">Y72</f>
        <v>0</v>
      </c>
      <c r="AA72" s="488" t="n">
        <f aca="false">CHOOSE(J72, SQRT(N72)*SQRT(K72^2+(P72^2)/12), SQRT(L72^2+(P72^2)/12), SQRT(N72)*SQRT(M72^2+(P72^2)/12))</f>
        <v>3.86803249633068</v>
      </c>
      <c r="AB72" s="488" t="n">
        <f aca="false">Rdson1*AA72^2</f>
        <v>0.0852815497382199</v>
      </c>
      <c r="AC72" s="488" t="n">
        <f aca="false">CHOOSE(J72, (Vin*K72/2)*(Fsw)*(Tr_buck+Tf_buck), 0, (Vin*K72/2)*(Fsw/2)*(Tr_buck+Tf_buck))</f>
        <v>0.0230965050215208</v>
      </c>
      <c r="AD72" s="488" t="n">
        <f aca="false">CHOOSE(J72, IF(K72&gt;P72/2,0,ABS(K72-P72/2)*Vsd_Q1*Deadtime*Fsw),0, IF(K72&gt;P72/2,0,ABS(K72-P72/2)*Vsd_Q1*Deadtime*Fsw/2))</f>
        <v>0</v>
      </c>
      <c r="AE72" s="488" t="n">
        <f aca="false">(AD72+AC72+AB72*(1+RdsonTopTc*Ta-RdsonTopTc*25))/(1-AB72*RdsonTopTc*ThetaJA_Q1)</f>
        <v>0.110258660650203</v>
      </c>
      <c r="AF72" s="488" t="n">
        <f aca="false">CHOOSE(J72, SQRT((1-N72))*SQRT(K72^2+(P72^2)/12), 0, SQRT((1-N72))*SQRT(M72^2+(P72^2)/12))</f>
        <v>0.83964302603722</v>
      </c>
      <c r="AG72" s="488" t="n">
        <f aca="false">Rdson2*AF72^2</f>
        <v>0.00401850234368576</v>
      </c>
      <c r="AH72" s="488" t="n">
        <f aca="false">CHOOSE(J72, IF(K72&lt;P72/2,Deadtime*Fsw*IF(VfdSky_Q2&gt;0,0,Vsd_Q2)*(K72+P72/2),2*Deadtime*Fsw*IF(VfdSky_Q2&gt;0,0,Vsd_Q2)*K72),0, IF(K72&lt;P72/2,Deadtime*Fsw/2*IF(VfdSky_Q2&gt;0,0,Vsd_Q2)*(K72+P72/2),2*Deadtime*Fsw/2*IF(VfdSky_Q2&gt;0,0,Vsd_Q2)*K72))</f>
        <v>0.04536</v>
      </c>
      <c r="AI72" s="488" t="n">
        <f aca="false">(AH72+AG72*(1+RdsonBotTc*Ta-RdsonBotTc*25))/(1-AG72*RdsonBotTc*ThetaJA_Q2)</f>
        <v>0.0494182197900952</v>
      </c>
      <c r="AJ72" s="488" t="n">
        <f aca="false">CHOOSE(J72, 0, SQRT(O72)*SQRT(L72^2+(P72^2)/12), SQRT(O72)*SQRT(M72^2+(P72^2)/12))</f>
        <v>0.83964302603722</v>
      </c>
      <c r="AK72" s="488" t="n">
        <f aca="false">Rdson4*AJ72^2</f>
        <v>0.00133950078122859</v>
      </c>
      <c r="AL72" s="488" t="n">
        <f aca="false">CHOOSE(J72, 0, (Vout*L72/2)*(Fsw)*(Tr_boost+Tf_boost), (Vout*Iout/2)*(Fsw/2)*(Tr_boost+Tf_boost))</f>
        <v>0.0349071770123085</v>
      </c>
      <c r="AM72" s="488" t="n">
        <f aca="false">IF(H72&gt;Vout, 0, IF(L72&gt;P72/2,0,ABS(L72-P72/2)*Vsd_Q4*Deadtime*Fsw))</f>
        <v>0</v>
      </c>
      <c r="AN72" s="488" t="n">
        <f aca="false">(AM72+AL72+AK72*(1+RdsonTopTc*Ta-RdsonTopTc*25))/(1-AK72*RdsonTopTc*ThetaJA_Q4)</f>
        <v>0.0362563908863205</v>
      </c>
      <c r="AO72" s="488" t="n">
        <f aca="false">CHOOSE(J72, SQRT(K72^2+(P72^2)/12), SQRT(1-O72)*SQRT(L72^2+(P72^2)/12), SQRT(1-O72)*SQRT(M72^2+(P72^2)/12))</f>
        <v>3.86803249633068</v>
      </c>
      <c r="AP72" s="488" t="n">
        <f aca="false">Rdson3*AO72^2</f>
        <v>0.0284271832460733</v>
      </c>
      <c r="AQ72" s="488" t="n">
        <f aca="false">CHOOSE(J72, 0, IF(L72&lt;P72/2,Deadtime*Fsw*IF(VfdSky_Q3&gt;0,0,Vsd_Q3)*(L72+P72/2), 2*Deadtime*Fsw*IF(VfdSky_Q3&gt;0,0,Vsd_Q3)*L72), IF(L72&lt;P72/2,Deadtime*Fsw/2*IF(VfdSky_Q3&gt;0,0,Vsd_Q3)*(L72+P72/2), 2*Deadtime*Fsw/2*IF(VfdSky_Q3&gt;0,0,Vsd_Q3)*L72))</f>
        <v>0.0504</v>
      </c>
      <c r="AR72" s="488" t="n">
        <f aca="false">(AQ72+AP72*(1+RdsonBotTc*Ta-RdsonBotTc*25))/(1-AP72*RdsonBotTc*ThetaJA_Q3)</f>
        <v>0.0792779127969624</v>
      </c>
      <c r="AS72" s="488" t="n">
        <f aca="false">CHOOSE(J72, Rdson3*Q72^2, Rdson1*Q72^2, 0)</f>
        <v>0</v>
      </c>
      <c r="AT72" s="488" t="n">
        <f aca="false">CHOOSE(J72, 2*Deadtime*Fsw*IF(VfdSky_Q2&gt;0,VfdSky_Q2,0)*K72, 2*Deadtime*Fsw*IF(VfdSky_Q3&gt;0,VfdSky_Q3,0)*L72, 2*Deadtime*Fsw/2*IF(VfdSky_Q2&gt;0,VfdSky_Q2,0)*K72+2*Deadtime*Fsw/2*IF(VfdSky_Q3&gt;0,VfdSky_Q3,0)*L72)</f>
        <v>0</v>
      </c>
      <c r="AU72" s="488" t="n">
        <f aca="false">CHOOSE(J72, IF(QrrSky_Q2&gt;0,QrrSky_Q2,Qrr_Q2*K72/Iout)*Fsw*(Vin-K72*Rdson1), IF(QrrSky_Q3&gt;0,QrrSky_Q3,Qrr_Q3)*Fsw*Vout,  IF(QrrSky_Q2&gt;0,QrrSky_Q2,Qrr_Q2*K72/Iout)*Fsw/2*(Vin-K72*Rdson1)+IF(QrrSky_Q3&gt;0,QrrSky_Q3,Qrr_Q3)*Fsw/2*Vout)</f>
        <v>0.130713725889</v>
      </c>
      <c r="AV72" s="488" t="n">
        <f aca="false">CHOOSE(J72, Rs*AF72^2, Rs*AJ72^2, Rs*(AF72^2+AJ72^2))</f>
        <v>0.011280006578767</v>
      </c>
      <c r="AW72" s="488" t="n">
        <f aca="false">Rshunt_std/1000*Iout^2</f>
        <v>0.14832</v>
      </c>
      <c r="AX72" s="488" t="n">
        <f aca="false">IF(Vout&gt;8, Iq*Vout, Iq*Vin)</f>
        <v>0.036</v>
      </c>
      <c r="AY72" s="488" t="n">
        <f aca="false">CHOOSE(J72, (Qg_Q1+Qg_Q2)*Fsw, (Qg_Q3+Qg_Q4)*Fsw, (Qg_Q1+Qg_Q2+Qg_Q3+Qg_Q4)*Fsw/2)*IF(Vout&gt;8, Vout, Vin)</f>
        <v>0.1188</v>
      </c>
      <c r="AZ72" s="488" t="n">
        <f aca="false">(Vin-Vdd)*Fsw*(Qg_Q1+Qg_Q2)+(RdsonDRT+RdsonDRT2)*Fsw*Qg_Q1*Vdd/(RdsonDRT+2*Rgate1+RdsonDRT2)+(RdsonDRB+RdsonDRB2)*Fsw*Qg_Q2*Vdd/(RdsonDRB+2*Rgate2+RdsonDRB2)</f>
        <v>0.0522</v>
      </c>
      <c r="BA72" s="488" t="n">
        <f aca="false">SUM(AX72:AY72)</f>
        <v>0.1548</v>
      </c>
      <c r="BB72" s="488" t="n">
        <f aca="false">SUM(T72,W72,Z72,AE72,AI72,AN72,AR72, AT72,AU72,BA72,AV72,AW72)</f>
        <v>0.776395946897804</v>
      </c>
      <c r="BC72" s="419" t="n">
        <f aca="false">Vout*K72</f>
        <v>45.36</v>
      </c>
      <c r="BD72" s="589" t="n">
        <f aca="false">BC72/(BC72+BB72)</f>
        <v>0.983171725251547</v>
      </c>
      <c r="BE72" s="590" t="n">
        <f aca="false">IF(Vin&gt;Vout,ThetaJA_Q1*BK72,ThetaJA_Q4*BK72)</f>
        <v>6.12637249865302</v>
      </c>
      <c r="BF72" s="590" t="n">
        <f aca="false">IF(Vin&gt;Vout, ThetaJA_Q2*BL72, ThetaJA_Q3*BL72)</f>
        <v>6.12067211701662</v>
      </c>
      <c r="BG72" s="536"/>
      <c r="BH72" s="385" t="n">
        <f aca="false">BD72*100</f>
        <v>98.3171725251547</v>
      </c>
      <c r="BI72" s="488" t="n">
        <f aca="false">T72</f>
        <v>0.0527046533431055</v>
      </c>
      <c r="BJ72" s="488" t="n">
        <f aca="false">AE72+AI72+AN72+AR72+AU72</f>
        <v>0.405924910012581</v>
      </c>
      <c r="BK72" s="488" t="n">
        <f aca="false">IF(Vin&gt;Vout, AE72+AU72*0.66, AN72+AU72*0.66)</f>
        <v>0.12252744997306</v>
      </c>
      <c r="BL72" s="488" t="n">
        <f aca="false">IF(Vin&gt;Vout, AI72+AU72*0.33, AR72+AU72*0.33)</f>
        <v>0.122413442340332</v>
      </c>
      <c r="BM72" s="488" t="n">
        <f aca="false">AV72</f>
        <v>0.011280006578767</v>
      </c>
      <c r="BS72" s="591"/>
      <c r="BT72" s="592"/>
    </row>
    <row r="73" customFormat="false" ht="12.75" hidden="false" customHeight="false" outlineLevel="0" collapsed="false">
      <c r="A73" s="637" t="s">
        <v>695</v>
      </c>
      <c r="B73" s="638" t="n">
        <f aca="false">(Qgd_Q1+Qgs_Q1/2)*(RdsonDRT2+Rgate1)/(Vsp_Q1)*1000000000</f>
        <v>2.77439024390244</v>
      </c>
      <c r="C73" s="618" t="s">
        <v>850</v>
      </c>
      <c r="D73" s="320" t="s">
        <v>886</v>
      </c>
      <c r="G73" s="0" t="n">
        <v>64</v>
      </c>
      <c r="H73" s="586" t="n">
        <f aca="false">Vin</f>
        <v>12</v>
      </c>
      <c r="I73" s="385" t="str">
        <f aca="false">IF(H73&gt;VIN_BB_to_buck, "BUCK", IF(H73&lt;VIN_boost_to_BB,"BOOST","BUCK-BST"))</f>
        <v>BUCK-BST</v>
      </c>
      <c r="J73" s="419" t="n">
        <f aca="false">IF(I73="BOOST",2, IF(I73="BUCK", 1,3))</f>
        <v>3</v>
      </c>
      <c r="K73" s="488" t="n">
        <f aca="false">Iout*G73/100</f>
        <v>3.84</v>
      </c>
      <c r="L73" s="385" t="n">
        <f aca="false">Vout*K73/(Vin*Efficiency)</f>
        <v>4.26666666666667</v>
      </c>
      <c r="M73" s="385" t="n">
        <f aca="false">K73/(1-O73)</f>
        <v>4.02094240837696</v>
      </c>
      <c r="N73" s="488" t="n">
        <f aca="false">CHOOSE(J73,(Vout+(Rdson2+Rs+Rdcr)*K73)/(Vin+(Rs+Rdson2-Rdson1)*K73), 1, IF(Vin&lt;Vout, D_max_buck_BB, Vout/Vin*(1-D_min_boost_exitBB_to_buck)))</f>
        <v>0.955</v>
      </c>
      <c r="O73" s="488" t="n">
        <f aca="false">CHOOSE(J73,0,(Vout+(Rdson3+Rdcr)*L73-Vin)/(Vout+(Rdson3-Rdson4-Rs)*L73), IF(Vin&gt;Vout,D_min_boost_exitBB_to_buck, (Vout-Vin*D_max_buck_BB)/Vout))</f>
        <v>0.0450000000000001</v>
      </c>
      <c r="P73" s="385" t="n">
        <f aca="false">MAX(0, CHOOSE(J73, (Vin-(Rdson1+Rdcr)*K73-Vout)*N73/(Fsw*Lf), (Vin-(Rdson4+Rdcr+Rs)*L73)*O73/(Fsw*Lf), IF(Vin&lt;Vout, (Vin-(Rdson4+Rdcr+Rs)*L73)*O73/(0.5*Fsw*Lf),(Vin-(Rdson1+Rdcr)*K73-Vout)*N73/(0.5*Fsw*Lf))))</f>
        <v>0</v>
      </c>
      <c r="Q73" s="385" t="n">
        <f aca="false">CHOOSE(J73, SQRT(K73^2+(P73^2)/12), SQRT(L73^2+(P73^2)/12), SQRT(M73^2+(P73^2)/12))</f>
        <v>4.02094240837696</v>
      </c>
      <c r="R73" s="488" t="n">
        <f aca="false">(Q73^2*Rdcr*(1+Ltc*Ta-Ltc*25))/(1-Q73^2*Rdcr*Ltc*ThetaCa)</f>
        <v>0.0543984352048794</v>
      </c>
      <c r="S73" s="488" t="n">
        <f aca="false">7.759*10^-3*Fsw^0.9458*(0.00787*P73)^2.304</f>
        <v>0</v>
      </c>
      <c r="T73" s="488" t="n">
        <f aca="false">R73+S73</f>
        <v>0.0543984352048794</v>
      </c>
      <c r="U73" s="385" t="n">
        <f aca="false">IF(Vin&gt;Vout, P73/SQRT(12), SQRT(O73/(1-O73))*SQRT(K73^2+(P73^2)/12))</f>
        <v>0.83355794529687</v>
      </c>
      <c r="V73" s="488" t="n">
        <f aca="false">RCoutEsr*U73^2</f>
        <v>0.0034740942408377</v>
      </c>
      <c r="W73" s="488" t="n">
        <f aca="false">V73</f>
        <v>0.0034740942408377</v>
      </c>
      <c r="X73" s="385" t="n">
        <f aca="false">IF(Vin&gt;Vout, SQRT(N73*(1-N73))*SQRT(K73^2+(P73^2)/12), P73/SQRT(12))</f>
        <v>0</v>
      </c>
      <c r="Y73" s="587" t="n">
        <f aca="false">RCinEsr*X73^2</f>
        <v>0</v>
      </c>
      <c r="Z73" s="588" t="n">
        <f aca="false">Y73</f>
        <v>0</v>
      </c>
      <c r="AA73" s="488" t="n">
        <f aca="false">CHOOSE(J73, SQRT(N73)*SQRT(K73^2+(P73^2)/12), SQRT(L73^2+(P73^2)/12), SQRT(N73)*SQRT(M73^2+(P73^2)/12))</f>
        <v>3.92942983754228</v>
      </c>
      <c r="AB73" s="488" t="n">
        <f aca="false">Rdson1*AA73^2</f>
        <v>0.088010387434555</v>
      </c>
      <c r="AC73" s="488" t="n">
        <f aca="false">CHOOSE(J73, (Vin*K73/2)*(Fsw)*(Tr_buck+Tf_buck), 0, (Vin*K73/2)*(Fsw/2)*(Tr_buck+Tf_buck))</f>
        <v>0.0234631162123386</v>
      </c>
      <c r="AD73" s="488" t="n">
        <f aca="false">CHOOSE(J73, IF(K73&gt;P73/2,0,ABS(K73-P73/2)*Vsd_Q1*Deadtime*Fsw),0, IF(K73&gt;P73/2,0,ABS(K73-P73/2)*Vsd_Q1*Deadtime*Fsw/2))</f>
        <v>0</v>
      </c>
      <c r="AE73" s="488" t="n">
        <f aca="false">(AD73+AC73+AB73*(1+RdsonTopTc*Ta-RdsonTopTc*25))/(1-AB73*RdsonTopTc*ThetaJA_Q1)</f>
        <v>0.113470825917192</v>
      </c>
      <c r="AF73" s="488" t="n">
        <f aca="false">CHOOSE(J73, SQRT((1-N73))*SQRT(K73^2+(P73^2)/12), 0, SQRT((1-N73))*SQRT(M73^2+(P73^2)/12))</f>
        <v>0.852970693117176</v>
      </c>
      <c r="AG73" s="488" t="n">
        <f aca="false">Rdson2*AF73^2</f>
        <v>0.00414708631890574</v>
      </c>
      <c r="AH73" s="488" t="n">
        <f aca="false">CHOOSE(J73, IF(K73&lt;P73/2,Deadtime*Fsw*IF(VfdSky_Q2&gt;0,0,Vsd_Q2)*(K73+P73/2),2*Deadtime*Fsw*IF(VfdSky_Q2&gt;0,0,Vsd_Q2)*K73),0, IF(K73&lt;P73/2,Deadtime*Fsw/2*IF(VfdSky_Q2&gt;0,0,Vsd_Q2)*(K73+P73/2),2*Deadtime*Fsw/2*IF(VfdSky_Q2&gt;0,0,Vsd_Q2)*K73))</f>
        <v>0.04608</v>
      </c>
      <c r="AI73" s="488" t="n">
        <f aca="false">(AH73+AG73*(1+RdsonBotTc*Ta-RdsonBotTc*25))/(1-AG73*RdsonBotTc*ThetaJA_Q2)</f>
        <v>0.0502687801129606</v>
      </c>
      <c r="AJ73" s="488" t="n">
        <f aca="false">CHOOSE(J73, 0, SQRT(O73)*SQRT(L73^2+(P73^2)/12), SQRT(O73)*SQRT(M73^2+(P73^2)/12))</f>
        <v>0.852970693117176</v>
      </c>
      <c r="AK73" s="488" t="n">
        <f aca="false">Rdson4*AJ73^2</f>
        <v>0.00138236210630191</v>
      </c>
      <c r="AL73" s="488" t="n">
        <f aca="false">CHOOSE(J73, 0, (Vout*L73/2)*(Fsw)*(Tr_boost+Tf_boost), (Vout*Iout/2)*(Fsw/2)*(Tr_boost+Tf_boost))</f>
        <v>0.0349071770123085</v>
      </c>
      <c r="AM73" s="488" t="n">
        <f aca="false">IF(H73&gt;Vout, 0, IF(L73&gt;P73/2,0,ABS(L73-P73/2)*Vsd_Q4*Deadtime*Fsw))</f>
        <v>0</v>
      </c>
      <c r="AN73" s="488" t="n">
        <f aca="false">(AM73+AL73+AK73*(1+RdsonTopTc*Ta-RdsonTopTc*25))/(1-AK73*RdsonTopTc*ThetaJA_Q4)</f>
        <v>0.0362995749499876</v>
      </c>
      <c r="AO73" s="488" t="n">
        <f aca="false">CHOOSE(J73, SQRT(K73^2+(P73^2)/12), SQRT(1-O73)*SQRT(L73^2+(P73^2)/12), SQRT(1-O73)*SQRT(M73^2+(P73^2)/12))</f>
        <v>3.92942983754228</v>
      </c>
      <c r="AP73" s="488" t="n">
        <f aca="false">Rdson3*AO73^2</f>
        <v>0.0293367958115183</v>
      </c>
      <c r="AQ73" s="488" t="n">
        <f aca="false">CHOOSE(J73, 0, IF(L73&lt;P73/2,Deadtime*Fsw*IF(VfdSky_Q3&gt;0,0,Vsd_Q3)*(L73+P73/2), 2*Deadtime*Fsw*IF(VfdSky_Q3&gt;0,0,Vsd_Q3)*L73), IF(L73&lt;P73/2,Deadtime*Fsw/2*IF(VfdSky_Q3&gt;0,0,Vsd_Q3)*(L73+P73/2), 2*Deadtime*Fsw/2*IF(VfdSky_Q3&gt;0,0,Vsd_Q3)*L73))</f>
        <v>0.0512</v>
      </c>
      <c r="AR73" s="488" t="n">
        <f aca="false">(AQ73+AP73*(1+RdsonBotTc*Ta-RdsonBotTc*25))/(1-AP73*RdsonBotTc*ThetaJA_Q3)</f>
        <v>0.0810121230338587</v>
      </c>
      <c r="AS73" s="488" t="n">
        <f aca="false">CHOOSE(J73, Rdson3*Q73^2, Rdson1*Q73^2, 0)</f>
        <v>0</v>
      </c>
      <c r="AT73" s="488" t="n">
        <f aca="false">CHOOSE(J73, 2*Deadtime*Fsw*IF(VfdSky_Q2&gt;0,VfdSky_Q2,0)*K73, 2*Deadtime*Fsw*IF(VfdSky_Q3&gt;0,VfdSky_Q3,0)*L73, 2*Deadtime*Fsw/2*IF(VfdSky_Q2&gt;0,VfdSky_Q2,0)*K73+2*Deadtime*Fsw/2*IF(VfdSky_Q3&gt;0,VfdSky_Q3,0)*L73)</f>
        <v>0</v>
      </c>
      <c r="AU73" s="488" t="n">
        <f aca="false">CHOOSE(J73, IF(QrrSky_Q2&gt;0,QrrSky_Q2,Qrr_Q2*K73/Iout)*Fsw*(Vin-K73*Rdson1), IF(QrrSky_Q3&gt;0,QrrSky_Q3,Qrr_Q3)*Fsw*Vout,  IF(QrrSky_Q2&gt;0,QrrSky_Q2,Qrr_Q2*K73/Iout)*Fsw/2*(Vin-K73*Rdson1)+IF(QrrSky_Q3&gt;0,QrrSky_Q3,Qrr_Q3)*Fsw/2*Vout)</f>
        <v>0.131843621376</v>
      </c>
      <c r="AV73" s="488" t="n">
        <f aca="false">CHOOSE(J73, Rs*AF73^2, Rs*AJ73^2, Rs*(AF73^2+AJ73^2))</f>
        <v>0.0116409440530687</v>
      </c>
      <c r="AW73" s="488" t="n">
        <f aca="false">Rshunt_std/1000*Iout^2</f>
        <v>0.14832</v>
      </c>
      <c r="AX73" s="488" t="n">
        <f aca="false">IF(Vout&gt;8, Iq*Vout, Iq*Vin)</f>
        <v>0.036</v>
      </c>
      <c r="AY73" s="488" t="n">
        <f aca="false">CHOOSE(J73, (Qg_Q1+Qg_Q2)*Fsw, (Qg_Q3+Qg_Q4)*Fsw, (Qg_Q1+Qg_Q2+Qg_Q3+Qg_Q4)*Fsw/2)*IF(Vout&gt;8, Vout, Vin)</f>
        <v>0.1188</v>
      </c>
      <c r="AZ73" s="488" t="n">
        <f aca="false">(Vin-Vdd)*Fsw*(Qg_Q1+Qg_Q2)+(RdsonDRT+RdsonDRT2)*Fsw*Qg_Q1*Vdd/(RdsonDRT+2*Rgate1+RdsonDRT2)+(RdsonDRB+RdsonDRB2)*Fsw*Qg_Q2*Vdd/(RdsonDRB+2*Rgate2+RdsonDRB2)</f>
        <v>0.0522</v>
      </c>
      <c r="BA73" s="488" t="n">
        <f aca="false">SUM(AX73:AY73)</f>
        <v>0.1548</v>
      </c>
      <c r="BB73" s="488" t="n">
        <f aca="false">SUM(T73,W73,Z73,AE73,AI73,AN73,AR73, AT73,AU73,BA73,AV73,AW73)</f>
        <v>0.785528398888785</v>
      </c>
      <c r="BC73" s="419" t="n">
        <f aca="false">Vout*K73</f>
        <v>46.08</v>
      </c>
      <c r="BD73" s="589" t="n">
        <f aca="false">BC73/(BC73+BB73)</f>
        <v>0.983238674016371</v>
      </c>
      <c r="BE73" s="590" t="n">
        <f aca="false">IF(Vin&gt;Vout,ThetaJA_Q1*BK73,ThetaJA_Q4*BK73)</f>
        <v>6.16581825290738</v>
      </c>
      <c r="BF73" s="590" t="n">
        <f aca="false">IF(Vin&gt;Vout, ThetaJA_Q2*BL73, ThetaJA_Q3*BL73)</f>
        <v>6.22602590439694</v>
      </c>
      <c r="BG73" s="536"/>
      <c r="BH73" s="385" t="n">
        <f aca="false">BD73*100</f>
        <v>98.3238674016371</v>
      </c>
      <c r="BI73" s="488" t="n">
        <f aca="false">T73</f>
        <v>0.0543984352048794</v>
      </c>
      <c r="BJ73" s="488" t="n">
        <f aca="false">AE73+AI73+AN73+AR73+AU73</f>
        <v>0.412894925389999</v>
      </c>
      <c r="BK73" s="488" t="n">
        <f aca="false">IF(Vin&gt;Vout, AE73+AU73*0.66, AN73+AU73*0.66)</f>
        <v>0.123316365058148</v>
      </c>
      <c r="BL73" s="488" t="n">
        <f aca="false">IF(Vin&gt;Vout, AI73+AU73*0.33, AR73+AU73*0.33)</f>
        <v>0.124520518087939</v>
      </c>
      <c r="BM73" s="488" t="n">
        <f aca="false">AV73</f>
        <v>0.0116409440530687</v>
      </c>
      <c r="BS73" s="591"/>
      <c r="BT73" s="592"/>
    </row>
    <row r="74" customFormat="false" ht="12.75" hidden="false" customHeight="false" outlineLevel="0" collapsed="false">
      <c r="A74" s="633" t="s">
        <v>705</v>
      </c>
      <c r="B74" s="583" t="s">
        <v>133</v>
      </c>
      <c r="C74" s="585" t="s">
        <v>697</v>
      </c>
      <c r="G74" s="0" t="n">
        <v>65</v>
      </c>
      <c r="H74" s="586" t="n">
        <f aca="false">Vin</f>
        <v>12</v>
      </c>
      <c r="I74" s="385" t="str">
        <f aca="false">IF(H74&gt;VIN_BB_to_buck, "BUCK", IF(H74&lt;VIN_boost_to_BB,"BOOST","BUCK-BST"))</f>
        <v>BUCK-BST</v>
      </c>
      <c r="J74" s="419" t="n">
        <f aca="false">IF(I74="BOOST",2, IF(I74="BUCK", 1,3))</f>
        <v>3</v>
      </c>
      <c r="K74" s="488" t="n">
        <f aca="false">Iout*G74/100</f>
        <v>3.9</v>
      </c>
      <c r="L74" s="385" t="n">
        <f aca="false">Vout*K74/(Vin*Efficiency)</f>
        <v>4.33333333333333</v>
      </c>
      <c r="M74" s="385" t="n">
        <f aca="false">K74/(1-O74)</f>
        <v>4.08376963350785</v>
      </c>
      <c r="N74" s="488" t="n">
        <f aca="false">CHOOSE(J74,(Vout+(Rdson2+Rs+Rdcr)*K74)/(Vin+(Rs+Rdson2-Rdson1)*K74), 1, IF(Vin&lt;Vout, D_max_buck_BB, Vout/Vin*(1-D_min_boost_exitBB_to_buck)))</f>
        <v>0.955</v>
      </c>
      <c r="O74" s="488" t="n">
        <f aca="false">CHOOSE(J74,0,(Vout+(Rdson3+Rdcr)*L74-Vin)/(Vout+(Rdson3-Rdson4-Rs)*L74), IF(Vin&gt;Vout,D_min_boost_exitBB_to_buck, (Vout-Vin*D_max_buck_BB)/Vout))</f>
        <v>0.0450000000000001</v>
      </c>
      <c r="P74" s="385" t="n">
        <f aca="false">MAX(0, CHOOSE(J74, (Vin-(Rdson1+Rdcr)*K74-Vout)*N74/(Fsw*Lf), (Vin-(Rdson4+Rdcr+Rs)*L74)*O74/(Fsw*Lf), IF(Vin&lt;Vout, (Vin-(Rdson4+Rdcr+Rs)*L74)*O74/(0.5*Fsw*Lf),(Vin-(Rdson1+Rdcr)*K74-Vout)*N74/(0.5*Fsw*Lf))))</f>
        <v>0</v>
      </c>
      <c r="Q74" s="385" t="n">
        <f aca="false">CHOOSE(J74, SQRT(K74^2+(P74^2)/12), SQRT(L74^2+(P74^2)/12), SQRT(M74^2+(P74^2)/12))</f>
        <v>4.08376963350785</v>
      </c>
      <c r="R74" s="488" t="n">
        <f aca="false">(Q74^2*Rdcr*(1+Ltc*Ta-Ltc*25))/(1-Q74^2*Rdcr*Ltc*ThetaCa)</f>
        <v>0.0561193588113655</v>
      </c>
      <c r="S74" s="488" t="n">
        <f aca="false">7.759*10^-3*Fsw^0.9458*(0.00787*P74)^2.304</f>
        <v>0</v>
      </c>
      <c r="T74" s="488" t="n">
        <f aca="false">R74+S74</f>
        <v>0.0561193588113655</v>
      </c>
      <c r="U74" s="385" t="n">
        <f aca="false">IF(Vin&gt;Vout, P74/SQRT(12), SQRT(O74/(1-O74))*SQRT(K74^2+(P74^2)/12))</f>
        <v>0.846582288192134</v>
      </c>
      <c r="V74" s="488" t="n">
        <f aca="false">RCoutEsr*U74^2</f>
        <v>0.00358350785340315</v>
      </c>
      <c r="W74" s="488" t="n">
        <f aca="false">V74</f>
        <v>0.00358350785340315</v>
      </c>
      <c r="X74" s="385" t="n">
        <f aca="false">IF(Vin&gt;Vout, SQRT(N74*(1-N74))*SQRT(K74^2+(P74^2)/12), P74/SQRT(12))</f>
        <v>0</v>
      </c>
      <c r="Y74" s="587" t="n">
        <f aca="false">RCinEsr*X74^2</f>
        <v>0</v>
      </c>
      <c r="Z74" s="588" t="n">
        <f aca="false">Y74</f>
        <v>0</v>
      </c>
      <c r="AA74" s="488" t="n">
        <f aca="false">CHOOSE(J74, SQRT(N74)*SQRT(K74^2+(P74^2)/12), SQRT(L74^2+(P74^2)/12), SQRT(N74)*SQRT(M74^2+(P74^2)/12))</f>
        <v>3.99082717875388</v>
      </c>
      <c r="AB74" s="488" t="n">
        <f aca="false">Rdson1*AA74^2</f>
        <v>0.0907821989528796</v>
      </c>
      <c r="AC74" s="488" t="n">
        <f aca="false">CHOOSE(J74, (Vin*K74/2)*(Fsw)*(Tr_buck+Tf_buck), 0, (Vin*K74/2)*(Fsw/2)*(Tr_buck+Tf_buck))</f>
        <v>0.0238297274031564</v>
      </c>
      <c r="AD74" s="488" t="n">
        <f aca="false">CHOOSE(J74, IF(K74&gt;P74/2,0,ABS(K74-P74/2)*Vsd_Q1*Deadtime*Fsw),0, IF(K74&gt;P74/2,0,ABS(K74-P74/2)*Vsd_Q1*Deadtime*Fsw/2))</f>
        <v>0</v>
      </c>
      <c r="AE74" s="488" t="n">
        <f aca="false">(AD74+AC74+AB74*(1+RdsonTopTc*Ta-RdsonTopTc*25))/(1-AB74*RdsonTopTc*ThetaJA_Q1)</f>
        <v>0.116731352122521</v>
      </c>
      <c r="AF74" s="488" t="n">
        <f aca="false">CHOOSE(J74, SQRT((1-N74))*SQRT(K74^2+(P74^2)/12), 0, SQRT((1-N74))*SQRT(M74^2+(P74^2)/12))</f>
        <v>0.866298360197132</v>
      </c>
      <c r="AG74" s="488" t="n">
        <f aca="false">Rdson2*AF74^2</f>
        <v>0.00427769523861737</v>
      </c>
      <c r="AH74" s="488" t="n">
        <f aca="false">CHOOSE(J74, IF(K74&lt;P74/2,Deadtime*Fsw*IF(VfdSky_Q2&gt;0,0,Vsd_Q2)*(K74+P74/2),2*Deadtime*Fsw*IF(VfdSky_Q2&gt;0,0,Vsd_Q2)*K74),0, IF(K74&lt;P74/2,Deadtime*Fsw/2*IF(VfdSky_Q2&gt;0,0,Vsd_Q2)*(K74+P74/2),2*Deadtime*Fsw/2*IF(VfdSky_Q2&gt;0,0,Vsd_Q2)*K74))</f>
        <v>0.0468</v>
      </c>
      <c r="AI74" s="488" t="n">
        <f aca="false">(AH74+AG74*(1+RdsonBotTc*Ta-RdsonBotTc*25))/(1-AG74*RdsonBotTc*ThetaJA_Q2)</f>
        <v>0.0511214316195434</v>
      </c>
      <c r="AJ74" s="488" t="n">
        <f aca="false">CHOOSE(J74, 0, SQRT(O74)*SQRT(L74^2+(P74^2)/12), SQRT(O74)*SQRT(M74^2+(P74^2)/12))</f>
        <v>0.866298360197132</v>
      </c>
      <c r="AK74" s="488" t="n">
        <f aca="false">Rdson4*AJ74^2</f>
        <v>0.00142589841287246</v>
      </c>
      <c r="AL74" s="488" t="n">
        <f aca="false">CHOOSE(J74, 0, (Vout*L74/2)*(Fsw)*(Tr_boost+Tf_boost), (Vout*Iout/2)*(Fsw/2)*(Tr_boost+Tf_boost))</f>
        <v>0.0349071770123085</v>
      </c>
      <c r="AM74" s="488" t="n">
        <f aca="false">IF(H74&gt;Vout, 0, IF(L74&gt;P74/2,0,ABS(L74-P74/2)*Vsd_Q4*Deadtime*Fsw))</f>
        <v>0</v>
      </c>
      <c r="AN74" s="488" t="n">
        <f aca="false">(AM74+AL74+AK74*(1+RdsonTopTc*Ta-RdsonTopTc*25))/(1-AK74*RdsonTopTc*ThetaJA_Q4)</f>
        <v>0.036343439835817</v>
      </c>
      <c r="AO74" s="488" t="n">
        <f aca="false">CHOOSE(J74, SQRT(K74^2+(P74^2)/12), SQRT(1-O74)*SQRT(L74^2+(P74^2)/12), SQRT(1-O74)*SQRT(M74^2+(P74^2)/12))</f>
        <v>3.99082717875388</v>
      </c>
      <c r="AP74" s="488" t="n">
        <f aca="false">Rdson3*AO74^2</f>
        <v>0.0302607329842932</v>
      </c>
      <c r="AQ74" s="488" t="n">
        <f aca="false">CHOOSE(J74, 0, IF(L74&lt;P74/2,Deadtime*Fsw*IF(VfdSky_Q3&gt;0,0,Vsd_Q3)*(L74+P74/2), 2*Deadtime*Fsw*IF(VfdSky_Q3&gt;0,0,Vsd_Q3)*L74), IF(L74&lt;P74/2,Deadtime*Fsw/2*IF(VfdSky_Q3&gt;0,0,Vsd_Q3)*(L74+P74/2), 2*Deadtime*Fsw/2*IF(VfdSky_Q3&gt;0,0,Vsd_Q3)*L74))</f>
        <v>0.052</v>
      </c>
      <c r="AR74" s="488" t="n">
        <f aca="false">(AQ74+AP74*(1+RdsonBotTc*Ta-RdsonBotTc*25))/(1-AP74*RdsonBotTc*ThetaJA_Q3)</f>
        <v>0.0827616184316347</v>
      </c>
      <c r="AS74" s="488" t="n">
        <f aca="false">CHOOSE(J74, Rdson3*Q74^2, Rdson1*Q74^2, 0)</f>
        <v>0</v>
      </c>
      <c r="AT74" s="488" t="n">
        <f aca="false">CHOOSE(J74, 2*Deadtime*Fsw*IF(VfdSky_Q2&gt;0,VfdSky_Q2,0)*K74, 2*Deadtime*Fsw*IF(VfdSky_Q3&gt;0,VfdSky_Q3,0)*L74, 2*Deadtime*Fsw/2*IF(VfdSky_Q2&gt;0,VfdSky_Q2,0)*K74+2*Deadtime*Fsw/2*IF(VfdSky_Q3&gt;0,VfdSky_Q3,0)*L74)</f>
        <v>0</v>
      </c>
      <c r="AU74" s="488" t="n">
        <f aca="false">CHOOSE(J74, IF(QrrSky_Q2&gt;0,QrrSky_Q2,Qrr_Q2*K74/Iout)*Fsw*(Vin-K74*Rdson1), IF(QrrSky_Q3&gt;0,QrrSky_Q3,Qrr_Q3)*Fsw*Vout,  IF(QrrSky_Q2&gt;0,QrrSky_Q2,Qrr_Q2*K74/Iout)*Fsw/2*(Vin-K74*Rdson1)+IF(QrrSky_Q3&gt;0,QrrSky_Q3,Qrr_Q3)*Fsw/2*Vout)</f>
        <v>0.132973452225</v>
      </c>
      <c r="AV74" s="488" t="n">
        <f aca="false">CHOOSE(J74, Rs*AF74^2, Rs*AJ74^2, Rs*(AF74^2+AJ74^2))</f>
        <v>0.0120075655820838</v>
      </c>
      <c r="AW74" s="488" t="n">
        <f aca="false">Rshunt_std/1000*Iout^2</f>
        <v>0.14832</v>
      </c>
      <c r="AX74" s="488" t="n">
        <f aca="false">IF(Vout&gt;8, Iq*Vout, Iq*Vin)</f>
        <v>0.036</v>
      </c>
      <c r="AY74" s="488" t="n">
        <f aca="false">CHOOSE(J74, (Qg_Q1+Qg_Q2)*Fsw, (Qg_Q3+Qg_Q4)*Fsw, (Qg_Q1+Qg_Q2+Qg_Q3+Qg_Q4)*Fsw/2)*IF(Vout&gt;8, Vout, Vin)</f>
        <v>0.1188</v>
      </c>
      <c r="AZ74" s="488" t="n">
        <f aca="false">(Vin-Vdd)*Fsw*(Qg_Q1+Qg_Q2)+(RdsonDRT+RdsonDRT2)*Fsw*Qg_Q1*Vdd/(RdsonDRT+2*Rgate1+RdsonDRT2)+(RdsonDRB+RdsonDRB2)*Fsw*Qg_Q2*Vdd/(RdsonDRB+2*Rgate2+RdsonDRB2)</f>
        <v>0.0522</v>
      </c>
      <c r="BA74" s="488" t="n">
        <f aca="false">SUM(AX74:AY74)</f>
        <v>0.1548</v>
      </c>
      <c r="BB74" s="488" t="n">
        <f aca="false">SUM(T74,W74,Z74,AE74,AI74,AN74,AR74, AT74,AU74,BA74,AV74,AW74)</f>
        <v>0.794761726481369</v>
      </c>
      <c r="BC74" s="419" t="n">
        <f aca="false">Vout*K74</f>
        <v>46.8</v>
      </c>
      <c r="BD74" s="589" t="n">
        <f aca="false">BC74/(BC74+BB74)</f>
        <v>0.983301487439968</v>
      </c>
      <c r="BE74" s="590" t="n">
        <f aca="false">IF(Vin&gt;Vout,ThetaJA_Q1*BK74,ThetaJA_Q4*BK74)</f>
        <v>6.20529591521585</v>
      </c>
      <c r="BF74" s="590" t="n">
        <f aca="false">IF(Vin&gt;Vout, ThetaJA_Q2*BL74, ThetaJA_Q3*BL74)</f>
        <v>6.33214288329424</v>
      </c>
      <c r="BG74" s="536"/>
      <c r="BH74" s="385" t="n">
        <f aca="false">BD74*100</f>
        <v>98.3301487439968</v>
      </c>
      <c r="BI74" s="488" t="n">
        <f aca="false">T74</f>
        <v>0.0561193588113655</v>
      </c>
      <c r="BJ74" s="488" t="n">
        <f aca="false">AE74+AI74+AN74+AR74+AU74</f>
        <v>0.419931294234516</v>
      </c>
      <c r="BK74" s="488" t="n">
        <f aca="false">IF(Vin&gt;Vout, AE74+AU74*0.66, AN74+AU74*0.66)</f>
        <v>0.124105918304317</v>
      </c>
      <c r="BL74" s="488" t="n">
        <f aca="false">IF(Vin&gt;Vout, AI74+AU74*0.33, AR74+AU74*0.33)</f>
        <v>0.126642857665885</v>
      </c>
      <c r="BM74" s="488" t="n">
        <f aca="false">AV74</f>
        <v>0.0120075655820838</v>
      </c>
      <c r="BS74" s="591"/>
      <c r="BT74" s="592"/>
    </row>
    <row r="75" customFormat="false" ht="12.75" hidden="false" customHeight="false" outlineLevel="0" collapsed="false">
      <c r="A75" s="639" t="s">
        <v>698</v>
      </c>
      <c r="B75" s="640" t="n">
        <f aca="false">BA9</f>
        <v>0.1548</v>
      </c>
      <c r="C75" s="641" t="s">
        <v>40</v>
      </c>
      <c r="G75" s="0" t="n">
        <v>66</v>
      </c>
      <c r="H75" s="586" t="n">
        <f aca="false">Vin</f>
        <v>12</v>
      </c>
      <c r="I75" s="385" t="str">
        <f aca="false">IF(H75&gt;VIN_BB_to_buck, "BUCK", IF(H75&lt;VIN_boost_to_BB,"BOOST","BUCK-BST"))</f>
        <v>BUCK-BST</v>
      </c>
      <c r="J75" s="419" t="n">
        <f aca="false">IF(I75="BOOST",2, IF(I75="BUCK", 1,3))</f>
        <v>3</v>
      </c>
      <c r="K75" s="488" t="n">
        <f aca="false">Iout*G75/100</f>
        <v>3.96</v>
      </c>
      <c r="L75" s="385" t="n">
        <f aca="false">Vout*K75/(Vin*Efficiency)</f>
        <v>4.4</v>
      </c>
      <c r="M75" s="385" t="n">
        <f aca="false">K75/(1-O75)</f>
        <v>4.14659685863874</v>
      </c>
      <c r="N75" s="488" t="n">
        <f aca="false">CHOOSE(J75,(Vout+(Rdson2+Rs+Rdcr)*K75)/(Vin+(Rs+Rdson2-Rdson1)*K75), 1, IF(Vin&lt;Vout, D_max_buck_BB, Vout/Vin*(1-D_min_boost_exitBB_to_buck)))</f>
        <v>0.955</v>
      </c>
      <c r="O75" s="488" t="n">
        <f aca="false">CHOOSE(J75,0,(Vout+(Rdson3+Rdcr)*L75-Vin)/(Vout+(Rdson3-Rdson4-Rs)*L75), IF(Vin&gt;Vout,D_min_boost_exitBB_to_buck, (Vout-Vin*D_max_buck_BB)/Vout))</f>
        <v>0.0450000000000001</v>
      </c>
      <c r="P75" s="385" t="n">
        <f aca="false">MAX(0, CHOOSE(J75, (Vin-(Rdson1+Rdcr)*K75-Vout)*N75/(Fsw*Lf), (Vin-(Rdson4+Rdcr+Rs)*L75)*O75/(Fsw*Lf), IF(Vin&lt;Vout, (Vin-(Rdson4+Rdcr+Rs)*L75)*O75/(0.5*Fsw*Lf),(Vin-(Rdson1+Rdcr)*K75-Vout)*N75/(0.5*Fsw*Lf))))</f>
        <v>0</v>
      </c>
      <c r="Q75" s="385" t="n">
        <f aca="false">CHOOSE(J75, SQRT(K75^2+(P75^2)/12), SQRT(L75^2+(P75^2)/12), SQRT(M75^2+(P75^2)/12))</f>
        <v>4.14659685863874</v>
      </c>
      <c r="R75" s="488" t="n">
        <f aca="false">(Q75^2*Rdcr*(1+Ltc*Ta-Ltc*25))/(1-Q75^2*Rdcr*Ltc*ThetaCa)</f>
        <v>0.0578674462992765</v>
      </c>
      <c r="S75" s="488" t="n">
        <f aca="false">7.759*10^-3*Fsw^0.9458*(0.00787*P75)^2.304</f>
        <v>0</v>
      </c>
      <c r="T75" s="488" t="n">
        <f aca="false">R75+S75</f>
        <v>0.0578674462992765</v>
      </c>
      <c r="U75" s="385" t="n">
        <f aca="false">IF(Vin&gt;Vout, P75/SQRT(12), SQRT(O75/(1-O75))*SQRT(K75^2+(P75^2)/12))</f>
        <v>0.859606631087398</v>
      </c>
      <c r="V75" s="488" t="n">
        <f aca="false">RCoutEsr*U75^2</f>
        <v>0.00369461780104713</v>
      </c>
      <c r="W75" s="488" t="n">
        <f aca="false">V75</f>
        <v>0.00369461780104713</v>
      </c>
      <c r="X75" s="385" t="n">
        <f aca="false">IF(Vin&gt;Vout, SQRT(N75*(1-N75))*SQRT(K75^2+(P75^2)/12), P75/SQRT(12))</f>
        <v>0</v>
      </c>
      <c r="Y75" s="587" t="n">
        <f aca="false">RCinEsr*X75^2</f>
        <v>0</v>
      </c>
      <c r="Z75" s="588" t="n">
        <f aca="false">Y75</f>
        <v>0</v>
      </c>
      <c r="AA75" s="488" t="n">
        <f aca="false">CHOOSE(J75, SQRT(N75)*SQRT(K75^2+(P75^2)/12), SQRT(L75^2+(P75^2)/12), SQRT(N75)*SQRT(M75^2+(P75^2)/12))</f>
        <v>4.05222451996548</v>
      </c>
      <c r="AB75" s="488" t="n">
        <f aca="false">Rdson1*AA75^2</f>
        <v>0.0935969842931937</v>
      </c>
      <c r="AC75" s="488" t="n">
        <f aca="false">CHOOSE(J75, (Vin*K75/2)*(Fsw)*(Tr_buck+Tf_buck), 0, (Vin*K75/2)*(Fsw/2)*(Tr_buck+Tf_buck))</f>
        <v>0.0241963385939742</v>
      </c>
      <c r="AD75" s="488" t="n">
        <f aca="false">CHOOSE(J75, IF(K75&gt;P75/2,0,ABS(K75-P75/2)*Vsd_Q1*Deadtime*Fsw),0, IF(K75&gt;P75/2,0,ABS(K75-P75/2)*Vsd_Q1*Deadtime*Fsw/2))</f>
        <v>0</v>
      </c>
      <c r="AE75" s="488" t="n">
        <f aca="false">(AD75+AC75+AB75*(1+RdsonTopTc*Ta-RdsonTopTc*25))/(1-AB75*RdsonTopTc*ThetaJA_Q1)</f>
        <v>0.120040406903059</v>
      </c>
      <c r="AF75" s="488" t="n">
        <f aca="false">CHOOSE(J75, SQRT((1-N75))*SQRT(K75^2+(P75^2)/12), 0, SQRT((1-N75))*SQRT(M75^2+(P75^2)/12))</f>
        <v>0.879626027277088</v>
      </c>
      <c r="AG75" s="488" t="n">
        <f aca="false">Rdson2*AF75^2</f>
        <v>0.00441032910282065</v>
      </c>
      <c r="AH75" s="488" t="n">
        <f aca="false">CHOOSE(J75, IF(K75&lt;P75/2,Deadtime*Fsw*IF(VfdSky_Q2&gt;0,0,Vsd_Q2)*(K75+P75/2),2*Deadtime*Fsw*IF(VfdSky_Q2&gt;0,0,Vsd_Q2)*K75),0, IF(K75&lt;P75/2,Deadtime*Fsw/2*IF(VfdSky_Q2&gt;0,0,Vsd_Q2)*(K75+P75/2),2*Deadtime*Fsw/2*IF(VfdSky_Q2&gt;0,0,Vsd_Q2)*K75))</f>
        <v>0.04752</v>
      </c>
      <c r="AI75" s="488" t="n">
        <f aca="false">(AH75+AG75*(1+RdsonBotTc*Ta-RdsonBotTc*25))/(1-AG75*RdsonBotTc*ThetaJA_Q2)</f>
        <v>0.0519761755107223</v>
      </c>
      <c r="AJ75" s="488" t="n">
        <f aca="false">CHOOSE(J75, 0, SQRT(O75)*SQRT(L75^2+(P75^2)/12), SQRT(O75)*SQRT(M75^2+(P75^2)/12))</f>
        <v>0.879626027277088</v>
      </c>
      <c r="AK75" s="488" t="n">
        <f aca="false">Rdson4*AJ75^2</f>
        <v>0.00147010970094022</v>
      </c>
      <c r="AL75" s="488" t="n">
        <f aca="false">CHOOSE(J75, 0, (Vout*L75/2)*(Fsw)*(Tr_boost+Tf_boost), (Vout*Iout/2)*(Fsw/2)*(Tr_boost+Tf_boost))</f>
        <v>0.0349071770123085</v>
      </c>
      <c r="AM75" s="488" t="n">
        <f aca="false">IF(H75&gt;Vout, 0, IF(L75&gt;P75/2,0,ABS(L75-P75/2)*Vsd_Q4*Deadtime*Fsw))</f>
        <v>0</v>
      </c>
      <c r="AN75" s="488" t="n">
        <f aca="false">(AM75+AL75+AK75*(1+RdsonTopTc*Ta-RdsonTopTc*25))/(1-AK75*RdsonTopTc*ThetaJA_Q4)</f>
        <v>0.0363879855793683</v>
      </c>
      <c r="AO75" s="488" t="n">
        <f aca="false">CHOOSE(J75, SQRT(K75^2+(P75^2)/12), SQRT(1-O75)*SQRT(L75^2+(P75^2)/12), SQRT(1-O75)*SQRT(M75^2+(P75^2)/12))</f>
        <v>4.05222451996548</v>
      </c>
      <c r="AP75" s="488" t="n">
        <f aca="false">Rdson3*AO75^2</f>
        <v>0.0311989947643979</v>
      </c>
      <c r="AQ75" s="488" t="n">
        <f aca="false">CHOOSE(J75, 0, IF(L75&lt;P75/2,Deadtime*Fsw*IF(VfdSky_Q3&gt;0,0,Vsd_Q3)*(L75+P75/2), 2*Deadtime*Fsw*IF(VfdSky_Q3&gt;0,0,Vsd_Q3)*L75), IF(L75&lt;P75/2,Deadtime*Fsw/2*IF(VfdSky_Q3&gt;0,0,Vsd_Q3)*(L75+P75/2), 2*Deadtime*Fsw/2*IF(VfdSky_Q3&gt;0,0,Vsd_Q3)*L75))</f>
        <v>0.0528</v>
      </c>
      <c r="AR75" s="488" t="n">
        <f aca="false">(AQ75+AP75*(1+RdsonBotTc*Ta-RdsonBotTc*25))/(1-AP75*RdsonBotTc*ThetaJA_Q3)</f>
        <v>0.0845264226479271</v>
      </c>
      <c r="AS75" s="488" t="n">
        <f aca="false">CHOOSE(J75, Rdson3*Q75^2, Rdson1*Q75^2, 0)</f>
        <v>0</v>
      </c>
      <c r="AT75" s="488" t="n">
        <f aca="false">CHOOSE(J75, 2*Deadtime*Fsw*IF(VfdSky_Q2&gt;0,VfdSky_Q2,0)*K75, 2*Deadtime*Fsw*IF(VfdSky_Q3&gt;0,VfdSky_Q3,0)*L75, 2*Deadtime*Fsw/2*IF(VfdSky_Q2&gt;0,VfdSky_Q2,0)*K75+2*Deadtime*Fsw/2*IF(VfdSky_Q3&gt;0,VfdSky_Q3,0)*L75)</f>
        <v>0</v>
      </c>
      <c r="AU75" s="488" t="n">
        <f aca="false">CHOOSE(J75, IF(QrrSky_Q2&gt;0,QrrSky_Q2,Qrr_Q2*K75/Iout)*Fsw*(Vin-K75*Rdson1), IF(QrrSky_Q3&gt;0,QrrSky_Q3,Qrr_Q3)*Fsw*Vout,  IF(QrrSky_Q2&gt;0,QrrSky_Q2,Qrr_Q2*K75/Iout)*Fsw/2*(Vin-K75*Rdson1)+IF(QrrSky_Q3&gt;0,QrrSky_Q3,Qrr_Q3)*Fsw/2*Vout)</f>
        <v>0.134103218436</v>
      </c>
      <c r="AV75" s="488" t="n">
        <f aca="false">CHOOSE(J75, Rs*AF75^2, Rs*AJ75^2, Rs*(AF75^2+AJ75^2))</f>
        <v>0.0123798711658124</v>
      </c>
      <c r="AW75" s="488" t="n">
        <f aca="false">Rshunt_std/1000*Iout^2</f>
        <v>0.14832</v>
      </c>
      <c r="AX75" s="488" t="n">
        <f aca="false">IF(Vout&gt;8, Iq*Vout, Iq*Vin)</f>
        <v>0.036</v>
      </c>
      <c r="AY75" s="488" t="n">
        <f aca="false">CHOOSE(J75, (Qg_Q1+Qg_Q2)*Fsw, (Qg_Q3+Qg_Q4)*Fsw, (Qg_Q1+Qg_Q2+Qg_Q3+Qg_Q4)*Fsw/2)*IF(Vout&gt;8, Vout, Vin)</f>
        <v>0.1188</v>
      </c>
      <c r="AZ75" s="488" t="n">
        <f aca="false">(Vin-Vdd)*Fsw*(Qg_Q1+Qg_Q2)+(RdsonDRT+RdsonDRT2)*Fsw*Qg_Q1*Vdd/(RdsonDRT+2*Rgate1+RdsonDRT2)+(RdsonDRB+RdsonDRB2)*Fsw*Qg_Q2*Vdd/(RdsonDRB+2*Rgate2+RdsonDRB2)</f>
        <v>0.0522</v>
      </c>
      <c r="BA75" s="488" t="n">
        <f aca="false">SUM(AX75:AY75)</f>
        <v>0.1548</v>
      </c>
      <c r="BB75" s="488" t="n">
        <f aca="false">SUM(T75,W75,Z75,AE75,AI75,AN75,AR75, AT75,AU75,BA75,AV75,AW75)</f>
        <v>0.804096144343212</v>
      </c>
      <c r="BC75" s="419" t="n">
        <f aca="false">Vout*K75</f>
        <v>47.52</v>
      </c>
      <c r="BD75" s="589" t="n">
        <f aca="false">BC75/(BC75+BB75)</f>
        <v>0.983360347973372</v>
      </c>
      <c r="BE75" s="590" t="n">
        <f aca="false">IF(Vin&gt;Vout,ThetaJA_Q1*BK75,ThetaJA_Q4*BK75)</f>
        <v>6.24480548735642</v>
      </c>
      <c r="BF75" s="590" t="n">
        <f aca="false">IF(Vin&gt;Vout, ThetaJA_Q2*BL75, ThetaJA_Q3*BL75)</f>
        <v>6.43902423659035</v>
      </c>
      <c r="BG75" s="536"/>
      <c r="BH75" s="385" t="n">
        <f aca="false">BD75*100</f>
        <v>98.3360347973372</v>
      </c>
      <c r="BI75" s="488" t="n">
        <f aca="false">T75</f>
        <v>0.0578674462992765</v>
      </c>
      <c r="BJ75" s="488" t="n">
        <f aca="false">AE75+AI75+AN75+AR75+AU75</f>
        <v>0.427034209077076</v>
      </c>
      <c r="BK75" s="488" t="n">
        <f aca="false">IF(Vin&gt;Vout, AE75+AU75*0.66, AN75+AU75*0.66)</f>
        <v>0.124896109747128</v>
      </c>
      <c r="BL75" s="488" t="n">
        <f aca="false">IF(Vin&gt;Vout, AI75+AU75*0.33, AR75+AU75*0.33)</f>
        <v>0.128780484731807</v>
      </c>
      <c r="BM75" s="488" t="n">
        <f aca="false">AV75</f>
        <v>0.0123798711658124</v>
      </c>
      <c r="BS75" s="591"/>
      <c r="BT75" s="592"/>
    </row>
    <row r="76" customFormat="false" ht="12.75" hidden="false" customHeight="false" outlineLevel="0" collapsed="false">
      <c r="A76" s="639" t="s">
        <v>699</v>
      </c>
      <c r="B76" s="642" t="n">
        <f aca="false">B75*B62</f>
        <v>4.644</v>
      </c>
      <c r="C76" s="601" t="s">
        <v>819</v>
      </c>
      <c r="G76" s="0" t="n">
        <v>67</v>
      </c>
      <c r="H76" s="586" t="n">
        <f aca="false">Vin</f>
        <v>12</v>
      </c>
      <c r="I76" s="385" t="str">
        <f aca="false">IF(H76&gt;VIN_BB_to_buck, "BUCK", IF(H76&lt;VIN_boost_to_BB,"BOOST","BUCK-BST"))</f>
        <v>BUCK-BST</v>
      </c>
      <c r="J76" s="419" t="n">
        <f aca="false">IF(I76="BOOST",2, IF(I76="BUCK", 1,3))</f>
        <v>3</v>
      </c>
      <c r="K76" s="488" t="n">
        <f aca="false">Iout*G76/100</f>
        <v>4.02</v>
      </c>
      <c r="L76" s="385" t="n">
        <f aca="false">Vout*K76/(Vin*Efficiency)</f>
        <v>4.46666666666667</v>
      </c>
      <c r="M76" s="385" t="n">
        <f aca="false">K76/(1-O76)</f>
        <v>4.20942408376963</v>
      </c>
      <c r="N76" s="488" t="n">
        <f aca="false">CHOOSE(J76,(Vout+(Rdson2+Rs+Rdcr)*K76)/(Vin+(Rs+Rdson2-Rdson1)*K76), 1, IF(Vin&lt;Vout, D_max_buck_BB, Vout/Vin*(1-D_min_boost_exitBB_to_buck)))</f>
        <v>0.955</v>
      </c>
      <c r="O76" s="488" t="n">
        <f aca="false">CHOOSE(J76,0,(Vout+(Rdson3+Rdcr)*L76-Vin)/(Vout+(Rdson3-Rdson4-Rs)*L76), IF(Vin&gt;Vout,D_min_boost_exitBB_to_buck, (Vout-Vin*D_max_buck_BB)/Vout))</f>
        <v>0.0450000000000001</v>
      </c>
      <c r="P76" s="385" t="n">
        <f aca="false">MAX(0, CHOOSE(J76, (Vin-(Rdson1+Rdcr)*K76-Vout)*N76/(Fsw*Lf), (Vin-(Rdson4+Rdcr+Rs)*L76)*O76/(Fsw*Lf), IF(Vin&lt;Vout, (Vin-(Rdson4+Rdcr+Rs)*L76)*O76/(0.5*Fsw*Lf),(Vin-(Rdson1+Rdcr)*K76-Vout)*N76/(0.5*Fsw*Lf))))</f>
        <v>0</v>
      </c>
      <c r="Q76" s="385" t="n">
        <f aca="false">CHOOSE(J76, SQRT(K76^2+(P76^2)/12), SQRT(L76^2+(P76^2)/12), SQRT(M76^2+(P76^2)/12))</f>
        <v>4.20942408376963</v>
      </c>
      <c r="R76" s="488" t="n">
        <f aca="false">(Q76^2*Rdcr*(1+Ltc*Ta-Ltc*25))/(1-Q76^2*Rdcr*Ltc*ThetaCa)</f>
        <v>0.0596427201640346</v>
      </c>
      <c r="S76" s="488" t="n">
        <f aca="false">7.759*10^-3*Fsw^0.9458*(0.00787*P76)^2.304</f>
        <v>0</v>
      </c>
      <c r="T76" s="488" t="n">
        <f aca="false">R76+S76</f>
        <v>0.0596427201640346</v>
      </c>
      <c r="U76" s="385" t="n">
        <f aca="false">IF(Vin&gt;Vout, P76/SQRT(12), SQRT(O76/(1-O76))*SQRT(K76^2+(P76^2)/12))</f>
        <v>0.872630973982661</v>
      </c>
      <c r="V76" s="488" t="n">
        <f aca="false">RCoutEsr*U76^2</f>
        <v>0.00380742408376964</v>
      </c>
      <c r="W76" s="488" t="n">
        <f aca="false">V76</f>
        <v>0.00380742408376964</v>
      </c>
      <c r="X76" s="385" t="n">
        <f aca="false">IF(Vin&gt;Vout, SQRT(N76*(1-N76))*SQRT(K76^2+(P76^2)/12), P76/SQRT(12))</f>
        <v>0</v>
      </c>
      <c r="Y76" s="587" t="n">
        <f aca="false">RCinEsr*X76^2</f>
        <v>0</v>
      </c>
      <c r="Z76" s="588" t="n">
        <f aca="false">Y76</f>
        <v>0</v>
      </c>
      <c r="AA76" s="488" t="n">
        <f aca="false">CHOOSE(J76, SQRT(N76)*SQRT(K76^2+(P76^2)/12), SQRT(L76^2+(P76^2)/12), SQRT(N76)*SQRT(M76^2+(P76^2)/12))</f>
        <v>4.11362186117707</v>
      </c>
      <c r="AB76" s="488" t="n">
        <f aca="false">Rdson1*AA76^2</f>
        <v>0.0964547434554974</v>
      </c>
      <c r="AC76" s="488" t="n">
        <f aca="false">CHOOSE(J76, (Vin*K76/2)*(Fsw)*(Tr_buck+Tf_buck), 0, (Vin*K76/2)*(Fsw/2)*(Tr_buck+Tf_buck))</f>
        <v>0.024562949784792</v>
      </c>
      <c r="AD76" s="488" t="n">
        <f aca="false">CHOOSE(J76, IF(K76&gt;P76/2,0,ABS(K76-P76/2)*Vsd_Q1*Deadtime*Fsw),0, IF(K76&gt;P76/2,0,ABS(K76-P76/2)*Vsd_Q1*Deadtime*Fsw/2))</f>
        <v>0</v>
      </c>
      <c r="AE76" s="488" t="n">
        <f aca="false">(AD76+AC76+AB76*(1+RdsonTopTc*Ta-RdsonTopTc*25))/(1-AB76*RdsonTopTc*ThetaJA_Q1)</f>
        <v>0.123398160829426</v>
      </c>
      <c r="AF76" s="488" t="n">
        <f aca="false">CHOOSE(J76, SQRT((1-N76))*SQRT(K76^2+(P76^2)/12), 0, SQRT((1-N76))*SQRT(M76^2+(P76^2)/12))</f>
        <v>0.892953694357044</v>
      </c>
      <c r="AG76" s="488" t="n">
        <f aca="false">Rdson2*AF76^2</f>
        <v>0.00454498791151559</v>
      </c>
      <c r="AH76" s="488" t="n">
        <f aca="false">CHOOSE(J76, IF(K76&lt;P76/2,Deadtime*Fsw*IF(VfdSky_Q2&gt;0,0,Vsd_Q2)*(K76+P76/2),2*Deadtime*Fsw*IF(VfdSky_Q2&gt;0,0,Vsd_Q2)*K76),0, IF(K76&lt;P76/2,Deadtime*Fsw/2*IF(VfdSky_Q2&gt;0,0,Vsd_Q2)*(K76+P76/2),2*Deadtime*Fsw/2*IF(VfdSky_Q2&gt;0,0,Vsd_Q2)*K76))</f>
        <v>0.04824</v>
      </c>
      <c r="AI76" s="488" t="n">
        <f aca="false">(AH76+AG76*(1+RdsonBotTc*Ta-RdsonBotTc*25))/(1-AG76*RdsonBotTc*ThetaJA_Q2)</f>
        <v>0.0528330129925916</v>
      </c>
      <c r="AJ76" s="488" t="n">
        <f aca="false">CHOOSE(J76, 0, SQRT(O76)*SQRT(L76^2+(P76^2)/12), SQRT(O76)*SQRT(M76^2+(P76^2)/12))</f>
        <v>0.892953694357044</v>
      </c>
      <c r="AK76" s="488" t="n">
        <f aca="false">Rdson4*AJ76^2</f>
        <v>0.0015149959705052</v>
      </c>
      <c r="AL76" s="488" t="n">
        <f aca="false">CHOOSE(J76, 0, (Vout*L76/2)*(Fsw)*(Tr_boost+Tf_boost), (Vout*Iout/2)*(Fsw/2)*(Tr_boost+Tf_boost))</f>
        <v>0.0349071770123085</v>
      </c>
      <c r="AM76" s="488" t="n">
        <f aca="false">IF(H76&gt;Vout, 0, IF(L76&gt;P76/2,0,ABS(L76-P76/2)*Vsd_Q4*Deadtime*Fsw))</f>
        <v>0</v>
      </c>
      <c r="AN76" s="488" t="n">
        <f aca="false">(AM76+AL76+AK76*(1+RdsonTopTc*Ta-RdsonTopTc*25))/(1-AK76*RdsonTopTc*ThetaJA_Q4)</f>
        <v>0.0364332122167539</v>
      </c>
      <c r="AO76" s="488" t="n">
        <f aca="false">CHOOSE(J76, SQRT(K76^2+(P76^2)/12), SQRT(1-O76)*SQRT(L76^2+(P76^2)/12), SQRT(1-O76)*SQRT(M76^2+(P76^2)/12))</f>
        <v>4.11362186117707</v>
      </c>
      <c r="AP76" s="488" t="n">
        <f aca="false">Rdson3*AO76^2</f>
        <v>0.0321515811518325</v>
      </c>
      <c r="AQ76" s="488" t="n">
        <f aca="false">CHOOSE(J76, 0, IF(L76&lt;P76/2,Deadtime*Fsw*IF(VfdSky_Q3&gt;0,0,Vsd_Q3)*(L76+P76/2), 2*Deadtime*Fsw*IF(VfdSky_Q3&gt;0,0,Vsd_Q3)*L76), IF(L76&lt;P76/2,Deadtime*Fsw/2*IF(VfdSky_Q3&gt;0,0,Vsd_Q3)*(L76+P76/2), 2*Deadtime*Fsw/2*IF(VfdSky_Q3&gt;0,0,Vsd_Q3)*L76))</f>
        <v>0.0536</v>
      </c>
      <c r="AR76" s="488" t="n">
        <f aca="false">(AQ76+AP76*(1+RdsonBotTc*Ta-RdsonBotTc*25))/(1-AP76*RdsonBotTc*ThetaJA_Q3)</f>
        <v>0.0863065596229631</v>
      </c>
      <c r="AS76" s="488" t="n">
        <f aca="false">CHOOSE(J76, Rdson3*Q76^2, Rdson1*Q76^2, 0)</f>
        <v>0</v>
      </c>
      <c r="AT76" s="488" t="n">
        <f aca="false">CHOOSE(J76, 2*Deadtime*Fsw*IF(VfdSky_Q2&gt;0,VfdSky_Q2,0)*K76, 2*Deadtime*Fsw*IF(VfdSky_Q3&gt;0,VfdSky_Q3,0)*L76, 2*Deadtime*Fsw/2*IF(VfdSky_Q2&gt;0,VfdSky_Q2,0)*K76+2*Deadtime*Fsw/2*IF(VfdSky_Q3&gt;0,VfdSky_Q3,0)*L76)</f>
        <v>0</v>
      </c>
      <c r="AU76" s="488" t="n">
        <f aca="false">CHOOSE(J76, IF(QrrSky_Q2&gt;0,QrrSky_Q2,Qrr_Q2*K76/Iout)*Fsw*(Vin-K76*Rdson1), IF(QrrSky_Q3&gt;0,QrrSky_Q3,Qrr_Q3)*Fsw*Vout,  IF(QrrSky_Q2&gt;0,QrrSky_Q2,Qrr_Q2*K76/Iout)*Fsw/2*(Vin-K76*Rdson1)+IF(QrrSky_Q3&gt;0,QrrSky_Q3,Qrr_Q3)*Fsw/2*Vout)</f>
        <v>0.135232920009</v>
      </c>
      <c r="AV76" s="488" t="n">
        <f aca="false">CHOOSE(J76, Rs*AF76^2, Rs*AJ76^2, Rs*(AF76^2+AJ76^2))</f>
        <v>0.0127578608042543</v>
      </c>
      <c r="AW76" s="488" t="n">
        <f aca="false">Rshunt_std/1000*Iout^2</f>
        <v>0.14832</v>
      </c>
      <c r="AX76" s="488" t="n">
        <f aca="false">IF(Vout&gt;8, Iq*Vout, Iq*Vin)</f>
        <v>0.036</v>
      </c>
      <c r="AY76" s="488" t="n">
        <f aca="false">CHOOSE(J76, (Qg_Q1+Qg_Q2)*Fsw, (Qg_Q3+Qg_Q4)*Fsw, (Qg_Q1+Qg_Q2+Qg_Q3+Qg_Q4)*Fsw/2)*IF(Vout&gt;8, Vout, Vin)</f>
        <v>0.1188</v>
      </c>
      <c r="AZ76" s="488" t="n">
        <f aca="false">(Vin-Vdd)*Fsw*(Qg_Q1+Qg_Q2)+(RdsonDRT+RdsonDRT2)*Fsw*Qg_Q1*Vdd/(RdsonDRT+2*Rgate1+RdsonDRT2)+(RdsonDRB+RdsonDRB2)*Fsw*Qg_Q2*Vdd/(RdsonDRB+2*Rgate2+RdsonDRB2)</f>
        <v>0.0522</v>
      </c>
      <c r="BA76" s="488" t="n">
        <f aca="false">SUM(AX76:AY76)</f>
        <v>0.1548</v>
      </c>
      <c r="BB76" s="488" t="n">
        <f aca="false">SUM(T76,W76,Z76,AE76,AI76,AN76,AR76, AT76,AU76,BA76,AV76,AW76)</f>
        <v>0.813531870722793</v>
      </c>
      <c r="BC76" s="419" t="n">
        <f aca="false">Vout*K76</f>
        <v>48.24</v>
      </c>
      <c r="BD76" s="589" t="n">
        <f aca="false">BC76/(BC76+BB76)</f>
        <v>0.983415427193565</v>
      </c>
      <c r="BE76" s="590" t="n">
        <f aca="false">IF(Vin&gt;Vout,ThetaJA_Q1*BK76,ThetaJA_Q4*BK76)</f>
        <v>6.2843469711347</v>
      </c>
      <c r="BF76" s="590" t="n">
        <f aca="false">IF(Vin&gt;Vout, ThetaJA_Q2*BL76, ThetaJA_Q3*BL76)</f>
        <v>6.54667116129666</v>
      </c>
      <c r="BG76" s="536"/>
      <c r="BH76" s="385" t="n">
        <f aca="false">BD76*100</f>
        <v>98.3415427193565</v>
      </c>
      <c r="BI76" s="488" t="n">
        <f aca="false">T76</f>
        <v>0.0596427201640346</v>
      </c>
      <c r="BJ76" s="488" t="n">
        <f aca="false">AE76+AI76+AN76+AR76+AU76</f>
        <v>0.434203865670735</v>
      </c>
      <c r="BK76" s="488" t="n">
        <f aca="false">IF(Vin&gt;Vout, AE76+AU76*0.66, AN76+AU76*0.66)</f>
        <v>0.125686939422694</v>
      </c>
      <c r="BL76" s="488" t="n">
        <f aca="false">IF(Vin&gt;Vout, AI76+AU76*0.33, AR76+AU76*0.33)</f>
        <v>0.130933423225933</v>
      </c>
      <c r="BM76" s="488" t="n">
        <f aca="false">AV76</f>
        <v>0.0127578608042543</v>
      </c>
      <c r="BS76" s="591"/>
      <c r="BT76" s="592"/>
    </row>
    <row r="77" customFormat="false" ht="12.75" hidden="false" customHeight="false" outlineLevel="0" collapsed="false">
      <c r="A77" s="639" t="s">
        <v>700</v>
      </c>
      <c r="B77" s="642" t="n">
        <f aca="false">(Qg_Q1+Qg_Q2)*Fsw+Iq</f>
        <v>0.0096</v>
      </c>
      <c r="C77" s="598" t="s">
        <v>16</v>
      </c>
      <c r="G77" s="0" t="n">
        <v>68</v>
      </c>
      <c r="H77" s="586" t="n">
        <f aca="false">Vin</f>
        <v>12</v>
      </c>
      <c r="I77" s="385" t="str">
        <f aca="false">IF(H77&gt;VIN_BB_to_buck, "BUCK", IF(H77&lt;VIN_boost_to_BB,"BOOST","BUCK-BST"))</f>
        <v>BUCK-BST</v>
      </c>
      <c r="J77" s="419" t="n">
        <f aca="false">IF(I77="BOOST",2, IF(I77="BUCK", 1,3))</f>
        <v>3</v>
      </c>
      <c r="K77" s="488" t="n">
        <f aca="false">Iout*G77/100</f>
        <v>4.08</v>
      </c>
      <c r="L77" s="385" t="n">
        <f aca="false">Vout*K77/(Vin*Efficiency)</f>
        <v>4.53333333333333</v>
      </c>
      <c r="M77" s="385" t="n">
        <f aca="false">K77/(1-O77)</f>
        <v>4.27225130890052</v>
      </c>
      <c r="N77" s="488" t="n">
        <f aca="false">CHOOSE(J77,(Vout+(Rdson2+Rs+Rdcr)*K77)/(Vin+(Rs+Rdson2-Rdson1)*K77), 1, IF(Vin&lt;Vout, D_max_buck_BB, Vout/Vin*(1-D_min_boost_exitBB_to_buck)))</f>
        <v>0.955</v>
      </c>
      <c r="O77" s="488" t="n">
        <f aca="false">CHOOSE(J77,0,(Vout+(Rdson3+Rdcr)*L77-Vin)/(Vout+(Rdson3-Rdson4-Rs)*L77), IF(Vin&gt;Vout,D_min_boost_exitBB_to_buck, (Vout-Vin*D_max_buck_BB)/Vout))</f>
        <v>0.0450000000000001</v>
      </c>
      <c r="P77" s="385" t="n">
        <f aca="false">MAX(0, CHOOSE(J77, (Vin-(Rdson1+Rdcr)*K77-Vout)*N77/(Fsw*Lf), (Vin-(Rdson4+Rdcr+Rs)*L77)*O77/(Fsw*Lf), IF(Vin&lt;Vout, (Vin-(Rdson4+Rdcr+Rs)*L77)*O77/(0.5*Fsw*Lf),(Vin-(Rdson1+Rdcr)*K77-Vout)*N77/(0.5*Fsw*Lf))))</f>
        <v>0</v>
      </c>
      <c r="Q77" s="385" t="n">
        <f aca="false">CHOOSE(J77, SQRT(K77^2+(P77^2)/12), SQRT(L77^2+(P77^2)/12), SQRT(M77^2+(P77^2)/12))</f>
        <v>4.27225130890052</v>
      </c>
      <c r="R77" s="488" t="n">
        <f aca="false">(Q77^2*Rdcr*(1+Ltc*Ta-Ltc*25))/(1-Q77^2*Rdcr*Ltc*ThetaCa)</f>
        <v>0.0614452032604993</v>
      </c>
      <c r="S77" s="488" t="n">
        <f aca="false">7.759*10^-3*Fsw^0.9458*(0.00787*P77)^2.304</f>
        <v>0</v>
      </c>
      <c r="T77" s="488" t="n">
        <f aca="false">R77+S77</f>
        <v>0.0614452032604993</v>
      </c>
      <c r="U77" s="385" t="n">
        <f aca="false">IF(Vin&gt;Vout, P77/SQRT(12), SQRT(O77/(1-O77))*SQRT(K77^2+(P77^2)/12))</f>
        <v>0.885655316877925</v>
      </c>
      <c r="V77" s="488" t="n">
        <f aca="false">RCoutEsr*U77^2</f>
        <v>0.00392192670157069</v>
      </c>
      <c r="W77" s="488" t="n">
        <f aca="false">V77</f>
        <v>0.00392192670157069</v>
      </c>
      <c r="X77" s="385" t="n">
        <f aca="false">IF(Vin&gt;Vout, SQRT(N77*(1-N77))*SQRT(K77^2+(P77^2)/12), P77/SQRT(12))</f>
        <v>0</v>
      </c>
      <c r="Y77" s="587" t="n">
        <f aca="false">RCinEsr*X77^2</f>
        <v>0</v>
      </c>
      <c r="Z77" s="588" t="n">
        <f aca="false">Y77</f>
        <v>0</v>
      </c>
      <c r="AA77" s="488" t="n">
        <f aca="false">CHOOSE(J77, SQRT(N77)*SQRT(K77^2+(P77^2)/12), SQRT(L77^2+(P77^2)/12), SQRT(N77)*SQRT(M77^2+(P77^2)/12))</f>
        <v>4.17501920238867</v>
      </c>
      <c r="AB77" s="488" t="n">
        <f aca="false">Rdson1*AA77^2</f>
        <v>0.0993554764397906</v>
      </c>
      <c r="AC77" s="488" t="n">
        <f aca="false">CHOOSE(J77, (Vin*K77/2)*(Fsw)*(Tr_buck+Tf_buck), 0, (Vin*K77/2)*(Fsw/2)*(Tr_buck+Tf_buck))</f>
        <v>0.0249295609756098</v>
      </c>
      <c r="AD77" s="488" t="n">
        <f aca="false">CHOOSE(J77, IF(K77&gt;P77/2,0,ABS(K77-P77/2)*Vsd_Q1*Deadtime*Fsw),0, IF(K77&gt;P77/2,0,ABS(K77-P77/2)*Vsd_Q1*Deadtime*Fsw/2))</f>
        <v>0</v>
      </c>
      <c r="AE77" s="488" t="n">
        <f aca="false">(AD77+AC77+AB77*(1+RdsonTopTc*Ta-RdsonTopTc*25))/(1-AB77*RdsonTopTc*ThetaJA_Q1)</f>
        <v>0.126804787429379</v>
      </c>
      <c r="AF77" s="488" t="n">
        <f aca="false">CHOOSE(J77, SQRT((1-N77))*SQRT(K77^2+(P77^2)/12), 0, SQRT((1-N77))*SQRT(M77^2+(P77^2)/12))</f>
        <v>0.906281361436999</v>
      </c>
      <c r="AG77" s="488" t="n">
        <f aca="false">Rdson2*AF77^2</f>
        <v>0.00468167166470218</v>
      </c>
      <c r="AH77" s="488" t="n">
        <f aca="false">CHOOSE(J77, IF(K77&lt;P77/2,Deadtime*Fsw*IF(VfdSky_Q2&gt;0,0,Vsd_Q2)*(K77+P77/2),2*Deadtime*Fsw*IF(VfdSky_Q2&gt;0,0,Vsd_Q2)*K77),0, IF(K77&lt;P77/2,Deadtime*Fsw/2*IF(VfdSky_Q2&gt;0,0,Vsd_Q2)*(K77+P77/2),2*Deadtime*Fsw/2*IF(VfdSky_Q2&gt;0,0,Vsd_Q2)*K77))</f>
        <v>0.04896</v>
      </c>
      <c r="AI77" s="488" t="n">
        <f aca="false">(AH77+AG77*(1+RdsonBotTc*Ta-RdsonBotTc*25))/(1-AG77*RdsonBotTc*ThetaJA_Q2)</f>
        <v>0.0536919452764669</v>
      </c>
      <c r="AJ77" s="488" t="n">
        <f aca="false">CHOOSE(J77, 0, SQRT(O77)*SQRT(L77^2+(P77^2)/12), SQRT(O77)*SQRT(M77^2+(P77^2)/12))</f>
        <v>0.906281361437</v>
      </c>
      <c r="AK77" s="488" t="n">
        <f aca="false">Rdson4*AJ77^2</f>
        <v>0.00156055722156739</v>
      </c>
      <c r="AL77" s="488" t="n">
        <f aca="false">CHOOSE(J77, 0, (Vout*L77/2)*(Fsw)*(Tr_boost+Tf_boost), (Vout*Iout/2)*(Fsw/2)*(Tr_boost+Tf_boost))</f>
        <v>0.0349071770123085</v>
      </c>
      <c r="AM77" s="488" t="n">
        <f aca="false">IF(H77&gt;Vout, 0, IF(L77&gt;P77/2,0,ABS(L77-P77/2)*Vsd_Q4*Deadtime*Fsw))</f>
        <v>0</v>
      </c>
      <c r="AN77" s="488" t="n">
        <f aca="false">(AM77+AL77+AK77*(1+RdsonTopTc*Ta-RdsonTopTc*25))/(1-AK77*RdsonTopTc*ThetaJA_Q4)</f>
        <v>0.0364791197846392</v>
      </c>
      <c r="AO77" s="488" t="n">
        <f aca="false">CHOOSE(J77, SQRT(K77^2+(P77^2)/12), SQRT(1-O77)*SQRT(L77^2+(P77^2)/12), SQRT(1-O77)*SQRT(M77^2+(P77^2)/12))</f>
        <v>4.17501920238867</v>
      </c>
      <c r="AP77" s="488" t="n">
        <f aca="false">Rdson3*AO77^2</f>
        <v>0.0331184921465969</v>
      </c>
      <c r="AQ77" s="488" t="n">
        <f aca="false">CHOOSE(J77, 0, IF(L77&lt;P77/2,Deadtime*Fsw*IF(VfdSky_Q3&gt;0,0,Vsd_Q3)*(L77+P77/2), 2*Deadtime*Fsw*IF(VfdSky_Q3&gt;0,0,Vsd_Q3)*L77), IF(L77&lt;P77/2,Deadtime*Fsw/2*IF(VfdSky_Q3&gt;0,0,Vsd_Q3)*(L77+P77/2), 2*Deadtime*Fsw/2*IF(VfdSky_Q3&gt;0,0,Vsd_Q3)*L77))</f>
        <v>0.0544</v>
      </c>
      <c r="AR77" s="488" t="n">
        <f aca="false">(AQ77+AP77*(1+RdsonBotTc*Ta-RdsonBotTc*25))/(1-AP77*RdsonBotTc*ThetaJA_Q3)</f>
        <v>0.0881020535805179</v>
      </c>
      <c r="AS77" s="488" t="n">
        <f aca="false">CHOOSE(J77, Rdson3*Q77^2, Rdson1*Q77^2, 0)</f>
        <v>0</v>
      </c>
      <c r="AT77" s="488" t="n">
        <f aca="false">CHOOSE(J77, 2*Deadtime*Fsw*IF(VfdSky_Q2&gt;0,VfdSky_Q2,0)*K77, 2*Deadtime*Fsw*IF(VfdSky_Q3&gt;0,VfdSky_Q3,0)*L77, 2*Deadtime*Fsw/2*IF(VfdSky_Q2&gt;0,VfdSky_Q2,0)*K77+2*Deadtime*Fsw/2*IF(VfdSky_Q3&gt;0,VfdSky_Q3,0)*L77)</f>
        <v>0</v>
      </c>
      <c r="AU77" s="488" t="n">
        <f aca="false">CHOOSE(J77, IF(QrrSky_Q2&gt;0,QrrSky_Q2,Qrr_Q2*K77/Iout)*Fsw*(Vin-K77*Rdson1), IF(QrrSky_Q3&gt;0,QrrSky_Q3,Qrr_Q3)*Fsw*Vout,  IF(QrrSky_Q2&gt;0,QrrSky_Q2,Qrr_Q2*K77/Iout)*Fsw/2*(Vin-K77*Rdson1)+IF(QrrSky_Q3&gt;0,QrrSky_Q3,Qrr_Q3)*Fsw/2*Vout)</f>
        <v>0.136362556944</v>
      </c>
      <c r="AV77" s="488" t="n">
        <f aca="false">CHOOSE(J77, Rs*AF77^2, Rs*AJ77^2, Rs*(AF77^2+AJ77^2))</f>
        <v>0.0131415344974096</v>
      </c>
      <c r="AW77" s="488" t="n">
        <f aca="false">Rshunt_std/1000*Iout^2</f>
        <v>0.14832</v>
      </c>
      <c r="AX77" s="488" t="n">
        <f aca="false">IF(Vout&gt;8, Iq*Vout, Iq*Vin)</f>
        <v>0.036</v>
      </c>
      <c r="AY77" s="488" t="n">
        <f aca="false">CHOOSE(J77, (Qg_Q1+Qg_Q2)*Fsw, (Qg_Q3+Qg_Q4)*Fsw, (Qg_Q1+Qg_Q2+Qg_Q3+Qg_Q4)*Fsw/2)*IF(Vout&gt;8, Vout, Vin)</f>
        <v>0.1188</v>
      </c>
      <c r="AZ77" s="488" t="n">
        <f aca="false">(Vin-Vdd)*Fsw*(Qg_Q1+Qg_Q2)+(RdsonDRT+RdsonDRT2)*Fsw*Qg_Q1*Vdd/(RdsonDRT+2*Rgate1+RdsonDRT2)+(RdsonDRB+RdsonDRB2)*Fsw*Qg_Q2*Vdd/(RdsonDRB+2*Rgate2+RdsonDRB2)</f>
        <v>0.0522</v>
      </c>
      <c r="BA77" s="488" t="n">
        <f aca="false">SUM(AX77:AY77)</f>
        <v>0.1548</v>
      </c>
      <c r="BB77" s="488" t="n">
        <f aca="false">SUM(T77,W77,Z77,AE77,AI77,AN77,AR77, AT77,AU77,BA77,AV77,AW77)</f>
        <v>0.823069127474483</v>
      </c>
      <c r="BC77" s="419" t="n">
        <f aca="false">Vout*K77</f>
        <v>48.96</v>
      </c>
      <c r="BD77" s="589" t="n">
        <f aca="false">BC77/(BC77+BB77)</f>
        <v>0.983466886596185</v>
      </c>
      <c r="BE77" s="590" t="n">
        <f aca="false">IF(Vin&gt;Vout,ThetaJA_Q1*BK77,ThetaJA_Q4*BK77)</f>
        <v>6.32392036838396</v>
      </c>
      <c r="BF77" s="590" t="n">
        <f aca="false">IF(Vin&gt;Vout, ThetaJA_Q2*BL77, ThetaJA_Q3*BL77)</f>
        <v>6.6550848686019</v>
      </c>
      <c r="BG77" s="536"/>
      <c r="BH77" s="385" t="n">
        <f aca="false">BD77*100</f>
        <v>98.3466886596185</v>
      </c>
      <c r="BI77" s="488" t="n">
        <f aca="false">T77</f>
        <v>0.0614452032604993</v>
      </c>
      <c r="BJ77" s="488" t="n">
        <f aca="false">AE77+AI77+AN77+AR77+AU77</f>
        <v>0.441440463015003</v>
      </c>
      <c r="BK77" s="488" t="n">
        <f aca="false">IF(Vin&gt;Vout, AE77+AU77*0.66, AN77+AU77*0.66)</f>
        <v>0.126478407367679</v>
      </c>
      <c r="BL77" s="488" t="n">
        <f aca="false">IF(Vin&gt;Vout, AI77+AU77*0.33, AR77+AU77*0.33)</f>
        <v>0.133101697372038</v>
      </c>
      <c r="BM77" s="488" t="n">
        <f aca="false">AV77</f>
        <v>0.0131415344974096</v>
      </c>
      <c r="BS77" s="591"/>
      <c r="BT77" s="592"/>
    </row>
    <row r="78" customFormat="false" ht="12.75" hidden="false" customHeight="false" outlineLevel="0" collapsed="false">
      <c r="A78" s="639" t="s">
        <v>701</v>
      </c>
      <c r="B78" s="643" t="n">
        <f aca="false">Qrr_Q2*Fsw</f>
        <v>0.0189</v>
      </c>
      <c r="C78" s="598" t="s">
        <v>16</v>
      </c>
      <c r="G78" s="0" t="n">
        <v>69</v>
      </c>
      <c r="H78" s="586" t="n">
        <f aca="false">Vin</f>
        <v>12</v>
      </c>
      <c r="I78" s="385" t="str">
        <f aca="false">IF(H78&gt;VIN_BB_to_buck, "BUCK", IF(H78&lt;VIN_boost_to_BB,"BOOST","BUCK-BST"))</f>
        <v>BUCK-BST</v>
      </c>
      <c r="J78" s="419" t="n">
        <f aca="false">IF(I78="BOOST",2, IF(I78="BUCK", 1,3))</f>
        <v>3</v>
      </c>
      <c r="K78" s="488" t="n">
        <f aca="false">Iout*G78/100</f>
        <v>4.14</v>
      </c>
      <c r="L78" s="385" t="n">
        <f aca="false">Vout*K78/(Vin*Efficiency)</f>
        <v>4.6</v>
      </c>
      <c r="M78" s="385" t="n">
        <f aca="false">K78/(1-O78)</f>
        <v>4.33507853403141</v>
      </c>
      <c r="N78" s="488" t="n">
        <f aca="false">CHOOSE(J78,(Vout+(Rdson2+Rs+Rdcr)*K78)/(Vin+(Rs+Rdson2-Rdson1)*K78), 1, IF(Vin&lt;Vout, D_max_buck_BB, Vout/Vin*(1-D_min_boost_exitBB_to_buck)))</f>
        <v>0.955</v>
      </c>
      <c r="O78" s="488" t="n">
        <f aca="false">CHOOSE(J78,0,(Vout+(Rdson3+Rdcr)*L78-Vin)/(Vout+(Rdson3-Rdson4-Rs)*L78), IF(Vin&gt;Vout,D_min_boost_exitBB_to_buck, (Vout-Vin*D_max_buck_BB)/Vout))</f>
        <v>0.0450000000000001</v>
      </c>
      <c r="P78" s="385" t="n">
        <f aca="false">MAX(0, CHOOSE(J78, (Vin-(Rdson1+Rdcr)*K78-Vout)*N78/(Fsw*Lf), (Vin-(Rdson4+Rdcr+Rs)*L78)*O78/(Fsw*Lf), IF(Vin&lt;Vout, (Vin-(Rdson4+Rdcr+Rs)*L78)*O78/(0.5*Fsw*Lf),(Vin-(Rdson1+Rdcr)*K78-Vout)*N78/(0.5*Fsw*Lf))))</f>
        <v>0</v>
      </c>
      <c r="Q78" s="385" t="n">
        <f aca="false">CHOOSE(J78, SQRT(K78^2+(P78^2)/12), SQRT(L78^2+(P78^2)/12), SQRT(M78^2+(P78^2)/12))</f>
        <v>4.33507853403141</v>
      </c>
      <c r="R78" s="488" t="n">
        <f aca="false">(Q78^2*Rdcr*(1+Ltc*Ta-Ltc*25))/(1-Q78^2*Rdcr*Ltc*ThetaCa)</f>
        <v>0.0632749188037081</v>
      </c>
      <c r="S78" s="488" t="n">
        <f aca="false">7.759*10^-3*Fsw^0.9458*(0.00787*P78)^2.304</f>
        <v>0</v>
      </c>
      <c r="T78" s="488" t="n">
        <f aca="false">R78+S78</f>
        <v>0.0632749188037081</v>
      </c>
      <c r="U78" s="385" t="n">
        <f aca="false">IF(Vin&gt;Vout, P78/SQRT(12), SQRT(O78/(1-O78))*SQRT(K78^2+(P78^2)/12))</f>
        <v>0.898679659773188</v>
      </c>
      <c r="V78" s="488" t="n">
        <f aca="false">RCoutEsr*U78^2</f>
        <v>0.00403812565445027</v>
      </c>
      <c r="W78" s="488" t="n">
        <f aca="false">V78</f>
        <v>0.00403812565445027</v>
      </c>
      <c r="X78" s="385" t="n">
        <f aca="false">IF(Vin&gt;Vout, SQRT(N78*(1-N78))*SQRT(K78^2+(P78^2)/12), P78/SQRT(12))</f>
        <v>0</v>
      </c>
      <c r="Y78" s="587" t="n">
        <f aca="false">RCinEsr*X78^2</f>
        <v>0</v>
      </c>
      <c r="Z78" s="588" t="n">
        <f aca="false">Y78</f>
        <v>0</v>
      </c>
      <c r="AA78" s="488" t="n">
        <f aca="false">CHOOSE(J78, SQRT(N78)*SQRT(K78^2+(P78^2)/12), SQRT(L78^2+(P78^2)/12), SQRT(N78)*SQRT(M78^2+(P78^2)/12))</f>
        <v>4.23641654360027</v>
      </c>
      <c r="AB78" s="488" t="n">
        <f aca="false">Rdson1*AA78^2</f>
        <v>0.102299183246073</v>
      </c>
      <c r="AC78" s="488" t="n">
        <f aca="false">CHOOSE(J78, (Vin*K78/2)*(Fsw)*(Tr_buck+Tf_buck), 0, (Vin*K78/2)*(Fsw/2)*(Tr_buck+Tf_buck))</f>
        <v>0.0252961721664275</v>
      </c>
      <c r="AD78" s="488" t="n">
        <f aca="false">CHOOSE(J78, IF(K78&gt;P78/2,0,ABS(K78-P78/2)*Vsd_Q1*Deadtime*Fsw),0, IF(K78&gt;P78/2,0,ABS(K78-P78/2)*Vsd_Q1*Deadtime*Fsw/2))</f>
        <v>0</v>
      </c>
      <c r="AE78" s="488" t="n">
        <f aca="false">(AD78+AC78+AB78*(1+RdsonTopTc*Ta-RdsonTopTc*25))/(1-AB78*RdsonTopTc*ThetaJA_Q1)</f>
        <v>0.130260463211662</v>
      </c>
      <c r="AF78" s="488" t="n">
        <f aca="false">CHOOSE(J78, SQRT((1-N78))*SQRT(K78^2+(P78^2)/12), 0, SQRT((1-N78))*SQRT(M78^2+(P78^2)/12))</f>
        <v>0.919609028516955</v>
      </c>
      <c r="AG78" s="488" t="n">
        <f aca="false">Rdson2*AF78^2</f>
        <v>0.00482038036238042</v>
      </c>
      <c r="AH78" s="488" t="n">
        <f aca="false">CHOOSE(J78, IF(K78&lt;P78/2,Deadtime*Fsw*IF(VfdSky_Q2&gt;0,0,Vsd_Q2)*(K78+P78/2),2*Deadtime*Fsw*IF(VfdSky_Q2&gt;0,0,Vsd_Q2)*K78),0, IF(K78&lt;P78/2,Deadtime*Fsw/2*IF(VfdSky_Q2&gt;0,0,Vsd_Q2)*(K78+P78/2),2*Deadtime*Fsw/2*IF(VfdSky_Q2&gt;0,0,Vsd_Q2)*K78))</f>
        <v>0.04968</v>
      </c>
      <c r="AI78" s="488" t="n">
        <f aca="false">(AH78+AG78*(1+RdsonBotTc*Ta-RdsonBotTc*25))/(1-AG78*RdsonBotTc*ThetaJA_Q2)</f>
        <v>0.0545529735788902</v>
      </c>
      <c r="AJ78" s="488" t="n">
        <f aca="false">CHOOSE(J78, 0, SQRT(O78)*SQRT(L78^2+(P78^2)/12), SQRT(O78)*SQRT(M78^2+(P78^2)/12))</f>
        <v>0.919609028516956</v>
      </c>
      <c r="AK78" s="488" t="n">
        <f aca="false">Rdson4*AJ78^2</f>
        <v>0.00160679345412681</v>
      </c>
      <c r="AL78" s="488" t="n">
        <f aca="false">CHOOSE(J78, 0, (Vout*L78/2)*(Fsw)*(Tr_boost+Tf_boost), (Vout*Iout/2)*(Fsw/2)*(Tr_boost+Tf_boost))</f>
        <v>0.0349071770123085</v>
      </c>
      <c r="AM78" s="488" t="n">
        <f aca="false">IF(H78&gt;Vout, 0, IF(L78&gt;P78/2,0,ABS(L78-P78/2)*Vsd_Q4*Deadtime*Fsw))</f>
        <v>0</v>
      </c>
      <c r="AN78" s="488" t="n">
        <f aca="false">(AM78+AL78+AK78*(1+RdsonTopTc*Ta-RdsonTopTc*25))/(1-AK78*RdsonTopTc*ThetaJA_Q4)</f>
        <v>0.0365257083202426</v>
      </c>
      <c r="AO78" s="488" t="n">
        <f aca="false">CHOOSE(J78, SQRT(K78^2+(P78^2)/12), SQRT(1-O78)*SQRT(L78^2+(P78^2)/12), SQRT(1-O78)*SQRT(M78^2+(P78^2)/12))</f>
        <v>4.23641654360027</v>
      </c>
      <c r="AP78" s="488" t="n">
        <f aca="false">Rdson3*AO78^2</f>
        <v>0.0340997277486911</v>
      </c>
      <c r="AQ78" s="488" t="n">
        <f aca="false">CHOOSE(J78, 0, IF(L78&lt;P78/2,Deadtime*Fsw*IF(VfdSky_Q3&gt;0,0,Vsd_Q3)*(L78+P78/2), 2*Deadtime*Fsw*IF(VfdSky_Q3&gt;0,0,Vsd_Q3)*L78), IF(L78&lt;P78/2,Deadtime*Fsw/2*IF(VfdSky_Q3&gt;0,0,Vsd_Q3)*(L78+P78/2), 2*Deadtime*Fsw/2*IF(VfdSky_Q3&gt;0,0,Vsd_Q3)*L78))</f>
        <v>0.0552</v>
      </c>
      <c r="AR78" s="488" t="n">
        <f aca="false">(AQ78+AP78*(1+RdsonBotTc*Ta-RdsonBotTc*25))/(1-AP78*RdsonBotTc*ThetaJA_Q3)</f>
        <v>0.0899129290288856</v>
      </c>
      <c r="AS78" s="488" t="n">
        <f aca="false">CHOOSE(J78, Rdson3*Q78^2, Rdson1*Q78^2, 0)</f>
        <v>0</v>
      </c>
      <c r="AT78" s="488" t="n">
        <f aca="false">CHOOSE(J78, 2*Deadtime*Fsw*IF(VfdSky_Q2&gt;0,VfdSky_Q2,0)*K78, 2*Deadtime*Fsw*IF(VfdSky_Q3&gt;0,VfdSky_Q3,0)*L78, 2*Deadtime*Fsw/2*IF(VfdSky_Q2&gt;0,VfdSky_Q2,0)*K78+2*Deadtime*Fsw/2*IF(VfdSky_Q3&gt;0,VfdSky_Q3,0)*L78)</f>
        <v>0</v>
      </c>
      <c r="AU78" s="488" t="n">
        <f aca="false">CHOOSE(J78, IF(QrrSky_Q2&gt;0,QrrSky_Q2,Qrr_Q2*K78/Iout)*Fsw*(Vin-K78*Rdson1), IF(QrrSky_Q3&gt;0,QrrSky_Q3,Qrr_Q3)*Fsw*Vout,  IF(QrrSky_Q2&gt;0,QrrSky_Q2,Qrr_Q2*K78/Iout)*Fsw/2*(Vin-K78*Rdson1)+IF(QrrSky_Q3&gt;0,QrrSky_Q3,Qrr_Q3)*Fsw/2*Vout)</f>
        <v>0.137492129241</v>
      </c>
      <c r="AV78" s="488" t="n">
        <f aca="false">CHOOSE(J78, Rs*AF78^2, Rs*AJ78^2, Rs*(AF78^2+AJ78^2))</f>
        <v>0.0135308922452784</v>
      </c>
      <c r="AW78" s="488" t="n">
        <f aca="false">Rshunt_std/1000*Iout^2</f>
        <v>0.14832</v>
      </c>
      <c r="AX78" s="488" t="n">
        <f aca="false">IF(Vout&gt;8, Iq*Vout, Iq*Vin)</f>
        <v>0.036</v>
      </c>
      <c r="AY78" s="488" t="n">
        <f aca="false">CHOOSE(J78, (Qg_Q1+Qg_Q2)*Fsw, (Qg_Q3+Qg_Q4)*Fsw, (Qg_Q1+Qg_Q2+Qg_Q3+Qg_Q4)*Fsw/2)*IF(Vout&gt;8, Vout, Vin)</f>
        <v>0.1188</v>
      </c>
      <c r="AZ78" s="488" t="n">
        <f aca="false">(Vin-Vdd)*Fsw*(Qg_Q1+Qg_Q2)+(RdsonDRT+RdsonDRT2)*Fsw*Qg_Q1*Vdd/(RdsonDRT+2*Rgate1+RdsonDRT2)+(RdsonDRB+RdsonDRB2)*Fsw*Qg_Q2*Vdd/(RdsonDRB+2*Rgate2+RdsonDRB2)</f>
        <v>0.0522</v>
      </c>
      <c r="BA78" s="488" t="n">
        <f aca="false">SUM(AX78:AY78)</f>
        <v>0.1548</v>
      </c>
      <c r="BB78" s="488" t="n">
        <f aca="false">SUM(T78,W78,Z78,AE78,AI78,AN78,AR78, AT78,AU78,BA78,AV78,AW78)</f>
        <v>0.832708140084118</v>
      </c>
      <c r="BC78" s="419" t="n">
        <f aca="false">Vout*K78</f>
        <v>49.68</v>
      </c>
      <c r="BD78" s="589" t="n">
        <f aca="false">BC78/(BC78+BB78)</f>
        <v>0.983514878319832</v>
      </c>
      <c r="BE78" s="590" t="n">
        <f aca="false">IF(Vin&gt;Vout,ThetaJA_Q1*BK78,ThetaJA_Q4*BK78)</f>
        <v>6.36352568096513</v>
      </c>
      <c r="BF78" s="590" t="n">
        <f aca="false">IF(Vin&gt;Vout, ThetaJA_Q2*BL78, ThetaJA_Q3*BL78)</f>
        <v>6.76426658392078</v>
      </c>
      <c r="BG78" s="536"/>
      <c r="BH78" s="385" t="n">
        <f aca="false">BD78*100</f>
        <v>98.3514878319832</v>
      </c>
      <c r="BI78" s="488" t="n">
        <f aca="false">T78</f>
        <v>0.0632749188037081</v>
      </c>
      <c r="BJ78" s="488" t="n">
        <f aca="false">AE78+AI78+AN78+AR78+AU78</f>
        <v>0.448744203380681</v>
      </c>
      <c r="BK78" s="488" t="n">
        <f aca="false">IF(Vin&gt;Vout, AE78+AU78*0.66, AN78+AU78*0.66)</f>
        <v>0.127270513619303</v>
      </c>
      <c r="BL78" s="488" t="n">
        <f aca="false">IF(Vin&gt;Vout, AI78+AU78*0.33, AR78+AU78*0.33)</f>
        <v>0.135285331678416</v>
      </c>
      <c r="BM78" s="488" t="n">
        <f aca="false">AV78</f>
        <v>0.0135308922452784</v>
      </c>
      <c r="BS78" s="591"/>
      <c r="BT78" s="592"/>
    </row>
    <row r="79" customFormat="false" ht="12.75" hidden="false" customHeight="false" outlineLevel="0" collapsed="false">
      <c r="A79" s="639" t="s">
        <v>702</v>
      </c>
      <c r="B79" s="643" t="e">
        <f aca="false">C79/Vin</f>
        <v>#NAME?</v>
      </c>
      <c r="C79" s="618" t="e">
        <f aca="false">Deadtime*Fsw*(Iripple_Vinnom/2)*(vsdtop+vsdbot)</f>
        <v>#NAME?</v>
      </c>
      <c r="G79" s="0" t="n">
        <v>70</v>
      </c>
      <c r="H79" s="586" t="n">
        <f aca="false">Vin</f>
        <v>12</v>
      </c>
      <c r="I79" s="385" t="str">
        <f aca="false">IF(H79&gt;VIN_BB_to_buck, "BUCK", IF(H79&lt;VIN_boost_to_BB,"BOOST","BUCK-BST"))</f>
        <v>BUCK-BST</v>
      </c>
      <c r="J79" s="419" t="n">
        <f aca="false">IF(I79="BOOST",2, IF(I79="BUCK", 1,3))</f>
        <v>3</v>
      </c>
      <c r="K79" s="488" t="n">
        <f aca="false">Iout*G79/100</f>
        <v>4.2</v>
      </c>
      <c r="L79" s="385" t="n">
        <f aca="false">Vout*K79/(Vin*Efficiency)</f>
        <v>4.66666666666667</v>
      </c>
      <c r="M79" s="385" t="n">
        <f aca="false">K79/(1-O79)</f>
        <v>4.3979057591623</v>
      </c>
      <c r="N79" s="488" t="n">
        <f aca="false">CHOOSE(J79,(Vout+(Rdson2+Rs+Rdcr)*K79)/(Vin+(Rs+Rdson2-Rdson1)*K79), 1, IF(Vin&lt;Vout, D_max_buck_BB, Vout/Vin*(1-D_min_boost_exitBB_to_buck)))</f>
        <v>0.955</v>
      </c>
      <c r="O79" s="488" t="n">
        <f aca="false">CHOOSE(J79,0,(Vout+(Rdson3+Rdcr)*L79-Vin)/(Vout+(Rdson3-Rdson4-Rs)*L79), IF(Vin&gt;Vout,D_min_boost_exitBB_to_buck, (Vout-Vin*D_max_buck_BB)/Vout))</f>
        <v>0.0450000000000001</v>
      </c>
      <c r="P79" s="385" t="n">
        <f aca="false">MAX(0, CHOOSE(J79, (Vin-(Rdson1+Rdcr)*K79-Vout)*N79/(Fsw*Lf), (Vin-(Rdson4+Rdcr+Rs)*L79)*O79/(Fsw*Lf), IF(Vin&lt;Vout, (Vin-(Rdson4+Rdcr+Rs)*L79)*O79/(0.5*Fsw*Lf),(Vin-(Rdson1+Rdcr)*K79-Vout)*N79/(0.5*Fsw*Lf))))</f>
        <v>0</v>
      </c>
      <c r="Q79" s="385" t="n">
        <f aca="false">CHOOSE(J79, SQRT(K79^2+(P79^2)/12), SQRT(L79^2+(P79^2)/12), SQRT(M79^2+(P79^2)/12))</f>
        <v>4.3979057591623</v>
      </c>
      <c r="R79" s="488" t="n">
        <f aca="false">(Q79^2*Rdcr*(1+Ltc*Ta-Ltc*25))/(1-Q79^2*Rdcr*Ltc*ThetaCa)</f>
        <v>0.0651318903696283</v>
      </c>
      <c r="S79" s="488" t="n">
        <f aca="false">7.759*10^-3*Fsw^0.9458*(0.00787*P79)^2.304</f>
        <v>0</v>
      </c>
      <c r="T79" s="488" t="n">
        <f aca="false">R79+S79</f>
        <v>0.0651318903696283</v>
      </c>
      <c r="U79" s="385" t="n">
        <f aca="false">IF(Vin&gt;Vout, P79/SQRT(12), SQRT(O79/(1-O79))*SQRT(K79^2+(P79^2)/12))</f>
        <v>0.911704002668452</v>
      </c>
      <c r="V79" s="488" t="n">
        <f aca="false">RCoutEsr*U79^2</f>
        <v>0.00415602094240839</v>
      </c>
      <c r="W79" s="488" t="n">
        <f aca="false">V79</f>
        <v>0.00415602094240839</v>
      </c>
      <c r="X79" s="385" t="n">
        <f aca="false">IF(Vin&gt;Vout, SQRT(N79*(1-N79))*SQRT(K79^2+(P79^2)/12), P79/SQRT(12))</f>
        <v>0</v>
      </c>
      <c r="Y79" s="587" t="n">
        <f aca="false">RCinEsr*X79^2</f>
        <v>0</v>
      </c>
      <c r="Z79" s="588" t="n">
        <f aca="false">Y79</f>
        <v>0</v>
      </c>
      <c r="AA79" s="488" t="n">
        <f aca="false">CHOOSE(J79, SQRT(N79)*SQRT(K79^2+(P79^2)/12), SQRT(L79^2+(P79^2)/12), SQRT(N79)*SQRT(M79^2+(P79^2)/12))</f>
        <v>4.29781388481187</v>
      </c>
      <c r="AB79" s="488" t="n">
        <f aca="false">Rdson1*AA79^2</f>
        <v>0.105285863874346</v>
      </c>
      <c r="AC79" s="488" t="n">
        <f aca="false">CHOOSE(J79, (Vin*K79/2)*(Fsw)*(Tr_buck+Tf_buck), 0, (Vin*K79/2)*(Fsw/2)*(Tr_buck+Tf_buck))</f>
        <v>0.0256627833572453</v>
      </c>
      <c r="AD79" s="488" t="n">
        <f aca="false">CHOOSE(J79, IF(K79&gt;P79/2,0,ABS(K79-P79/2)*Vsd_Q1*Deadtime*Fsw),0, IF(K79&gt;P79/2,0,ABS(K79-P79/2)*Vsd_Q1*Deadtime*Fsw/2))</f>
        <v>0</v>
      </c>
      <c r="AE79" s="488" t="n">
        <f aca="false">(AD79+AC79+AB79*(1+RdsonTopTc*Ta-RdsonTopTc*25))/(1-AB79*RdsonTopTc*ThetaJA_Q1)</f>
        <v>0.13376536769034</v>
      </c>
      <c r="AF79" s="488" t="n">
        <f aca="false">CHOOSE(J79, SQRT((1-N79))*SQRT(K79^2+(P79^2)/12), 0, SQRT((1-N79))*SQRT(M79^2+(P79^2)/12))</f>
        <v>0.932936695596911</v>
      </c>
      <c r="AG79" s="488" t="n">
        <f aca="false">Rdson2*AF79^2</f>
        <v>0.00496111400455032</v>
      </c>
      <c r="AH79" s="488" t="n">
        <f aca="false">CHOOSE(J79, IF(K79&lt;P79/2,Deadtime*Fsw*IF(VfdSky_Q2&gt;0,0,Vsd_Q2)*(K79+P79/2),2*Deadtime*Fsw*IF(VfdSky_Q2&gt;0,0,Vsd_Q2)*K79),0, IF(K79&lt;P79/2,Deadtime*Fsw/2*IF(VfdSky_Q2&gt;0,0,Vsd_Q2)*(K79+P79/2),2*Deadtime*Fsw/2*IF(VfdSky_Q2&gt;0,0,Vsd_Q2)*K79))</f>
        <v>0.0504</v>
      </c>
      <c r="AI79" s="488" t="n">
        <f aca="false">(AH79+AG79*(1+RdsonBotTc*Ta-RdsonBotTc*25))/(1-AG79*RdsonBotTc*ThetaJA_Q2)</f>
        <v>0.0554160991216363</v>
      </c>
      <c r="AJ79" s="488" t="n">
        <f aca="false">CHOOSE(J79, 0, SQRT(O79)*SQRT(L79^2+(P79^2)/12), SQRT(O79)*SQRT(M79^2+(P79^2)/12))</f>
        <v>0.932936695596912</v>
      </c>
      <c r="AK79" s="488" t="n">
        <f aca="false">Rdson4*AJ79^2</f>
        <v>0.00165370466818344</v>
      </c>
      <c r="AL79" s="488" t="n">
        <f aca="false">CHOOSE(J79, 0, (Vout*L79/2)*(Fsw)*(Tr_boost+Tf_boost), (Vout*Iout/2)*(Fsw/2)*(Tr_boost+Tf_boost))</f>
        <v>0.0349071770123085</v>
      </c>
      <c r="AM79" s="488" t="n">
        <f aca="false">IF(H79&gt;Vout, 0, IF(L79&gt;P79/2,0,ABS(L79-P79/2)*Vsd_Q4*Deadtime*Fsw))</f>
        <v>0</v>
      </c>
      <c r="AN79" s="488" t="n">
        <f aca="false">(AM79+AL79+AK79*(1+RdsonTopTc*Ta-RdsonTopTc*25))/(1-AK79*RdsonTopTc*ThetaJA_Q4)</f>
        <v>0.0365729778613357</v>
      </c>
      <c r="AO79" s="488" t="n">
        <f aca="false">CHOOSE(J79, SQRT(K79^2+(P79^2)/12), SQRT(1-O79)*SQRT(L79^2+(P79^2)/12), SQRT(1-O79)*SQRT(M79^2+(P79^2)/12))</f>
        <v>4.29781388481187</v>
      </c>
      <c r="AP79" s="488" t="n">
        <f aca="false">Rdson3*AO79^2</f>
        <v>0.0350952879581152</v>
      </c>
      <c r="AQ79" s="488" t="n">
        <f aca="false">CHOOSE(J79, 0, IF(L79&lt;P79/2,Deadtime*Fsw*IF(VfdSky_Q3&gt;0,0,Vsd_Q3)*(L79+P79/2), 2*Deadtime*Fsw*IF(VfdSky_Q3&gt;0,0,Vsd_Q3)*L79), IF(L79&lt;P79/2,Deadtime*Fsw/2*IF(VfdSky_Q3&gt;0,0,Vsd_Q3)*(L79+P79/2), 2*Deadtime*Fsw/2*IF(VfdSky_Q3&gt;0,0,Vsd_Q3)*L79))</f>
        <v>0.056</v>
      </c>
      <c r="AR79" s="488" t="n">
        <f aca="false">(AQ79+AP79*(1+RdsonBotTc*Ta-RdsonBotTc*25))/(1-AP79*RdsonBotTc*ThetaJA_Q3)</f>
        <v>0.0917392107618628</v>
      </c>
      <c r="AS79" s="488" t="n">
        <f aca="false">CHOOSE(J79, Rdson3*Q79^2, Rdson1*Q79^2, 0)</f>
        <v>0</v>
      </c>
      <c r="AT79" s="488" t="n">
        <f aca="false">CHOOSE(J79, 2*Deadtime*Fsw*IF(VfdSky_Q2&gt;0,VfdSky_Q2,0)*K79, 2*Deadtime*Fsw*IF(VfdSky_Q3&gt;0,VfdSky_Q3,0)*L79, 2*Deadtime*Fsw/2*IF(VfdSky_Q2&gt;0,VfdSky_Q2,0)*K79+2*Deadtime*Fsw/2*IF(VfdSky_Q3&gt;0,VfdSky_Q3,0)*L79)</f>
        <v>0</v>
      </c>
      <c r="AU79" s="488" t="n">
        <f aca="false">CHOOSE(J79, IF(QrrSky_Q2&gt;0,QrrSky_Q2,Qrr_Q2*K79/Iout)*Fsw*(Vin-K79*Rdson1), IF(QrrSky_Q3&gt;0,QrrSky_Q3,Qrr_Q3)*Fsw*Vout,  IF(QrrSky_Q2&gt;0,QrrSky_Q2,Qrr_Q2*K79/Iout)*Fsw/2*(Vin-K79*Rdson1)+IF(QrrSky_Q3&gt;0,QrrSky_Q3,Qrr_Q3)*Fsw/2*Vout)</f>
        <v>0.1386216369</v>
      </c>
      <c r="AV79" s="488" t="n">
        <f aca="false">CHOOSE(J79, Rs*AF79^2, Rs*AJ79^2, Rs*(AF79^2+AJ79^2))</f>
        <v>0.0139259340478606</v>
      </c>
      <c r="AW79" s="488" t="n">
        <f aca="false">Rshunt_std/1000*Iout^2</f>
        <v>0.14832</v>
      </c>
      <c r="AX79" s="488" t="n">
        <f aca="false">IF(Vout&gt;8, Iq*Vout, Iq*Vin)</f>
        <v>0.036</v>
      </c>
      <c r="AY79" s="488" t="n">
        <f aca="false">CHOOSE(J79, (Qg_Q1+Qg_Q2)*Fsw, (Qg_Q3+Qg_Q4)*Fsw, (Qg_Q1+Qg_Q2+Qg_Q3+Qg_Q4)*Fsw/2)*IF(Vout&gt;8, Vout, Vin)</f>
        <v>0.1188</v>
      </c>
      <c r="AZ79" s="488" t="n">
        <f aca="false">(Vin-Vdd)*Fsw*(Qg_Q1+Qg_Q2)+(RdsonDRT+RdsonDRT2)*Fsw*Qg_Q1*Vdd/(RdsonDRT+2*Rgate1+RdsonDRT2)+(RdsonDRB+RdsonDRB2)*Fsw*Qg_Q2*Vdd/(RdsonDRB+2*Rgate2+RdsonDRB2)</f>
        <v>0.0522</v>
      </c>
      <c r="BA79" s="488" t="n">
        <f aca="false">SUM(AX79:AY79)</f>
        <v>0.1548</v>
      </c>
      <c r="BB79" s="488" t="n">
        <f aca="false">SUM(T79,W79,Z79,AE79,AI79,AN79,AR79, AT79,AU79,BA79,AV79,AW79)</f>
        <v>0.842449137695072</v>
      </c>
      <c r="BC79" s="419" t="n">
        <f aca="false">Vout*K79</f>
        <v>50.4</v>
      </c>
      <c r="BD79" s="589" t="n">
        <f aca="false">BC79/(BC79+BB79)</f>
        <v>0.983559545808763</v>
      </c>
      <c r="BE79" s="590" t="n">
        <f aca="false">IF(Vin&gt;Vout,ThetaJA_Q1*BK79,ThetaJA_Q4*BK79)</f>
        <v>6.40316291076678</v>
      </c>
      <c r="BF79" s="590" t="n">
        <f aca="false">IF(Vin&gt;Vout, ThetaJA_Q2*BL79, ThetaJA_Q3*BL79)</f>
        <v>6.87421754694314</v>
      </c>
      <c r="BG79" s="536"/>
      <c r="BH79" s="385" t="n">
        <f aca="false">BD79*100</f>
        <v>98.3559545808763</v>
      </c>
      <c r="BI79" s="488" t="n">
        <f aca="false">T79</f>
        <v>0.0651318903696283</v>
      </c>
      <c r="BJ79" s="488" t="n">
        <f aca="false">AE79+AI79+AN79+AR79+AU79</f>
        <v>0.456115292335175</v>
      </c>
      <c r="BK79" s="488" t="n">
        <f aca="false">IF(Vin&gt;Vout, AE79+AU79*0.66, AN79+AU79*0.66)</f>
        <v>0.128063258215336</v>
      </c>
      <c r="BL79" s="488" t="n">
        <f aca="false">IF(Vin&gt;Vout, AI79+AU79*0.33, AR79+AU79*0.33)</f>
        <v>0.137484350938863</v>
      </c>
      <c r="BM79" s="488" t="n">
        <f aca="false">AV79</f>
        <v>0.0139259340478606</v>
      </c>
      <c r="BS79" s="591"/>
      <c r="BT79" s="592"/>
    </row>
    <row r="80" customFormat="false" ht="12.75" hidden="false" customHeight="false" outlineLevel="0" collapsed="false">
      <c r="A80" s="639" t="s">
        <v>887</v>
      </c>
      <c r="B80" s="643" t="e">
        <f aca="false">SUM(B77:B79)</f>
        <v>#NAME?</v>
      </c>
      <c r="C80" s="598" t="s">
        <v>16</v>
      </c>
      <c r="G80" s="0" t="n">
        <v>71</v>
      </c>
      <c r="H80" s="586" t="n">
        <f aca="false">Vin</f>
        <v>12</v>
      </c>
      <c r="I80" s="385" t="str">
        <f aca="false">IF(H80&gt;VIN_BB_to_buck, "BUCK", IF(H80&lt;VIN_boost_to_BB,"BOOST","BUCK-BST"))</f>
        <v>BUCK-BST</v>
      </c>
      <c r="J80" s="419" t="n">
        <f aca="false">IF(I80="BOOST",2, IF(I80="BUCK", 1,3))</f>
        <v>3</v>
      </c>
      <c r="K80" s="488" t="n">
        <f aca="false">Iout*G80/100</f>
        <v>4.26</v>
      </c>
      <c r="L80" s="385" t="n">
        <f aca="false">Vout*K80/(Vin*Efficiency)</f>
        <v>4.73333333333333</v>
      </c>
      <c r="M80" s="385" t="n">
        <f aca="false">K80/(1-O80)</f>
        <v>4.46073298429319</v>
      </c>
      <c r="N80" s="488" t="n">
        <f aca="false">CHOOSE(J80,(Vout+(Rdson2+Rs+Rdcr)*K80)/(Vin+(Rs+Rdson2-Rdson1)*K80), 1, IF(Vin&lt;Vout, D_max_buck_BB, Vout/Vin*(1-D_min_boost_exitBB_to_buck)))</f>
        <v>0.955</v>
      </c>
      <c r="O80" s="488" t="n">
        <f aca="false">CHOOSE(J80,0,(Vout+(Rdson3+Rdcr)*L80-Vin)/(Vout+(Rdson3-Rdson4-Rs)*L80), IF(Vin&gt;Vout,D_min_boost_exitBB_to_buck, (Vout-Vin*D_max_buck_BB)/Vout))</f>
        <v>0.0450000000000001</v>
      </c>
      <c r="P80" s="385" t="n">
        <f aca="false">MAX(0, CHOOSE(J80, (Vin-(Rdson1+Rdcr)*K80-Vout)*N80/(Fsw*Lf), (Vin-(Rdson4+Rdcr+Rs)*L80)*O80/(Fsw*Lf), IF(Vin&lt;Vout, (Vin-(Rdson4+Rdcr+Rs)*L80)*O80/(0.5*Fsw*Lf),(Vin-(Rdson1+Rdcr)*K80-Vout)*N80/(0.5*Fsw*Lf))))</f>
        <v>0</v>
      </c>
      <c r="Q80" s="385" t="n">
        <f aca="false">CHOOSE(J80, SQRT(K80^2+(P80^2)/12), SQRT(L80^2+(P80^2)/12), SQRT(M80^2+(P80^2)/12))</f>
        <v>4.46073298429319</v>
      </c>
      <c r="R80" s="488" t="n">
        <f aca="false">(Q80^2*Rdcr*(1+Ltc*Ta-Ltc*25))/(1-Q80^2*Rdcr*Ltc*ThetaCa)</f>
        <v>0.0670161418959214</v>
      </c>
      <c r="S80" s="488" t="n">
        <f aca="false">7.759*10^-3*Fsw^0.9458*(0.00787*P80)^2.304</f>
        <v>0</v>
      </c>
      <c r="T80" s="488" t="n">
        <f aca="false">R80+S80</f>
        <v>0.0670161418959214</v>
      </c>
      <c r="U80" s="385" t="n">
        <f aca="false">IF(Vin&gt;Vout, P80/SQRT(12), SQRT(O80/(1-O80))*SQRT(K80^2+(P80^2)/12))</f>
        <v>0.924728345563716</v>
      </c>
      <c r="V80" s="488" t="n">
        <f aca="false">RCoutEsr*U80^2</f>
        <v>0.00427561256544503</v>
      </c>
      <c r="W80" s="488" t="n">
        <f aca="false">V80</f>
        <v>0.00427561256544503</v>
      </c>
      <c r="X80" s="385" t="n">
        <f aca="false">IF(Vin&gt;Vout, SQRT(N80*(1-N80))*SQRT(K80^2+(P80^2)/12), P80/SQRT(12))</f>
        <v>0</v>
      </c>
      <c r="Y80" s="587" t="n">
        <f aca="false">RCinEsr*X80^2</f>
        <v>0</v>
      </c>
      <c r="Z80" s="588" t="n">
        <f aca="false">Y80</f>
        <v>0</v>
      </c>
      <c r="AA80" s="488" t="n">
        <f aca="false">CHOOSE(J80, SQRT(N80)*SQRT(K80^2+(P80^2)/12), SQRT(L80^2+(P80^2)/12), SQRT(N80)*SQRT(M80^2+(P80^2)/12))</f>
        <v>4.35921122602347</v>
      </c>
      <c r="AB80" s="488" t="n">
        <f aca="false">Rdson1*AA80^2</f>
        <v>0.108315518324607</v>
      </c>
      <c r="AC80" s="488" t="n">
        <f aca="false">CHOOSE(J80, (Vin*K80/2)*(Fsw)*(Tr_buck+Tf_buck), 0, (Vin*K80/2)*(Fsw/2)*(Tr_buck+Tf_buck))</f>
        <v>0.0260293945480631</v>
      </c>
      <c r="AD80" s="488" t="n">
        <f aca="false">CHOOSE(J80, IF(K80&gt;P80/2,0,ABS(K80-P80/2)*Vsd_Q1*Deadtime*Fsw),0, IF(K80&gt;P80/2,0,ABS(K80-P80/2)*Vsd_Q1*Deadtime*Fsw/2))</f>
        <v>0</v>
      </c>
      <c r="AE80" s="488" t="n">
        <f aca="false">(AD80+AC80+AB80*(1+RdsonTopTc*Ta-RdsonTopTc*25))/(1-AB80*RdsonTopTc*ThetaJA_Q1)</f>
        <v>0.137319683409607</v>
      </c>
      <c r="AF80" s="488" t="n">
        <f aca="false">CHOOSE(J80, SQRT((1-N80))*SQRT(K80^2+(P80^2)/12), 0, SQRT((1-N80))*SQRT(M80^2+(P80^2)/12))</f>
        <v>0.946264362676867</v>
      </c>
      <c r="AG80" s="488" t="n">
        <f aca="false">Rdson2*AF80^2</f>
        <v>0.00510387259121187</v>
      </c>
      <c r="AH80" s="488" t="n">
        <f aca="false">CHOOSE(J80, IF(K80&lt;P80/2,Deadtime*Fsw*IF(VfdSky_Q2&gt;0,0,Vsd_Q2)*(K80+P80/2),2*Deadtime*Fsw*IF(VfdSky_Q2&gt;0,0,Vsd_Q2)*K80),0, IF(K80&lt;P80/2,Deadtime*Fsw/2*IF(VfdSky_Q2&gt;0,0,Vsd_Q2)*(K80+P80/2),2*Deadtime*Fsw/2*IF(VfdSky_Q2&gt;0,0,Vsd_Q2)*K80))</f>
        <v>0.05112</v>
      </c>
      <c r="AI80" s="488" t="n">
        <f aca="false">(AH80+AG80*(1+RdsonBotTc*Ta-RdsonBotTc*25))/(1-AG80*RdsonBotTc*ThetaJA_Q2)</f>
        <v>0.0562813231317177</v>
      </c>
      <c r="AJ80" s="488" t="n">
        <f aca="false">CHOOSE(J80, 0, SQRT(O80)*SQRT(L80^2+(P80^2)/12), SQRT(O80)*SQRT(M80^2+(P80^2)/12))</f>
        <v>0.946264362676868</v>
      </c>
      <c r="AK80" s="488" t="n">
        <f aca="false">Rdson4*AJ80^2</f>
        <v>0.00170129086373729</v>
      </c>
      <c r="AL80" s="488" t="n">
        <f aca="false">CHOOSE(J80, 0, (Vout*L80/2)*(Fsw)*(Tr_boost+Tf_boost), (Vout*Iout/2)*(Fsw/2)*(Tr_boost+Tf_boost))</f>
        <v>0.0349071770123085</v>
      </c>
      <c r="AM80" s="488" t="n">
        <f aca="false">IF(H80&gt;Vout, 0, IF(L80&gt;P80/2,0,ABS(L80-P80/2)*Vsd_Q4*Deadtime*Fsw))</f>
        <v>0</v>
      </c>
      <c r="AN80" s="488" t="n">
        <f aca="false">(AM80+AL80+AK80*(1+RdsonTopTc*Ta-RdsonTopTc*25))/(1-AK80*RdsonTopTc*ThetaJA_Q4)</f>
        <v>0.0366209284462432</v>
      </c>
      <c r="AO80" s="488" t="n">
        <f aca="false">CHOOSE(J80, SQRT(K80^2+(P80^2)/12), SQRT(1-O80)*SQRT(L80^2+(P80^2)/12), SQRT(1-O80)*SQRT(M80^2+(P80^2)/12))</f>
        <v>4.35921122602347</v>
      </c>
      <c r="AP80" s="488" t="n">
        <f aca="false">Rdson3*AO80^2</f>
        <v>0.0361051727748691</v>
      </c>
      <c r="AQ80" s="488" t="n">
        <f aca="false">CHOOSE(J80, 0, IF(L80&lt;P80/2,Deadtime*Fsw*IF(VfdSky_Q3&gt;0,0,Vsd_Q3)*(L80+P80/2), 2*Deadtime*Fsw*IF(VfdSky_Q3&gt;0,0,Vsd_Q3)*L80), IF(L80&lt;P80/2,Deadtime*Fsw/2*IF(VfdSky_Q3&gt;0,0,Vsd_Q3)*(L80+P80/2), 2*Deadtime*Fsw/2*IF(VfdSky_Q3&gt;0,0,Vsd_Q3)*L80))</f>
        <v>0.0568</v>
      </c>
      <c r="AR80" s="488" t="n">
        <f aca="false">(AQ80+AP80*(1+RdsonBotTc*Ta-RdsonBotTc*25))/(1-AP80*RdsonBotTc*ThetaJA_Q3)</f>
        <v>0.0935809238597467</v>
      </c>
      <c r="AS80" s="488" t="n">
        <f aca="false">CHOOSE(J80, Rdson3*Q80^2, Rdson1*Q80^2, 0)</f>
        <v>0</v>
      </c>
      <c r="AT80" s="488" t="n">
        <f aca="false">CHOOSE(J80, 2*Deadtime*Fsw*IF(VfdSky_Q2&gt;0,VfdSky_Q2,0)*K80, 2*Deadtime*Fsw*IF(VfdSky_Q3&gt;0,VfdSky_Q3,0)*L80, 2*Deadtime*Fsw/2*IF(VfdSky_Q2&gt;0,VfdSky_Q2,0)*K80+2*Deadtime*Fsw/2*IF(VfdSky_Q3&gt;0,VfdSky_Q3,0)*L80)</f>
        <v>0</v>
      </c>
      <c r="AU80" s="488" t="n">
        <f aca="false">CHOOSE(J80, IF(QrrSky_Q2&gt;0,QrrSky_Q2,Qrr_Q2*K80/Iout)*Fsw*(Vin-K80*Rdson1), IF(QrrSky_Q3&gt;0,QrrSky_Q3,Qrr_Q3)*Fsw*Vout,  IF(QrrSky_Q2&gt;0,QrrSky_Q2,Qrr_Q2*K80/Iout)*Fsw/2*(Vin-K80*Rdson1)+IF(QrrSky_Q3&gt;0,QrrSky_Q3,Qrr_Q3)*Fsw/2*Vout)</f>
        <v>0.139751079921</v>
      </c>
      <c r="AV80" s="488" t="n">
        <f aca="false">CHOOSE(J80, Rs*AF80^2, Rs*AJ80^2, Rs*(AF80^2+AJ80^2))</f>
        <v>0.0143266599051561</v>
      </c>
      <c r="AW80" s="488" t="n">
        <f aca="false">Rshunt_std/1000*Iout^2</f>
        <v>0.14832</v>
      </c>
      <c r="AX80" s="488" t="n">
        <f aca="false">IF(Vout&gt;8, Iq*Vout, Iq*Vin)</f>
        <v>0.036</v>
      </c>
      <c r="AY80" s="488" t="n">
        <f aca="false">CHOOSE(J80, (Qg_Q1+Qg_Q2)*Fsw, (Qg_Q3+Qg_Q4)*Fsw, (Qg_Q1+Qg_Q2+Qg_Q3+Qg_Q4)*Fsw/2)*IF(Vout&gt;8, Vout, Vin)</f>
        <v>0.1188</v>
      </c>
      <c r="AZ80" s="488" t="n">
        <f aca="false">(Vin-Vdd)*Fsw*(Qg_Q1+Qg_Q2)+(RdsonDRT+RdsonDRT2)*Fsw*Qg_Q1*Vdd/(RdsonDRT+2*Rgate1+RdsonDRT2)+(RdsonDRB+RdsonDRB2)*Fsw*Qg_Q2*Vdd/(RdsonDRB+2*Rgate2+RdsonDRB2)</f>
        <v>0.0522</v>
      </c>
      <c r="BA80" s="488" t="n">
        <f aca="false">SUM(AX80:AY80)</f>
        <v>0.1548</v>
      </c>
      <c r="BB80" s="488" t="n">
        <f aca="false">SUM(T80,W80,Z80,AE80,AI80,AN80,AR80, AT80,AU80,BA80,AV80,AW80)</f>
        <v>0.852292353134837</v>
      </c>
      <c r="BC80" s="419" t="n">
        <f aca="false">Vout*K80</f>
        <v>51.12</v>
      </c>
      <c r="BD80" s="589" t="n">
        <f aca="false">BC80/(BC80+BB80)</f>
        <v>0.983601024420016</v>
      </c>
      <c r="BE80" s="590" t="n">
        <f aca="false">IF(Vin&gt;Vout,ThetaJA_Q1*BK80,ThetaJA_Q4*BK80)</f>
        <v>6.44283205970516</v>
      </c>
      <c r="BF80" s="590" t="n">
        <f aca="false">IF(Vin&gt;Vout, ThetaJA_Q2*BL80, ThetaJA_Q3*BL80)</f>
        <v>6.98493901168384</v>
      </c>
      <c r="BG80" s="536"/>
      <c r="BH80" s="385" t="n">
        <f aca="false">BD80*100</f>
        <v>98.3601024420016</v>
      </c>
      <c r="BI80" s="488" t="n">
        <f aca="false">T80</f>
        <v>0.0670161418959214</v>
      </c>
      <c r="BJ80" s="488" t="n">
        <f aca="false">AE80+AI80+AN80+AR80+AU80</f>
        <v>0.463553938768315</v>
      </c>
      <c r="BK80" s="488" t="n">
        <f aca="false">IF(Vin&gt;Vout, AE80+AU80*0.66, AN80+AU80*0.66)</f>
        <v>0.128856641194103</v>
      </c>
      <c r="BL80" s="488" t="n">
        <f aca="false">IF(Vin&gt;Vout, AI80+AU80*0.33, AR80+AU80*0.33)</f>
        <v>0.139698780233677</v>
      </c>
      <c r="BM80" s="488" t="n">
        <f aca="false">AV80</f>
        <v>0.0143266599051561</v>
      </c>
      <c r="BS80" s="591"/>
      <c r="BT80" s="592"/>
    </row>
    <row r="81" customFormat="false" ht="12.75" hidden="false" customHeight="false" outlineLevel="0" collapsed="false">
      <c r="A81" s="336"/>
      <c r="B81" s="517"/>
      <c r="C81" s="517"/>
      <c r="G81" s="0" t="n">
        <v>72</v>
      </c>
      <c r="H81" s="586" t="n">
        <f aca="false">Vin</f>
        <v>12</v>
      </c>
      <c r="I81" s="385" t="str">
        <f aca="false">IF(H81&gt;VIN_BB_to_buck, "BUCK", IF(H81&lt;VIN_boost_to_BB,"BOOST","BUCK-BST"))</f>
        <v>BUCK-BST</v>
      </c>
      <c r="J81" s="419" t="n">
        <f aca="false">IF(I81="BOOST",2, IF(I81="BUCK", 1,3))</f>
        <v>3</v>
      </c>
      <c r="K81" s="488" t="n">
        <f aca="false">Iout*G81/100</f>
        <v>4.32</v>
      </c>
      <c r="L81" s="385" t="n">
        <f aca="false">Vout*K81/(Vin*Efficiency)</f>
        <v>4.8</v>
      </c>
      <c r="M81" s="385" t="n">
        <f aca="false">K81/(1-O81)</f>
        <v>4.52356020942408</v>
      </c>
      <c r="N81" s="488" t="n">
        <f aca="false">CHOOSE(J81,(Vout+(Rdson2+Rs+Rdcr)*K81)/(Vin+(Rs+Rdson2-Rdson1)*K81), 1, IF(Vin&lt;Vout, D_max_buck_BB, Vout/Vin*(1-D_min_boost_exitBB_to_buck)))</f>
        <v>0.955</v>
      </c>
      <c r="O81" s="488" t="n">
        <f aca="false">CHOOSE(J81,0,(Vout+(Rdson3+Rdcr)*L81-Vin)/(Vout+(Rdson3-Rdson4-Rs)*L81), IF(Vin&gt;Vout,D_min_boost_exitBB_to_buck, (Vout-Vin*D_max_buck_BB)/Vout))</f>
        <v>0.0450000000000001</v>
      </c>
      <c r="P81" s="385" t="n">
        <f aca="false">MAX(0, CHOOSE(J81, (Vin-(Rdson1+Rdcr)*K81-Vout)*N81/(Fsw*Lf), (Vin-(Rdson4+Rdcr+Rs)*L81)*O81/(Fsw*Lf), IF(Vin&lt;Vout, (Vin-(Rdson4+Rdcr+Rs)*L81)*O81/(0.5*Fsw*Lf),(Vin-(Rdson1+Rdcr)*K81-Vout)*N81/(0.5*Fsw*Lf))))</f>
        <v>0</v>
      </c>
      <c r="Q81" s="385" t="n">
        <f aca="false">CHOOSE(J81, SQRT(K81^2+(P81^2)/12), SQRT(L81^2+(P81^2)/12), SQRT(M81^2+(P81^2)/12))</f>
        <v>4.52356020942408</v>
      </c>
      <c r="R81" s="488" t="n">
        <f aca="false">(Q81^2*Rdcr*(1+Ltc*Ta-Ltc*25))/(1-Q81^2*Rdcr*Ltc*ThetaCa)</f>
        <v>0.06892769768272</v>
      </c>
      <c r="S81" s="488" t="n">
        <f aca="false">7.759*10^-3*Fsw^0.9458*(0.00787*P81)^2.304</f>
        <v>0</v>
      </c>
      <c r="T81" s="488" t="n">
        <f aca="false">R81+S81</f>
        <v>0.06892769768272</v>
      </c>
      <c r="U81" s="385" t="n">
        <f aca="false">IF(Vin&gt;Vout, P81/SQRT(12), SQRT(O81/(1-O81))*SQRT(K81^2+(P81^2)/12))</f>
        <v>0.937752688458979</v>
      </c>
      <c r="V81" s="488" t="n">
        <f aca="false">RCoutEsr*U81^2</f>
        <v>0.00439690052356022</v>
      </c>
      <c r="W81" s="488" t="n">
        <f aca="false">V81</f>
        <v>0.00439690052356022</v>
      </c>
      <c r="X81" s="385" t="n">
        <f aca="false">IF(Vin&gt;Vout, SQRT(N81*(1-N81))*SQRT(K81^2+(P81^2)/12), P81/SQRT(12))</f>
        <v>0</v>
      </c>
      <c r="Y81" s="587" t="n">
        <f aca="false">RCinEsr*X81^2</f>
        <v>0</v>
      </c>
      <c r="Z81" s="588" t="n">
        <f aca="false">Y81</f>
        <v>0</v>
      </c>
      <c r="AA81" s="488" t="n">
        <f aca="false">CHOOSE(J81, SQRT(N81)*SQRT(K81^2+(P81^2)/12), SQRT(L81^2+(P81^2)/12), SQRT(N81)*SQRT(M81^2+(P81^2)/12))</f>
        <v>4.42060856723506</v>
      </c>
      <c r="AB81" s="488" t="n">
        <f aca="false">Rdson1*AA81^2</f>
        <v>0.111388146596859</v>
      </c>
      <c r="AC81" s="488" t="n">
        <f aca="false">CHOOSE(J81, (Vin*K81/2)*(Fsw)*(Tr_buck+Tf_buck), 0, (Vin*K81/2)*(Fsw/2)*(Tr_buck+Tf_buck))</f>
        <v>0.0263960057388809</v>
      </c>
      <c r="AD81" s="488" t="n">
        <f aca="false">CHOOSE(J81, IF(K81&gt;P81/2,0,ABS(K81-P81/2)*Vsd_Q1*Deadtime*Fsw),0, IF(K81&gt;P81/2,0,ABS(K81-P81/2)*Vsd_Q1*Deadtime*Fsw/2))</f>
        <v>0</v>
      </c>
      <c r="AE81" s="488" t="n">
        <f aca="false">(AD81+AC81+AB81*(1+RdsonTopTc*Ta-RdsonTopTc*25))/(1-AB81*RdsonTopTc*ThetaJA_Q1)</f>
        <v>0.140923595969092</v>
      </c>
      <c r="AF81" s="488" t="n">
        <f aca="false">CHOOSE(J81, SQRT((1-N81))*SQRT(K81^2+(P81^2)/12), 0, SQRT((1-N81))*SQRT(M81^2+(P81^2)/12))</f>
        <v>0.959592029756823</v>
      </c>
      <c r="AG81" s="488" t="n">
        <f aca="false">Rdson2*AF81^2</f>
        <v>0.00524865612236507</v>
      </c>
      <c r="AH81" s="488" t="n">
        <f aca="false">CHOOSE(J81, IF(K81&lt;P81/2,Deadtime*Fsw*IF(VfdSky_Q2&gt;0,0,Vsd_Q2)*(K81+P81/2),2*Deadtime*Fsw*IF(VfdSky_Q2&gt;0,0,Vsd_Q2)*K81),0, IF(K81&lt;P81/2,Deadtime*Fsw/2*IF(VfdSky_Q2&gt;0,0,Vsd_Q2)*(K81+P81/2),2*Deadtime*Fsw/2*IF(VfdSky_Q2&gt;0,0,Vsd_Q2)*K81))</f>
        <v>0.05184</v>
      </c>
      <c r="AI81" s="488" t="n">
        <f aca="false">(AH81+AG81*(1+RdsonBotTc*Ta-RdsonBotTc*25))/(1-AG81*RdsonBotTc*ThetaJA_Q2)</f>
        <v>0.0571486468413909</v>
      </c>
      <c r="AJ81" s="488" t="n">
        <f aca="false">CHOOSE(J81, 0, SQRT(O81)*SQRT(L81^2+(P81^2)/12), SQRT(O81)*SQRT(M81^2+(P81^2)/12))</f>
        <v>0.959592029756824</v>
      </c>
      <c r="AK81" s="488" t="n">
        <f aca="false">Rdson4*AJ81^2</f>
        <v>0.00174955204078836</v>
      </c>
      <c r="AL81" s="488" t="n">
        <f aca="false">CHOOSE(J81, 0, (Vout*L81/2)*(Fsw)*(Tr_boost+Tf_boost), (Vout*Iout/2)*(Fsw/2)*(Tr_boost+Tf_boost))</f>
        <v>0.0349071770123085</v>
      </c>
      <c r="AM81" s="488" t="n">
        <f aca="false">IF(H81&gt;Vout, 0, IF(L81&gt;P81/2,0,ABS(L81-P81/2)*Vsd_Q4*Deadtime*Fsw))</f>
        <v>0</v>
      </c>
      <c r="AN81" s="488" t="n">
        <f aca="false">(AM81+AL81+AK81*(1+RdsonTopTc*Ta-RdsonTopTc*25))/(1-AK81*RdsonTopTc*ThetaJA_Q4)</f>
        <v>0.0366695601138433</v>
      </c>
      <c r="AO81" s="488" t="n">
        <f aca="false">CHOOSE(J81, SQRT(K81^2+(P81^2)/12), SQRT(1-O81)*SQRT(L81^2+(P81^2)/12), SQRT(1-O81)*SQRT(M81^2+(P81^2)/12))</f>
        <v>4.42060856723506</v>
      </c>
      <c r="AP81" s="488" t="n">
        <f aca="false">Rdson3*AO81^2</f>
        <v>0.0371293821989529</v>
      </c>
      <c r="AQ81" s="488" t="n">
        <f aca="false">CHOOSE(J81, 0, IF(L81&lt;P81/2,Deadtime*Fsw*IF(VfdSky_Q3&gt;0,0,Vsd_Q3)*(L81+P81/2), 2*Deadtime*Fsw*IF(VfdSky_Q3&gt;0,0,Vsd_Q3)*L81), IF(L81&lt;P81/2,Deadtime*Fsw/2*IF(VfdSky_Q3&gt;0,0,Vsd_Q3)*(L81+P81/2), 2*Deadtime*Fsw/2*IF(VfdSky_Q3&gt;0,0,Vsd_Q3)*L81))</f>
        <v>0.0576</v>
      </c>
      <c r="AR81" s="488" t="n">
        <f aca="false">(AQ81+AP81*(1+RdsonBotTc*Ta-RdsonBotTc*25))/(1-AP81*RdsonBotTc*ThetaJA_Q3)</f>
        <v>0.0954380936903466</v>
      </c>
      <c r="AS81" s="488" t="n">
        <f aca="false">CHOOSE(J81, Rdson3*Q81^2, Rdson1*Q81^2, 0)</f>
        <v>0</v>
      </c>
      <c r="AT81" s="488" t="n">
        <f aca="false">CHOOSE(J81, 2*Deadtime*Fsw*IF(VfdSky_Q2&gt;0,VfdSky_Q2,0)*K81, 2*Deadtime*Fsw*IF(VfdSky_Q3&gt;0,VfdSky_Q3,0)*L81, 2*Deadtime*Fsw/2*IF(VfdSky_Q2&gt;0,VfdSky_Q2,0)*K81+2*Deadtime*Fsw/2*IF(VfdSky_Q3&gt;0,VfdSky_Q3,0)*L81)</f>
        <v>0</v>
      </c>
      <c r="AU81" s="488" t="n">
        <f aca="false">CHOOSE(J81, IF(QrrSky_Q2&gt;0,QrrSky_Q2,Qrr_Q2*K81/Iout)*Fsw*(Vin-K81*Rdson1), IF(QrrSky_Q3&gt;0,QrrSky_Q3,Qrr_Q3)*Fsw*Vout,  IF(QrrSky_Q2&gt;0,QrrSky_Q2,Qrr_Q2*K81/Iout)*Fsw/2*(Vin-K81*Rdson1)+IF(QrrSky_Q3&gt;0,QrrSky_Q3,Qrr_Q3)*Fsw/2*Vout)</f>
        <v>0.140880458304</v>
      </c>
      <c r="AV81" s="488" t="n">
        <f aca="false">CHOOSE(J81, Rs*AF81^2, Rs*AJ81^2, Rs*(AF81^2+AJ81^2))</f>
        <v>0.0147330698171651</v>
      </c>
      <c r="AW81" s="488" t="n">
        <f aca="false">Rshunt_std/1000*Iout^2</f>
        <v>0.14832</v>
      </c>
      <c r="AX81" s="488" t="n">
        <f aca="false">IF(Vout&gt;8, Iq*Vout, Iq*Vin)</f>
        <v>0.036</v>
      </c>
      <c r="AY81" s="488" t="n">
        <f aca="false">CHOOSE(J81, (Qg_Q1+Qg_Q2)*Fsw, (Qg_Q3+Qg_Q4)*Fsw, (Qg_Q1+Qg_Q2+Qg_Q3+Qg_Q4)*Fsw/2)*IF(Vout&gt;8, Vout, Vin)</f>
        <v>0.1188</v>
      </c>
      <c r="AZ81" s="488" t="n">
        <f aca="false">(Vin-Vdd)*Fsw*(Qg_Q1+Qg_Q2)+(RdsonDRT+RdsonDRT2)*Fsw*Qg_Q1*Vdd/(RdsonDRT+2*Rgate1+RdsonDRT2)+(RdsonDRB+RdsonDRB2)*Fsw*Qg_Q2*Vdd/(RdsonDRB+2*Rgate2+RdsonDRB2)</f>
        <v>0.0522</v>
      </c>
      <c r="BA81" s="488" t="n">
        <f aca="false">SUM(AX81:AY81)</f>
        <v>0.1548</v>
      </c>
      <c r="BB81" s="488" t="n">
        <f aca="false">SUM(T81,W81,Z81,AE81,AI81,AN81,AR81, AT81,AU81,BA81,AV81,AW81)</f>
        <v>0.862238022942118</v>
      </c>
      <c r="BC81" s="419" t="n">
        <f aca="false">Vout*K81</f>
        <v>51.84</v>
      </c>
      <c r="BD81" s="589" t="n">
        <f aca="false">BC81/(BC81+BB81)</f>
        <v>0.983639441980305</v>
      </c>
      <c r="BE81" s="590" t="n">
        <f aca="false">IF(Vin&gt;Vout,ThetaJA_Q1*BK81,ThetaJA_Q4*BK81)</f>
        <v>6.48253312972416</v>
      </c>
      <c r="BF81" s="590" t="n">
        <f aca="false">IF(Vin&gt;Vout, ThetaJA_Q2*BL81, ThetaJA_Q3*BL81)</f>
        <v>7.09643224653333</v>
      </c>
      <c r="BG81" s="536"/>
      <c r="BH81" s="385" t="n">
        <f aca="false">BD81*100</f>
        <v>98.3639441980305</v>
      </c>
      <c r="BI81" s="488" t="n">
        <f aca="false">T81</f>
        <v>0.06892769768272</v>
      </c>
      <c r="BJ81" s="488" t="n">
        <f aca="false">AE81+AI81+AN81+AR81+AU81</f>
        <v>0.471060354918673</v>
      </c>
      <c r="BK81" s="488" t="n">
        <f aca="false">IF(Vin&gt;Vout, AE81+AU81*0.66, AN81+AU81*0.66)</f>
        <v>0.129650662594483</v>
      </c>
      <c r="BL81" s="488" t="n">
        <f aca="false">IF(Vin&gt;Vout, AI81+AU81*0.33, AR81+AU81*0.33)</f>
        <v>0.141928644930667</v>
      </c>
      <c r="BM81" s="488" t="n">
        <f aca="false">AV81</f>
        <v>0.0147330698171651</v>
      </c>
      <c r="BS81" s="591"/>
      <c r="BT81" s="592"/>
    </row>
    <row r="82" customFormat="false" ht="12.75" hidden="false" customHeight="false" outlineLevel="0" collapsed="false">
      <c r="A82" s="336"/>
      <c r="B82" s="517"/>
      <c r="C82" s="517"/>
      <c r="G82" s="0" t="n">
        <v>73</v>
      </c>
      <c r="H82" s="586" t="n">
        <f aca="false">Vin</f>
        <v>12</v>
      </c>
      <c r="I82" s="385" t="str">
        <f aca="false">IF(H82&gt;VIN_BB_to_buck, "BUCK", IF(H82&lt;VIN_boost_to_BB,"BOOST","BUCK-BST"))</f>
        <v>BUCK-BST</v>
      </c>
      <c r="J82" s="419" t="n">
        <f aca="false">IF(I82="BOOST",2, IF(I82="BUCK", 1,3))</f>
        <v>3</v>
      </c>
      <c r="K82" s="488" t="n">
        <f aca="false">Iout*G82/100</f>
        <v>4.38</v>
      </c>
      <c r="L82" s="385" t="n">
        <f aca="false">Vout*K82/(Vin*Efficiency)</f>
        <v>4.86666666666667</v>
      </c>
      <c r="M82" s="385" t="n">
        <f aca="false">K82/(1-O82)</f>
        <v>4.58638743455497</v>
      </c>
      <c r="N82" s="488" t="n">
        <f aca="false">CHOOSE(J82,(Vout+(Rdson2+Rs+Rdcr)*K82)/(Vin+(Rs+Rdson2-Rdson1)*K82), 1, IF(Vin&lt;Vout, D_max_buck_BB, Vout/Vin*(1-D_min_boost_exitBB_to_buck)))</f>
        <v>0.955</v>
      </c>
      <c r="O82" s="488" t="n">
        <f aca="false">CHOOSE(J82,0,(Vout+(Rdson3+Rdcr)*L82-Vin)/(Vout+(Rdson3-Rdson4-Rs)*L82), IF(Vin&gt;Vout,D_min_boost_exitBB_to_buck, (Vout-Vin*D_max_buck_BB)/Vout))</f>
        <v>0.0450000000000001</v>
      </c>
      <c r="P82" s="385" t="n">
        <f aca="false">MAX(0, CHOOSE(J82, (Vin-(Rdson1+Rdcr)*K82-Vout)*N82/(Fsw*Lf), (Vin-(Rdson4+Rdcr+Rs)*L82)*O82/(Fsw*Lf), IF(Vin&lt;Vout, (Vin-(Rdson4+Rdcr+Rs)*L82)*O82/(0.5*Fsw*Lf),(Vin-(Rdson1+Rdcr)*K82-Vout)*N82/(0.5*Fsw*Lf))))</f>
        <v>0</v>
      </c>
      <c r="Q82" s="385" t="n">
        <f aca="false">CHOOSE(J82, SQRT(K82^2+(P82^2)/12), SQRT(L82^2+(P82^2)/12), SQRT(M82^2+(P82^2)/12))</f>
        <v>4.58638743455497</v>
      </c>
      <c r="R82" s="488" t="n">
        <f aca="false">(Q82^2*Rdcr*(1+Ltc*Ta-Ltc*25))/(1-Q82^2*Rdcr*Ltc*ThetaCa)</f>
        <v>0.0708665823934167</v>
      </c>
      <c r="S82" s="488" t="n">
        <f aca="false">7.759*10^-3*Fsw^0.9458*(0.00787*P82)^2.304</f>
        <v>0</v>
      </c>
      <c r="T82" s="488" t="n">
        <f aca="false">R82+S82</f>
        <v>0.0708665823934167</v>
      </c>
      <c r="U82" s="385" t="n">
        <f aca="false">IF(Vin&gt;Vout, P82/SQRT(12), SQRT(O82/(1-O82))*SQRT(K82^2+(P82^2)/12))</f>
        <v>0.950777031354243</v>
      </c>
      <c r="V82" s="488" t="n">
        <f aca="false">RCoutEsr*U82^2</f>
        <v>0.00451988481675393</v>
      </c>
      <c r="W82" s="488" t="n">
        <f aca="false">V82</f>
        <v>0.00451988481675393</v>
      </c>
      <c r="X82" s="385" t="n">
        <f aca="false">IF(Vin&gt;Vout, SQRT(N82*(1-N82))*SQRT(K82^2+(P82^2)/12), P82/SQRT(12))</f>
        <v>0</v>
      </c>
      <c r="Y82" s="587" t="n">
        <f aca="false">RCinEsr*X82^2</f>
        <v>0</v>
      </c>
      <c r="Z82" s="588" t="n">
        <f aca="false">Y82</f>
        <v>0</v>
      </c>
      <c r="AA82" s="488" t="n">
        <f aca="false">CHOOSE(J82, SQRT(N82)*SQRT(K82^2+(P82^2)/12), SQRT(L82^2+(P82^2)/12), SQRT(N82)*SQRT(M82^2+(P82^2)/12))</f>
        <v>4.48200590844666</v>
      </c>
      <c r="AB82" s="488" t="n">
        <f aca="false">Rdson1*AA82^2</f>
        <v>0.114503748691099</v>
      </c>
      <c r="AC82" s="488" t="n">
        <f aca="false">CHOOSE(J82, (Vin*K82/2)*(Fsw)*(Tr_buck+Tf_buck), 0, (Vin*K82/2)*(Fsw/2)*(Tr_buck+Tf_buck))</f>
        <v>0.0267626169296987</v>
      </c>
      <c r="AD82" s="488" t="n">
        <f aca="false">CHOOSE(J82, IF(K82&gt;P82/2,0,ABS(K82-P82/2)*Vsd_Q1*Deadtime*Fsw),0, IF(K82&gt;P82/2,0,ABS(K82-P82/2)*Vsd_Q1*Deadtime*Fsw/2))</f>
        <v>0</v>
      </c>
      <c r="AE82" s="488" t="n">
        <f aca="false">(AD82+AC82+AB82*(1+RdsonTopTc*Ta-RdsonTopTc*25))/(1-AB82*RdsonTopTc*ThetaJA_Q1)</f>
        <v>0.144577294049658</v>
      </c>
      <c r="AF82" s="488" t="n">
        <f aca="false">CHOOSE(J82, SQRT((1-N82))*SQRT(K82^2+(P82^2)/12), 0, SQRT((1-N82))*SQRT(M82^2+(P82^2)/12))</f>
        <v>0.972919696836779</v>
      </c>
      <c r="AG82" s="488" t="n">
        <f aca="false">Rdson2*AF82^2</f>
        <v>0.00539546459800993</v>
      </c>
      <c r="AH82" s="488" t="n">
        <f aca="false">CHOOSE(J82, IF(K82&lt;P82/2,Deadtime*Fsw*IF(VfdSky_Q2&gt;0,0,Vsd_Q2)*(K82+P82/2),2*Deadtime*Fsw*IF(VfdSky_Q2&gt;0,0,Vsd_Q2)*K82),0, IF(K82&lt;P82/2,Deadtime*Fsw/2*IF(VfdSky_Q2&gt;0,0,Vsd_Q2)*(K82+P82/2),2*Deadtime*Fsw/2*IF(VfdSky_Q2&gt;0,0,Vsd_Q2)*K82))</f>
        <v>0.05256</v>
      </c>
      <c r="AI82" s="488" t="n">
        <f aca="false">(AH82+AG82*(1+RdsonBotTc*Ta-RdsonBotTc*25))/(1-AG82*RdsonBotTc*ThetaJA_Q2)</f>
        <v>0.0580180714881618</v>
      </c>
      <c r="AJ82" s="488" t="n">
        <f aca="false">CHOOSE(J82, 0, SQRT(O82)*SQRT(L82^2+(P82^2)/12), SQRT(O82)*SQRT(M82^2+(P82^2)/12))</f>
        <v>0.972919696836779</v>
      </c>
      <c r="AK82" s="488" t="n">
        <f aca="false">Rdson4*AJ82^2</f>
        <v>0.00179848819933664</v>
      </c>
      <c r="AL82" s="488" t="n">
        <f aca="false">CHOOSE(J82, 0, (Vout*L82/2)*(Fsw)*(Tr_boost+Tf_boost), (Vout*Iout/2)*(Fsw/2)*(Tr_boost+Tf_boost))</f>
        <v>0.0349071770123085</v>
      </c>
      <c r="AM82" s="488" t="n">
        <f aca="false">IF(H82&gt;Vout, 0, IF(L82&gt;P82/2,0,ABS(L82-P82/2)*Vsd_Q4*Deadtime*Fsw))</f>
        <v>0</v>
      </c>
      <c r="AN82" s="488" t="n">
        <f aca="false">(AM82+AL82+AK82*(1+RdsonTopTc*Ta-RdsonTopTc*25))/(1-AK82*RdsonTopTc*ThetaJA_Q4)</f>
        <v>0.0367188729035672</v>
      </c>
      <c r="AO82" s="488" t="n">
        <f aca="false">CHOOSE(J82, SQRT(K82^2+(P82^2)/12), SQRT(1-O82)*SQRT(L82^2+(P82^2)/12), SQRT(1-O82)*SQRT(M82^2+(P82^2)/12))</f>
        <v>4.48200590844666</v>
      </c>
      <c r="AP82" s="488" t="n">
        <f aca="false">Rdson3*AO82^2</f>
        <v>0.0381679162303665</v>
      </c>
      <c r="AQ82" s="488" t="n">
        <f aca="false">CHOOSE(J82, 0, IF(L82&lt;P82/2,Deadtime*Fsw*IF(VfdSky_Q3&gt;0,0,Vsd_Q3)*(L82+P82/2), 2*Deadtime*Fsw*IF(VfdSky_Q3&gt;0,0,Vsd_Q3)*L82), IF(L82&lt;P82/2,Deadtime*Fsw/2*IF(VfdSky_Q3&gt;0,0,Vsd_Q3)*(L82+P82/2), 2*Deadtime*Fsw/2*IF(VfdSky_Q3&gt;0,0,Vsd_Q3)*L82))</f>
        <v>0.0584</v>
      </c>
      <c r="AR82" s="488" t="n">
        <f aca="false">(AQ82+AP82*(1+RdsonBotTc*Ta-RdsonBotTc*25))/(1-AP82*RdsonBotTc*ThetaJA_Q3)</f>
        <v>0.097310745910008</v>
      </c>
      <c r="AS82" s="488" t="n">
        <f aca="false">CHOOSE(J82, Rdson3*Q82^2, Rdson1*Q82^2, 0)</f>
        <v>0</v>
      </c>
      <c r="AT82" s="488" t="n">
        <f aca="false">CHOOSE(J82, 2*Deadtime*Fsw*IF(VfdSky_Q2&gt;0,VfdSky_Q2,0)*K82, 2*Deadtime*Fsw*IF(VfdSky_Q3&gt;0,VfdSky_Q3,0)*L82, 2*Deadtime*Fsw/2*IF(VfdSky_Q2&gt;0,VfdSky_Q2,0)*K82+2*Deadtime*Fsw/2*IF(VfdSky_Q3&gt;0,VfdSky_Q3,0)*L82)</f>
        <v>0</v>
      </c>
      <c r="AU82" s="488" t="n">
        <f aca="false">CHOOSE(J82, IF(QrrSky_Q2&gt;0,QrrSky_Q2,Qrr_Q2*K82/Iout)*Fsw*(Vin-K82*Rdson1), IF(QrrSky_Q3&gt;0,QrrSky_Q3,Qrr_Q3)*Fsw*Vout,  IF(QrrSky_Q2&gt;0,QrrSky_Q2,Qrr_Q2*K82/Iout)*Fsw/2*(Vin-K82*Rdson1)+IF(QrrSky_Q3&gt;0,QrrSky_Q3,Qrr_Q3)*Fsw/2*Vout)</f>
        <v>0.142009772049</v>
      </c>
      <c r="AV82" s="488" t="n">
        <f aca="false">CHOOSE(J82, Rs*AF82^2, Rs*AJ82^2, Rs*(AF82^2+AJ82^2))</f>
        <v>0.0151451637838875</v>
      </c>
      <c r="AW82" s="488" t="n">
        <f aca="false">Rshunt_std/1000*Iout^2</f>
        <v>0.14832</v>
      </c>
      <c r="AX82" s="488" t="n">
        <f aca="false">IF(Vout&gt;8, Iq*Vout, Iq*Vin)</f>
        <v>0.036</v>
      </c>
      <c r="AY82" s="488" t="n">
        <f aca="false">CHOOSE(J82, (Qg_Q1+Qg_Q2)*Fsw, (Qg_Q3+Qg_Q4)*Fsw, (Qg_Q1+Qg_Q2+Qg_Q3+Qg_Q4)*Fsw/2)*IF(Vout&gt;8, Vout, Vin)</f>
        <v>0.1188</v>
      </c>
      <c r="AZ82" s="488" t="n">
        <f aca="false">(Vin-Vdd)*Fsw*(Qg_Q1+Qg_Q2)+(RdsonDRT+RdsonDRT2)*Fsw*Qg_Q1*Vdd/(RdsonDRT+2*Rgate1+RdsonDRT2)+(RdsonDRB+RdsonDRB2)*Fsw*Qg_Q2*Vdd/(RdsonDRB+2*Rgate2+RdsonDRB2)</f>
        <v>0.0522</v>
      </c>
      <c r="BA82" s="488" t="n">
        <f aca="false">SUM(AX82:AY82)</f>
        <v>0.1548</v>
      </c>
      <c r="BB82" s="488" t="n">
        <f aca="false">SUM(T82,W82,Z82,AE82,AI82,AN82,AR82, AT82,AU82,BA82,AV82,AW82)</f>
        <v>0.872286387394454</v>
      </c>
      <c r="BC82" s="419" t="n">
        <f aca="false">Vout*K82</f>
        <v>52.56</v>
      </c>
      <c r="BD82" s="589" t="n">
        <f aca="false">BC82/(BC82+BB82)</f>
        <v>0.983674919297479</v>
      </c>
      <c r="BE82" s="590" t="n">
        <f aca="false">IF(Vin&gt;Vout,ThetaJA_Q1*BK82,ThetaJA_Q4*BK82)</f>
        <v>6.52226612279536</v>
      </c>
      <c r="BF82" s="590" t="n">
        <f aca="false">IF(Vin&gt;Vout, ThetaJA_Q2*BL82, ThetaJA_Q3*BL82)</f>
        <v>7.2086985343089</v>
      </c>
      <c r="BG82" s="536"/>
      <c r="BH82" s="385" t="n">
        <f aca="false">BD82*100</f>
        <v>98.3674919297479</v>
      </c>
      <c r="BI82" s="488" t="n">
        <f aca="false">T82</f>
        <v>0.0708665823934167</v>
      </c>
      <c r="BJ82" s="488" t="n">
        <f aca="false">AE82+AI82+AN82+AR82+AU82</f>
        <v>0.478634756400395</v>
      </c>
      <c r="BK82" s="488" t="n">
        <f aca="false">IF(Vin&gt;Vout, AE82+AU82*0.66, AN82+AU82*0.66)</f>
        <v>0.130445322455907</v>
      </c>
      <c r="BL82" s="488" t="n">
        <f aca="false">IF(Vin&gt;Vout, AI82+AU82*0.33, AR82+AU82*0.33)</f>
        <v>0.144173970686178</v>
      </c>
      <c r="BM82" s="488" t="n">
        <f aca="false">AV82</f>
        <v>0.0151451637838875</v>
      </c>
      <c r="BS82" s="591"/>
      <c r="BT82" s="592"/>
    </row>
    <row r="83" customFormat="false" ht="12.75" hidden="false" customHeight="false" outlineLevel="0" collapsed="false">
      <c r="A83" s="336"/>
      <c r="B83" s="517"/>
      <c r="C83" s="517"/>
      <c r="G83" s="0" t="n">
        <v>74</v>
      </c>
      <c r="H83" s="586" t="n">
        <f aca="false">Vin</f>
        <v>12</v>
      </c>
      <c r="I83" s="385" t="str">
        <f aca="false">IF(H83&gt;VIN_BB_to_buck, "BUCK", IF(H83&lt;VIN_boost_to_BB,"BOOST","BUCK-BST"))</f>
        <v>BUCK-BST</v>
      </c>
      <c r="J83" s="419" t="n">
        <f aca="false">IF(I83="BOOST",2, IF(I83="BUCK", 1,3))</f>
        <v>3</v>
      </c>
      <c r="K83" s="488" t="n">
        <f aca="false">Iout*G83/100</f>
        <v>4.44</v>
      </c>
      <c r="L83" s="385" t="n">
        <f aca="false">Vout*K83/(Vin*Efficiency)</f>
        <v>4.93333333333333</v>
      </c>
      <c r="M83" s="385" t="n">
        <f aca="false">K83/(1-O83)</f>
        <v>4.64921465968587</v>
      </c>
      <c r="N83" s="488" t="n">
        <f aca="false">CHOOSE(J83,(Vout+(Rdson2+Rs+Rdcr)*K83)/(Vin+(Rs+Rdson2-Rdson1)*K83), 1, IF(Vin&lt;Vout, D_max_buck_BB, Vout/Vin*(1-D_min_boost_exitBB_to_buck)))</f>
        <v>0.955</v>
      </c>
      <c r="O83" s="488" t="n">
        <f aca="false">CHOOSE(J83,0,(Vout+(Rdson3+Rdcr)*L83-Vin)/(Vout+(Rdson3-Rdson4-Rs)*L83), IF(Vin&gt;Vout,D_min_boost_exitBB_to_buck, (Vout-Vin*D_max_buck_BB)/Vout))</f>
        <v>0.0450000000000001</v>
      </c>
      <c r="P83" s="385" t="n">
        <f aca="false">MAX(0, CHOOSE(J83, (Vin-(Rdson1+Rdcr)*K83-Vout)*N83/(Fsw*Lf), (Vin-(Rdson4+Rdcr+Rs)*L83)*O83/(Fsw*Lf), IF(Vin&lt;Vout, (Vin-(Rdson4+Rdcr+Rs)*L83)*O83/(0.5*Fsw*Lf),(Vin-(Rdson1+Rdcr)*K83-Vout)*N83/(0.5*Fsw*Lf))))</f>
        <v>0</v>
      </c>
      <c r="Q83" s="385" t="n">
        <f aca="false">CHOOSE(J83, SQRT(K83^2+(P83^2)/12), SQRT(L83^2+(P83^2)/12), SQRT(M83^2+(P83^2)/12))</f>
        <v>4.64921465968587</v>
      </c>
      <c r="R83" s="488" t="n">
        <f aca="false">(Q83^2*Rdcr*(1+Ltc*Ta-Ltc*25))/(1-Q83^2*Rdcr*Ltc*ThetaCa)</f>
        <v>0.0728328210554652</v>
      </c>
      <c r="S83" s="488" t="n">
        <f aca="false">7.759*10^-3*Fsw^0.9458*(0.00787*P83)^2.304</f>
        <v>0</v>
      </c>
      <c r="T83" s="488" t="n">
        <f aca="false">R83+S83</f>
        <v>0.0728328210554652</v>
      </c>
      <c r="U83" s="385" t="n">
        <f aca="false">IF(Vin&gt;Vout, P83/SQRT(12), SQRT(O83/(1-O83))*SQRT(K83^2+(P83^2)/12))</f>
        <v>0.963801374249507</v>
      </c>
      <c r="V83" s="488" t="n">
        <f aca="false">RCoutEsr*U83^2</f>
        <v>0.00464456544502619</v>
      </c>
      <c r="W83" s="488" t="n">
        <f aca="false">V83</f>
        <v>0.00464456544502619</v>
      </c>
      <c r="X83" s="385" t="n">
        <f aca="false">IF(Vin&gt;Vout, SQRT(N83*(1-N83))*SQRT(K83^2+(P83^2)/12), P83/SQRT(12))</f>
        <v>0</v>
      </c>
      <c r="Y83" s="587" t="n">
        <f aca="false">RCinEsr*X83^2</f>
        <v>0</v>
      </c>
      <c r="Z83" s="588" t="n">
        <f aca="false">Y83</f>
        <v>0</v>
      </c>
      <c r="AA83" s="488" t="n">
        <f aca="false">CHOOSE(J83, SQRT(N83)*SQRT(K83^2+(P83^2)/12), SQRT(L83^2+(P83^2)/12), SQRT(N83)*SQRT(M83^2+(P83^2)/12))</f>
        <v>4.54340324965826</v>
      </c>
      <c r="AB83" s="488" t="n">
        <f aca="false">Rdson1*AA83^2</f>
        <v>0.11766232460733</v>
      </c>
      <c r="AC83" s="488" t="n">
        <f aca="false">CHOOSE(J83, (Vin*K83/2)*(Fsw)*(Tr_buck+Tf_buck), 0, (Vin*K83/2)*(Fsw/2)*(Tr_buck+Tf_buck))</f>
        <v>0.0271292281205165</v>
      </c>
      <c r="AD83" s="488" t="n">
        <f aca="false">CHOOSE(J83, IF(K83&gt;P83/2,0,ABS(K83-P83/2)*Vsd_Q1*Deadtime*Fsw),0, IF(K83&gt;P83/2,0,ABS(K83-P83/2)*Vsd_Q1*Deadtime*Fsw/2))</f>
        <v>0</v>
      </c>
      <c r="AE83" s="488" t="n">
        <f aca="false">(AD83+AC83+AB83*(1+RdsonTopTc*Ta-RdsonTopTc*25))/(1-AB83*RdsonTopTc*ThetaJA_Q1)</f>
        <v>0.148280969439707</v>
      </c>
      <c r="AF83" s="488" t="n">
        <f aca="false">CHOOSE(J83, SQRT((1-N83))*SQRT(K83^2+(P83^2)/12), 0, SQRT((1-N83))*SQRT(M83^2+(P83^2)/12))</f>
        <v>0.986247363916735</v>
      </c>
      <c r="AG83" s="488" t="n">
        <f aca="false">Rdson2*AF83^2</f>
        <v>0.00554429801814644</v>
      </c>
      <c r="AH83" s="488" t="n">
        <f aca="false">CHOOSE(J83, IF(K83&lt;P83/2,Deadtime*Fsw*IF(VfdSky_Q2&gt;0,0,Vsd_Q2)*(K83+P83/2),2*Deadtime*Fsw*IF(VfdSky_Q2&gt;0,0,Vsd_Q2)*K83),0, IF(K83&lt;P83/2,Deadtime*Fsw/2*IF(VfdSky_Q2&gt;0,0,Vsd_Q2)*(K83+P83/2),2*Deadtime*Fsw/2*IF(VfdSky_Q2&gt;0,0,Vsd_Q2)*K83))</f>
        <v>0.05328</v>
      </c>
      <c r="AI83" s="488" t="n">
        <f aca="false">(AH83+AG83*(1+RdsonBotTc*Ta-RdsonBotTc*25))/(1-AG83*RdsonBotTc*ThetaJA_Q2)</f>
        <v>0.0588895983147917</v>
      </c>
      <c r="AJ83" s="488" t="n">
        <f aca="false">CHOOSE(J83, 0, SQRT(O83)*SQRT(L83^2+(P83^2)/12), SQRT(O83)*SQRT(M83^2+(P83^2)/12))</f>
        <v>0.986247363916735</v>
      </c>
      <c r="AK83" s="488" t="n">
        <f aca="false">Rdson4*AJ83^2</f>
        <v>0.00184809933938215</v>
      </c>
      <c r="AL83" s="488" t="n">
        <f aca="false">CHOOSE(J83, 0, (Vout*L83/2)*(Fsw)*(Tr_boost+Tf_boost), (Vout*Iout/2)*(Fsw/2)*(Tr_boost+Tf_boost))</f>
        <v>0.0349071770123085</v>
      </c>
      <c r="AM83" s="488" t="n">
        <f aca="false">IF(H83&gt;Vout, 0, IF(L83&gt;P83/2,0,ABS(L83-P83/2)*Vsd_Q4*Deadtime*Fsw))</f>
        <v>0</v>
      </c>
      <c r="AN83" s="488" t="n">
        <f aca="false">(AM83+AL83+AK83*(1+RdsonTopTc*Ta-RdsonTopTc*25))/(1-AK83*RdsonTopTc*ThetaJA_Q4)</f>
        <v>0.0367688668553997</v>
      </c>
      <c r="AO83" s="488" t="n">
        <f aca="false">CHOOSE(J83, SQRT(K83^2+(P83^2)/12), SQRT(1-O83)*SQRT(L83^2+(P83^2)/12), SQRT(1-O83)*SQRT(M83^2+(P83^2)/12))</f>
        <v>4.54340324965826</v>
      </c>
      <c r="AP83" s="488" t="n">
        <f aca="false">Rdson3*AO83^2</f>
        <v>0.03922077486911</v>
      </c>
      <c r="AQ83" s="488" t="n">
        <f aca="false">CHOOSE(J83, 0, IF(L83&lt;P83/2,Deadtime*Fsw*IF(VfdSky_Q3&gt;0,0,Vsd_Q3)*(L83+P83/2), 2*Deadtime*Fsw*IF(VfdSky_Q3&gt;0,0,Vsd_Q3)*L83), IF(L83&lt;P83/2,Deadtime*Fsw/2*IF(VfdSky_Q3&gt;0,0,Vsd_Q3)*(L83+P83/2), 2*Deadtime*Fsw/2*IF(VfdSky_Q3&gt;0,0,Vsd_Q3)*L83))</f>
        <v>0.0592</v>
      </c>
      <c r="AR83" s="488" t="n">
        <f aca="false">(AQ83+AP83*(1+RdsonBotTc*Ta-RdsonBotTc*25))/(1-AP83*RdsonBotTc*ThetaJA_Q3)</f>
        <v>0.0991989064646524</v>
      </c>
      <c r="AS83" s="488" t="n">
        <f aca="false">CHOOSE(J83, Rdson3*Q83^2, Rdson1*Q83^2, 0)</f>
        <v>0</v>
      </c>
      <c r="AT83" s="488" t="n">
        <f aca="false">CHOOSE(J83, 2*Deadtime*Fsw*IF(VfdSky_Q2&gt;0,VfdSky_Q2,0)*K83, 2*Deadtime*Fsw*IF(VfdSky_Q3&gt;0,VfdSky_Q3,0)*L83, 2*Deadtime*Fsw/2*IF(VfdSky_Q2&gt;0,VfdSky_Q2,0)*K83+2*Deadtime*Fsw/2*IF(VfdSky_Q3&gt;0,VfdSky_Q3,0)*L83)</f>
        <v>0</v>
      </c>
      <c r="AU83" s="488" t="n">
        <f aca="false">CHOOSE(J83, IF(QrrSky_Q2&gt;0,QrrSky_Q2,Qrr_Q2*K83/Iout)*Fsw*(Vin-K83*Rdson1), IF(QrrSky_Q3&gt;0,QrrSky_Q3,Qrr_Q3)*Fsw*Vout,  IF(QrrSky_Q2&gt;0,QrrSky_Q2,Qrr_Q2*K83/Iout)*Fsw/2*(Vin-K83*Rdson1)+IF(QrrSky_Q3&gt;0,QrrSky_Q3,Qrr_Q3)*Fsw/2*Vout)</f>
        <v>0.143139021156</v>
      </c>
      <c r="AV83" s="488" t="n">
        <f aca="false">CHOOSE(J83, Rs*AF83^2, Rs*AJ83^2, Rs*(AF83^2+AJ83^2))</f>
        <v>0.0155629418053233</v>
      </c>
      <c r="AW83" s="488" t="n">
        <f aca="false">Rshunt_std/1000*Iout^2</f>
        <v>0.14832</v>
      </c>
      <c r="AX83" s="488" t="n">
        <f aca="false">IF(Vout&gt;8, Iq*Vout, Iq*Vin)</f>
        <v>0.036</v>
      </c>
      <c r="AY83" s="488" t="n">
        <f aca="false">CHOOSE(J83, (Qg_Q1+Qg_Q2)*Fsw, (Qg_Q3+Qg_Q4)*Fsw, (Qg_Q1+Qg_Q2+Qg_Q3+Qg_Q4)*Fsw/2)*IF(Vout&gt;8, Vout, Vin)</f>
        <v>0.1188</v>
      </c>
      <c r="AZ83" s="488" t="n">
        <f aca="false">(Vin-Vdd)*Fsw*(Qg_Q1+Qg_Q2)+(RdsonDRT+RdsonDRT2)*Fsw*Qg_Q1*Vdd/(RdsonDRT+2*Rgate1+RdsonDRT2)+(RdsonDRB+RdsonDRB2)*Fsw*Qg_Q2*Vdd/(RdsonDRB+2*Rgate2+RdsonDRB2)</f>
        <v>0.0522</v>
      </c>
      <c r="BA83" s="488" t="n">
        <f aca="false">SUM(AX83:AY83)</f>
        <v>0.1548</v>
      </c>
      <c r="BB83" s="488" t="n">
        <f aca="false">SUM(T83,W83,Z83,AE83,AI83,AN83,AR83, AT83,AU83,BA83,AV83,AW83)</f>
        <v>0.882437690536366</v>
      </c>
      <c r="BC83" s="419" t="n">
        <f aca="false">Vout*K83</f>
        <v>53.28</v>
      </c>
      <c r="BD83" s="589" t="n">
        <f aca="false">BC83/(BC83+BB83)</f>
        <v>0.983707570630807</v>
      </c>
      <c r="BE83" s="590" t="n">
        <f aca="false">IF(Vin&gt;Vout,ThetaJA_Q1*BK83,ThetaJA_Q4*BK83)</f>
        <v>6.56203104091799</v>
      </c>
      <c r="BF83" s="590" t="n">
        <f aca="false">IF(Vin&gt;Vout, ThetaJA_Q2*BL83, ThetaJA_Q3*BL83)</f>
        <v>7.32173917230662</v>
      </c>
      <c r="BG83" s="536"/>
      <c r="BH83" s="385" t="n">
        <f aca="false">BD83*100</f>
        <v>98.3707570630807</v>
      </c>
      <c r="BI83" s="488" t="n">
        <f aca="false">T83</f>
        <v>0.0728328210554652</v>
      </c>
      <c r="BJ83" s="488" t="n">
        <f aca="false">AE83+AI83+AN83+AR83+AU83</f>
        <v>0.486277362230551</v>
      </c>
      <c r="BK83" s="488" t="n">
        <f aca="false">IF(Vin&gt;Vout, AE83+AU83*0.66, AN83+AU83*0.66)</f>
        <v>0.13124062081836</v>
      </c>
      <c r="BL83" s="488" t="n">
        <f aca="false">IF(Vin&gt;Vout, AI83+AU83*0.33, AR83+AU83*0.33)</f>
        <v>0.146434783446132</v>
      </c>
      <c r="BM83" s="488" t="n">
        <f aca="false">AV83</f>
        <v>0.0155629418053233</v>
      </c>
      <c r="BS83" s="591"/>
      <c r="BT83" s="592"/>
    </row>
    <row r="84" customFormat="false" ht="12.75" hidden="false" customHeight="false" outlineLevel="0" collapsed="false">
      <c r="G84" s="0" t="n">
        <v>75</v>
      </c>
      <c r="H84" s="586" t="n">
        <f aca="false">Vin</f>
        <v>12</v>
      </c>
      <c r="I84" s="385" t="str">
        <f aca="false">IF(H84&gt;VIN_BB_to_buck, "BUCK", IF(H84&lt;VIN_boost_to_BB,"BOOST","BUCK-BST"))</f>
        <v>BUCK-BST</v>
      </c>
      <c r="J84" s="419" t="n">
        <f aca="false">IF(I84="BOOST",2, IF(I84="BUCK", 1,3))</f>
        <v>3</v>
      </c>
      <c r="K84" s="488" t="n">
        <f aca="false">Iout*G84/100</f>
        <v>4.5</v>
      </c>
      <c r="L84" s="385" t="n">
        <f aca="false">Vout*K84/(Vin*Efficiency)</f>
        <v>5</v>
      </c>
      <c r="M84" s="385" t="n">
        <f aca="false">K84/(1-O84)</f>
        <v>4.71204188481675</v>
      </c>
      <c r="N84" s="488" t="n">
        <f aca="false">CHOOSE(J84,(Vout+(Rdson2+Rs+Rdcr)*K84)/(Vin+(Rs+Rdson2-Rdson1)*K84), 1, IF(Vin&lt;Vout, D_max_buck_BB, Vout/Vin*(1-D_min_boost_exitBB_to_buck)))</f>
        <v>0.955</v>
      </c>
      <c r="O84" s="488" t="n">
        <f aca="false">CHOOSE(J84,0,(Vout+(Rdson3+Rdcr)*L84-Vin)/(Vout+(Rdson3-Rdson4-Rs)*L84), IF(Vin&gt;Vout,D_min_boost_exitBB_to_buck, (Vout-Vin*D_max_buck_BB)/Vout))</f>
        <v>0.0450000000000001</v>
      </c>
      <c r="P84" s="385" t="n">
        <f aca="false">MAX(0, CHOOSE(J84, (Vin-(Rdson1+Rdcr)*K84-Vout)*N84/(Fsw*Lf), (Vin-(Rdson4+Rdcr+Rs)*L84)*O84/(Fsw*Lf), IF(Vin&lt;Vout, (Vin-(Rdson4+Rdcr+Rs)*L84)*O84/(0.5*Fsw*Lf),(Vin-(Rdson1+Rdcr)*K84-Vout)*N84/(0.5*Fsw*Lf))))</f>
        <v>0</v>
      </c>
      <c r="Q84" s="385" t="n">
        <f aca="false">CHOOSE(J84, SQRT(K84^2+(P84^2)/12), SQRT(L84^2+(P84^2)/12), SQRT(M84^2+(P84^2)/12))</f>
        <v>4.71204188481675</v>
      </c>
      <c r="R84" s="488" t="n">
        <f aca="false">(Q84^2*Rdcr*(1+Ltc*Ta-Ltc*25))/(1-Q84^2*Rdcr*Ltc*ThetaCa)</f>
        <v>0.0748264390611936</v>
      </c>
      <c r="S84" s="488" t="n">
        <f aca="false">7.759*10^-3*Fsw^0.9458*(0.00787*P84)^2.304</f>
        <v>0</v>
      </c>
      <c r="T84" s="488" t="n">
        <f aca="false">R84+S84</f>
        <v>0.0748264390611936</v>
      </c>
      <c r="U84" s="385" t="n">
        <f aca="false">IF(Vin&gt;Vout, P84/SQRT(12), SQRT(O84/(1-O84))*SQRT(K84^2+(P84^2)/12))</f>
        <v>0.97682571714477</v>
      </c>
      <c r="V84" s="488" t="n">
        <f aca="false">RCoutEsr*U84^2</f>
        <v>0.00477094240837697</v>
      </c>
      <c r="W84" s="488" t="n">
        <f aca="false">V84</f>
        <v>0.00477094240837697</v>
      </c>
      <c r="X84" s="385" t="n">
        <f aca="false">IF(Vin&gt;Vout, SQRT(N84*(1-N84))*SQRT(K84^2+(P84^2)/12), P84/SQRT(12))</f>
        <v>0</v>
      </c>
      <c r="Y84" s="587" t="n">
        <f aca="false">RCinEsr*X84^2</f>
        <v>0</v>
      </c>
      <c r="Z84" s="588" t="n">
        <f aca="false">Y84</f>
        <v>0</v>
      </c>
      <c r="AA84" s="488" t="n">
        <f aca="false">CHOOSE(J84, SQRT(N84)*SQRT(K84^2+(P84^2)/12), SQRT(L84^2+(P84^2)/12), SQRT(N84)*SQRT(M84^2+(P84^2)/12))</f>
        <v>4.60480059086986</v>
      </c>
      <c r="AB84" s="488" t="n">
        <f aca="false">Rdson1*AA84^2</f>
        <v>0.12086387434555</v>
      </c>
      <c r="AC84" s="488" t="n">
        <f aca="false">CHOOSE(J84, (Vin*K84/2)*(Fsw)*(Tr_buck+Tf_buck), 0, (Vin*K84/2)*(Fsw/2)*(Tr_buck+Tf_buck))</f>
        <v>0.0274958393113343</v>
      </c>
      <c r="AD84" s="488" t="n">
        <f aca="false">CHOOSE(J84, IF(K84&gt;P84/2,0,ABS(K84-P84/2)*Vsd_Q1*Deadtime*Fsw),0, IF(K84&gt;P84/2,0,ABS(K84-P84/2)*Vsd_Q1*Deadtime*Fsw/2))</f>
        <v>0</v>
      </c>
      <c r="AE84" s="488" t="n">
        <f aca="false">(AD84+AC84+AB84*(1+RdsonTopTc*Ta-RdsonTopTc*25))/(1-AB84*RdsonTopTc*ThetaJA_Q1)</f>
        <v>0.15203481706199</v>
      </c>
      <c r="AF84" s="488" t="n">
        <f aca="false">CHOOSE(J84, SQRT((1-N84))*SQRT(K84^2+(P84^2)/12), 0, SQRT((1-N84))*SQRT(M84^2+(P84^2)/12))</f>
        <v>0.999575030996691</v>
      </c>
      <c r="AG84" s="488" t="n">
        <f aca="false">Rdson2*AF84^2</f>
        <v>0.0056951563827746</v>
      </c>
      <c r="AH84" s="488" t="n">
        <f aca="false">CHOOSE(J84, IF(K84&lt;P84/2,Deadtime*Fsw*IF(VfdSky_Q2&gt;0,0,Vsd_Q2)*(K84+P84/2),2*Deadtime*Fsw*IF(VfdSky_Q2&gt;0,0,Vsd_Q2)*K84),0, IF(K84&lt;P84/2,Deadtime*Fsw/2*IF(VfdSky_Q2&gt;0,0,Vsd_Q2)*(K84+P84/2),2*Deadtime*Fsw/2*IF(VfdSky_Q2&gt;0,0,Vsd_Q2)*K84))</f>
        <v>0.054</v>
      </c>
      <c r="AI84" s="488" t="n">
        <f aca="false">(AH84+AG84*(1+RdsonBotTc*Ta-RdsonBotTc*25))/(1-AG84*RdsonBotTc*ThetaJA_Q2)</f>
        <v>0.0597632285693029</v>
      </c>
      <c r="AJ84" s="488" t="n">
        <f aca="false">CHOOSE(J84, 0, SQRT(O84)*SQRT(L84^2+(P84^2)/12), SQRT(O84)*SQRT(M84^2+(P84^2)/12))</f>
        <v>0.999575030996691</v>
      </c>
      <c r="AK84" s="488" t="n">
        <f aca="false">Rdson4*AJ84^2</f>
        <v>0.00189838546092487</v>
      </c>
      <c r="AL84" s="488" t="n">
        <f aca="false">CHOOSE(J84, 0, (Vout*L84/2)*(Fsw)*(Tr_boost+Tf_boost), (Vout*Iout/2)*(Fsw/2)*(Tr_boost+Tf_boost))</f>
        <v>0.0349071770123085</v>
      </c>
      <c r="AM84" s="488" t="n">
        <f aca="false">IF(H84&gt;Vout, 0, IF(L84&gt;P84/2,0,ABS(L84-P84/2)*Vsd_Q4*Deadtime*Fsw))</f>
        <v>0</v>
      </c>
      <c r="AN84" s="488" t="n">
        <f aca="false">(AM84+AL84+AK84*(1+RdsonTopTc*Ta-RdsonTopTc*25))/(1-AK84*RdsonTopTc*ThetaJA_Q4)</f>
        <v>0.0368195420098793</v>
      </c>
      <c r="AO84" s="488" t="n">
        <f aca="false">CHOOSE(J84, SQRT(K84^2+(P84^2)/12), SQRT(1-O84)*SQRT(L84^2+(P84^2)/12), SQRT(1-O84)*SQRT(M84^2+(P84^2)/12))</f>
        <v>4.60480059086986</v>
      </c>
      <c r="AP84" s="488" t="n">
        <f aca="false">Rdson3*AO84^2</f>
        <v>0.0402879581151832</v>
      </c>
      <c r="AQ84" s="488" t="n">
        <f aca="false">CHOOSE(J84, 0, IF(L84&lt;P84/2,Deadtime*Fsw*IF(VfdSky_Q3&gt;0,0,Vsd_Q3)*(L84+P84/2), 2*Deadtime*Fsw*IF(VfdSky_Q3&gt;0,0,Vsd_Q3)*L84), IF(L84&lt;P84/2,Deadtime*Fsw/2*IF(VfdSky_Q3&gt;0,0,Vsd_Q3)*(L84+P84/2), 2*Deadtime*Fsw/2*IF(VfdSky_Q3&gt;0,0,Vsd_Q3)*L84))</f>
        <v>0.06</v>
      </c>
      <c r="AR84" s="488" t="n">
        <f aca="false">(AQ84+AP84*(1+RdsonBotTc*Ta-RdsonBotTc*25))/(1-AP84*RdsonBotTc*ThetaJA_Q3)</f>
        <v>0.101102601590829</v>
      </c>
      <c r="AS84" s="488" t="n">
        <f aca="false">CHOOSE(J84, Rdson3*Q84^2, Rdson1*Q84^2, 0)</f>
        <v>0</v>
      </c>
      <c r="AT84" s="488" t="n">
        <f aca="false">CHOOSE(J84, 2*Deadtime*Fsw*IF(VfdSky_Q2&gt;0,VfdSky_Q2,0)*K84, 2*Deadtime*Fsw*IF(VfdSky_Q3&gt;0,VfdSky_Q3,0)*L84, 2*Deadtime*Fsw/2*IF(VfdSky_Q2&gt;0,VfdSky_Q2,0)*K84+2*Deadtime*Fsw/2*IF(VfdSky_Q3&gt;0,VfdSky_Q3,0)*L84)</f>
        <v>0</v>
      </c>
      <c r="AU84" s="488" t="n">
        <f aca="false">CHOOSE(J84, IF(QrrSky_Q2&gt;0,QrrSky_Q2,Qrr_Q2*K84/Iout)*Fsw*(Vin-K84*Rdson1), IF(QrrSky_Q3&gt;0,QrrSky_Q3,Qrr_Q3)*Fsw*Vout,  IF(QrrSky_Q2&gt;0,QrrSky_Q2,Qrr_Q2*K84/Iout)*Fsw/2*(Vin-K84*Rdson1)+IF(QrrSky_Q3&gt;0,QrrSky_Q3,Qrr_Q3)*Fsw/2*Vout)</f>
        <v>0.144268205625</v>
      </c>
      <c r="AV84" s="488" t="n">
        <f aca="false">CHOOSE(J84, Rs*AF84^2, Rs*AJ84^2, Rs*(AF84^2+AJ84^2))</f>
        <v>0.0159864038814726</v>
      </c>
      <c r="AW84" s="488" t="n">
        <f aca="false">Rshunt_std/1000*Iout^2</f>
        <v>0.14832</v>
      </c>
      <c r="AX84" s="488" t="n">
        <f aca="false">IF(Vout&gt;8, Iq*Vout, Iq*Vin)</f>
        <v>0.036</v>
      </c>
      <c r="AY84" s="488" t="n">
        <f aca="false">CHOOSE(J84, (Qg_Q1+Qg_Q2)*Fsw, (Qg_Q3+Qg_Q4)*Fsw, (Qg_Q1+Qg_Q2+Qg_Q3+Qg_Q4)*Fsw/2)*IF(Vout&gt;8, Vout, Vin)</f>
        <v>0.1188</v>
      </c>
      <c r="AZ84" s="488" t="n">
        <f aca="false">(Vin-Vdd)*Fsw*(Qg_Q1+Qg_Q2)+(RdsonDRT+RdsonDRT2)*Fsw*Qg_Q1*Vdd/(RdsonDRT+2*Rgate1+RdsonDRT2)+(RdsonDRB+RdsonDRB2)*Fsw*Qg_Q2*Vdd/(RdsonDRB+2*Rgate2+RdsonDRB2)</f>
        <v>0.0522</v>
      </c>
      <c r="BA84" s="488" t="n">
        <f aca="false">SUM(AX84:AY84)</f>
        <v>0.1548</v>
      </c>
      <c r="BB84" s="488" t="n">
        <f aca="false">SUM(T84,W84,Z84,AE84,AI84,AN84,AR84, AT84,AU84,BA84,AV84,AW84)</f>
        <v>0.892692180208044</v>
      </c>
      <c r="BC84" s="419" t="n">
        <f aca="false">Vout*K84</f>
        <v>54</v>
      </c>
      <c r="BD84" s="589" t="n">
        <f aca="false">BC84/(BC84+BB84)</f>
        <v>0.983737504123911</v>
      </c>
      <c r="BE84" s="590" t="n">
        <f aca="false">IF(Vin&gt;Vout,ThetaJA_Q1*BK84,ThetaJA_Q4*BK84)</f>
        <v>6.60182788611896</v>
      </c>
      <c r="BF84" s="590" t="n">
        <f aca="false">IF(Vin&gt;Vout, ThetaJA_Q2*BL84, ThetaJA_Q3*BL84)</f>
        <v>7.43555547235394</v>
      </c>
      <c r="BG84" s="536"/>
      <c r="BH84" s="385" t="n">
        <f aca="false">BD84*100</f>
        <v>98.3737504123911</v>
      </c>
      <c r="BI84" s="488" t="n">
        <f aca="false">T84</f>
        <v>0.0748264390611936</v>
      </c>
      <c r="BJ84" s="488" t="n">
        <f aca="false">AE84+AI84+AN84+AR84+AU84</f>
        <v>0.493988394857001</v>
      </c>
      <c r="BK84" s="488" t="n">
        <f aca="false">IF(Vin&gt;Vout, AE84+AU84*0.66, AN84+AU84*0.66)</f>
        <v>0.132036557722379</v>
      </c>
      <c r="BL84" s="488" t="n">
        <f aca="false">IF(Vin&gt;Vout, AI84+AU84*0.33, AR84+AU84*0.33)</f>
        <v>0.148711109447079</v>
      </c>
      <c r="BM84" s="488" t="n">
        <f aca="false">AV84</f>
        <v>0.0159864038814726</v>
      </c>
      <c r="BS84" s="591"/>
      <c r="BT84" s="592"/>
    </row>
    <row r="85" customFormat="false" ht="12.75" hidden="false" customHeight="false" outlineLevel="0" collapsed="false">
      <c r="G85" s="0" t="n">
        <v>76</v>
      </c>
      <c r="H85" s="586" t="n">
        <f aca="false">Vin</f>
        <v>12</v>
      </c>
      <c r="I85" s="385" t="str">
        <f aca="false">IF(H85&gt;VIN_BB_to_buck, "BUCK", IF(H85&lt;VIN_boost_to_BB,"BOOST","BUCK-BST"))</f>
        <v>BUCK-BST</v>
      </c>
      <c r="J85" s="419" t="n">
        <f aca="false">IF(I85="BOOST",2, IF(I85="BUCK", 1,3))</f>
        <v>3</v>
      </c>
      <c r="K85" s="488" t="n">
        <f aca="false">Iout*G85/100</f>
        <v>4.56</v>
      </c>
      <c r="L85" s="385" t="n">
        <f aca="false">Vout*K85/(Vin*Efficiency)</f>
        <v>5.06666666666667</v>
      </c>
      <c r="M85" s="385" t="n">
        <f aca="false">K85/(1-O85)</f>
        <v>4.77486910994764</v>
      </c>
      <c r="N85" s="488" t="n">
        <f aca="false">CHOOSE(J85,(Vout+(Rdson2+Rs+Rdcr)*K85)/(Vin+(Rs+Rdson2-Rdson1)*K85), 1, IF(Vin&lt;Vout, D_max_buck_BB, Vout/Vin*(1-D_min_boost_exitBB_to_buck)))</f>
        <v>0.955</v>
      </c>
      <c r="O85" s="488" t="n">
        <f aca="false">CHOOSE(J85,0,(Vout+(Rdson3+Rdcr)*L85-Vin)/(Vout+(Rdson3-Rdson4-Rs)*L85), IF(Vin&gt;Vout,D_min_boost_exitBB_to_buck, (Vout-Vin*D_max_buck_BB)/Vout))</f>
        <v>0.0450000000000001</v>
      </c>
      <c r="P85" s="385" t="n">
        <f aca="false">MAX(0, CHOOSE(J85, (Vin-(Rdson1+Rdcr)*K85-Vout)*N85/(Fsw*Lf), (Vin-(Rdson4+Rdcr+Rs)*L85)*O85/(Fsw*Lf), IF(Vin&lt;Vout, (Vin-(Rdson4+Rdcr+Rs)*L85)*O85/(0.5*Fsw*Lf),(Vin-(Rdson1+Rdcr)*K85-Vout)*N85/(0.5*Fsw*Lf))))</f>
        <v>0</v>
      </c>
      <c r="Q85" s="385" t="n">
        <f aca="false">CHOOSE(J85, SQRT(K85^2+(P85^2)/12), SQRT(L85^2+(P85^2)/12), SQRT(M85^2+(P85^2)/12))</f>
        <v>4.77486910994764</v>
      </c>
      <c r="R85" s="488" t="n">
        <f aca="false">(Q85^2*Rdcr*(1+Ltc*Ta-Ltc*25))/(1-Q85^2*Rdcr*Ltc*ThetaCa)</f>
        <v>0.076847462168631</v>
      </c>
      <c r="S85" s="488" t="n">
        <f aca="false">7.759*10^-3*Fsw^0.9458*(0.00787*P85)^2.304</f>
        <v>0</v>
      </c>
      <c r="T85" s="488" t="n">
        <f aca="false">R85+S85</f>
        <v>0.076847462168631</v>
      </c>
      <c r="U85" s="385" t="n">
        <f aca="false">IF(Vin&gt;Vout, P85/SQRT(12), SQRT(O85/(1-O85))*SQRT(K85^2+(P85^2)/12))</f>
        <v>0.989850060040034</v>
      </c>
      <c r="V85" s="488" t="n">
        <f aca="false">RCoutEsr*U85^2</f>
        <v>0.00489901570680629</v>
      </c>
      <c r="W85" s="488" t="n">
        <f aca="false">V85</f>
        <v>0.00489901570680629</v>
      </c>
      <c r="X85" s="385" t="n">
        <f aca="false">IF(Vin&gt;Vout, SQRT(N85*(1-N85))*SQRT(K85^2+(P85^2)/12), P85/SQRT(12))</f>
        <v>0</v>
      </c>
      <c r="Y85" s="587" t="n">
        <f aca="false">RCinEsr*X85^2</f>
        <v>0</v>
      </c>
      <c r="Z85" s="588" t="n">
        <f aca="false">Y85</f>
        <v>0</v>
      </c>
      <c r="AA85" s="488" t="n">
        <f aca="false">CHOOSE(J85, SQRT(N85)*SQRT(K85^2+(P85^2)/12), SQRT(L85^2+(P85^2)/12), SQRT(N85)*SQRT(M85^2+(P85^2)/12))</f>
        <v>4.66619793208146</v>
      </c>
      <c r="AB85" s="488" t="n">
        <f aca="false">Rdson1*AA85^2</f>
        <v>0.124108397905759</v>
      </c>
      <c r="AC85" s="488" t="n">
        <f aca="false">CHOOSE(J85, (Vin*K85/2)*(Fsw)*(Tr_buck+Tf_buck), 0, (Vin*K85/2)*(Fsw/2)*(Tr_buck+Tf_buck))</f>
        <v>0.0278624505021521</v>
      </c>
      <c r="AD85" s="488" t="n">
        <f aca="false">CHOOSE(J85, IF(K85&gt;P85/2,0,ABS(K85-P85/2)*Vsd_Q1*Deadtime*Fsw),0, IF(K85&gt;P85/2,0,ABS(K85-P85/2)*Vsd_Q1*Deadtime*Fsw/2))</f>
        <v>0</v>
      </c>
      <c r="AE85" s="488" t="n">
        <f aca="false">(AD85+AC85+AB85*(1+RdsonTopTc*Ta-RdsonTopTc*25))/(1-AB85*RdsonTopTc*ThetaJA_Q1)</f>
        <v>0.15583903500094</v>
      </c>
      <c r="AF85" s="488" t="n">
        <f aca="false">CHOOSE(J85, SQRT((1-N85))*SQRT(K85^2+(P85^2)/12), 0, SQRT((1-N85))*SQRT(M85^2+(P85^2)/12))</f>
        <v>1.01290269807665</v>
      </c>
      <c r="AG85" s="488" t="n">
        <f aca="false">Rdson2*AF85^2</f>
        <v>0.00584803969189442</v>
      </c>
      <c r="AH85" s="488" t="n">
        <f aca="false">CHOOSE(J85, IF(K85&lt;P85/2,Deadtime*Fsw*IF(VfdSky_Q2&gt;0,0,Vsd_Q2)*(K85+P85/2),2*Deadtime*Fsw*IF(VfdSky_Q2&gt;0,0,Vsd_Q2)*K85),0, IF(K85&lt;P85/2,Deadtime*Fsw/2*IF(VfdSky_Q2&gt;0,0,Vsd_Q2)*(K85+P85/2),2*Deadtime*Fsw/2*IF(VfdSky_Q2&gt;0,0,Vsd_Q2)*K85))</f>
        <v>0.05472</v>
      </c>
      <c r="AI85" s="488" t="n">
        <f aca="false">(AH85+AG85*(1+RdsonBotTc*Ta-RdsonBotTc*25))/(1-AG85*RdsonBotTc*ThetaJA_Q2)</f>
        <v>0.0606389635049849</v>
      </c>
      <c r="AJ85" s="488" t="n">
        <f aca="false">CHOOSE(J85, 0, SQRT(O85)*SQRT(L85^2+(P85^2)/12), SQRT(O85)*SQRT(M85^2+(P85^2)/12))</f>
        <v>1.01290269807665</v>
      </c>
      <c r="AK85" s="488" t="n">
        <f aca="false">Rdson4*AJ85^2</f>
        <v>0.00194934656396481</v>
      </c>
      <c r="AL85" s="488" t="n">
        <f aca="false">CHOOSE(J85, 0, (Vout*L85/2)*(Fsw)*(Tr_boost+Tf_boost), (Vout*Iout/2)*(Fsw/2)*(Tr_boost+Tf_boost))</f>
        <v>0.0349071770123085</v>
      </c>
      <c r="AM85" s="488" t="n">
        <f aca="false">IF(H85&gt;Vout, 0, IF(L85&gt;P85/2,0,ABS(L85-P85/2)*Vsd_Q4*Deadtime*Fsw))</f>
        <v>0</v>
      </c>
      <c r="AN85" s="488" t="n">
        <f aca="false">(AM85+AL85+AK85*(1+RdsonTopTc*Ta-RdsonTopTc*25))/(1-AK85*RdsonTopTc*ThetaJA_Q4)</f>
        <v>0.0368708984080978</v>
      </c>
      <c r="AO85" s="488" t="n">
        <f aca="false">CHOOSE(J85, SQRT(K85^2+(P85^2)/12), SQRT(1-O85)*SQRT(L85^2+(P85^2)/12), SQRT(1-O85)*SQRT(M85^2+(P85^2)/12))</f>
        <v>4.66619793208146</v>
      </c>
      <c r="AP85" s="488" t="n">
        <f aca="false">Rdson3*AO85^2</f>
        <v>0.0413694659685864</v>
      </c>
      <c r="AQ85" s="488" t="n">
        <f aca="false">CHOOSE(J85, 0, IF(L85&lt;P85/2,Deadtime*Fsw*IF(VfdSky_Q3&gt;0,0,Vsd_Q3)*(L85+P85/2), 2*Deadtime*Fsw*IF(VfdSky_Q3&gt;0,0,Vsd_Q3)*L85), IF(L85&lt;P85/2,Deadtime*Fsw/2*IF(VfdSky_Q3&gt;0,0,Vsd_Q3)*(L85+P85/2), 2*Deadtime*Fsw/2*IF(VfdSky_Q3&gt;0,0,Vsd_Q3)*L85))</f>
        <v>0.0608</v>
      </c>
      <c r="AR85" s="488" t="n">
        <f aca="false">(AQ85+AP85*(1+RdsonBotTc*Ta-RdsonBotTc*25))/(1-AP85*RdsonBotTc*ThetaJA_Q3)</f>
        <v>0.103021857816781</v>
      </c>
      <c r="AS85" s="488" t="n">
        <f aca="false">CHOOSE(J85, Rdson3*Q85^2, Rdson1*Q85^2, 0)</f>
        <v>0</v>
      </c>
      <c r="AT85" s="488" t="n">
        <f aca="false">CHOOSE(J85, 2*Deadtime*Fsw*IF(VfdSky_Q2&gt;0,VfdSky_Q2,0)*K85, 2*Deadtime*Fsw*IF(VfdSky_Q3&gt;0,VfdSky_Q3,0)*L85, 2*Deadtime*Fsw/2*IF(VfdSky_Q2&gt;0,VfdSky_Q2,0)*K85+2*Deadtime*Fsw/2*IF(VfdSky_Q3&gt;0,VfdSky_Q3,0)*L85)</f>
        <v>0</v>
      </c>
      <c r="AU85" s="488" t="n">
        <f aca="false">CHOOSE(J85, IF(QrrSky_Q2&gt;0,QrrSky_Q2,Qrr_Q2*K85/Iout)*Fsw*(Vin-K85*Rdson1), IF(QrrSky_Q3&gt;0,QrrSky_Q3,Qrr_Q3)*Fsw*Vout,  IF(QrrSky_Q2&gt;0,QrrSky_Q2,Qrr_Q2*K85/Iout)*Fsw/2*(Vin-K85*Rdson1)+IF(QrrSky_Q3&gt;0,QrrSky_Q3,Qrr_Q3)*Fsw/2*Vout)</f>
        <v>0.145397325456</v>
      </c>
      <c r="AV85" s="488" t="n">
        <f aca="false">CHOOSE(J85, Rs*AF85^2, Rs*AJ85^2, Rs*(AF85^2+AJ85^2))</f>
        <v>0.0164155500123352</v>
      </c>
      <c r="AW85" s="488" t="n">
        <f aca="false">Rshunt_std/1000*Iout^2</f>
        <v>0.14832</v>
      </c>
      <c r="AX85" s="488" t="n">
        <f aca="false">IF(Vout&gt;8, Iq*Vout, Iq*Vin)</f>
        <v>0.036</v>
      </c>
      <c r="AY85" s="488" t="n">
        <f aca="false">CHOOSE(J85, (Qg_Q1+Qg_Q2)*Fsw, (Qg_Q3+Qg_Q4)*Fsw, (Qg_Q1+Qg_Q2+Qg_Q3+Qg_Q4)*Fsw/2)*IF(Vout&gt;8, Vout, Vin)</f>
        <v>0.1188</v>
      </c>
      <c r="AZ85" s="488" t="n">
        <f aca="false">(Vin-Vdd)*Fsw*(Qg_Q1+Qg_Q2)+(RdsonDRT+RdsonDRT2)*Fsw*Qg_Q1*Vdd/(RdsonDRT+2*Rgate1+RdsonDRT2)+(RdsonDRB+RdsonDRB2)*Fsw*Qg_Q2*Vdd/(RdsonDRB+2*Rgate2+RdsonDRB2)</f>
        <v>0.0522</v>
      </c>
      <c r="BA85" s="488" t="n">
        <f aca="false">SUM(AX85:AY85)</f>
        <v>0.1548</v>
      </c>
      <c r="BB85" s="488" t="n">
        <f aca="false">SUM(T85,W85,Z85,AE85,AI85,AN85,AR85, AT85,AU85,BA85,AV85,AW85)</f>
        <v>0.903050108074576</v>
      </c>
      <c r="BC85" s="419" t="n">
        <f aca="false">Vout*K85</f>
        <v>54.72</v>
      </c>
      <c r="BD85" s="589" t="n">
        <f aca="false">BC85/(BC85+BB85)</f>
        <v>0.983764822203745</v>
      </c>
      <c r="BE85" s="590" t="n">
        <f aca="false">IF(Vin&gt;Vout,ThetaJA_Q1*BK85,ThetaJA_Q4*BK85)</f>
        <v>6.64165666045289</v>
      </c>
      <c r="BF85" s="590" t="n">
        <f aca="false">IF(Vin&gt;Vout, ThetaJA_Q2*BL85, ThetaJA_Q3*BL85)</f>
        <v>7.55014876086304</v>
      </c>
      <c r="BG85" s="536"/>
      <c r="BH85" s="385" t="n">
        <f aca="false">BD85*100</f>
        <v>98.3764822203745</v>
      </c>
      <c r="BI85" s="488" t="n">
        <f aca="false">T85</f>
        <v>0.076847462168631</v>
      </c>
      <c r="BJ85" s="488" t="n">
        <f aca="false">AE85+AI85+AN85+AR85+AU85</f>
        <v>0.501768080186804</v>
      </c>
      <c r="BK85" s="488" t="n">
        <f aca="false">IF(Vin&gt;Vout, AE85+AU85*0.66, AN85+AU85*0.66)</f>
        <v>0.132833133209058</v>
      </c>
      <c r="BL85" s="488" t="n">
        <f aca="false">IF(Vin&gt;Vout, AI85+AU85*0.33, AR85+AU85*0.33)</f>
        <v>0.151002975217261</v>
      </c>
      <c r="BM85" s="488" t="n">
        <f aca="false">AV85</f>
        <v>0.0164155500123352</v>
      </c>
      <c r="BS85" s="591"/>
      <c r="BT85" s="592"/>
    </row>
    <row r="86" customFormat="false" ht="12.75" hidden="false" customHeight="false" outlineLevel="0" collapsed="false">
      <c r="G86" s="0" t="n">
        <v>77</v>
      </c>
      <c r="H86" s="586" t="n">
        <f aca="false">Vin</f>
        <v>12</v>
      </c>
      <c r="I86" s="385" t="str">
        <f aca="false">IF(H86&gt;VIN_BB_to_buck, "BUCK", IF(H86&lt;VIN_boost_to_BB,"BOOST","BUCK-BST"))</f>
        <v>BUCK-BST</v>
      </c>
      <c r="J86" s="419" t="n">
        <f aca="false">IF(I86="BOOST",2, IF(I86="BUCK", 1,3))</f>
        <v>3</v>
      </c>
      <c r="K86" s="488" t="n">
        <f aca="false">Iout*G86/100</f>
        <v>4.62</v>
      </c>
      <c r="L86" s="385" t="n">
        <f aca="false">Vout*K86/(Vin*Efficiency)</f>
        <v>5.13333333333333</v>
      </c>
      <c r="M86" s="385" t="n">
        <f aca="false">K86/(1-O86)</f>
        <v>4.83769633507853</v>
      </c>
      <c r="N86" s="488" t="n">
        <f aca="false">CHOOSE(J86,(Vout+(Rdson2+Rs+Rdcr)*K86)/(Vin+(Rs+Rdson2-Rdson1)*K86), 1, IF(Vin&lt;Vout, D_max_buck_BB, Vout/Vin*(1-D_min_boost_exitBB_to_buck)))</f>
        <v>0.955</v>
      </c>
      <c r="O86" s="488" t="n">
        <f aca="false">CHOOSE(J86,0,(Vout+(Rdson3+Rdcr)*L86-Vin)/(Vout+(Rdson3-Rdson4-Rs)*L86), IF(Vin&gt;Vout,D_min_boost_exitBB_to_buck, (Vout-Vin*D_max_buck_BB)/Vout))</f>
        <v>0.0450000000000001</v>
      </c>
      <c r="P86" s="385" t="n">
        <f aca="false">MAX(0, CHOOSE(J86, (Vin-(Rdson1+Rdcr)*K86-Vout)*N86/(Fsw*Lf), (Vin-(Rdson4+Rdcr+Rs)*L86)*O86/(Fsw*Lf), IF(Vin&lt;Vout, (Vin-(Rdson4+Rdcr+Rs)*L86)*O86/(0.5*Fsw*Lf),(Vin-(Rdson1+Rdcr)*K86-Vout)*N86/(0.5*Fsw*Lf))))</f>
        <v>0</v>
      </c>
      <c r="Q86" s="385" t="n">
        <f aca="false">CHOOSE(J86, SQRT(K86^2+(P86^2)/12), SQRT(L86^2+(P86^2)/12), SQRT(M86^2+(P86^2)/12))</f>
        <v>4.83769633507853</v>
      </c>
      <c r="R86" s="488" t="n">
        <f aca="false">(Q86^2*Rdcr*(1+Ltc*Ta-Ltc*25))/(1-Q86^2*Rdcr*Ltc*ThetaCa)</f>
        <v>0.0788959165023455</v>
      </c>
      <c r="S86" s="488" t="n">
        <f aca="false">7.759*10^-3*Fsw^0.9458*(0.00787*P86)^2.304</f>
        <v>0</v>
      </c>
      <c r="T86" s="488" t="n">
        <f aca="false">R86+S86</f>
        <v>0.0788959165023455</v>
      </c>
      <c r="U86" s="385" t="n">
        <f aca="false">IF(Vin&gt;Vout, P86/SQRT(12), SQRT(O86/(1-O86))*SQRT(K86^2+(P86^2)/12))</f>
        <v>1.0028744029353</v>
      </c>
      <c r="V86" s="488" t="n">
        <f aca="false">RCoutEsr*U86^2</f>
        <v>0.00502878534031415</v>
      </c>
      <c r="W86" s="488" t="n">
        <f aca="false">V86</f>
        <v>0.00502878534031415</v>
      </c>
      <c r="X86" s="385" t="n">
        <f aca="false">IF(Vin&gt;Vout, SQRT(N86*(1-N86))*SQRT(K86^2+(P86^2)/12), P86/SQRT(12))</f>
        <v>0</v>
      </c>
      <c r="Y86" s="587" t="n">
        <f aca="false">RCinEsr*X86^2</f>
        <v>0</v>
      </c>
      <c r="Z86" s="588" t="n">
        <f aca="false">Y86</f>
        <v>0</v>
      </c>
      <c r="AA86" s="488" t="n">
        <f aca="false">CHOOSE(J86, SQRT(N86)*SQRT(K86^2+(P86^2)/12), SQRT(L86^2+(P86^2)/12), SQRT(N86)*SQRT(M86^2+(P86^2)/12))</f>
        <v>4.72759527329305</v>
      </c>
      <c r="AB86" s="488" t="n">
        <f aca="false">Rdson1*AA86^2</f>
        <v>0.127395895287958</v>
      </c>
      <c r="AC86" s="488" t="n">
        <f aca="false">CHOOSE(J86, (Vin*K86/2)*(Fsw)*(Tr_buck+Tf_buck), 0, (Vin*K86/2)*(Fsw/2)*(Tr_buck+Tf_buck))</f>
        <v>0.0282290616929699</v>
      </c>
      <c r="AD86" s="488" t="n">
        <f aca="false">CHOOSE(J86, IF(K86&gt;P86/2,0,ABS(K86-P86/2)*Vsd_Q1*Deadtime*Fsw),0, IF(K86&gt;P86/2,0,ABS(K86-P86/2)*Vsd_Q1*Deadtime*Fsw/2))</f>
        <v>0</v>
      </c>
      <c r="AE86" s="488" t="n">
        <f aca="false">(AD86+AC86+AB86*(1+RdsonTopTc*Ta-RdsonTopTc*25))/(1-AB86*RdsonTopTc*ThetaJA_Q1)</f>
        <v>0.159693824530533</v>
      </c>
      <c r="AF86" s="488" t="n">
        <f aca="false">CHOOSE(J86, SQRT((1-N86))*SQRT(K86^2+(P86^2)/12), 0, SQRT((1-N86))*SQRT(M86^2+(P86^2)/12))</f>
        <v>1.0262303651566</v>
      </c>
      <c r="AG86" s="488" t="n">
        <f aca="false">Rdson2*AF86^2</f>
        <v>0.00600294794550588</v>
      </c>
      <c r="AH86" s="488" t="n">
        <f aca="false">CHOOSE(J86, IF(K86&lt;P86/2,Deadtime*Fsw*IF(VfdSky_Q2&gt;0,0,Vsd_Q2)*(K86+P86/2),2*Deadtime*Fsw*IF(VfdSky_Q2&gt;0,0,Vsd_Q2)*K86),0, IF(K86&lt;P86/2,Deadtime*Fsw/2*IF(VfdSky_Q2&gt;0,0,Vsd_Q2)*(K86+P86/2),2*Deadtime*Fsw/2*IF(VfdSky_Q2&gt;0,0,Vsd_Q2)*K86))</f>
        <v>0.05544</v>
      </c>
      <c r="AI86" s="488" t="n">
        <f aca="false">(AH86+AG86*(1+RdsonBotTc*Ta-RdsonBotTc*25))/(1-AG86*RdsonBotTc*ThetaJA_Q2)</f>
        <v>0.0615168043803998</v>
      </c>
      <c r="AJ86" s="488" t="n">
        <f aca="false">CHOOSE(J86, 0, SQRT(O86)*SQRT(L86^2+(P86^2)/12), SQRT(O86)*SQRT(M86^2+(P86^2)/12))</f>
        <v>1.0262303651566</v>
      </c>
      <c r="AK86" s="488" t="n">
        <f aca="false">Rdson4*AJ86^2</f>
        <v>0.00200098264850196</v>
      </c>
      <c r="AL86" s="488" t="n">
        <f aca="false">CHOOSE(J86, 0, (Vout*L86/2)*(Fsw)*(Tr_boost+Tf_boost), (Vout*Iout/2)*(Fsw/2)*(Tr_boost+Tf_boost))</f>
        <v>0.0349071770123085</v>
      </c>
      <c r="AM86" s="488" t="n">
        <f aca="false">IF(H86&gt;Vout, 0, IF(L86&gt;P86/2,0,ABS(L86-P86/2)*Vsd_Q4*Deadtime*Fsw))</f>
        <v>0</v>
      </c>
      <c r="AN86" s="488" t="n">
        <f aca="false">(AM86+AL86+AK86*(1+RdsonTopTc*Ta-RdsonTopTc*25))/(1-AK86*RdsonTopTc*ThetaJA_Q4)</f>
        <v>0.0369229360917007</v>
      </c>
      <c r="AO86" s="488" t="n">
        <f aca="false">CHOOSE(J86, SQRT(K86^2+(P86^2)/12), SQRT(1-O86)*SQRT(L86^2+(P86^2)/12), SQRT(1-O86)*SQRT(M86^2+(P86^2)/12))</f>
        <v>4.72759527329305</v>
      </c>
      <c r="AP86" s="488" t="n">
        <f aca="false">Rdson3*AO86^2</f>
        <v>0.0424652984293194</v>
      </c>
      <c r="AQ86" s="488" t="n">
        <f aca="false">CHOOSE(J86, 0, IF(L86&lt;P86/2,Deadtime*Fsw*IF(VfdSky_Q3&gt;0,0,Vsd_Q3)*(L86+P86/2), 2*Deadtime*Fsw*IF(VfdSky_Q3&gt;0,0,Vsd_Q3)*L86), IF(L86&lt;P86/2,Deadtime*Fsw/2*IF(VfdSky_Q3&gt;0,0,Vsd_Q3)*(L86+P86/2), 2*Deadtime*Fsw/2*IF(VfdSky_Q3&gt;0,0,Vsd_Q3)*L86))</f>
        <v>0.0616</v>
      </c>
      <c r="AR86" s="488" t="n">
        <f aca="false">(AQ86+AP86*(1+RdsonBotTc*Ta-RdsonBotTc*25))/(1-AP86*RdsonBotTc*ThetaJA_Q3)</f>
        <v>0.104956701963527</v>
      </c>
      <c r="AS86" s="488" t="n">
        <f aca="false">CHOOSE(J86, Rdson3*Q86^2, Rdson1*Q86^2, 0)</f>
        <v>0</v>
      </c>
      <c r="AT86" s="488" t="n">
        <f aca="false">CHOOSE(J86, 2*Deadtime*Fsw*IF(VfdSky_Q2&gt;0,VfdSky_Q2,0)*K86, 2*Deadtime*Fsw*IF(VfdSky_Q3&gt;0,VfdSky_Q3,0)*L86, 2*Deadtime*Fsw/2*IF(VfdSky_Q2&gt;0,VfdSky_Q2,0)*K86+2*Deadtime*Fsw/2*IF(VfdSky_Q3&gt;0,VfdSky_Q3,0)*L86)</f>
        <v>0</v>
      </c>
      <c r="AU86" s="488" t="n">
        <f aca="false">CHOOSE(J86, IF(QrrSky_Q2&gt;0,QrrSky_Q2,Qrr_Q2*K86/Iout)*Fsw*(Vin-K86*Rdson1), IF(QrrSky_Q3&gt;0,QrrSky_Q3,Qrr_Q3)*Fsw*Vout,  IF(QrrSky_Q2&gt;0,QrrSky_Q2,Qrr_Q2*K86/Iout)*Fsw/2*(Vin-K86*Rdson1)+IF(QrrSky_Q3&gt;0,QrrSky_Q3,Qrr_Q3)*Fsw/2*Vout)</f>
        <v>0.146526380649</v>
      </c>
      <c r="AV86" s="488" t="n">
        <f aca="false">CHOOSE(J86, Rs*AF86^2, Rs*AJ86^2, Rs*(AF86^2+AJ86^2))</f>
        <v>0.0168503801979113</v>
      </c>
      <c r="AW86" s="488" t="n">
        <f aca="false">Rshunt_std/1000*Iout^2</f>
        <v>0.14832</v>
      </c>
      <c r="AX86" s="488" t="n">
        <f aca="false">IF(Vout&gt;8, Iq*Vout, Iq*Vin)</f>
        <v>0.036</v>
      </c>
      <c r="AY86" s="488" t="n">
        <f aca="false">CHOOSE(J86, (Qg_Q1+Qg_Q2)*Fsw, (Qg_Q3+Qg_Q4)*Fsw, (Qg_Q1+Qg_Q2+Qg_Q3+Qg_Q4)*Fsw/2)*IF(Vout&gt;8, Vout, Vin)</f>
        <v>0.1188</v>
      </c>
      <c r="AZ86" s="488" t="n">
        <f aca="false">(Vin-Vdd)*Fsw*(Qg_Q1+Qg_Q2)+(RdsonDRT+RdsonDRT2)*Fsw*Qg_Q1*Vdd/(RdsonDRT+2*Rgate1+RdsonDRT2)+(RdsonDRB+RdsonDRB2)*Fsw*Qg_Q2*Vdd/(RdsonDRB+2*Rgate2+RdsonDRB2)</f>
        <v>0.0522</v>
      </c>
      <c r="BA86" s="488" t="n">
        <f aca="false">SUM(AX86:AY86)</f>
        <v>0.1548</v>
      </c>
      <c r="BB86" s="488" t="n">
        <f aca="false">SUM(T86,W86,Z86,AE86,AI86,AN86,AR86, AT86,AU86,BA86,AV86,AW86)</f>
        <v>0.913511729655732</v>
      </c>
      <c r="BC86" s="419" t="n">
        <f aca="false">Vout*K86</f>
        <v>55.44</v>
      </c>
      <c r="BD86" s="589" t="n">
        <f aca="false">BC86/(BC86+BB86)</f>
        <v>0.983789621948706</v>
      </c>
      <c r="BE86" s="590" t="n">
        <f aca="false">IF(Vin&gt;Vout,ThetaJA_Q1*BK86,ThetaJA_Q4*BK86)</f>
        <v>6.68151736600204</v>
      </c>
      <c r="BF86" s="590" t="n">
        <f aca="false">IF(Vin&gt;Vout, ThetaJA_Q2*BL86, ThetaJA_Q3*BL86)</f>
        <v>7.66552037888485</v>
      </c>
      <c r="BG86" s="536"/>
      <c r="BH86" s="385" t="n">
        <f aca="false">BD86*100</f>
        <v>98.3789621948706</v>
      </c>
      <c r="BI86" s="488" t="n">
        <f aca="false">T86</f>
        <v>0.0788959165023455</v>
      </c>
      <c r="BJ86" s="488" t="n">
        <f aca="false">AE86+AI86+AN86+AR86+AU86</f>
        <v>0.509616647615161</v>
      </c>
      <c r="BK86" s="488" t="n">
        <f aca="false">IF(Vin&gt;Vout, AE86+AU86*0.66, AN86+AU86*0.66)</f>
        <v>0.133630347320041</v>
      </c>
      <c r="BL86" s="488" t="n">
        <f aca="false">IF(Vin&gt;Vout, AI86+AU86*0.33, AR86+AU86*0.33)</f>
        <v>0.153310407577697</v>
      </c>
      <c r="BM86" s="488" t="n">
        <f aca="false">AV86</f>
        <v>0.0168503801979113</v>
      </c>
      <c r="BS86" s="591"/>
      <c r="BT86" s="592"/>
    </row>
    <row r="87" customFormat="false" ht="12.75" hidden="false" customHeight="false" outlineLevel="0" collapsed="false">
      <c r="G87" s="0" t="n">
        <v>78</v>
      </c>
      <c r="H87" s="586" t="n">
        <f aca="false">Vin</f>
        <v>12</v>
      </c>
      <c r="I87" s="385" t="str">
        <f aca="false">IF(H87&gt;VIN_BB_to_buck, "BUCK", IF(H87&lt;VIN_boost_to_BB,"BOOST","BUCK-BST"))</f>
        <v>BUCK-BST</v>
      </c>
      <c r="J87" s="419" t="n">
        <f aca="false">IF(I87="BOOST",2, IF(I87="BUCK", 1,3))</f>
        <v>3</v>
      </c>
      <c r="K87" s="488" t="n">
        <f aca="false">Iout*G87/100</f>
        <v>4.68</v>
      </c>
      <c r="L87" s="385" t="n">
        <f aca="false">Vout*K87/(Vin*Efficiency)</f>
        <v>5.2</v>
      </c>
      <c r="M87" s="385" t="n">
        <f aca="false">K87/(1-O87)</f>
        <v>4.90052356020942</v>
      </c>
      <c r="N87" s="488" t="n">
        <f aca="false">CHOOSE(J87,(Vout+(Rdson2+Rs+Rdcr)*K87)/(Vin+(Rs+Rdson2-Rdson1)*K87), 1, IF(Vin&lt;Vout, D_max_buck_BB, Vout/Vin*(1-D_min_boost_exitBB_to_buck)))</f>
        <v>0.955</v>
      </c>
      <c r="O87" s="488" t="n">
        <f aca="false">CHOOSE(J87,0,(Vout+(Rdson3+Rdcr)*L87-Vin)/(Vout+(Rdson3-Rdson4-Rs)*L87), IF(Vin&gt;Vout,D_min_boost_exitBB_to_buck, (Vout-Vin*D_max_buck_BB)/Vout))</f>
        <v>0.0450000000000001</v>
      </c>
      <c r="P87" s="385" t="n">
        <f aca="false">MAX(0, CHOOSE(J87, (Vin-(Rdson1+Rdcr)*K87-Vout)*N87/(Fsw*Lf), (Vin-(Rdson4+Rdcr+Rs)*L87)*O87/(Fsw*Lf), IF(Vin&lt;Vout, (Vin-(Rdson4+Rdcr+Rs)*L87)*O87/(0.5*Fsw*Lf),(Vin-(Rdson1+Rdcr)*K87-Vout)*N87/(0.5*Fsw*Lf))))</f>
        <v>0</v>
      </c>
      <c r="Q87" s="385" t="n">
        <f aca="false">CHOOSE(J87, SQRT(K87^2+(P87^2)/12), SQRT(L87^2+(P87^2)/12), SQRT(M87^2+(P87^2)/12))</f>
        <v>4.90052356020942</v>
      </c>
      <c r="R87" s="488" t="n">
        <f aca="false">(Q87^2*Rdcr*(1+Ltc*Ta-Ltc*25))/(1-Q87^2*Rdcr*Ltc*ThetaCa)</f>
        <v>0.0809718285542951</v>
      </c>
      <c r="S87" s="488" t="n">
        <f aca="false">7.759*10^-3*Fsw^0.9458*(0.00787*P87)^2.304</f>
        <v>0</v>
      </c>
      <c r="T87" s="488" t="n">
        <f aca="false">R87+S87</f>
        <v>0.0809718285542951</v>
      </c>
      <c r="U87" s="385" t="n">
        <f aca="false">IF(Vin&gt;Vout, P87/SQRT(12), SQRT(O87/(1-O87))*SQRT(K87^2+(P87^2)/12))</f>
        <v>1.01589874583056</v>
      </c>
      <c r="V87" s="488" t="n">
        <f aca="false">RCoutEsr*U87^2</f>
        <v>0.00516025130890053</v>
      </c>
      <c r="W87" s="488" t="n">
        <f aca="false">V87</f>
        <v>0.00516025130890053</v>
      </c>
      <c r="X87" s="385" t="n">
        <f aca="false">IF(Vin&gt;Vout, SQRT(N87*(1-N87))*SQRT(K87^2+(P87^2)/12), P87/SQRT(12))</f>
        <v>0</v>
      </c>
      <c r="Y87" s="587" t="n">
        <f aca="false">RCinEsr*X87^2</f>
        <v>0</v>
      </c>
      <c r="Z87" s="588" t="n">
        <f aca="false">Y87</f>
        <v>0</v>
      </c>
      <c r="AA87" s="488" t="n">
        <f aca="false">CHOOSE(J87, SQRT(N87)*SQRT(K87^2+(P87^2)/12), SQRT(L87^2+(P87^2)/12), SQRT(N87)*SQRT(M87^2+(P87^2)/12))</f>
        <v>4.78899261450465</v>
      </c>
      <c r="AB87" s="488" t="n">
        <f aca="false">Rdson1*AA87^2</f>
        <v>0.130726366492147</v>
      </c>
      <c r="AC87" s="488" t="n">
        <f aca="false">CHOOSE(J87, (Vin*K87/2)*(Fsw)*(Tr_buck+Tf_buck), 0, (Vin*K87/2)*(Fsw/2)*(Tr_buck+Tf_buck))</f>
        <v>0.0285956728837877</v>
      </c>
      <c r="AD87" s="488" t="n">
        <f aca="false">CHOOSE(J87, IF(K87&gt;P87/2,0,ABS(K87-P87/2)*Vsd_Q1*Deadtime*Fsw),0, IF(K87&gt;P87/2,0,ABS(K87-P87/2)*Vsd_Q1*Deadtime*Fsw/2))</f>
        <v>0</v>
      </c>
      <c r="AE87" s="488" t="n">
        <f aca="false">(AD87+AC87+AB87*(1+RdsonTopTc*Ta-RdsonTopTc*25))/(1-AB87*RdsonTopTc*ThetaJA_Q1)</f>
        <v>0.163599390142671</v>
      </c>
      <c r="AF87" s="488" t="n">
        <f aca="false">CHOOSE(J87, SQRT((1-N87))*SQRT(K87^2+(P87^2)/12), 0, SQRT((1-N87))*SQRT(M87^2+(P87^2)/12))</f>
        <v>1.03955803223656</v>
      </c>
      <c r="AG87" s="488" t="n">
        <f aca="false">Rdson2*AF87^2</f>
        <v>0.00615988114360901</v>
      </c>
      <c r="AH87" s="488" t="n">
        <f aca="false">CHOOSE(J87, IF(K87&lt;P87/2,Deadtime*Fsw*IF(VfdSky_Q2&gt;0,0,Vsd_Q2)*(K87+P87/2),2*Deadtime*Fsw*IF(VfdSky_Q2&gt;0,0,Vsd_Q2)*K87),0, IF(K87&lt;P87/2,Deadtime*Fsw/2*IF(VfdSky_Q2&gt;0,0,Vsd_Q2)*(K87+P87/2),2*Deadtime*Fsw/2*IF(VfdSky_Q2&gt;0,0,Vsd_Q2)*K87))</f>
        <v>0.05616</v>
      </c>
      <c r="AI87" s="488" t="n">
        <f aca="false">(AH87+AG87*(1+RdsonBotTc*Ta-RdsonBotTc*25))/(1-AG87*RdsonBotTc*ThetaJA_Q2)</f>
        <v>0.0623967524593884</v>
      </c>
      <c r="AJ87" s="488" t="n">
        <f aca="false">CHOOSE(J87, 0, SQRT(O87)*SQRT(L87^2+(P87^2)/12), SQRT(O87)*SQRT(M87^2+(P87^2)/12))</f>
        <v>1.03955803223656</v>
      </c>
      <c r="AK87" s="488" t="n">
        <f aca="false">Rdson4*AJ87^2</f>
        <v>0.00205329371453634</v>
      </c>
      <c r="AL87" s="488" t="n">
        <f aca="false">CHOOSE(J87, 0, (Vout*L87/2)*(Fsw)*(Tr_boost+Tf_boost), (Vout*Iout/2)*(Fsw/2)*(Tr_boost+Tf_boost))</f>
        <v>0.0349071770123085</v>
      </c>
      <c r="AM87" s="488" t="n">
        <f aca="false">IF(H87&gt;Vout, 0, IF(L87&gt;P87/2,0,ABS(L87-P87/2)*Vsd_Q4*Deadtime*Fsw))</f>
        <v>0</v>
      </c>
      <c r="AN87" s="488" t="n">
        <f aca="false">(AM87+AL87+AK87*(1+RdsonTopTc*Ta-RdsonTopTc*25))/(1-AK87*RdsonTopTc*ThetaJA_Q4)</f>
        <v>0.0369756551028876</v>
      </c>
      <c r="AO87" s="488" t="n">
        <f aca="false">CHOOSE(J87, SQRT(K87^2+(P87^2)/12), SQRT(1-O87)*SQRT(L87^2+(P87^2)/12), SQRT(1-O87)*SQRT(M87^2+(P87^2)/12))</f>
        <v>4.78899261450465</v>
      </c>
      <c r="AP87" s="488" t="n">
        <f aca="false">Rdson3*AO87^2</f>
        <v>0.0435754554973822</v>
      </c>
      <c r="AQ87" s="488" t="n">
        <f aca="false">CHOOSE(J87, 0, IF(L87&lt;P87/2,Deadtime*Fsw*IF(VfdSky_Q3&gt;0,0,Vsd_Q3)*(L87+P87/2), 2*Deadtime*Fsw*IF(VfdSky_Q3&gt;0,0,Vsd_Q3)*L87), IF(L87&lt;P87/2,Deadtime*Fsw/2*IF(VfdSky_Q3&gt;0,0,Vsd_Q3)*(L87+P87/2), 2*Deadtime*Fsw/2*IF(VfdSky_Q3&gt;0,0,Vsd_Q3)*L87))</f>
        <v>0.0624</v>
      </c>
      <c r="AR87" s="488" t="n">
        <f aca="false">(AQ87+AP87*(1+RdsonBotTc*Ta-RdsonBotTc*25))/(1-AP87*RdsonBotTc*ThetaJA_Q3)</f>
        <v>0.106907161145956</v>
      </c>
      <c r="AS87" s="488" t="n">
        <f aca="false">CHOOSE(J87, Rdson3*Q87^2, Rdson1*Q87^2, 0)</f>
        <v>0</v>
      </c>
      <c r="AT87" s="488" t="n">
        <f aca="false">CHOOSE(J87, 2*Deadtime*Fsw*IF(VfdSky_Q2&gt;0,VfdSky_Q2,0)*K87, 2*Deadtime*Fsw*IF(VfdSky_Q3&gt;0,VfdSky_Q3,0)*L87, 2*Deadtime*Fsw/2*IF(VfdSky_Q2&gt;0,VfdSky_Q2,0)*K87+2*Deadtime*Fsw/2*IF(VfdSky_Q3&gt;0,VfdSky_Q3,0)*L87)</f>
        <v>0</v>
      </c>
      <c r="AU87" s="488" t="n">
        <f aca="false">CHOOSE(J87, IF(QrrSky_Q2&gt;0,QrrSky_Q2,Qrr_Q2*K87/Iout)*Fsw*(Vin-K87*Rdson1), IF(QrrSky_Q3&gt;0,QrrSky_Q3,Qrr_Q3)*Fsw*Vout,  IF(QrrSky_Q2&gt;0,QrrSky_Q2,Qrr_Q2*K87/Iout)*Fsw/2*(Vin-K87*Rdson1)+IF(QrrSky_Q3&gt;0,QrrSky_Q3,Qrr_Q3)*Fsw/2*Vout)</f>
        <v>0.147655371204</v>
      </c>
      <c r="AV87" s="488" t="n">
        <f aca="false">CHOOSE(J87, Rs*AF87^2, Rs*AJ87^2, Rs*(AF87^2+AJ87^2))</f>
        <v>0.0172908944382007</v>
      </c>
      <c r="AW87" s="488" t="n">
        <f aca="false">Rshunt_std/1000*Iout^2</f>
        <v>0.14832</v>
      </c>
      <c r="AX87" s="488" t="n">
        <f aca="false">IF(Vout&gt;8, Iq*Vout, Iq*Vin)</f>
        <v>0.036</v>
      </c>
      <c r="AY87" s="488" t="n">
        <f aca="false">CHOOSE(J87, (Qg_Q1+Qg_Q2)*Fsw, (Qg_Q3+Qg_Q4)*Fsw, (Qg_Q1+Qg_Q2+Qg_Q3+Qg_Q4)*Fsw/2)*IF(Vout&gt;8, Vout, Vin)</f>
        <v>0.1188</v>
      </c>
      <c r="AZ87" s="488" t="n">
        <f aca="false">(Vin-Vdd)*Fsw*(Qg_Q1+Qg_Q2)+(RdsonDRT+RdsonDRT2)*Fsw*Qg_Q1*Vdd/(RdsonDRT+2*Rgate1+RdsonDRT2)+(RdsonDRB+RdsonDRB2)*Fsw*Qg_Q2*Vdd/(RdsonDRB+2*Rgate2+RdsonDRB2)</f>
        <v>0.0522</v>
      </c>
      <c r="BA87" s="488" t="n">
        <f aca="false">SUM(AX87:AY87)</f>
        <v>0.1548</v>
      </c>
      <c r="BB87" s="488" t="n">
        <f aca="false">SUM(T87,W87,Z87,AE87,AI87,AN87,AR87, AT87,AU87,BA87,AV87,AW87)</f>
        <v>0.924077304356299</v>
      </c>
      <c r="BC87" s="419" t="n">
        <f aca="false">Vout*K87</f>
        <v>56.16</v>
      </c>
      <c r="BD87" s="589" t="n">
        <f aca="false">BC87/(BC87+BB87)</f>
        <v>0.983811995428614</v>
      </c>
      <c r="BE87" s="590" t="n">
        <f aca="false">IF(Vin&gt;Vout,ThetaJA_Q1*BK87,ThetaJA_Q4*BK87)</f>
        <v>6.72141000487638</v>
      </c>
      <c r="BF87" s="590" t="n">
        <f aca="false">IF(Vin&gt;Vout, ThetaJA_Q2*BL87, ThetaJA_Q3*BL87)</f>
        <v>7.78167168216378</v>
      </c>
      <c r="BG87" s="536"/>
      <c r="BH87" s="385" t="n">
        <f aca="false">BD87*100</f>
        <v>98.3811995428614</v>
      </c>
      <c r="BI87" s="488" t="n">
        <f aca="false">T87</f>
        <v>0.0809718285542951</v>
      </c>
      <c r="BJ87" s="488" t="n">
        <f aca="false">AE87+AI87+AN87+AR87+AU87</f>
        <v>0.517534330054903</v>
      </c>
      <c r="BK87" s="488" t="n">
        <f aca="false">IF(Vin&gt;Vout, AE87+AU87*0.66, AN87+AU87*0.66)</f>
        <v>0.134428200097528</v>
      </c>
      <c r="BL87" s="488" t="n">
        <f aca="false">IF(Vin&gt;Vout, AI87+AU87*0.33, AR87+AU87*0.33)</f>
        <v>0.155633433643276</v>
      </c>
      <c r="BM87" s="488" t="n">
        <f aca="false">AV87</f>
        <v>0.0172908944382007</v>
      </c>
      <c r="BS87" s="591"/>
      <c r="BT87" s="592"/>
    </row>
    <row r="88" customFormat="false" ht="12.75" hidden="false" customHeight="false" outlineLevel="0" collapsed="false">
      <c r="G88" s="0" t="n">
        <v>79</v>
      </c>
      <c r="H88" s="586" t="n">
        <f aca="false">Vin</f>
        <v>12</v>
      </c>
      <c r="I88" s="385" t="str">
        <f aca="false">IF(H88&gt;VIN_BB_to_buck, "BUCK", IF(H88&lt;VIN_boost_to_BB,"BOOST","BUCK-BST"))</f>
        <v>BUCK-BST</v>
      </c>
      <c r="J88" s="419" t="n">
        <f aca="false">IF(I88="BOOST",2, IF(I88="BUCK", 1,3))</f>
        <v>3</v>
      </c>
      <c r="K88" s="488" t="n">
        <f aca="false">Iout*G88/100</f>
        <v>4.74</v>
      </c>
      <c r="L88" s="385" t="n">
        <f aca="false">Vout*K88/(Vin*Efficiency)</f>
        <v>5.26666666666667</v>
      </c>
      <c r="M88" s="385" t="n">
        <f aca="false">K88/(1-O88)</f>
        <v>4.96335078534032</v>
      </c>
      <c r="N88" s="488" t="n">
        <f aca="false">CHOOSE(J88,(Vout+(Rdson2+Rs+Rdcr)*K88)/(Vin+(Rs+Rdson2-Rdson1)*K88), 1, IF(Vin&lt;Vout, D_max_buck_BB, Vout/Vin*(1-D_min_boost_exitBB_to_buck)))</f>
        <v>0.955</v>
      </c>
      <c r="O88" s="488" t="n">
        <f aca="false">CHOOSE(J88,0,(Vout+(Rdson3+Rdcr)*L88-Vin)/(Vout+(Rdson3-Rdson4-Rs)*L88), IF(Vin&gt;Vout,D_min_boost_exitBB_to_buck, (Vout-Vin*D_max_buck_BB)/Vout))</f>
        <v>0.0450000000000001</v>
      </c>
      <c r="P88" s="385" t="n">
        <f aca="false">MAX(0, CHOOSE(J88, (Vin-(Rdson1+Rdcr)*K88-Vout)*N88/(Fsw*Lf), (Vin-(Rdson4+Rdcr+Rs)*L88)*O88/(Fsw*Lf), IF(Vin&lt;Vout, (Vin-(Rdson4+Rdcr+Rs)*L88)*O88/(0.5*Fsw*Lf),(Vin-(Rdson1+Rdcr)*K88-Vout)*N88/(0.5*Fsw*Lf))))</f>
        <v>0</v>
      </c>
      <c r="Q88" s="385" t="n">
        <f aca="false">CHOOSE(J88, SQRT(K88^2+(P88^2)/12), SQRT(L88^2+(P88^2)/12), SQRT(M88^2+(P88^2)/12))</f>
        <v>4.96335078534032</v>
      </c>
      <c r="R88" s="488" t="n">
        <f aca="false">(Q88^2*Rdcr*(1+Ltc*Ta-Ltc*25))/(1-Q88^2*Rdcr*Ltc*ThetaCa)</f>
        <v>0.0830752251846917</v>
      </c>
      <c r="S88" s="488" t="n">
        <f aca="false">7.759*10^-3*Fsw^0.9458*(0.00787*P88)^2.304</f>
        <v>0</v>
      </c>
      <c r="T88" s="488" t="n">
        <f aca="false">R88+S88</f>
        <v>0.0830752251846917</v>
      </c>
      <c r="U88" s="385" t="n">
        <f aca="false">IF(Vin&gt;Vout, P88/SQRT(12), SQRT(O88/(1-O88))*SQRT(K88^2+(P88^2)/12))</f>
        <v>1.02892308872582</v>
      </c>
      <c r="V88" s="488" t="n">
        <f aca="false">RCoutEsr*U88^2</f>
        <v>0.00529341361256545</v>
      </c>
      <c r="W88" s="488" t="n">
        <f aca="false">V88</f>
        <v>0.00529341361256545</v>
      </c>
      <c r="X88" s="385" t="n">
        <f aca="false">IF(Vin&gt;Vout, SQRT(N88*(1-N88))*SQRT(K88^2+(P88^2)/12), P88/SQRT(12))</f>
        <v>0</v>
      </c>
      <c r="Y88" s="587" t="n">
        <f aca="false">RCinEsr*X88^2</f>
        <v>0</v>
      </c>
      <c r="Z88" s="588" t="n">
        <f aca="false">Y88</f>
        <v>0</v>
      </c>
      <c r="AA88" s="488" t="n">
        <f aca="false">CHOOSE(J88, SQRT(N88)*SQRT(K88^2+(P88^2)/12), SQRT(L88^2+(P88^2)/12), SQRT(N88)*SQRT(M88^2+(P88^2)/12))</f>
        <v>4.85038995571625</v>
      </c>
      <c r="AB88" s="488" t="n">
        <f aca="false">Rdson1*AA88^2</f>
        <v>0.134099811518325</v>
      </c>
      <c r="AC88" s="488" t="n">
        <f aca="false">CHOOSE(J88, (Vin*K88/2)*(Fsw)*(Tr_buck+Tf_buck), 0, (Vin*K88/2)*(Fsw/2)*(Tr_buck+Tf_buck))</f>
        <v>0.0289622840746054</v>
      </c>
      <c r="AD88" s="488" t="n">
        <f aca="false">CHOOSE(J88, IF(K88&gt;P88/2,0,ABS(K88-P88/2)*Vsd_Q1*Deadtime*Fsw),0, IF(K88&gt;P88/2,0,ABS(K88-P88/2)*Vsd_Q1*Deadtime*Fsw/2))</f>
        <v>0</v>
      </c>
      <c r="AE88" s="488" t="n">
        <f aca="false">(AD88+AC88+AB88*(1+RdsonTopTc*Ta-RdsonTopTc*25))/(1-AB88*RdsonTopTc*ThetaJA_Q1)</f>
        <v>0.167555939576117</v>
      </c>
      <c r="AF88" s="488" t="n">
        <f aca="false">CHOOSE(J88, SQRT((1-N88))*SQRT(K88^2+(P88^2)/12), 0, SQRT((1-N88))*SQRT(M88^2+(P88^2)/12))</f>
        <v>1.05288569931651</v>
      </c>
      <c r="AG88" s="488" t="n">
        <f aca="false">Rdson2*AF88^2</f>
        <v>0.00631883928620379</v>
      </c>
      <c r="AH88" s="488" t="n">
        <f aca="false">CHOOSE(J88, IF(K88&lt;P88/2,Deadtime*Fsw*IF(VfdSky_Q2&gt;0,0,Vsd_Q2)*(K88+P88/2),2*Deadtime*Fsw*IF(VfdSky_Q2&gt;0,0,Vsd_Q2)*K88),0, IF(K88&lt;P88/2,Deadtime*Fsw/2*IF(VfdSky_Q2&gt;0,0,Vsd_Q2)*(K88+P88/2),2*Deadtime*Fsw/2*IF(VfdSky_Q2&gt;0,0,Vsd_Q2)*K88))</f>
        <v>0.05688</v>
      </c>
      <c r="AI88" s="488" t="n">
        <f aca="false">(AH88+AG88*(1+RdsonBotTc*Ta-RdsonBotTc*25))/(1-AG88*RdsonBotTc*ThetaJA_Q2)</f>
        <v>0.0632788090110765</v>
      </c>
      <c r="AJ88" s="488" t="n">
        <f aca="false">CHOOSE(J88, 0, SQRT(O88)*SQRT(L88^2+(P88^2)/12), SQRT(O88)*SQRT(M88^2+(P88^2)/12))</f>
        <v>1.05288569931651</v>
      </c>
      <c r="AK88" s="488" t="n">
        <f aca="false">Rdson4*AJ88^2</f>
        <v>0.00210627976206793</v>
      </c>
      <c r="AL88" s="488" t="n">
        <f aca="false">CHOOSE(J88, 0, (Vout*L88/2)*(Fsw)*(Tr_boost+Tf_boost), (Vout*Iout/2)*(Fsw/2)*(Tr_boost+Tf_boost))</f>
        <v>0.0349071770123085</v>
      </c>
      <c r="AM88" s="488" t="n">
        <f aca="false">IF(H88&gt;Vout, 0, IF(L88&gt;P88/2,0,ABS(L88-P88/2)*Vsd_Q4*Deadtime*Fsw))</f>
        <v>0</v>
      </c>
      <c r="AN88" s="488" t="n">
        <f aca="false">(AM88+AL88+AK88*(1+RdsonTopTc*Ta-RdsonTopTc*25))/(1-AK88*RdsonTopTc*ThetaJA_Q4)</f>
        <v>0.0370290554844115</v>
      </c>
      <c r="AO88" s="488" t="n">
        <f aca="false">CHOOSE(J88, SQRT(K88^2+(P88^2)/12), SQRT(1-O88)*SQRT(L88^2+(P88^2)/12), SQRT(1-O88)*SQRT(M88^2+(P88^2)/12))</f>
        <v>4.85038995571625</v>
      </c>
      <c r="AP88" s="488" t="n">
        <f aca="false">Rdson3*AO88^2</f>
        <v>0.0446999371727749</v>
      </c>
      <c r="AQ88" s="488" t="n">
        <f aca="false">CHOOSE(J88, 0, IF(L88&lt;P88/2,Deadtime*Fsw*IF(VfdSky_Q3&gt;0,0,Vsd_Q3)*(L88+P88/2), 2*Deadtime*Fsw*IF(VfdSky_Q3&gt;0,0,Vsd_Q3)*L88), IF(L88&lt;P88/2,Deadtime*Fsw/2*IF(VfdSky_Q3&gt;0,0,Vsd_Q3)*(L88+P88/2), 2*Deadtime*Fsw/2*IF(VfdSky_Q3&gt;0,0,Vsd_Q3)*L88))</f>
        <v>0.0632</v>
      </c>
      <c r="AR88" s="488" t="n">
        <f aca="false">(AQ88+AP88*(1+RdsonBotTc*Ta-RdsonBotTc*25))/(1-AP88*RdsonBotTc*ThetaJA_Q3)</f>
        <v>0.108873262773933</v>
      </c>
      <c r="AS88" s="488" t="n">
        <f aca="false">CHOOSE(J88, Rdson3*Q88^2, Rdson1*Q88^2, 0)</f>
        <v>0</v>
      </c>
      <c r="AT88" s="488" t="n">
        <f aca="false">CHOOSE(J88, 2*Deadtime*Fsw*IF(VfdSky_Q2&gt;0,VfdSky_Q2,0)*K88, 2*Deadtime*Fsw*IF(VfdSky_Q3&gt;0,VfdSky_Q3,0)*L88, 2*Deadtime*Fsw/2*IF(VfdSky_Q2&gt;0,VfdSky_Q2,0)*K88+2*Deadtime*Fsw/2*IF(VfdSky_Q3&gt;0,VfdSky_Q3,0)*L88)</f>
        <v>0</v>
      </c>
      <c r="AU88" s="488" t="n">
        <f aca="false">CHOOSE(J88, IF(QrrSky_Q2&gt;0,QrrSky_Q2,Qrr_Q2*K88/Iout)*Fsw*(Vin-K88*Rdson1), IF(QrrSky_Q3&gt;0,QrrSky_Q3,Qrr_Q3)*Fsw*Vout,  IF(QrrSky_Q2&gt;0,QrrSky_Q2,Qrr_Q2*K88/Iout)*Fsw/2*(Vin-K88*Rdson1)+IF(QrrSky_Q3&gt;0,QrrSky_Q3,Qrr_Q3)*Fsw/2*Vout)</f>
        <v>0.148784297121</v>
      </c>
      <c r="AV88" s="488" t="n">
        <f aca="false">CHOOSE(J88, Rs*AF88^2, Rs*AJ88^2, Rs*(AF88^2+AJ88^2))</f>
        <v>0.0177370927332036</v>
      </c>
      <c r="AW88" s="488" t="n">
        <f aca="false">Rshunt_std/1000*Iout^2</f>
        <v>0.14832</v>
      </c>
      <c r="AX88" s="488" t="n">
        <f aca="false">IF(Vout&gt;8, Iq*Vout, Iq*Vin)</f>
        <v>0.036</v>
      </c>
      <c r="AY88" s="488" t="n">
        <f aca="false">CHOOSE(J88, (Qg_Q1+Qg_Q2)*Fsw, (Qg_Q3+Qg_Q4)*Fsw, (Qg_Q1+Qg_Q2+Qg_Q3+Qg_Q4)*Fsw/2)*IF(Vout&gt;8, Vout, Vin)</f>
        <v>0.1188</v>
      </c>
      <c r="AZ88" s="488" t="n">
        <f aca="false">(Vin-Vdd)*Fsw*(Qg_Q1+Qg_Q2)+(RdsonDRT+RdsonDRT2)*Fsw*Qg_Q1*Vdd/(RdsonDRT+2*Rgate1+RdsonDRT2)+(RdsonDRB+RdsonDRB2)*Fsw*Qg_Q2*Vdd/(RdsonDRB+2*Rgate2+RdsonDRB2)</f>
        <v>0.0522</v>
      </c>
      <c r="BA88" s="488" t="n">
        <f aca="false">SUM(AX88:AY88)</f>
        <v>0.1548</v>
      </c>
      <c r="BB88" s="488" t="n">
        <f aca="false">SUM(T88,W88,Z88,AE88,AI88,AN88,AR88, AT88,AU88,BA88,AV88,AW88)</f>
        <v>0.934747095496998</v>
      </c>
      <c r="BC88" s="419" t="n">
        <f aca="false">Vout*K88</f>
        <v>56.88</v>
      </c>
      <c r="BD88" s="589" t="n">
        <f aca="false">BC88/(BC88+BB88)</f>
        <v>0.983832030019036</v>
      </c>
      <c r="BE88" s="590" t="n">
        <f aca="false">IF(Vin&gt;Vout,ThetaJA_Q1*BK88,ThetaJA_Q4*BK88)</f>
        <v>6.76133457921358</v>
      </c>
      <c r="BF88" s="590" t="n">
        <f aca="false">IF(Vin&gt;Vout, ThetaJA_Q2*BL88, ThetaJA_Q3*BL88)</f>
        <v>7.89860404119314</v>
      </c>
      <c r="BG88" s="536"/>
      <c r="BH88" s="385" t="n">
        <f aca="false">BD88*100</f>
        <v>98.3832030019036</v>
      </c>
      <c r="BI88" s="488" t="n">
        <f aca="false">T88</f>
        <v>0.0830752251846917</v>
      </c>
      <c r="BJ88" s="488" t="n">
        <f aca="false">AE88+AI88+AN88+AR88+AU88</f>
        <v>0.525521363966538</v>
      </c>
      <c r="BK88" s="488" t="n">
        <f aca="false">IF(Vin&gt;Vout, AE88+AU88*0.66, AN88+AU88*0.66)</f>
        <v>0.135226691584272</v>
      </c>
      <c r="BL88" s="488" t="n">
        <f aca="false">IF(Vin&gt;Vout, AI88+AU88*0.33, AR88+AU88*0.33)</f>
        <v>0.157972080823863</v>
      </c>
      <c r="BM88" s="488" t="n">
        <f aca="false">AV88</f>
        <v>0.0177370927332036</v>
      </c>
      <c r="BS88" s="591"/>
      <c r="BT88" s="592"/>
    </row>
    <row r="89" customFormat="false" ht="12.75" hidden="false" customHeight="false" outlineLevel="0" collapsed="false">
      <c r="G89" s="0" t="n">
        <v>80</v>
      </c>
      <c r="H89" s="586" t="n">
        <f aca="false">Vin</f>
        <v>12</v>
      </c>
      <c r="I89" s="385" t="str">
        <f aca="false">IF(H89&gt;VIN_BB_to_buck, "BUCK", IF(H89&lt;VIN_boost_to_BB,"BOOST","BUCK-BST"))</f>
        <v>BUCK-BST</v>
      </c>
      <c r="J89" s="419" t="n">
        <f aca="false">IF(I89="BOOST",2, IF(I89="BUCK", 1,3))</f>
        <v>3</v>
      </c>
      <c r="K89" s="488" t="n">
        <f aca="false">Iout*G89/100</f>
        <v>4.8</v>
      </c>
      <c r="L89" s="385" t="n">
        <f aca="false">Vout*K89/(Vin*Efficiency)</f>
        <v>5.33333333333333</v>
      </c>
      <c r="M89" s="385" t="n">
        <f aca="false">K89/(1-O89)</f>
        <v>5.0261780104712</v>
      </c>
      <c r="N89" s="488" t="n">
        <f aca="false">CHOOSE(J89,(Vout+(Rdson2+Rs+Rdcr)*K89)/(Vin+(Rs+Rdson2-Rdson1)*K89), 1, IF(Vin&lt;Vout, D_max_buck_BB, Vout/Vin*(1-D_min_boost_exitBB_to_buck)))</f>
        <v>0.955</v>
      </c>
      <c r="O89" s="488" t="n">
        <f aca="false">CHOOSE(J89,0,(Vout+(Rdson3+Rdcr)*L89-Vin)/(Vout+(Rdson3-Rdson4-Rs)*L89), IF(Vin&gt;Vout,D_min_boost_exitBB_to_buck, (Vout-Vin*D_max_buck_BB)/Vout))</f>
        <v>0.0450000000000001</v>
      </c>
      <c r="P89" s="385" t="n">
        <f aca="false">MAX(0, CHOOSE(J89, (Vin-(Rdson1+Rdcr)*K89-Vout)*N89/(Fsw*Lf), (Vin-(Rdson4+Rdcr+Rs)*L89)*O89/(Fsw*Lf), IF(Vin&lt;Vout, (Vin-(Rdson4+Rdcr+Rs)*L89)*O89/(0.5*Fsw*Lf),(Vin-(Rdson1+Rdcr)*K89-Vout)*N89/(0.5*Fsw*Lf))))</f>
        <v>0</v>
      </c>
      <c r="Q89" s="385" t="n">
        <f aca="false">CHOOSE(J89, SQRT(K89^2+(P89^2)/12), SQRT(L89^2+(P89^2)/12), SQRT(M89^2+(P89^2)/12))</f>
        <v>5.0261780104712</v>
      </c>
      <c r="R89" s="488" t="n">
        <f aca="false">(Q89^2*Rdcr*(1+Ltc*Ta-Ltc*25))/(1-Q89^2*Rdcr*Ltc*ThetaCa)</f>
        <v>0.0852061336228764</v>
      </c>
      <c r="S89" s="488" t="n">
        <f aca="false">7.759*10^-3*Fsw^0.9458*(0.00787*P89)^2.304</f>
        <v>0</v>
      </c>
      <c r="T89" s="488" t="n">
        <f aca="false">R89+S89</f>
        <v>0.0852061336228764</v>
      </c>
      <c r="U89" s="385" t="n">
        <f aca="false">IF(Vin&gt;Vout, P89/SQRT(12), SQRT(O89/(1-O89))*SQRT(K89^2+(P89^2)/12))</f>
        <v>1.04194743162109</v>
      </c>
      <c r="V89" s="488" t="n">
        <f aca="false">RCoutEsr*U89^2</f>
        <v>0.00542827225130891</v>
      </c>
      <c r="W89" s="488" t="n">
        <f aca="false">V89</f>
        <v>0.00542827225130891</v>
      </c>
      <c r="X89" s="385" t="n">
        <f aca="false">IF(Vin&gt;Vout, SQRT(N89*(1-N89))*SQRT(K89^2+(P89^2)/12), P89/SQRT(12))</f>
        <v>0</v>
      </c>
      <c r="Y89" s="587" t="n">
        <f aca="false">RCinEsr*X89^2</f>
        <v>0</v>
      </c>
      <c r="Z89" s="588" t="n">
        <f aca="false">Y89</f>
        <v>0</v>
      </c>
      <c r="AA89" s="488" t="n">
        <f aca="false">CHOOSE(J89, SQRT(N89)*SQRT(K89^2+(P89^2)/12), SQRT(L89^2+(P89^2)/12), SQRT(N89)*SQRT(M89^2+(P89^2)/12))</f>
        <v>4.91178729692785</v>
      </c>
      <c r="AB89" s="488" t="n">
        <f aca="false">Rdson1*AA89^2</f>
        <v>0.137516230366492</v>
      </c>
      <c r="AC89" s="488" t="n">
        <f aca="false">CHOOSE(J89, (Vin*K89/2)*(Fsw)*(Tr_buck+Tf_buck), 0, (Vin*K89/2)*(Fsw/2)*(Tr_buck+Tf_buck))</f>
        <v>0.0293288952654232</v>
      </c>
      <c r="AD89" s="488" t="n">
        <f aca="false">CHOOSE(J89, IF(K89&gt;P89/2,0,ABS(K89-P89/2)*Vsd_Q1*Deadtime*Fsw),0, IF(K89&gt;P89/2,0,ABS(K89-P89/2)*Vsd_Q1*Deadtime*Fsw/2))</f>
        <v>0</v>
      </c>
      <c r="AE89" s="488" t="n">
        <f aca="false">(AD89+AC89+AB89*(1+RdsonTopTc*Ta-RdsonTopTc*25))/(1-AB89*RdsonTopTc*ThetaJA_Q1)</f>
        <v>0.171563683845973</v>
      </c>
      <c r="AF89" s="488" t="n">
        <f aca="false">CHOOSE(J89, SQRT((1-N89))*SQRT(K89^2+(P89^2)/12), 0, SQRT((1-N89))*SQRT(M89^2+(P89^2)/12))</f>
        <v>1.06621336639647</v>
      </c>
      <c r="AG89" s="488" t="n">
        <f aca="false">Rdson2*AF89^2</f>
        <v>0.00647982237329021</v>
      </c>
      <c r="AH89" s="488" t="n">
        <f aca="false">CHOOSE(J89, IF(K89&lt;P89/2,Deadtime*Fsw*IF(VfdSky_Q2&gt;0,0,Vsd_Q2)*(K89+P89/2),2*Deadtime*Fsw*IF(VfdSky_Q2&gt;0,0,Vsd_Q2)*K89),0, IF(K89&lt;P89/2,Deadtime*Fsw/2*IF(VfdSky_Q2&gt;0,0,Vsd_Q2)*(K89+P89/2),2*Deadtime*Fsw/2*IF(VfdSky_Q2&gt;0,0,Vsd_Q2)*K89))</f>
        <v>0.0576</v>
      </c>
      <c r="AI89" s="488" t="n">
        <f aca="false">(AH89+AG89*(1+RdsonBotTc*Ta-RdsonBotTc*25))/(1-AG89*RdsonBotTc*ThetaJA_Q2)</f>
        <v>0.0641629753098802</v>
      </c>
      <c r="AJ89" s="488" t="n">
        <f aca="false">CHOOSE(J89, 0, SQRT(O89)*SQRT(L89^2+(P89^2)/12), SQRT(O89)*SQRT(M89^2+(P89^2)/12))</f>
        <v>1.06621336639647</v>
      </c>
      <c r="AK89" s="488" t="n">
        <f aca="false">Rdson4*AJ89^2</f>
        <v>0.00215994079109674</v>
      </c>
      <c r="AL89" s="488" t="n">
        <f aca="false">CHOOSE(J89, 0, (Vout*L89/2)*(Fsw)*(Tr_boost+Tf_boost), (Vout*Iout/2)*(Fsw/2)*(Tr_boost+Tf_boost))</f>
        <v>0.0349071770123085</v>
      </c>
      <c r="AM89" s="488" t="n">
        <f aca="false">IF(H89&gt;Vout, 0, IF(L89&gt;P89/2,0,ABS(L89-P89/2)*Vsd_Q4*Deadtime*Fsw))</f>
        <v>0</v>
      </c>
      <c r="AN89" s="488" t="n">
        <f aca="false">(AM89+AL89+AK89*(1+RdsonTopTc*Ta-RdsonTopTc*25))/(1-AK89*RdsonTopTc*ThetaJA_Q4)</f>
        <v>0.0370831372795797</v>
      </c>
      <c r="AO89" s="488" t="n">
        <f aca="false">CHOOSE(J89, SQRT(K89^2+(P89^2)/12), SQRT(1-O89)*SQRT(L89^2+(P89^2)/12), SQRT(1-O89)*SQRT(M89^2+(P89^2)/12))</f>
        <v>4.91178729692785</v>
      </c>
      <c r="AP89" s="488" t="n">
        <f aca="false">Rdson3*AO89^2</f>
        <v>0.0458387434554974</v>
      </c>
      <c r="AQ89" s="488" t="n">
        <f aca="false">CHOOSE(J89, 0, IF(L89&lt;P89/2,Deadtime*Fsw*IF(VfdSky_Q3&gt;0,0,Vsd_Q3)*(L89+P89/2), 2*Deadtime*Fsw*IF(VfdSky_Q3&gt;0,0,Vsd_Q3)*L89), IF(L89&lt;P89/2,Deadtime*Fsw/2*IF(VfdSky_Q3&gt;0,0,Vsd_Q3)*(L89+P89/2), 2*Deadtime*Fsw/2*IF(VfdSky_Q3&gt;0,0,Vsd_Q3)*L89))</f>
        <v>0.064</v>
      </c>
      <c r="AR89" s="488" t="n">
        <f aca="false">(AQ89+AP89*(1+RdsonBotTc*Ta-RdsonBotTc*25))/(1-AP89*RdsonBotTc*ThetaJA_Q3)</f>
        <v>0.110855034553426</v>
      </c>
      <c r="AS89" s="488" t="n">
        <f aca="false">CHOOSE(J89, Rdson3*Q89^2, Rdson1*Q89^2, 0)</f>
        <v>0</v>
      </c>
      <c r="AT89" s="488" t="n">
        <f aca="false">CHOOSE(J89, 2*Deadtime*Fsw*IF(VfdSky_Q2&gt;0,VfdSky_Q2,0)*K89, 2*Deadtime*Fsw*IF(VfdSky_Q3&gt;0,VfdSky_Q3,0)*L89, 2*Deadtime*Fsw/2*IF(VfdSky_Q2&gt;0,VfdSky_Q2,0)*K89+2*Deadtime*Fsw/2*IF(VfdSky_Q3&gt;0,VfdSky_Q3,0)*L89)</f>
        <v>0</v>
      </c>
      <c r="AU89" s="488" t="n">
        <f aca="false">CHOOSE(J89, IF(QrrSky_Q2&gt;0,QrrSky_Q2,Qrr_Q2*K89/Iout)*Fsw*(Vin-K89*Rdson1), IF(QrrSky_Q3&gt;0,QrrSky_Q3,Qrr_Q3)*Fsw*Vout,  IF(QrrSky_Q2&gt;0,QrrSky_Q2,Qrr_Q2*K89/Iout)*Fsw/2*(Vin-K89*Rdson1)+IF(QrrSky_Q3&gt;0,QrrSky_Q3,Qrr_Q3)*Fsw/2*Vout)</f>
        <v>0.1499131584</v>
      </c>
      <c r="AV89" s="488" t="n">
        <f aca="false">CHOOSE(J89, Rs*AF89^2, Rs*AJ89^2, Rs*(AF89^2+AJ89^2))</f>
        <v>0.0181889750829199</v>
      </c>
      <c r="AW89" s="488" t="n">
        <f aca="false">Rshunt_std/1000*Iout^2</f>
        <v>0.14832</v>
      </c>
      <c r="AX89" s="488" t="n">
        <f aca="false">IF(Vout&gt;8, Iq*Vout, Iq*Vin)</f>
        <v>0.036</v>
      </c>
      <c r="AY89" s="488" t="n">
        <f aca="false">CHOOSE(J89, (Qg_Q1+Qg_Q2)*Fsw, (Qg_Q3+Qg_Q4)*Fsw, (Qg_Q1+Qg_Q2+Qg_Q3+Qg_Q4)*Fsw/2)*IF(Vout&gt;8, Vout, Vin)</f>
        <v>0.1188</v>
      </c>
      <c r="AZ89" s="488" t="n">
        <f aca="false">(Vin-Vdd)*Fsw*(Qg_Q1+Qg_Q2)+(RdsonDRT+RdsonDRT2)*Fsw*Qg_Q1*Vdd/(RdsonDRT+2*Rgate1+RdsonDRT2)+(RdsonDRB+RdsonDRB2)*Fsw*Qg_Q2*Vdd/(RdsonDRB+2*Rgate2+RdsonDRB2)</f>
        <v>0.0522</v>
      </c>
      <c r="BA89" s="488" t="n">
        <f aca="false">SUM(AX89:AY89)</f>
        <v>0.1548</v>
      </c>
      <c r="BB89" s="488" t="n">
        <f aca="false">SUM(T89,W89,Z89,AE89,AI89,AN89,AR89, AT89,AU89,BA89,AV89,AW89)</f>
        <v>0.945521370345964</v>
      </c>
      <c r="BC89" s="419" t="n">
        <f aca="false">Vout*K89</f>
        <v>57.6</v>
      </c>
      <c r="BD89" s="589" t="n">
        <f aca="false">BC89/(BC89+BB89)</f>
        <v>0.9838498086922</v>
      </c>
      <c r="BE89" s="590" t="n">
        <f aca="false">IF(Vin&gt;Vout,ThetaJA_Q1*BK89,ThetaJA_Q4*BK89)</f>
        <v>6.80129109117898</v>
      </c>
      <c r="BF89" s="590" t="n">
        <f aca="false">IF(Vin&gt;Vout, ThetaJA_Q2*BL89, ThetaJA_Q3*BL89)</f>
        <v>8.01631884127132</v>
      </c>
      <c r="BG89" s="536"/>
      <c r="BH89" s="385" t="n">
        <f aca="false">BD89*100</f>
        <v>98.38498086922</v>
      </c>
      <c r="BI89" s="488" t="n">
        <f aca="false">T89</f>
        <v>0.0852061336228764</v>
      </c>
      <c r="BJ89" s="488" t="n">
        <f aca="false">AE89+AI89+AN89+AR89+AU89</f>
        <v>0.533577989388859</v>
      </c>
      <c r="BK89" s="488" t="n">
        <f aca="false">IF(Vin&gt;Vout, AE89+AU89*0.66, AN89+AU89*0.66)</f>
        <v>0.13602582182358</v>
      </c>
      <c r="BL89" s="488" t="n">
        <f aca="false">IF(Vin&gt;Vout, AI89+AU89*0.33, AR89+AU89*0.33)</f>
        <v>0.160326376825426</v>
      </c>
      <c r="BM89" s="488" t="n">
        <f aca="false">AV89</f>
        <v>0.0181889750829199</v>
      </c>
      <c r="BS89" s="591"/>
      <c r="BT89" s="592"/>
    </row>
    <row r="90" customFormat="false" ht="12.75" hidden="false" customHeight="false" outlineLevel="0" collapsed="false">
      <c r="G90" s="0" t="n">
        <v>81</v>
      </c>
      <c r="H90" s="586" t="n">
        <f aca="false">Vin</f>
        <v>12</v>
      </c>
      <c r="I90" s="385" t="str">
        <f aca="false">IF(H90&gt;VIN_BB_to_buck, "BUCK", IF(H90&lt;VIN_boost_to_BB,"BOOST","BUCK-BST"))</f>
        <v>BUCK-BST</v>
      </c>
      <c r="J90" s="419" t="n">
        <f aca="false">IF(I90="BOOST",2, IF(I90="BUCK", 1,3))</f>
        <v>3</v>
      </c>
      <c r="K90" s="488" t="n">
        <f aca="false">Iout*G90/100</f>
        <v>4.86</v>
      </c>
      <c r="L90" s="385" t="n">
        <f aca="false">Vout*K90/(Vin*Efficiency)</f>
        <v>5.4</v>
      </c>
      <c r="M90" s="385" t="n">
        <f aca="false">K90/(1-O90)</f>
        <v>5.08900523560209</v>
      </c>
      <c r="N90" s="488" t="n">
        <f aca="false">CHOOSE(J90,(Vout+(Rdson2+Rs+Rdcr)*K90)/(Vin+(Rs+Rdson2-Rdson1)*K90), 1, IF(Vin&lt;Vout, D_max_buck_BB, Vout/Vin*(1-D_min_boost_exitBB_to_buck)))</f>
        <v>0.955</v>
      </c>
      <c r="O90" s="488" t="n">
        <f aca="false">CHOOSE(J90,0,(Vout+(Rdson3+Rdcr)*L90-Vin)/(Vout+(Rdson3-Rdson4-Rs)*L90), IF(Vin&gt;Vout,D_min_boost_exitBB_to_buck, (Vout-Vin*D_max_buck_BB)/Vout))</f>
        <v>0.0450000000000001</v>
      </c>
      <c r="P90" s="385" t="n">
        <f aca="false">MAX(0, CHOOSE(J90, (Vin-(Rdson1+Rdcr)*K90-Vout)*N90/(Fsw*Lf), (Vin-(Rdson4+Rdcr+Rs)*L90)*O90/(Fsw*Lf), IF(Vin&lt;Vout, (Vin-(Rdson4+Rdcr+Rs)*L90)*O90/(0.5*Fsw*Lf),(Vin-(Rdson1+Rdcr)*K90-Vout)*N90/(0.5*Fsw*Lf))))</f>
        <v>0</v>
      </c>
      <c r="Q90" s="385" t="n">
        <f aca="false">CHOOSE(J90, SQRT(K90^2+(P90^2)/12), SQRT(L90^2+(P90^2)/12), SQRT(M90^2+(P90^2)/12))</f>
        <v>5.08900523560209</v>
      </c>
      <c r="R90" s="488" t="n">
        <f aca="false">(Q90^2*Rdcr*(1+Ltc*Ta-Ltc*25))/(1-Q90^2*Rdcr*Ltc*ThetaCa)</f>
        <v>0.0873645814682094</v>
      </c>
      <c r="S90" s="488" t="n">
        <f aca="false">7.759*10^-3*Fsw^0.9458*(0.00787*P90)^2.304</f>
        <v>0</v>
      </c>
      <c r="T90" s="488" t="n">
        <f aca="false">R90+S90</f>
        <v>0.0873645814682094</v>
      </c>
      <c r="U90" s="385" t="n">
        <f aca="false">IF(Vin&gt;Vout, P90/SQRT(12), SQRT(O90/(1-O90))*SQRT(K90^2+(P90^2)/12))</f>
        <v>1.05497177451635</v>
      </c>
      <c r="V90" s="488" t="n">
        <f aca="false">RCoutEsr*U90^2</f>
        <v>0.0055648272251309</v>
      </c>
      <c r="W90" s="488" t="n">
        <f aca="false">V90</f>
        <v>0.0055648272251309</v>
      </c>
      <c r="X90" s="385" t="n">
        <f aca="false">IF(Vin&gt;Vout, SQRT(N90*(1-N90))*SQRT(K90^2+(P90^2)/12), P90/SQRT(12))</f>
        <v>0</v>
      </c>
      <c r="Y90" s="587" t="n">
        <f aca="false">RCinEsr*X90^2</f>
        <v>0</v>
      </c>
      <c r="Z90" s="588" t="n">
        <f aca="false">Y90</f>
        <v>0</v>
      </c>
      <c r="AA90" s="488" t="n">
        <f aca="false">CHOOSE(J90, SQRT(N90)*SQRT(K90^2+(P90^2)/12), SQRT(L90^2+(P90^2)/12), SQRT(N90)*SQRT(M90^2+(P90^2)/12))</f>
        <v>4.97318463813945</v>
      </c>
      <c r="AB90" s="488" t="n">
        <f aca="false">Rdson1*AA90^2</f>
        <v>0.140975623036649</v>
      </c>
      <c r="AC90" s="488" t="n">
        <f aca="false">CHOOSE(J90, (Vin*K90/2)*(Fsw)*(Tr_buck+Tf_buck), 0, (Vin*K90/2)*(Fsw/2)*(Tr_buck+Tf_buck))</f>
        <v>0.029695506456241</v>
      </c>
      <c r="AD90" s="488" t="n">
        <f aca="false">CHOOSE(J90, IF(K90&gt;P90/2,0,ABS(K90-P90/2)*Vsd_Q1*Deadtime*Fsw),0, IF(K90&gt;P90/2,0,ABS(K90-P90/2)*Vsd_Q1*Deadtime*Fsw/2))</f>
        <v>0</v>
      </c>
      <c r="AE90" s="488" t="n">
        <f aca="false">(AD90+AC90+AB90*(1+RdsonTopTc*Ta-RdsonTopTc*25))/(1-AB90*RdsonTopTc*ThetaJA_Q1)</f>
        <v>0.175622837273716</v>
      </c>
      <c r="AF90" s="488" t="n">
        <f aca="false">CHOOSE(J90, SQRT((1-N90))*SQRT(K90^2+(P90^2)/12), 0, SQRT((1-N90))*SQRT(M90^2+(P90^2)/12))</f>
        <v>1.07954103347643</v>
      </c>
      <c r="AG90" s="488" t="n">
        <f aca="false">Rdson2*AF90^2</f>
        <v>0.0066428304048683</v>
      </c>
      <c r="AH90" s="488" t="n">
        <f aca="false">CHOOSE(J90, IF(K90&lt;P90/2,Deadtime*Fsw*IF(VfdSky_Q2&gt;0,0,Vsd_Q2)*(K90+P90/2),2*Deadtime*Fsw*IF(VfdSky_Q2&gt;0,0,Vsd_Q2)*K90),0, IF(K90&lt;P90/2,Deadtime*Fsw/2*IF(VfdSky_Q2&gt;0,0,Vsd_Q2)*(K90+P90/2),2*Deadtime*Fsw/2*IF(VfdSky_Q2&gt;0,0,Vsd_Q2)*K90))</f>
        <v>0.05832</v>
      </c>
      <c r="AI90" s="488" t="n">
        <f aca="false">(AH90+AG90*(1+RdsonBotTc*Ta-RdsonBotTc*25))/(1-AG90*RdsonBotTc*ThetaJA_Q2)</f>
        <v>0.0650492526355125</v>
      </c>
      <c r="AJ90" s="488" t="n">
        <f aca="false">CHOOSE(J90, 0, SQRT(O90)*SQRT(L90^2+(P90^2)/12), SQRT(O90)*SQRT(M90^2+(P90^2)/12))</f>
        <v>1.07954103347643</v>
      </c>
      <c r="AK90" s="488" t="n">
        <f aca="false">Rdson4*AJ90^2</f>
        <v>0.00221427680162277</v>
      </c>
      <c r="AL90" s="488" t="n">
        <f aca="false">CHOOSE(J90, 0, (Vout*L90/2)*(Fsw)*(Tr_boost+Tf_boost), (Vout*Iout/2)*(Fsw/2)*(Tr_boost+Tf_boost))</f>
        <v>0.0349071770123085</v>
      </c>
      <c r="AM90" s="488" t="n">
        <f aca="false">IF(H90&gt;Vout, 0, IF(L90&gt;P90/2,0,ABS(L90-P90/2)*Vsd_Q4*Deadtime*Fsw))</f>
        <v>0</v>
      </c>
      <c r="AN90" s="488" t="n">
        <f aca="false">(AM90+AL90+AK90*(1+RdsonTopTc*Ta-RdsonTopTc*25))/(1-AK90*RdsonTopTc*ThetaJA_Q4)</f>
        <v>0.0371379005322532</v>
      </c>
      <c r="AO90" s="488" t="n">
        <f aca="false">CHOOSE(J90, SQRT(K90^2+(P90^2)/12), SQRT(1-O90)*SQRT(L90^2+(P90^2)/12), SQRT(1-O90)*SQRT(M90^2+(P90^2)/12))</f>
        <v>4.97318463813945</v>
      </c>
      <c r="AP90" s="488" t="n">
        <f aca="false">Rdson3*AO90^2</f>
        <v>0.0469918743455497</v>
      </c>
      <c r="AQ90" s="488" t="n">
        <f aca="false">CHOOSE(J90, 0, IF(L90&lt;P90/2,Deadtime*Fsw*IF(VfdSky_Q3&gt;0,0,Vsd_Q3)*(L90+P90/2), 2*Deadtime*Fsw*IF(VfdSky_Q3&gt;0,0,Vsd_Q3)*L90), IF(L90&lt;P90/2,Deadtime*Fsw/2*IF(VfdSky_Q3&gt;0,0,Vsd_Q3)*(L90+P90/2), 2*Deadtime*Fsw/2*IF(VfdSky_Q3&gt;0,0,Vsd_Q3)*L90))</f>
        <v>0.0648</v>
      </c>
      <c r="AR90" s="488" t="n">
        <f aca="false">(AQ90+AP90*(1+RdsonBotTc*Ta-RdsonBotTc*25))/(1-AP90*RdsonBotTc*ThetaJA_Q3)</f>
        <v>0.112852504487643</v>
      </c>
      <c r="AS90" s="488" t="n">
        <f aca="false">CHOOSE(J90, Rdson3*Q90^2, Rdson1*Q90^2, 0)</f>
        <v>0</v>
      </c>
      <c r="AT90" s="488" t="n">
        <f aca="false">CHOOSE(J90, 2*Deadtime*Fsw*IF(VfdSky_Q2&gt;0,VfdSky_Q2,0)*K90, 2*Deadtime*Fsw*IF(VfdSky_Q3&gt;0,VfdSky_Q3,0)*L90, 2*Deadtime*Fsw/2*IF(VfdSky_Q2&gt;0,VfdSky_Q2,0)*K90+2*Deadtime*Fsw/2*IF(VfdSky_Q3&gt;0,VfdSky_Q3,0)*L90)</f>
        <v>0</v>
      </c>
      <c r="AU90" s="488" t="n">
        <f aca="false">CHOOSE(J90, IF(QrrSky_Q2&gt;0,QrrSky_Q2,Qrr_Q2*K90/Iout)*Fsw*(Vin-K90*Rdson1), IF(QrrSky_Q3&gt;0,QrrSky_Q3,Qrr_Q3)*Fsw*Vout,  IF(QrrSky_Q2&gt;0,QrrSky_Q2,Qrr_Q2*K90/Iout)*Fsw/2*(Vin-K90*Rdson1)+IF(QrrSky_Q3&gt;0,QrrSky_Q3,Qrr_Q3)*Fsw/2*Vout)</f>
        <v>0.151041955041</v>
      </c>
      <c r="AV90" s="488" t="n">
        <f aca="false">CHOOSE(J90, Rs*AF90^2, Rs*AJ90^2, Rs*(AF90^2+AJ90^2))</f>
        <v>0.0186465414873496</v>
      </c>
      <c r="AW90" s="488" t="n">
        <f aca="false">Rshunt_std/1000*Iout^2</f>
        <v>0.14832</v>
      </c>
      <c r="AX90" s="488" t="n">
        <f aca="false">IF(Vout&gt;8, Iq*Vout, Iq*Vin)</f>
        <v>0.036</v>
      </c>
      <c r="AY90" s="488" t="n">
        <f aca="false">CHOOSE(J90, (Qg_Q1+Qg_Q2)*Fsw, (Qg_Q3+Qg_Q4)*Fsw, (Qg_Q1+Qg_Q2+Qg_Q3+Qg_Q4)*Fsw/2)*IF(Vout&gt;8, Vout, Vin)</f>
        <v>0.1188</v>
      </c>
      <c r="AZ90" s="488" t="n">
        <f aca="false">(Vin-Vdd)*Fsw*(Qg_Q1+Qg_Q2)+(RdsonDRT+RdsonDRT2)*Fsw*Qg_Q1*Vdd/(RdsonDRT+2*Rgate1+RdsonDRT2)+(RdsonDRB+RdsonDRB2)*Fsw*Qg_Q2*Vdd/(RdsonDRB+2*Rgate2+RdsonDRB2)</f>
        <v>0.0522</v>
      </c>
      <c r="BA90" s="488" t="n">
        <f aca="false">SUM(AX90:AY90)</f>
        <v>0.1548</v>
      </c>
      <c r="BB90" s="488" t="n">
        <f aca="false">SUM(T90,W90,Z90,AE90,AI90,AN90,AR90, AT90,AU90,BA90,AV90,AW90)</f>
        <v>0.956400400150814</v>
      </c>
      <c r="BC90" s="419" t="n">
        <f aca="false">Vout*K90</f>
        <v>58.32</v>
      </c>
      <c r="BD90" s="589" t="n">
        <f aca="false">BC90/(BC90+BB90)</f>
        <v>0.983865410286479</v>
      </c>
      <c r="BE90" s="590" t="n">
        <f aca="false">IF(Vin&gt;Vout,ThetaJA_Q1*BK90,ThetaJA_Q4*BK90)</f>
        <v>6.84127954296566</v>
      </c>
      <c r="BF90" s="590" t="n">
        <f aca="false">IF(Vin&gt;Vout, ThetaJA_Q2*BL90, ThetaJA_Q3*BL90)</f>
        <v>8.13481748255863</v>
      </c>
      <c r="BG90" s="536"/>
      <c r="BH90" s="385" t="n">
        <f aca="false">BD90*100</f>
        <v>98.3865410286479</v>
      </c>
      <c r="BI90" s="488" t="n">
        <f aca="false">T90</f>
        <v>0.0873645814682094</v>
      </c>
      <c r="BJ90" s="488" t="n">
        <f aca="false">AE90+AI90+AN90+AR90+AU90</f>
        <v>0.541704449970124</v>
      </c>
      <c r="BK90" s="488" t="n">
        <f aca="false">IF(Vin&gt;Vout, AE90+AU90*0.66, AN90+AU90*0.66)</f>
        <v>0.136825590859313</v>
      </c>
      <c r="BL90" s="488" t="n">
        <f aca="false">IF(Vin&gt;Vout, AI90+AU90*0.33, AR90+AU90*0.33)</f>
        <v>0.162696349651173</v>
      </c>
      <c r="BM90" s="488" t="n">
        <f aca="false">AV90</f>
        <v>0.0186465414873496</v>
      </c>
      <c r="BS90" s="591"/>
      <c r="BT90" s="592"/>
    </row>
    <row r="91" customFormat="false" ht="12.75" hidden="false" customHeight="false" outlineLevel="0" collapsed="false">
      <c r="G91" s="0" t="n">
        <v>82</v>
      </c>
      <c r="H91" s="586" t="n">
        <f aca="false">Vin</f>
        <v>12</v>
      </c>
      <c r="I91" s="385" t="str">
        <f aca="false">IF(H91&gt;VIN_BB_to_buck, "BUCK", IF(H91&lt;VIN_boost_to_BB,"BOOST","BUCK-BST"))</f>
        <v>BUCK-BST</v>
      </c>
      <c r="J91" s="419" t="n">
        <f aca="false">IF(I91="BOOST",2, IF(I91="BUCK", 1,3))</f>
        <v>3</v>
      </c>
      <c r="K91" s="488" t="n">
        <f aca="false">Iout*G91/100</f>
        <v>4.92</v>
      </c>
      <c r="L91" s="385" t="n">
        <f aca="false">Vout*K91/(Vin*Efficiency)</f>
        <v>5.46666666666667</v>
      </c>
      <c r="M91" s="385" t="n">
        <f aca="false">K91/(1-O91)</f>
        <v>5.15183246073299</v>
      </c>
      <c r="N91" s="488" t="n">
        <f aca="false">CHOOSE(J91,(Vout+(Rdson2+Rs+Rdcr)*K91)/(Vin+(Rs+Rdson2-Rdson1)*K91), 1, IF(Vin&lt;Vout, D_max_buck_BB, Vout/Vin*(1-D_min_boost_exitBB_to_buck)))</f>
        <v>0.955</v>
      </c>
      <c r="O91" s="488" t="n">
        <f aca="false">CHOOSE(J91,0,(Vout+(Rdson3+Rdcr)*L91-Vin)/(Vout+(Rdson3-Rdson4-Rs)*L91), IF(Vin&gt;Vout,D_min_boost_exitBB_to_buck, (Vout-Vin*D_max_buck_BB)/Vout))</f>
        <v>0.0450000000000001</v>
      </c>
      <c r="P91" s="385" t="n">
        <f aca="false">MAX(0, CHOOSE(J91, (Vin-(Rdson1+Rdcr)*K91-Vout)*N91/(Fsw*Lf), (Vin-(Rdson4+Rdcr+Rs)*L91)*O91/(Fsw*Lf), IF(Vin&lt;Vout, (Vin-(Rdson4+Rdcr+Rs)*L91)*O91/(0.5*Fsw*Lf),(Vin-(Rdson1+Rdcr)*K91-Vout)*N91/(0.5*Fsw*Lf))))</f>
        <v>0</v>
      </c>
      <c r="Q91" s="385" t="n">
        <f aca="false">CHOOSE(J91, SQRT(K91^2+(P91^2)/12), SQRT(L91^2+(P91^2)/12), SQRT(M91^2+(P91^2)/12))</f>
        <v>5.15183246073299</v>
      </c>
      <c r="R91" s="488" t="n">
        <f aca="false">(Q91^2*Rdcr*(1+Ltc*Ta-Ltc*25))/(1-Q91^2*Rdcr*Ltc*ThetaCa)</f>
        <v>0.0895505966909706</v>
      </c>
      <c r="S91" s="488" t="n">
        <f aca="false">7.759*10^-3*Fsw^0.9458*(0.00787*P91)^2.304</f>
        <v>0</v>
      </c>
      <c r="T91" s="488" t="n">
        <f aca="false">R91+S91</f>
        <v>0.0895505966909706</v>
      </c>
      <c r="U91" s="385" t="n">
        <f aca="false">IF(Vin&gt;Vout, P91/SQRT(12), SQRT(O91/(1-O91))*SQRT(K91^2+(P91^2)/12))</f>
        <v>1.06799611741162</v>
      </c>
      <c r="V91" s="488" t="n">
        <f aca="false">RCoutEsr*U91^2</f>
        <v>0.00570307853403142</v>
      </c>
      <c r="W91" s="488" t="n">
        <f aca="false">V91</f>
        <v>0.00570307853403142</v>
      </c>
      <c r="X91" s="385" t="n">
        <f aca="false">IF(Vin&gt;Vout, SQRT(N91*(1-N91))*SQRT(K91^2+(P91^2)/12), P91/SQRT(12))</f>
        <v>0</v>
      </c>
      <c r="Y91" s="587" t="n">
        <f aca="false">RCinEsr*X91^2</f>
        <v>0</v>
      </c>
      <c r="Z91" s="588" t="n">
        <f aca="false">Y91</f>
        <v>0</v>
      </c>
      <c r="AA91" s="488" t="n">
        <f aca="false">CHOOSE(J91, SQRT(N91)*SQRT(K91^2+(P91^2)/12), SQRT(L91^2+(P91^2)/12), SQRT(N91)*SQRT(M91^2+(P91^2)/12))</f>
        <v>5.03458197935105</v>
      </c>
      <c r="AB91" s="488" t="n">
        <f aca="false">Rdson1*AA91^2</f>
        <v>0.144477989528796</v>
      </c>
      <c r="AC91" s="488" t="n">
        <f aca="false">CHOOSE(J91, (Vin*K91/2)*(Fsw)*(Tr_buck+Tf_buck), 0, (Vin*K91/2)*(Fsw/2)*(Tr_buck+Tf_buck))</f>
        <v>0.0300621176470588</v>
      </c>
      <c r="AD91" s="488" t="n">
        <f aca="false">CHOOSE(J91, IF(K91&gt;P91/2,0,ABS(K91-P91/2)*Vsd_Q1*Deadtime*Fsw),0, IF(K91&gt;P91/2,0,ABS(K91-P91/2)*Vsd_Q1*Deadtime*Fsw/2))</f>
        <v>0</v>
      </c>
      <c r="AE91" s="488" t="n">
        <f aca="false">(AD91+AC91+AB91*(1+RdsonTopTc*Ta-RdsonTopTc*25))/(1-AB91*RdsonTopTc*ThetaJA_Q1)</f>
        <v>0.179733617517796</v>
      </c>
      <c r="AF91" s="488" t="n">
        <f aca="false">CHOOSE(J91, SQRT((1-N91))*SQRT(K91^2+(P91^2)/12), 0, SQRT((1-N91))*SQRT(M91^2+(P91^2)/12))</f>
        <v>1.09286870055638</v>
      </c>
      <c r="AG91" s="488" t="n">
        <f aca="false">Rdson2*AF91^2</f>
        <v>0.00680786338093803</v>
      </c>
      <c r="AH91" s="488" t="n">
        <f aca="false">CHOOSE(J91, IF(K91&lt;P91/2,Deadtime*Fsw*IF(VfdSky_Q2&gt;0,0,Vsd_Q2)*(K91+P91/2),2*Deadtime*Fsw*IF(VfdSky_Q2&gt;0,0,Vsd_Q2)*K91),0, IF(K91&lt;P91/2,Deadtime*Fsw/2*IF(VfdSky_Q2&gt;0,0,Vsd_Q2)*(K91+P91/2),2*Deadtime*Fsw/2*IF(VfdSky_Q2&gt;0,0,Vsd_Q2)*K91))</f>
        <v>0.05904</v>
      </c>
      <c r="AI91" s="488" t="n">
        <f aca="false">(AH91+AG91*(1+RdsonBotTc*Ta-RdsonBotTc*25))/(1-AG91*RdsonBotTc*ThetaJA_Q2)</f>
        <v>0.0659376422729892</v>
      </c>
      <c r="AJ91" s="488" t="n">
        <f aca="false">CHOOSE(J91, 0, SQRT(O91)*SQRT(L91^2+(P91^2)/12), SQRT(O91)*SQRT(M91^2+(P91^2)/12))</f>
        <v>1.09286870055638</v>
      </c>
      <c r="AK91" s="488" t="n">
        <f aca="false">Rdson4*AJ91^2</f>
        <v>0.00226928779364601</v>
      </c>
      <c r="AL91" s="488" t="n">
        <f aca="false">CHOOSE(J91, 0, (Vout*L91/2)*(Fsw)*(Tr_boost+Tf_boost), (Vout*Iout/2)*(Fsw/2)*(Tr_boost+Tf_boost))</f>
        <v>0.0349071770123085</v>
      </c>
      <c r="AM91" s="488" t="n">
        <f aca="false">IF(H91&gt;Vout, 0, IF(L91&gt;P91/2,0,ABS(L91-P91/2)*Vsd_Q4*Deadtime*Fsw))</f>
        <v>0</v>
      </c>
      <c r="AN91" s="488" t="n">
        <f aca="false">(AM91+AL91+AK91*(1+RdsonTopTc*Ta-RdsonTopTc*25))/(1-AK91*RdsonTopTc*ThetaJA_Q4)</f>
        <v>0.0371933452868474</v>
      </c>
      <c r="AO91" s="488" t="n">
        <f aca="false">CHOOSE(J91, SQRT(K91^2+(P91^2)/12), SQRT(1-O91)*SQRT(L91^2+(P91^2)/12), SQRT(1-O91)*SQRT(M91^2+(P91^2)/12))</f>
        <v>5.03458197935105</v>
      </c>
      <c r="AP91" s="488" t="n">
        <f aca="false">Rdson3*AO91^2</f>
        <v>0.0481593298429319</v>
      </c>
      <c r="AQ91" s="488" t="n">
        <f aca="false">CHOOSE(J91, 0, IF(L91&lt;P91/2,Deadtime*Fsw*IF(VfdSky_Q3&gt;0,0,Vsd_Q3)*(L91+P91/2), 2*Deadtime*Fsw*IF(VfdSky_Q3&gt;0,0,Vsd_Q3)*L91), IF(L91&lt;P91/2,Deadtime*Fsw/2*IF(VfdSky_Q3&gt;0,0,Vsd_Q3)*(L91+P91/2), 2*Deadtime*Fsw/2*IF(VfdSky_Q3&gt;0,0,Vsd_Q3)*L91))</f>
        <v>0.0656</v>
      </c>
      <c r="AR91" s="488" t="n">
        <f aca="false">(AQ91+AP91*(1+RdsonBotTc*Ta-RdsonBotTc*25))/(1-AP91*RdsonBotTc*ThetaJA_Q3)</f>
        <v>0.114865700878178</v>
      </c>
      <c r="AS91" s="488" t="n">
        <f aca="false">CHOOSE(J91, Rdson3*Q91^2, Rdson1*Q91^2, 0)</f>
        <v>0</v>
      </c>
      <c r="AT91" s="488" t="n">
        <f aca="false">CHOOSE(J91, 2*Deadtime*Fsw*IF(VfdSky_Q2&gt;0,VfdSky_Q2,0)*K91, 2*Deadtime*Fsw*IF(VfdSky_Q3&gt;0,VfdSky_Q3,0)*L91, 2*Deadtime*Fsw/2*IF(VfdSky_Q2&gt;0,VfdSky_Q2,0)*K91+2*Deadtime*Fsw/2*IF(VfdSky_Q3&gt;0,VfdSky_Q3,0)*L91)</f>
        <v>0</v>
      </c>
      <c r="AU91" s="488" t="n">
        <f aca="false">CHOOSE(J91, IF(QrrSky_Q2&gt;0,QrrSky_Q2,Qrr_Q2*K91/Iout)*Fsw*(Vin-K91*Rdson1), IF(QrrSky_Q3&gt;0,QrrSky_Q3,Qrr_Q3)*Fsw*Vout,  IF(QrrSky_Q2&gt;0,QrrSky_Q2,Qrr_Q2*K91/Iout)*Fsw/2*(Vin-K91*Rdson1)+IF(QrrSky_Q3&gt;0,QrrSky_Q3,Qrr_Q3)*Fsw/2*Vout)</f>
        <v>0.152170687044</v>
      </c>
      <c r="AV91" s="488" t="n">
        <f aca="false">CHOOSE(J91, Rs*AF91^2, Rs*AJ91^2, Rs*(AF91^2+AJ91^2))</f>
        <v>0.0191097919464927</v>
      </c>
      <c r="AW91" s="488" t="n">
        <f aca="false">Rshunt_std/1000*Iout^2</f>
        <v>0.14832</v>
      </c>
      <c r="AX91" s="488" t="n">
        <f aca="false">IF(Vout&gt;8, Iq*Vout, Iq*Vin)</f>
        <v>0.036</v>
      </c>
      <c r="AY91" s="488" t="n">
        <f aca="false">CHOOSE(J91, (Qg_Q1+Qg_Q2)*Fsw, (Qg_Q3+Qg_Q4)*Fsw, (Qg_Q1+Qg_Q2+Qg_Q3+Qg_Q4)*Fsw/2)*IF(Vout&gt;8, Vout, Vin)</f>
        <v>0.1188</v>
      </c>
      <c r="AZ91" s="488" t="n">
        <f aca="false">(Vin-Vdd)*Fsw*(Qg_Q1+Qg_Q2)+(RdsonDRT+RdsonDRT2)*Fsw*Qg_Q1*Vdd/(RdsonDRT+2*Rgate1+RdsonDRT2)+(RdsonDRB+RdsonDRB2)*Fsw*Qg_Q2*Vdd/(RdsonDRB+2*Rgate2+RdsonDRB2)</f>
        <v>0.0522</v>
      </c>
      <c r="BA91" s="488" t="n">
        <f aca="false">SUM(AX91:AY91)</f>
        <v>0.1548</v>
      </c>
      <c r="BB91" s="488" t="n">
        <f aca="false">SUM(T91,W91,Z91,AE91,AI91,AN91,AR91, AT91,AU91,BA91,AV91,AW91)</f>
        <v>0.967384460171306</v>
      </c>
      <c r="BC91" s="419" t="n">
        <f aca="false">Vout*K91</f>
        <v>59.04</v>
      </c>
      <c r="BD91" s="589" t="n">
        <f aca="false">BC91/(BC91+BB91)</f>
        <v>0.983878909756292</v>
      </c>
      <c r="BE91" s="590" t="n">
        <f aca="false">IF(Vin&gt;Vout,ThetaJA_Q1*BK91,ThetaJA_Q4*BK91)</f>
        <v>6.88129993679437</v>
      </c>
      <c r="BF91" s="590" t="n">
        <f aca="false">IF(Vin&gt;Vout, ThetaJA_Q2*BL91, ThetaJA_Q3*BL91)</f>
        <v>8.25410138013491</v>
      </c>
      <c r="BG91" s="536"/>
      <c r="BH91" s="385" t="n">
        <f aca="false">BD91*100</f>
        <v>98.3878909756292</v>
      </c>
      <c r="BI91" s="488" t="n">
        <f aca="false">T91</f>
        <v>0.0895505966909706</v>
      </c>
      <c r="BJ91" s="488" t="n">
        <f aca="false">AE91+AI91+AN91+AR91+AU91</f>
        <v>0.549900992999811</v>
      </c>
      <c r="BK91" s="488" t="n">
        <f aca="false">IF(Vin&gt;Vout, AE91+AU91*0.66, AN91+AU91*0.66)</f>
        <v>0.137625998735887</v>
      </c>
      <c r="BL91" s="488" t="n">
        <f aca="false">IF(Vin&gt;Vout, AI91+AU91*0.33, AR91+AU91*0.33)</f>
        <v>0.165082027602698</v>
      </c>
      <c r="BM91" s="488" t="n">
        <f aca="false">AV91</f>
        <v>0.0191097919464927</v>
      </c>
      <c r="BS91" s="591"/>
      <c r="BT91" s="592"/>
    </row>
    <row r="92" customFormat="false" ht="12.75" hidden="false" customHeight="false" outlineLevel="0" collapsed="false">
      <c r="G92" s="0" t="n">
        <v>83</v>
      </c>
      <c r="H92" s="586" t="n">
        <f aca="false">Vin</f>
        <v>12</v>
      </c>
      <c r="I92" s="385" t="str">
        <f aca="false">IF(H92&gt;VIN_BB_to_buck, "BUCK", IF(H92&lt;VIN_boost_to_BB,"BOOST","BUCK-BST"))</f>
        <v>BUCK-BST</v>
      </c>
      <c r="J92" s="419" t="n">
        <f aca="false">IF(I92="BOOST",2, IF(I92="BUCK", 1,3))</f>
        <v>3</v>
      </c>
      <c r="K92" s="488" t="n">
        <f aca="false">Iout*G92/100</f>
        <v>4.98</v>
      </c>
      <c r="L92" s="385" t="n">
        <f aca="false">Vout*K92/(Vin*Efficiency)</f>
        <v>5.53333333333333</v>
      </c>
      <c r="M92" s="385" t="n">
        <f aca="false">K92/(1-O92)</f>
        <v>5.21465968586388</v>
      </c>
      <c r="N92" s="488" t="n">
        <f aca="false">CHOOSE(J92,(Vout+(Rdson2+Rs+Rdcr)*K92)/(Vin+(Rs+Rdson2-Rdson1)*K92), 1, IF(Vin&lt;Vout, D_max_buck_BB, Vout/Vin*(1-D_min_boost_exitBB_to_buck)))</f>
        <v>0.955</v>
      </c>
      <c r="O92" s="488" t="n">
        <f aca="false">CHOOSE(J92,0,(Vout+(Rdson3+Rdcr)*L92-Vin)/(Vout+(Rdson3-Rdson4-Rs)*L92), IF(Vin&gt;Vout,D_min_boost_exitBB_to_buck, (Vout-Vin*D_max_buck_BB)/Vout))</f>
        <v>0.0450000000000001</v>
      </c>
      <c r="P92" s="385" t="n">
        <f aca="false">MAX(0, CHOOSE(J92, (Vin-(Rdson1+Rdcr)*K92-Vout)*N92/(Fsw*Lf), (Vin-(Rdson4+Rdcr+Rs)*L92)*O92/(Fsw*Lf), IF(Vin&lt;Vout, (Vin-(Rdson4+Rdcr+Rs)*L92)*O92/(0.5*Fsw*Lf),(Vin-(Rdson1+Rdcr)*K92-Vout)*N92/(0.5*Fsw*Lf))))</f>
        <v>0</v>
      </c>
      <c r="Q92" s="385" t="n">
        <f aca="false">CHOOSE(J92, SQRT(K92^2+(P92^2)/12), SQRT(L92^2+(P92^2)/12), SQRT(M92^2+(P92^2)/12))</f>
        <v>5.21465968586388</v>
      </c>
      <c r="R92" s="488" t="n">
        <f aca="false">(Q92^2*Rdcr*(1+Ltc*Ta-Ltc*25))/(1-Q92^2*Rdcr*Ltc*ThetaCa)</f>
        <v>0.0917642076332742</v>
      </c>
      <c r="S92" s="488" t="n">
        <f aca="false">7.759*10^-3*Fsw^0.9458*(0.00787*P92)^2.304</f>
        <v>0</v>
      </c>
      <c r="T92" s="488" t="n">
        <f aca="false">R92+S92</f>
        <v>0.0917642076332742</v>
      </c>
      <c r="U92" s="385" t="n">
        <f aca="false">IF(Vin&gt;Vout, P92/SQRT(12), SQRT(O92/(1-O92))*SQRT(K92^2+(P92^2)/12))</f>
        <v>1.08102046030688</v>
      </c>
      <c r="V92" s="488" t="n">
        <f aca="false">RCoutEsr*U92^2</f>
        <v>0.00584302617801048</v>
      </c>
      <c r="W92" s="488" t="n">
        <f aca="false">V92</f>
        <v>0.00584302617801048</v>
      </c>
      <c r="X92" s="385" t="n">
        <f aca="false">IF(Vin&gt;Vout, SQRT(N92*(1-N92))*SQRT(K92^2+(P92^2)/12), P92/SQRT(12))</f>
        <v>0</v>
      </c>
      <c r="Y92" s="587" t="n">
        <f aca="false">RCinEsr*X92^2</f>
        <v>0</v>
      </c>
      <c r="Z92" s="588" t="n">
        <f aca="false">Y92</f>
        <v>0</v>
      </c>
      <c r="AA92" s="488" t="n">
        <f aca="false">CHOOSE(J92, SQRT(N92)*SQRT(K92^2+(P92^2)/12), SQRT(L92^2+(P92^2)/12), SQRT(N92)*SQRT(M92^2+(P92^2)/12))</f>
        <v>5.09597932056264</v>
      </c>
      <c r="AB92" s="488" t="n">
        <f aca="false">Rdson1*AA92^2</f>
        <v>0.148023329842932</v>
      </c>
      <c r="AC92" s="488" t="n">
        <f aca="false">CHOOSE(J92, (Vin*K92/2)*(Fsw)*(Tr_buck+Tf_buck), 0, (Vin*K92/2)*(Fsw/2)*(Tr_buck+Tf_buck))</f>
        <v>0.0304287288378766</v>
      </c>
      <c r="AD92" s="488" t="n">
        <f aca="false">CHOOSE(J92, IF(K92&gt;P92/2,0,ABS(K92-P92/2)*Vsd_Q1*Deadtime*Fsw),0, IF(K92&gt;P92/2,0,ABS(K92-P92/2)*Vsd_Q1*Deadtime*Fsw/2))</f>
        <v>0</v>
      </c>
      <c r="AE92" s="488" t="n">
        <f aca="false">(AD92+AC92+AB92*(1+RdsonTopTc*Ta-RdsonTopTc*25))/(1-AB92*RdsonTopTc*ThetaJA_Q1)</f>
        <v>0.183896245604816</v>
      </c>
      <c r="AF92" s="488" t="n">
        <f aca="false">CHOOSE(J92, SQRT((1-N92))*SQRT(K92^2+(P92^2)/12), 0, SQRT((1-N92))*SQRT(M92^2+(P92^2)/12))</f>
        <v>1.10619636763634</v>
      </c>
      <c r="AG92" s="488" t="n">
        <f aca="false">Rdson2*AF92^2</f>
        <v>0.00697492130149942</v>
      </c>
      <c r="AH92" s="488" t="n">
        <f aca="false">CHOOSE(J92, IF(K92&lt;P92/2,Deadtime*Fsw*IF(VfdSky_Q2&gt;0,0,Vsd_Q2)*(K92+P92/2),2*Deadtime*Fsw*IF(VfdSky_Q2&gt;0,0,Vsd_Q2)*K92),0, IF(K92&lt;P92/2,Deadtime*Fsw/2*IF(VfdSky_Q2&gt;0,0,Vsd_Q2)*(K92+P92/2),2*Deadtime*Fsw/2*IF(VfdSky_Q2&gt;0,0,Vsd_Q2)*K92))</f>
        <v>0.05976</v>
      </c>
      <c r="AI92" s="488" t="n">
        <f aca="false">(AH92+AG92*(1+RdsonBotTc*Ta-RdsonBotTc*25))/(1-AG92*RdsonBotTc*ThetaJA_Q2)</f>
        <v>0.0668281455126346</v>
      </c>
      <c r="AJ92" s="488" t="n">
        <f aca="false">CHOOSE(J92, 0, SQRT(O92)*SQRT(L92^2+(P92^2)/12), SQRT(O92)*SQRT(M92^2+(P92^2)/12))</f>
        <v>1.10619636763634</v>
      </c>
      <c r="AK92" s="488" t="n">
        <f aca="false">Rdson4*AJ92^2</f>
        <v>0.00232497376716647</v>
      </c>
      <c r="AL92" s="488" t="n">
        <f aca="false">CHOOSE(J92, 0, (Vout*L92/2)*(Fsw)*(Tr_boost+Tf_boost), (Vout*Iout/2)*(Fsw/2)*(Tr_boost+Tf_boost))</f>
        <v>0.0349071770123085</v>
      </c>
      <c r="AM92" s="488" t="n">
        <f aca="false">IF(H92&gt;Vout, 0, IF(L92&gt;P92/2,0,ABS(L92-P92/2)*Vsd_Q4*Deadtime*Fsw))</f>
        <v>0</v>
      </c>
      <c r="AN92" s="488" t="n">
        <f aca="false">(AM92+AL92+AK92*(1+RdsonTopTc*Ta-RdsonTopTc*25))/(1-AK92*RdsonTopTc*ThetaJA_Q4)</f>
        <v>0.0372494715883317</v>
      </c>
      <c r="AO92" s="488" t="n">
        <f aca="false">CHOOSE(J92, SQRT(K92^2+(P92^2)/12), SQRT(1-O92)*SQRT(L92^2+(P92^2)/12), SQRT(1-O92)*SQRT(M92^2+(P92^2)/12))</f>
        <v>5.09597932056264</v>
      </c>
      <c r="AP92" s="488" t="n">
        <f aca="false">Rdson3*AO92^2</f>
        <v>0.049341109947644</v>
      </c>
      <c r="AQ92" s="488" t="n">
        <f aca="false">CHOOSE(J92, 0, IF(L92&lt;P92/2,Deadtime*Fsw*IF(VfdSky_Q3&gt;0,0,Vsd_Q3)*(L92+P92/2), 2*Deadtime*Fsw*IF(VfdSky_Q3&gt;0,0,Vsd_Q3)*L92), IF(L92&lt;P92/2,Deadtime*Fsw/2*IF(VfdSky_Q3&gt;0,0,Vsd_Q3)*(L92+P92/2), 2*Deadtime*Fsw/2*IF(VfdSky_Q3&gt;0,0,Vsd_Q3)*L92))</f>
        <v>0.0664</v>
      </c>
      <c r="AR92" s="488" t="n">
        <f aca="false">(AQ92+AP92*(1+RdsonBotTc*Ta-RdsonBotTc*25))/(1-AP92*RdsonBotTc*ThetaJA_Q3)</f>
        <v>0.116894652326188</v>
      </c>
      <c r="AS92" s="488" t="n">
        <f aca="false">CHOOSE(J92, Rdson3*Q92^2, Rdson1*Q92^2, 0)</f>
        <v>0</v>
      </c>
      <c r="AT92" s="488" t="n">
        <f aca="false">CHOOSE(J92, 2*Deadtime*Fsw*IF(VfdSky_Q2&gt;0,VfdSky_Q2,0)*K92, 2*Deadtime*Fsw*IF(VfdSky_Q3&gt;0,VfdSky_Q3,0)*L92, 2*Deadtime*Fsw/2*IF(VfdSky_Q2&gt;0,VfdSky_Q2,0)*K92+2*Deadtime*Fsw/2*IF(VfdSky_Q3&gt;0,VfdSky_Q3,0)*L92)</f>
        <v>0</v>
      </c>
      <c r="AU92" s="488" t="n">
        <f aca="false">CHOOSE(J92, IF(QrrSky_Q2&gt;0,QrrSky_Q2,Qrr_Q2*K92/Iout)*Fsw*(Vin-K92*Rdson1), IF(QrrSky_Q3&gt;0,QrrSky_Q3,Qrr_Q3)*Fsw*Vout,  IF(QrrSky_Q2&gt;0,QrrSky_Q2,Qrr_Q2*K92/Iout)*Fsw/2*(Vin-K92*Rdson1)+IF(QrrSky_Q3&gt;0,QrrSky_Q3,Qrr_Q3)*Fsw/2*Vout)</f>
        <v>0.153299354409</v>
      </c>
      <c r="AV92" s="488" t="n">
        <f aca="false">CHOOSE(J92, Rs*AF92^2, Rs*AJ92^2, Rs*(AF92^2+AJ92^2))</f>
        <v>0.0195787264603493</v>
      </c>
      <c r="AW92" s="488" t="n">
        <f aca="false">Rshunt_std/1000*Iout^2</f>
        <v>0.14832</v>
      </c>
      <c r="AX92" s="488" t="n">
        <f aca="false">IF(Vout&gt;8, Iq*Vout, Iq*Vin)</f>
        <v>0.036</v>
      </c>
      <c r="AY92" s="488" t="n">
        <f aca="false">CHOOSE(J92, (Qg_Q1+Qg_Q2)*Fsw, (Qg_Q3+Qg_Q4)*Fsw, (Qg_Q1+Qg_Q2+Qg_Q3+Qg_Q4)*Fsw/2)*IF(Vout&gt;8, Vout, Vin)</f>
        <v>0.1188</v>
      </c>
      <c r="AZ92" s="488" t="n">
        <f aca="false">(Vin-Vdd)*Fsw*(Qg_Q1+Qg_Q2)+(RdsonDRT+RdsonDRT2)*Fsw*Qg_Q1*Vdd/(RdsonDRT+2*Rgate1+RdsonDRT2)+(RdsonDRB+RdsonDRB2)*Fsw*Qg_Q2*Vdd/(RdsonDRB+2*Rgate2+RdsonDRB2)</f>
        <v>0.0522</v>
      </c>
      <c r="BA92" s="488" t="n">
        <f aca="false">SUM(AX92:AY92)</f>
        <v>0.1548</v>
      </c>
      <c r="BB92" s="488" t="n">
        <f aca="false">SUM(T92,W92,Z92,AE92,AI92,AN92,AR92, AT92,AU92,BA92,AV92,AW92)</f>
        <v>0.978473829712604</v>
      </c>
      <c r="BC92" s="419" t="n">
        <f aca="false">Vout*K92</f>
        <v>59.76</v>
      </c>
      <c r="BD92" s="589" t="n">
        <f aca="false">BC92/(BC92+BB92)</f>
        <v>0.983890378404043</v>
      </c>
      <c r="BE92" s="590" t="n">
        <f aca="false">IF(Vin&gt;Vout,ThetaJA_Q1*BK92,ThetaJA_Q4*BK92)</f>
        <v>6.92135227491359</v>
      </c>
      <c r="BF92" s="590" t="n">
        <f aca="false">IF(Vin&gt;Vout, ThetaJA_Q2*BL92, ThetaJA_Q3*BL92)</f>
        <v>8.37417196405788</v>
      </c>
      <c r="BG92" s="536"/>
      <c r="BH92" s="385" t="n">
        <f aca="false">BD92*100</f>
        <v>98.3890378404043</v>
      </c>
      <c r="BI92" s="488" t="n">
        <f aca="false">T92</f>
        <v>0.0917642076332742</v>
      </c>
      <c r="BJ92" s="488" t="n">
        <f aca="false">AE92+AI92+AN92+AR92+AU92</f>
        <v>0.55816786944097</v>
      </c>
      <c r="BK92" s="488" t="n">
        <f aca="false">IF(Vin&gt;Vout, AE92+AU92*0.66, AN92+AU92*0.66)</f>
        <v>0.138427045498272</v>
      </c>
      <c r="BL92" s="488" t="n">
        <f aca="false">IF(Vin&gt;Vout, AI92+AU92*0.33, AR92+AU92*0.33)</f>
        <v>0.167483439281158</v>
      </c>
      <c r="BM92" s="488" t="n">
        <f aca="false">AV92</f>
        <v>0.0195787264603493</v>
      </c>
      <c r="BS92" s="591"/>
      <c r="BT92" s="592"/>
    </row>
    <row r="93" customFormat="false" ht="12.75" hidden="false" customHeight="false" outlineLevel="0" collapsed="false">
      <c r="G93" s="0" t="n">
        <v>84</v>
      </c>
      <c r="H93" s="586" t="n">
        <f aca="false">Vin</f>
        <v>12</v>
      </c>
      <c r="I93" s="385" t="str">
        <f aca="false">IF(H93&gt;VIN_BB_to_buck, "BUCK", IF(H93&lt;VIN_boost_to_BB,"BOOST","BUCK-BST"))</f>
        <v>BUCK-BST</v>
      </c>
      <c r="J93" s="419" t="n">
        <f aca="false">IF(I93="BOOST",2, IF(I93="BUCK", 1,3))</f>
        <v>3</v>
      </c>
      <c r="K93" s="488" t="n">
        <f aca="false">Iout*G93/100</f>
        <v>5.04</v>
      </c>
      <c r="L93" s="385" t="n">
        <f aca="false">Vout*K93/(Vin*Efficiency)</f>
        <v>5.6</v>
      </c>
      <c r="M93" s="385" t="n">
        <f aca="false">K93/(1-O93)</f>
        <v>5.27748691099477</v>
      </c>
      <c r="N93" s="488" t="n">
        <f aca="false">CHOOSE(J93,(Vout+(Rdson2+Rs+Rdcr)*K93)/(Vin+(Rs+Rdson2-Rdson1)*K93), 1, IF(Vin&lt;Vout, D_max_buck_BB, Vout/Vin*(1-D_min_boost_exitBB_to_buck)))</f>
        <v>0.955</v>
      </c>
      <c r="O93" s="488" t="n">
        <f aca="false">CHOOSE(J93,0,(Vout+(Rdson3+Rdcr)*L93-Vin)/(Vout+(Rdson3-Rdson4-Rs)*L93), IF(Vin&gt;Vout,D_min_boost_exitBB_to_buck, (Vout-Vin*D_max_buck_BB)/Vout))</f>
        <v>0.0450000000000001</v>
      </c>
      <c r="P93" s="385" t="n">
        <f aca="false">MAX(0, CHOOSE(J93, (Vin-(Rdson1+Rdcr)*K93-Vout)*N93/(Fsw*Lf), (Vin-(Rdson4+Rdcr+Rs)*L93)*O93/(Fsw*Lf), IF(Vin&lt;Vout, (Vin-(Rdson4+Rdcr+Rs)*L93)*O93/(0.5*Fsw*Lf),(Vin-(Rdson1+Rdcr)*K93-Vout)*N93/(0.5*Fsw*Lf))))</f>
        <v>0</v>
      </c>
      <c r="Q93" s="385" t="n">
        <f aca="false">CHOOSE(J93, SQRT(K93^2+(P93^2)/12), SQRT(L93^2+(P93^2)/12), SQRT(M93^2+(P93^2)/12))</f>
        <v>5.27748691099477</v>
      </c>
      <c r="R93" s="488" t="n">
        <f aca="false">(Q93^2*Rdcr*(1+Ltc*Ta-Ltc*25))/(1-Q93^2*Rdcr*Ltc*ThetaCa)</f>
        <v>0.094005443009996</v>
      </c>
      <c r="S93" s="488" t="n">
        <f aca="false">7.759*10^-3*Fsw^0.9458*(0.00787*P93)^2.304</f>
        <v>0</v>
      </c>
      <c r="T93" s="488" t="n">
        <f aca="false">R93+S93</f>
        <v>0.094005443009996</v>
      </c>
      <c r="U93" s="385" t="n">
        <f aca="false">IF(Vin&gt;Vout, P93/SQRT(12), SQRT(O93/(1-O93))*SQRT(K93^2+(P93^2)/12))</f>
        <v>1.09404480320214</v>
      </c>
      <c r="V93" s="488" t="n">
        <f aca="false">RCoutEsr*U93^2</f>
        <v>0.00598467015706808</v>
      </c>
      <c r="W93" s="488" t="n">
        <f aca="false">V93</f>
        <v>0.00598467015706808</v>
      </c>
      <c r="X93" s="385" t="n">
        <f aca="false">IF(Vin&gt;Vout, SQRT(N93*(1-N93))*SQRT(K93^2+(P93^2)/12), P93/SQRT(12))</f>
        <v>0</v>
      </c>
      <c r="Y93" s="587" t="n">
        <f aca="false">RCinEsr*X93^2</f>
        <v>0</v>
      </c>
      <c r="Z93" s="588" t="n">
        <f aca="false">Y93</f>
        <v>0</v>
      </c>
      <c r="AA93" s="488" t="n">
        <f aca="false">CHOOSE(J93, SQRT(N93)*SQRT(K93^2+(P93^2)/12), SQRT(L93^2+(P93^2)/12), SQRT(N93)*SQRT(M93^2+(P93^2)/12))</f>
        <v>5.15737666177424</v>
      </c>
      <c r="AB93" s="488" t="n">
        <f aca="false">Rdson1*AA93^2</f>
        <v>0.151611643979058</v>
      </c>
      <c r="AC93" s="488" t="n">
        <f aca="false">CHOOSE(J93, (Vin*K93/2)*(Fsw)*(Tr_buck+Tf_buck), 0, (Vin*K93/2)*(Fsw/2)*(Tr_buck+Tf_buck))</f>
        <v>0.0307953400286944</v>
      </c>
      <c r="AD93" s="488" t="n">
        <f aca="false">CHOOSE(J93, IF(K93&gt;P93/2,0,ABS(K93-P93/2)*Vsd_Q1*Deadtime*Fsw),0, IF(K93&gt;P93/2,0,ABS(K93-P93/2)*Vsd_Q1*Deadtime*Fsw/2))</f>
        <v>0</v>
      </c>
      <c r="AE93" s="488" t="n">
        <f aca="false">(AD93+AC93+AB93*(1+RdsonTopTc*Ta-RdsonTopTc*25))/(1-AB93*RdsonTopTc*ThetaJA_Q1)</f>
        <v>0.188110945961281</v>
      </c>
      <c r="AF93" s="488" t="n">
        <f aca="false">CHOOSE(J93, SQRT((1-N93))*SQRT(K93^2+(P93^2)/12), 0, SQRT((1-N93))*SQRT(M93^2+(P93^2)/12))</f>
        <v>1.11952403471629</v>
      </c>
      <c r="AG93" s="488" t="n">
        <f aca="false">Rdson2*AF93^2</f>
        <v>0.00714400416655246</v>
      </c>
      <c r="AH93" s="488" t="n">
        <f aca="false">CHOOSE(J93, IF(K93&lt;P93/2,Deadtime*Fsw*IF(VfdSky_Q2&gt;0,0,Vsd_Q2)*(K93+P93/2),2*Deadtime*Fsw*IF(VfdSky_Q2&gt;0,0,Vsd_Q2)*K93),0, IF(K93&lt;P93/2,Deadtime*Fsw/2*IF(VfdSky_Q2&gt;0,0,Vsd_Q2)*(K93+P93/2),2*Deadtime*Fsw/2*IF(VfdSky_Q2&gt;0,0,Vsd_Q2)*K93))</f>
        <v>0.06048</v>
      </c>
      <c r="AI93" s="488" t="n">
        <f aca="false">(AH93+AG93*(1+RdsonBotTc*Ta-RdsonBotTc*25))/(1-AG93*RdsonBotTc*ThetaJA_Q2)</f>
        <v>0.0677207636500881</v>
      </c>
      <c r="AJ93" s="488" t="n">
        <f aca="false">CHOOSE(J93, 0, SQRT(O93)*SQRT(L93^2+(P93^2)/12), SQRT(O93)*SQRT(M93^2+(P93^2)/12))</f>
        <v>1.11952403471629</v>
      </c>
      <c r="AK93" s="488" t="n">
        <f aca="false">Rdson4*AJ93^2</f>
        <v>0.00238133472218416</v>
      </c>
      <c r="AL93" s="488" t="n">
        <f aca="false">CHOOSE(J93, 0, (Vout*L93/2)*(Fsw)*(Tr_boost+Tf_boost), (Vout*Iout/2)*(Fsw/2)*(Tr_boost+Tf_boost))</f>
        <v>0.0349071770123085</v>
      </c>
      <c r="AM93" s="488" t="n">
        <f aca="false">IF(H93&gt;Vout, 0, IF(L93&gt;P93/2,0,ABS(L93-P93/2)*Vsd_Q4*Deadtime*Fsw))</f>
        <v>0</v>
      </c>
      <c r="AN93" s="488" t="n">
        <f aca="false">(AM93+AL93+AK93*(1+RdsonTopTc*Ta-RdsonTopTc*25))/(1-AK93*RdsonTopTc*ThetaJA_Q4)</f>
        <v>0.03730627948223</v>
      </c>
      <c r="AO93" s="488" t="n">
        <f aca="false">CHOOSE(J93, SQRT(K93^2+(P93^2)/12), SQRT(1-O93)*SQRT(L93^2+(P93^2)/12), SQRT(1-O93)*SQRT(M93^2+(P93^2)/12))</f>
        <v>5.15737666177424</v>
      </c>
      <c r="AP93" s="488" t="n">
        <f aca="false">Rdson3*AO93^2</f>
        <v>0.0505372146596859</v>
      </c>
      <c r="AQ93" s="488" t="n">
        <f aca="false">CHOOSE(J93, 0, IF(L93&lt;P93/2,Deadtime*Fsw*IF(VfdSky_Q3&gt;0,0,Vsd_Q3)*(L93+P93/2), 2*Deadtime*Fsw*IF(VfdSky_Q3&gt;0,0,Vsd_Q3)*L93), IF(L93&lt;P93/2,Deadtime*Fsw/2*IF(VfdSky_Q3&gt;0,0,Vsd_Q3)*(L93+P93/2), 2*Deadtime*Fsw/2*IF(VfdSky_Q3&gt;0,0,Vsd_Q3)*L93))</f>
        <v>0.0672</v>
      </c>
      <c r="AR93" s="488" t="n">
        <f aca="false">(AQ93+AP93*(1+RdsonBotTc*Ta-RdsonBotTc*25))/(1-AP93*RdsonBotTc*ThetaJA_Q3)</f>
        <v>0.118939387733562</v>
      </c>
      <c r="AS93" s="488" t="n">
        <f aca="false">CHOOSE(J93, Rdson3*Q93^2, Rdson1*Q93^2, 0)</f>
        <v>0</v>
      </c>
      <c r="AT93" s="488" t="n">
        <f aca="false">CHOOSE(J93, 2*Deadtime*Fsw*IF(VfdSky_Q2&gt;0,VfdSky_Q2,0)*K93, 2*Deadtime*Fsw*IF(VfdSky_Q3&gt;0,VfdSky_Q3,0)*L93, 2*Deadtime*Fsw/2*IF(VfdSky_Q2&gt;0,VfdSky_Q2,0)*K93+2*Deadtime*Fsw/2*IF(VfdSky_Q3&gt;0,VfdSky_Q3,0)*L93)</f>
        <v>0</v>
      </c>
      <c r="AU93" s="488" t="n">
        <f aca="false">CHOOSE(J93, IF(QrrSky_Q2&gt;0,QrrSky_Q2,Qrr_Q2*K93/Iout)*Fsw*(Vin-K93*Rdson1), IF(QrrSky_Q3&gt;0,QrrSky_Q3,Qrr_Q3)*Fsw*Vout,  IF(QrrSky_Q2&gt;0,QrrSky_Q2,Qrr_Q2*K93/Iout)*Fsw/2*(Vin-K93*Rdson1)+IF(QrrSky_Q3&gt;0,QrrSky_Q3,Qrr_Q3)*Fsw/2*Vout)</f>
        <v>0.154427957136</v>
      </c>
      <c r="AV93" s="488" t="n">
        <f aca="false">CHOOSE(J93, Rs*AF93^2, Rs*AJ93^2, Rs*(AF93^2+AJ93^2))</f>
        <v>0.0200533450289192</v>
      </c>
      <c r="AW93" s="488" t="n">
        <f aca="false">Rshunt_std/1000*Iout^2</f>
        <v>0.14832</v>
      </c>
      <c r="AX93" s="488" t="n">
        <f aca="false">IF(Vout&gt;8, Iq*Vout, Iq*Vin)</f>
        <v>0.036</v>
      </c>
      <c r="AY93" s="488" t="n">
        <f aca="false">CHOOSE(J93, (Qg_Q1+Qg_Q2)*Fsw, (Qg_Q3+Qg_Q4)*Fsw, (Qg_Q1+Qg_Q2+Qg_Q3+Qg_Q4)*Fsw/2)*IF(Vout&gt;8, Vout, Vin)</f>
        <v>0.1188</v>
      </c>
      <c r="AZ93" s="488" t="n">
        <f aca="false">(Vin-Vdd)*Fsw*(Qg_Q1+Qg_Q2)+(RdsonDRT+RdsonDRT2)*Fsw*Qg_Q1*Vdd/(RdsonDRT+2*Rgate1+RdsonDRT2)+(RdsonDRB+RdsonDRB2)*Fsw*Qg_Q2*Vdd/(RdsonDRB+2*Rgate2+RdsonDRB2)</f>
        <v>0.0522</v>
      </c>
      <c r="BA93" s="488" t="n">
        <f aca="false">SUM(AX93:AY93)</f>
        <v>0.1548</v>
      </c>
      <c r="BB93" s="488" t="n">
        <f aca="false">SUM(T93,W93,Z93,AE93,AI93,AN93,AR93, AT93,AU93,BA93,AV93,AW93)</f>
        <v>0.989668792159145</v>
      </c>
      <c r="BC93" s="419" t="n">
        <f aca="false">Vout*K93</f>
        <v>60.48</v>
      </c>
      <c r="BD93" s="589" t="n">
        <f aca="false">BC93/(BC93+BB93)</f>
        <v>0.983899884095595</v>
      </c>
      <c r="BE93" s="590" t="n">
        <f aca="false">IF(Vin&gt;Vout,ThetaJA_Q1*BK93,ThetaJA_Q4*BK93)</f>
        <v>6.9614365595995</v>
      </c>
      <c r="BF93" s="590" t="n">
        <f aca="false">IF(Vin&gt;Vout, ThetaJA_Q2*BL93, ThetaJA_Q3*BL93)</f>
        <v>8.49503067942212</v>
      </c>
      <c r="BG93" s="536"/>
      <c r="BH93" s="385" t="n">
        <f aca="false">BD93*100</f>
        <v>98.3899884095595</v>
      </c>
      <c r="BI93" s="488" t="n">
        <f aca="false">T93</f>
        <v>0.094005443009996</v>
      </c>
      <c r="BJ93" s="488" t="n">
        <f aca="false">AE93+AI93+AN93+AR93+AU93</f>
        <v>0.566505333963162</v>
      </c>
      <c r="BK93" s="488" t="n">
        <f aca="false">IF(Vin&gt;Vout, AE93+AU93*0.66, AN93+AU93*0.66)</f>
        <v>0.13922873119199</v>
      </c>
      <c r="BL93" s="488" t="n">
        <f aca="false">IF(Vin&gt;Vout, AI93+AU93*0.33, AR93+AU93*0.33)</f>
        <v>0.169900613588442</v>
      </c>
      <c r="BM93" s="488" t="n">
        <f aca="false">AV93</f>
        <v>0.0200533450289192</v>
      </c>
      <c r="BS93" s="591"/>
      <c r="BT93" s="592"/>
    </row>
    <row r="94" customFormat="false" ht="12.75" hidden="false" customHeight="false" outlineLevel="0" collapsed="false">
      <c r="G94" s="0" t="n">
        <v>85</v>
      </c>
      <c r="H94" s="586" t="n">
        <f aca="false">Vin</f>
        <v>12</v>
      </c>
      <c r="I94" s="385" t="str">
        <f aca="false">IF(H94&gt;VIN_BB_to_buck, "BUCK", IF(H94&lt;VIN_boost_to_BB,"BOOST","BUCK-BST"))</f>
        <v>BUCK-BST</v>
      </c>
      <c r="J94" s="419" t="n">
        <f aca="false">IF(I94="BOOST",2, IF(I94="BUCK", 1,3))</f>
        <v>3</v>
      </c>
      <c r="K94" s="488" t="n">
        <f aca="false">Iout*G94/100</f>
        <v>5.1</v>
      </c>
      <c r="L94" s="385" t="n">
        <f aca="false">Vout*K94/(Vin*Efficiency)</f>
        <v>5.66666666666667</v>
      </c>
      <c r="M94" s="385" t="n">
        <f aca="false">K94/(1-O94)</f>
        <v>5.34031413612565</v>
      </c>
      <c r="N94" s="488" t="n">
        <f aca="false">CHOOSE(J94,(Vout+(Rdson2+Rs+Rdcr)*K94)/(Vin+(Rs+Rdson2-Rdson1)*K94), 1, IF(Vin&lt;Vout, D_max_buck_BB, Vout/Vin*(1-D_min_boost_exitBB_to_buck)))</f>
        <v>0.955</v>
      </c>
      <c r="O94" s="488" t="n">
        <f aca="false">CHOOSE(J94,0,(Vout+(Rdson3+Rdcr)*L94-Vin)/(Vout+(Rdson3-Rdson4-Rs)*L94), IF(Vin&gt;Vout,D_min_boost_exitBB_to_buck, (Vout-Vin*D_max_buck_BB)/Vout))</f>
        <v>0.0450000000000001</v>
      </c>
      <c r="P94" s="385" t="n">
        <f aca="false">MAX(0, CHOOSE(J94, (Vin-(Rdson1+Rdcr)*K94-Vout)*N94/(Fsw*Lf), (Vin-(Rdson4+Rdcr+Rs)*L94)*O94/(Fsw*Lf), IF(Vin&lt;Vout, (Vin-(Rdson4+Rdcr+Rs)*L94)*O94/(0.5*Fsw*Lf),(Vin-(Rdson1+Rdcr)*K94-Vout)*N94/(0.5*Fsw*Lf))))</f>
        <v>0</v>
      </c>
      <c r="Q94" s="385" t="n">
        <f aca="false">CHOOSE(J94, SQRT(K94^2+(P94^2)/12), SQRT(L94^2+(P94^2)/12), SQRT(M94^2+(P94^2)/12))</f>
        <v>5.34031413612565</v>
      </c>
      <c r="R94" s="488" t="n">
        <f aca="false">(Q94^2*Rdcr*(1+Ltc*Ta-Ltc*25))/(1-Q94^2*Rdcr*Ltc*ThetaCa)</f>
        <v>0.0962743319097134</v>
      </c>
      <c r="S94" s="488" t="n">
        <f aca="false">7.759*10^-3*Fsw^0.9458*(0.00787*P94)^2.304</f>
        <v>0</v>
      </c>
      <c r="T94" s="488" t="n">
        <f aca="false">R94+S94</f>
        <v>0.0962743319097134</v>
      </c>
      <c r="U94" s="385" t="n">
        <f aca="false">IF(Vin&gt;Vout, P94/SQRT(12), SQRT(O94/(1-O94))*SQRT(K94^2+(P94^2)/12))</f>
        <v>1.10706914609741</v>
      </c>
      <c r="V94" s="488" t="n">
        <f aca="false">RCoutEsr*U94^2</f>
        <v>0.0061280104712042</v>
      </c>
      <c r="W94" s="488" t="n">
        <f aca="false">V94</f>
        <v>0.0061280104712042</v>
      </c>
      <c r="X94" s="385" t="n">
        <f aca="false">IF(Vin&gt;Vout, SQRT(N94*(1-N94))*SQRT(K94^2+(P94^2)/12), P94/SQRT(12))</f>
        <v>0</v>
      </c>
      <c r="Y94" s="587" t="n">
        <f aca="false">RCinEsr*X94^2</f>
        <v>0</v>
      </c>
      <c r="Z94" s="588" t="n">
        <f aca="false">Y94</f>
        <v>0</v>
      </c>
      <c r="AA94" s="488" t="n">
        <f aca="false">CHOOSE(J94, SQRT(N94)*SQRT(K94^2+(P94^2)/12), SQRT(L94^2+(P94^2)/12), SQRT(N94)*SQRT(M94^2+(P94^2)/12))</f>
        <v>5.21877400298584</v>
      </c>
      <c r="AB94" s="488" t="n">
        <f aca="false">Rdson1*AA94^2</f>
        <v>0.155242931937173</v>
      </c>
      <c r="AC94" s="488" t="n">
        <f aca="false">CHOOSE(J94, (Vin*K94/2)*(Fsw)*(Tr_buck+Tf_buck), 0, (Vin*K94/2)*(Fsw/2)*(Tr_buck+Tf_buck))</f>
        <v>0.0311619512195122</v>
      </c>
      <c r="AD94" s="488" t="n">
        <f aca="false">CHOOSE(J94, IF(K94&gt;P94/2,0,ABS(K94-P94/2)*Vsd_Q1*Deadtime*Fsw),0, IF(K94&gt;P94/2,0,ABS(K94-P94/2)*Vsd_Q1*Deadtime*Fsw/2))</f>
        <v>0</v>
      </c>
      <c r="AE94" s="488" t="n">
        <f aca="false">(AD94+AC94+AB94*(1+RdsonTopTc*Ta-RdsonTopTc*25))/(1-AB94*RdsonTopTc*ThetaJA_Q1)</f>
        <v>0.192377946445949</v>
      </c>
      <c r="AF94" s="488" t="n">
        <f aca="false">CHOOSE(J94, SQRT((1-N94))*SQRT(K94^2+(P94^2)/12), 0, SQRT((1-N94))*SQRT(M94^2+(P94^2)/12))</f>
        <v>1.13285170179625</v>
      </c>
      <c r="AG94" s="488" t="n">
        <f aca="false">Rdson2*AF94^2</f>
        <v>0.00731511197609715</v>
      </c>
      <c r="AH94" s="488" t="n">
        <f aca="false">CHOOSE(J94, IF(K94&lt;P94/2,Deadtime*Fsw*IF(VfdSky_Q2&gt;0,0,Vsd_Q2)*(K94+P94/2),2*Deadtime*Fsw*IF(VfdSky_Q2&gt;0,0,Vsd_Q2)*K94),0, IF(K94&lt;P94/2,Deadtime*Fsw/2*IF(VfdSky_Q2&gt;0,0,Vsd_Q2)*(K94+P94/2),2*Deadtime*Fsw/2*IF(VfdSky_Q2&gt;0,0,Vsd_Q2)*K94))</f>
        <v>0.0612</v>
      </c>
      <c r="AI94" s="488" t="n">
        <f aca="false">(AH94+AG94*(1+RdsonBotTc*Ta-RdsonBotTc*25))/(1-AG94*RdsonBotTc*ThetaJA_Q2)</f>
        <v>0.0686154979863103</v>
      </c>
      <c r="AJ94" s="488" t="n">
        <f aca="false">CHOOSE(J94, 0, SQRT(O94)*SQRT(L94^2+(P94^2)/12), SQRT(O94)*SQRT(M94^2+(P94^2)/12))</f>
        <v>1.13285170179625</v>
      </c>
      <c r="AK94" s="488" t="n">
        <f aca="false">Rdson4*AJ94^2</f>
        <v>0.00243837065869905</v>
      </c>
      <c r="AL94" s="488" t="n">
        <f aca="false">CHOOSE(J94, 0, (Vout*L94/2)*(Fsw)*(Tr_boost+Tf_boost), (Vout*Iout/2)*(Fsw/2)*(Tr_boost+Tf_boost))</f>
        <v>0.0349071770123085</v>
      </c>
      <c r="AM94" s="488" t="n">
        <f aca="false">IF(H94&gt;Vout, 0, IF(L94&gt;P94/2,0,ABS(L94-P94/2)*Vsd_Q4*Deadtime*Fsw))</f>
        <v>0</v>
      </c>
      <c r="AN94" s="488" t="n">
        <f aca="false">(AM94+AL94+AK94*(1+RdsonTopTc*Ta-RdsonTopTc*25))/(1-AK94*RdsonTopTc*ThetaJA_Q4)</f>
        <v>0.0373637690146203</v>
      </c>
      <c r="AO94" s="488" t="n">
        <f aca="false">CHOOSE(J94, SQRT(K94^2+(P94^2)/12), SQRT(1-O94)*SQRT(L94^2+(P94^2)/12), SQRT(1-O94)*SQRT(M94^2+(P94^2)/12))</f>
        <v>5.21877400298584</v>
      </c>
      <c r="AP94" s="488" t="n">
        <f aca="false">Rdson3*AO94^2</f>
        <v>0.0517476439790576</v>
      </c>
      <c r="AQ94" s="488" t="n">
        <f aca="false">CHOOSE(J94, 0, IF(L94&lt;P94/2,Deadtime*Fsw*IF(VfdSky_Q3&gt;0,0,Vsd_Q3)*(L94+P94/2), 2*Deadtime*Fsw*IF(VfdSky_Q3&gt;0,0,Vsd_Q3)*L94), IF(L94&lt;P94/2,Deadtime*Fsw/2*IF(VfdSky_Q3&gt;0,0,Vsd_Q3)*(L94+P94/2), 2*Deadtime*Fsw/2*IF(VfdSky_Q3&gt;0,0,Vsd_Q3)*L94))</f>
        <v>0.068</v>
      </c>
      <c r="AR94" s="488" t="n">
        <f aca="false">(AQ94+AP94*(1+RdsonBotTc*Ta-RdsonBotTc*25))/(1-AP94*RdsonBotTc*ThetaJA_Q3)</f>
        <v>0.120999936304129</v>
      </c>
      <c r="AS94" s="488" t="n">
        <f aca="false">CHOOSE(J94, Rdson3*Q94^2, Rdson1*Q94^2, 0)</f>
        <v>0</v>
      </c>
      <c r="AT94" s="488" t="n">
        <f aca="false">CHOOSE(J94, 2*Deadtime*Fsw*IF(VfdSky_Q2&gt;0,VfdSky_Q2,0)*K94, 2*Deadtime*Fsw*IF(VfdSky_Q3&gt;0,VfdSky_Q3,0)*L94, 2*Deadtime*Fsw/2*IF(VfdSky_Q2&gt;0,VfdSky_Q2,0)*K94+2*Deadtime*Fsw/2*IF(VfdSky_Q3&gt;0,VfdSky_Q3,0)*L94)</f>
        <v>0</v>
      </c>
      <c r="AU94" s="488" t="n">
        <f aca="false">CHOOSE(J94, IF(QrrSky_Q2&gt;0,QrrSky_Q2,Qrr_Q2*K94/Iout)*Fsw*(Vin-K94*Rdson1), IF(QrrSky_Q3&gt;0,QrrSky_Q3,Qrr_Q3)*Fsw*Vout,  IF(QrrSky_Q2&gt;0,QrrSky_Q2,Qrr_Q2*K94/Iout)*Fsw/2*(Vin-K94*Rdson1)+IF(QrrSky_Q3&gt;0,QrrSky_Q3,Qrr_Q3)*Fsw/2*Vout)</f>
        <v>0.155556495225</v>
      </c>
      <c r="AV94" s="488" t="n">
        <f aca="false">CHOOSE(J94, Rs*AF94^2, Rs*AJ94^2, Rs*(AF94^2+AJ94^2))</f>
        <v>0.0205336476522025</v>
      </c>
      <c r="AW94" s="488" t="n">
        <f aca="false">Rshunt_std/1000*Iout^2</f>
        <v>0.14832</v>
      </c>
      <c r="AX94" s="488" t="n">
        <f aca="false">IF(Vout&gt;8, Iq*Vout, Iq*Vin)</f>
        <v>0.036</v>
      </c>
      <c r="AY94" s="488" t="n">
        <f aca="false">CHOOSE(J94, (Qg_Q1+Qg_Q2)*Fsw, (Qg_Q3+Qg_Q4)*Fsw, (Qg_Q1+Qg_Q2+Qg_Q3+Qg_Q4)*Fsw/2)*IF(Vout&gt;8, Vout, Vin)</f>
        <v>0.1188</v>
      </c>
      <c r="AZ94" s="488" t="n">
        <f aca="false">(Vin-Vdd)*Fsw*(Qg_Q1+Qg_Q2)+(RdsonDRT+RdsonDRT2)*Fsw*Qg_Q1*Vdd/(RdsonDRT+2*Rgate1+RdsonDRT2)+(RdsonDRB+RdsonDRB2)*Fsw*Qg_Q2*Vdd/(RdsonDRB+2*Rgate2+RdsonDRB2)</f>
        <v>0.0522</v>
      </c>
      <c r="BA94" s="488" t="n">
        <f aca="false">SUM(AX94:AY94)</f>
        <v>0.1548</v>
      </c>
      <c r="BB94" s="488" t="n">
        <f aca="false">SUM(T94,W94,Z94,AE94,AI94,AN94,AR94, AT94,AU94,BA94,AV94,AW94)</f>
        <v>1.00096963500913</v>
      </c>
      <c r="BC94" s="419" t="n">
        <f aca="false">Vout*K94</f>
        <v>61.2</v>
      </c>
      <c r="BD94" s="589" t="n">
        <f aca="false">BC94/(BC94+BB94)</f>
        <v>0.98390749146062</v>
      </c>
      <c r="BE94" s="590" t="n">
        <f aca="false">IF(Vin&gt;Vout,ThetaJA_Q1*BK94,ThetaJA_Q4*BK94)</f>
        <v>7.00155279315601</v>
      </c>
      <c r="BF94" s="590" t="n">
        <f aca="false">IF(Vin&gt;Vout, ThetaJA_Q2*BL94, ThetaJA_Q3*BL94)</f>
        <v>8.61667898641893</v>
      </c>
      <c r="BG94" s="536"/>
      <c r="BH94" s="385" t="n">
        <f aca="false">BD94*100</f>
        <v>98.390749146062</v>
      </c>
      <c r="BI94" s="488" t="n">
        <f aca="false">T94</f>
        <v>0.0962743319097134</v>
      </c>
      <c r="BJ94" s="488" t="n">
        <f aca="false">AE94+AI94+AN94+AR94+AU94</f>
        <v>0.574913644976008</v>
      </c>
      <c r="BK94" s="488" t="n">
        <f aca="false">IF(Vin&gt;Vout, AE94+AU94*0.66, AN94+AU94*0.66)</f>
        <v>0.14003105586312</v>
      </c>
      <c r="BL94" s="488" t="n">
        <f aca="false">IF(Vin&gt;Vout, AI94+AU94*0.33, AR94+AU94*0.33)</f>
        <v>0.172333579728379</v>
      </c>
      <c r="BM94" s="488" t="n">
        <f aca="false">AV94</f>
        <v>0.0205336476522025</v>
      </c>
      <c r="BS94" s="591"/>
      <c r="BT94" s="592"/>
    </row>
    <row r="95" customFormat="false" ht="12.75" hidden="false" customHeight="false" outlineLevel="0" collapsed="false">
      <c r="G95" s="0" t="n">
        <v>86</v>
      </c>
      <c r="H95" s="586" t="n">
        <f aca="false">Vin</f>
        <v>12</v>
      </c>
      <c r="I95" s="385" t="str">
        <f aca="false">IF(H95&gt;VIN_BB_to_buck, "BUCK", IF(H95&lt;VIN_boost_to_BB,"BOOST","BUCK-BST"))</f>
        <v>BUCK-BST</v>
      </c>
      <c r="J95" s="419" t="n">
        <f aca="false">IF(I95="BOOST",2, IF(I95="BUCK", 1,3))</f>
        <v>3</v>
      </c>
      <c r="K95" s="488" t="n">
        <f aca="false">Iout*G95/100</f>
        <v>5.16</v>
      </c>
      <c r="L95" s="385" t="n">
        <f aca="false">Vout*K95/(Vin*Efficiency)</f>
        <v>5.73333333333333</v>
      </c>
      <c r="M95" s="385" t="n">
        <f aca="false">K95/(1-O95)</f>
        <v>5.40314136125655</v>
      </c>
      <c r="N95" s="488" t="n">
        <f aca="false">CHOOSE(J95,(Vout+(Rdson2+Rs+Rdcr)*K95)/(Vin+(Rs+Rdson2-Rdson1)*K95), 1, IF(Vin&lt;Vout, D_max_buck_BB, Vout/Vin*(1-D_min_boost_exitBB_to_buck)))</f>
        <v>0.955</v>
      </c>
      <c r="O95" s="488" t="n">
        <f aca="false">CHOOSE(J95,0,(Vout+(Rdson3+Rdcr)*L95-Vin)/(Vout+(Rdson3-Rdson4-Rs)*L95), IF(Vin&gt;Vout,D_min_boost_exitBB_to_buck, (Vout-Vin*D_max_buck_BB)/Vout))</f>
        <v>0.0450000000000001</v>
      </c>
      <c r="P95" s="385" t="n">
        <f aca="false">MAX(0, CHOOSE(J95, (Vin-(Rdson1+Rdcr)*K95-Vout)*N95/(Fsw*Lf), (Vin-(Rdson4+Rdcr+Rs)*L95)*O95/(Fsw*Lf), IF(Vin&lt;Vout, (Vin-(Rdson4+Rdcr+Rs)*L95)*O95/(0.5*Fsw*Lf),(Vin-(Rdson1+Rdcr)*K95-Vout)*N95/(0.5*Fsw*Lf))))</f>
        <v>0</v>
      </c>
      <c r="Q95" s="385" t="n">
        <f aca="false">CHOOSE(J95, SQRT(K95^2+(P95^2)/12), SQRT(L95^2+(P95^2)/12), SQRT(M95^2+(P95^2)/12))</f>
        <v>5.40314136125655</v>
      </c>
      <c r="R95" s="488" t="n">
        <f aca="false">(Q95^2*Rdcr*(1+Ltc*Ta-Ltc*25))/(1-Q95^2*Rdcr*Ltc*ThetaCa)</f>
        <v>0.0985709037956583</v>
      </c>
      <c r="S95" s="488" t="n">
        <f aca="false">7.759*10^-3*Fsw^0.9458*(0.00787*P95)^2.304</f>
        <v>0</v>
      </c>
      <c r="T95" s="488" t="n">
        <f aca="false">R95+S95</f>
        <v>0.0985709037956583</v>
      </c>
      <c r="U95" s="385" t="n">
        <f aca="false">IF(Vin&gt;Vout, P95/SQRT(12), SQRT(O95/(1-O95))*SQRT(K95^2+(P95^2)/12))</f>
        <v>1.12009348899267</v>
      </c>
      <c r="V95" s="488" t="n">
        <f aca="false">RCoutEsr*U95^2</f>
        <v>0.00627304712041886</v>
      </c>
      <c r="W95" s="488" t="n">
        <f aca="false">V95</f>
        <v>0.00627304712041886</v>
      </c>
      <c r="X95" s="385" t="n">
        <f aca="false">IF(Vin&gt;Vout, SQRT(N95*(1-N95))*SQRT(K95^2+(P95^2)/12), P95/SQRT(12))</f>
        <v>0</v>
      </c>
      <c r="Y95" s="587" t="n">
        <f aca="false">RCinEsr*X95^2</f>
        <v>0</v>
      </c>
      <c r="Z95" s="588" t="n">
        <f aca="false">Y95</f>
        <v>0</v>
      </c>
      <c r="AA95" s="488" t="n">
        <f aca="false">CHOOSE(J95, SQRT(N95)*SQRT(K95^2+(P95^2)/12), SQRT(L95^2+(P95^2)/12), SQRT(N95)*SQRT(M95^2+(P95^2)/12))</f>
        <v>5.28017134419744</v>
      </c>
      <c r="AB95" s="488" t="n">
        <f aca="false">Rdson1*AA95^2</f>
        <v>0.158917193717278</v>
      </c>
      <c r="AC95" s="488" t="n">
        <f aca="false">CHOOSE(J95, (Vin*K95/2)*(Fsw)*(Tr_buck+Tf_buck), 0, (Vin*K95/2)*(Fsw/2)*(Tr_buck+Tf_buck))</f>
        <v>0.03152856241033</v>
      </c>
      <c r="AD95" s="488" t="n">
        <f aca="false">CHOOSE(J95, IF(K95&gt;P95/2,0,ABS(K95-P95/2)*Vsd_Q1*Deadtime*Fsw),0, IF(K95&gt;P95/2,0,ABS(K95-P95/2)*Vsd_Q1*Deadtime*Fsw/2))</f>
        <v>0</v>
      </c>
      <c r="AE95" s="488" t="n">
        <f aca="false">(AD95+AC95+AB95*(1+RdsonTopTc*Ta-RdsonTopTc*25))/(1-AB95*RdsonTopTc*ThetaJA_Q1)</f>
        <v>0.196697478382779</v>
      </c>
      <c r="AF95" s="488" t="n">
        <f aca="false">CHOOSE(J95, SQRT((1-N95))*SQRT(K95^2+(P95^2)/12), 0, SQRT((1-N95))*SQRT(M95^2+(P95^2)/12))</f>
        <v>1.14617936887621</v>
      </c>
      <c r="AG95" s="488" t="n">
        <f aca="false">Rdson2*AF95^2</f>
        <v>0.0074882447301335</v>
      </c>
      <c r="AH95" s="488" t="n">
        <f aca="false">CHOOSE(J95, IF(K95&lt;P95/2,Deadtime*Fsw*IF(VfdSky_Q2&gt;0,0,Vsd_Q2)*(K95+P95/2),2*Deadtime*Fsw*IF(VfdSky_Q2&gt;0,0,Vsd_Q2)*K95),0, IF(K95&lt;P95/2,Deadtime*Fsw/2*IF(VfdSky_Q2&gt;0,0,Vsd_Q2)*(K95+P95/2),2*Deadtime*Fsw/2*IF(VfdSky_Q2&gt;0,0,Vsd_Q2)*K95))</f>
        <v>0.06192</v>
      </c>
      <c r="AI95" s="488" t="n">
        <f aca="false">(AH95+AG95*(1+RdsonBotTc*Ta-RdsonBotTc*25))/(1-AG95*RdsonBotTc*ThetaJA_Q2)</f>
        <v>0.0695123498275886</v>
      </c>
      <c r="AJ95" s="488" t="n">
        <f aca="false">CHOOSE(J95, 0, SQRT(O95)*SQRT(L95^2+(P95^2)/12), SQRT(O95)*SQRT(M95^2+(P95^2)/12))</f>
        <v>1.14617936887621</v>
      </c>
      <c r="AK95" s="488" t="n">
        <f aca="false">Rdson4*AJ95^2</f>
        <v>0.00249608157671117</v>
      </c>
      <c r="AL95" s="488" t="n">
        <f aca="false">CHOOSE(J95, 0, (Vout*L95/2)*(Fsw)*(Tr_boost+Tf_boost), (Vout*Iout/2)*(Fsw/2)*(Tr_boost+Tf_boost))</f>
        <v>0.0349071770123085</v>
      </c>
      <c r="AM95" s="488" t="n">
        <f aca="false">IF(H95&gt;Vout, 0, IF(L95&gt;P95/2,0,ABS(L95-P95/2)*Vsd_Q4*Deadtime*Fsw))</f>
        <v>0</v>
      </c>
      <c r="AN95" s="488" t="n">
        <f aca="false">(AM95+AL95+AK95*(1+RdsonTopTc*Ta-RdsonTopTc*25))/(1-AK95*RdsonTopTc*ThetaJA_Q4)</f>
        <v>0.0374219402321353</v>
      </c>
      <c r="AO95" s="488" t="n">
        <f aca="false">CHOOSE(J95, SQRT(K95^2+(P95^2)/12), SQRT(1-O95)*SQRT(L95^2+(P95^2)/12), SQRT(1-O95)*SQRT(M95^2+(P95^2)/12))</f>
        <v>5.28017134419744</v>
      </c>
      <c r="AP95" s="488" t="n">
        <f aca="false">Rdson3*AO95^2</f>
        <v>0.0529723979057592</v>
      </c>
      <c r="AQ95" s="488" t="n">
        <f aca="false">CHOOSE(J95, 0, IF(L95&lt;P95/2,Deadtime*Fsw*IF(VfdSky_Q3&gt;0,0,Vsd_Q3)*(L95+P95/2), 2*Deadtime*Fsw*IF(VfdSky_Q3&gt;0,0,Vsd_Q3)*L95), IF(L95&lt;P95/2,Deadtime*Fsw/2*IF(VfdSky_Q3&gt;0,0,Vsd_Q3)*(L95+P95/2), 2*Deadtime*Fsw/2*IF(VfdSky_Q3&gt;0,0,Vsd_Q3)*L95))</f>
        <v>0.0688</v>
      </c>
      <c r="AR95" s="488" t="n">
        <f aca="false">(AQ95+AP95*(1+RdsonBotTc*Ta-RdsonBotTc*25))/(1-AP95*RdsonBotTc*ThetaJA_Q3)</f>
        <v>0.123076327544856</v>
      </c>
      <c r="AS95" s="488" t="n">
        <f aca="false">CHOOSE(J95, Rdson3*Q95^2, Rdson1*Q95^2, 0)</f>
        <v>0</v>
      </c>
      <c r="AT95" s="488" t="n">
        <f aca="false">CHOOSE(J95, 2*Deadtime*Fsw*IF(VfdSky_Q2&gt;0,VfdSky_Q2,0)*K95, 2*Deadtime*Fsw*IF(VfdSky_Q3&gt;0,VfdSky_Q3,0)*L95, 2*Deadtime*Fsw/2*IF(VfdSky_Q2&gt;0,VfdSky_Q2,0)*K95+2*Deadtime*Fsw/2*IF(VfdSky_Q3&gt;0,VfdSky_Q3,0)*L95)</f>
        <v>0</v>
      </c>
      <c r="AU95" s="488" t="n">
        <f aca="false">CHOOSE(J95, IF(QrrSky_Q2&gt;0,QrrSky_Q2,Qrr_Q2*K95/Iout)*Fsw*(Vin-K95*Rdson1), IF(QrrSky_Q3&gt;0,QrrSky_Q3,Qrr_Q3)*Fsw*Vout,  IF(QrrSky_Q2&gt;0,QrrSky_Q2,Qrr_Q2*K95/Iout)*Fsw/2*(Vin-K95*Rdson1)+IF(QrrSky_Q3&gt;0,QrrSky_Q3,Qrr_Q3)*Fsw/2*Vout)</f>
        <v>0.156684968676</v>
      </c>
      <c r="AV95" s="488" t="n">
        <f aca="false">CHOOSE(J95, Rs*AF95^2, Rs*AJ95^2, Rs*(AF95^2+AJ95^2))</f>
        <v>0.0210196343301993</v>
      </c>
      <c r="AW95" s="488" t="n">
        <f aca="false">Rshunt_std/1000*Iout^2</f>
        <v>0.14832</v>
      </c>
      <c r="AX95" s="488" t="n">
        <f aca="false">IF(Vout&gt;8, Iq*Vout, Iq*Vin)</f>
        <v>0.036</v>
      </c>
      <c r="AY95" s="488" t="n">
        <f aca="false">CHOOSE(J95, (Qg_Q1+Qg_Q2)*Fsw, (Qg_Q3+Qg_Q4)*Fsw, (Qg_Q1+Qg_Q2+Qg_Q3+Qg_Q4)*Fsw/2)*IF(Vout&gt;8, Vout, Vin)</f>
        <v>0.1188</v>
      </c>
      <c r="AZ95" s="488" t="n">
        <f aca="false">(Vin-Vdd)*Fsw*(Qg_Q1+Qg_Q2)+(RdsonDRT+RdsonDRT2)*Fsw*Qg_Q1*Vdd/(RdsonDRT+2*Rgate1+RdsonDRT2)+(RdsonDRB+RdsonDRB2)*Fsw*Qg_Q2*Vdd/(RdsonDRB+2*Rgate2+RdsonDRB2)</f>
        <v>0.0522</v>
      </c>
      <c r="BA95" s="488" t="n">
        <f aca="false">SUM(AX95:AY95)</f>
        <v>0.1548</v>
      </c>
      <c r="BB95" s="488" t="n">
        <f aca="false">SUM(T95,W95,Z95,AE95,AI95,AN95,AR95, AT95,AU95,BA95,AV95,AW95)</f>
        <v>1.01237664990964</v>
      </c>
      <c r="BC95" s="419" t="n">
        <f aca="false">Vout*K95</f>
        <v>61.92</v>
      </c>
      <c r="BD95" s="589" t="n">
        <f aca="false">BC95/(BC95+BB95)</f>
        <v>0.98391326207905</v>
      </c>
      <c r="BE95" s="590" t="n">
        <f aca="false">IF(Vin&gt;Vout,ThetaJA_Q1*BK95,ThetaJA_Q4*BK95)</f>
        <v>7.04170097791477</v>
      </c>
      <c r="BF95" s="590" t="n">
        <f aca="false">IF(Vin&gt;Vout, ThetaJA_Q2*BL95, ThetaJA_Q3*BL95)</f>
        <v>8.73911836039682</v>
      </c>
      <c r="BG95" s="536"/>
      <c r="BH95" s="385" t="n">
        <f aca="false">BD95*100</f>
        <v>98.391326207905</v>
      </c>
      <c r="BI95" s="488" t="n">
        <f aca="false">T95</f>
        <v>0.0985709037956583</v>
      </c>
      <c r="BJ95" s="488" t="n">
        <f aca="false">AE95+AI95+AN95+AR95+AU95</f>
        <v>0.583393064663359</v>
      </c>
      <c r="BK95" s="488" t="n">
        <f aca="false">IF(Vin&gt;Vout, AE95+AU95*0.66, AN95+AU95*0.66)</f>
        <v>0.140834019558295</v>
      </c>
      <c r="BL95" s="488" t="n">
        <f aca="false">IF(Vin&gt;Vout, AI95+AU95*0.33, AR95+AU95*0.33)</f>
        <v>0.174782367207936</v>
      </c>
      <c r="BM95" s="488" t="n">
        <f aca="false">AV95</f>
        <v>0.0210196343301993</v>
      </c>
      <c r="BS95" s="591"/>
      <c r="BT95" s="592"/>
    </row>
    <row r="96" customFormat="false" ht="12.75" hidden="false" customHeight="false" outlineLevel="0" collapsed="false">
      <c r="G96" s="0" t="n">
        <v>87</v>
      </c>
      <c r="H96" s="586" t="n">
        <f aca="false">Vin</f>
        <v>12</v>
      </c>
      <c r="I96" s="385" t="str">
        <f aca="false">IF(H96&gt;VIN_BB_to_buck, "BUCK", IF(H96&lt;VIN_boost_to_BB,"BOOST","BUCK-BST"))</f>
        <v>BUCK-BST</v>
      </c>
      <c r="J96" s="419" t="n">
        <f aca="false">IF(I96="BOOST",2, IF(I96="BUCK", 1,3))</f>
        <v>3</v>
      </c>
      <c r="K96" s="488" t="n">
        <f aca="false">Iout*G96/100</f>
        <v>5.22</v>
      </c>
      <c r="L96" s="385" t="n">
        <f aca="false">Vout*K96/(Vin*Efficiency)</f>
        <v>5.8</v>
      </c>
      <c r="M96" s="385" t="n">
        <f aca="false">K96/(1-O96)</f>
        <v>5.46596858638744</v>
      </c>
      <c r="N96" s="488" t="n">
        <f aca="false">CHOOSE(J96,(Vout+(Rdson2+Rs+Rdcr)*K96)/(Vin+(Rs+Rdson2-Rdson1)*K96), 1, IF(Vin&lt;Vout, D_max_buck_BB, Vout/Vin*(1-D_min_boost_exitBB_to_buck)))</f>
        <v>0.955</v>
      </c>
      <c r="O96" s="488" t="n">
        <f aca="false">CHOOSE(J96,0,(Vout+(Rdson3+Rdcr)*L96-Vin)/(Vout+(Rdson3-Rdson4-Rs)*L96), IF(Vin&gt;Vout,D_min_boost_exitBB_to_buck, (Vout-Vin*D_max_buck_BB)/Vout))</f>
        <v>0.0450000000000001</v>
      </c>
      <c r="P96" s="385" t="n">
        <f aca="false">MAX(0, CHOOSE(J96, (Vin-(Rdson1+Rdcr)*K96-Vout)*N96/(Fsw*Lf), (Vin-(Rdson4+Rdcr+Rs)*L96)*O96/(Fsw*Lf), IF(Vin&lt;Vout, (Vin-(Rdson4+Rdcr+Rs)*L96)*O96/(0.5*Fsw*Lf),(Vin-(Rdson1+Rdcr)*K96-Vout)*N96/(0.5*Fsw*Lf))))</f>
        <v>0</v>
      </c>
      <c r="Q96" s="385" t="n">
        <f aca="false">CHOOSE(J96, SQRT(K96^2+(P96^2)/12), SQRT(L96^2+(P96^2)/12), SQRT(M96^2+(P96^2)/12))</f>
        <v>5.46596858638744</v>
      </c>
      <c r="R96" s="488" t="n">
        <f aca="false">(Q96^2*Rdcr*(1+Ltc*Ta-Ltc*25))/(1-Q96^2*Rdcr*Ltc*ThetaCa)</f>
        <v>0.100895188506683</v>
      </c>
      <c r="S96" s="488" t="n">
        <f aca="false">7.759*10^-3*Fsw^0.9458*(0.00787*P96)^2.304</f>
        <v>0</v>
      </c>
      <c r="T96" s="488" t="n">
        <f aca="false">R96+S96</f>
        <v>0.100895188506683</v>
      </c>
      <c r="U96" s="385" t="n">
        <f aca="false">IF(Vin&gt;Vout, P96/SQRT(12), SQRT(O96/(1-O96))*SQRT(K96^2+(P96^2)/12))</f>
        <v>1.13311783188793</v>
      </c>
      <c r="V96" s="488" t="n">
        <f aca="false">RCoutEsr*U96^2</f>
        <v>0.00641978010471205</v>
      </c>
      <c r="W96" s="488" t="n">
        <f aca="false">V96</f>
        <v>0.00641978010471205</v>
      </c>
      <c r="X96" s="385" t="n">
        <f aca="false">IF(Vin&gt;Vout, SQRT(N96*(1-N96))*SQRT(K96^2+(P96^2)/12), P96/SQRT(12))</f>
        <v>0</v>
      </c>
      <c r="Y96" s="587" t="n">
        <f aca="false">RCinEsr*X96^2</f>
        <v>0</v>
      </c>
      <c r="Z96" s="588" t="n">
        <f aca="false">Y96</f>
        <v>0</v>
      </c>
      <c r="AA96" s="488" t="n">
        <f aca="false">CHOOSE(J96, SQRT(N96)*SQRT(K96^2+(P96^2)/12), SQRT(L96^2+(P96^2)/12), SQRT(N96)*SQRT(M96^2+(P96^2)/12))</f>
        <v>5.34156868540904</v>
      </c>
      <c r="AB96" s="488" t="n">
        <f aca="false">Rdson1*AA96^2</f>
        <v>0.162634429319372</v>
      </c>
      <c r="AC96" s="488" t="n">
        <f aca="false">CHOOSE(J96, (Vin*K96/2)*(Fsw)*(Tr_buck+Tf_buck), 0, (Vin*K96/2)*(Fsw/2)*(Tr_buck+Tf_buck))</f>
        <v>0.0318951736011478</v>
      </c>
      <c r="AD96" s="488" t="n">
        <f aca="false">CHOOSE(J96, IF(K96&gt;P96/2,0,ABS(K96-P96/2)*Vsd_Q1*Deadtime*Fsw),0, IF(K96&gt;P96/2,0,ABS(K96-P96/2)*Vsd_Q1*Deadtime*Fsw/2))</f>
        <v>0</v>
      </c>
      <c r="AE96" s="488" t="n">
        <f aca="false">(AD96+AC96+AB96*(1+RdsonTopTc*Ta-RdsonTopTc*25))/(1-AB96*RdsonTopTc*ThetaJA_Q1)</f>
        <v>0.201069776594483</v>
      </c>
      <c r="AF96" s="488" t="n">
        <f aca="false">CHOOSE(J96, SQRT((1-N96))*SQRT(K96^2+(P96^2)/12), 0, SQRT((1-N96))*SQRT(M96^2+(P96^2)/12))</f>
        <v>1.15950703595616</v>
      </c>
      <c r="AG96" s="488" t="n">
        <f aca="false">Rdson2*AF96^2</f>
        <v>0.0076634024286615</v>
      </c>
      <c r="AH96" s="488" t="n">
        <f aca="false">CHOOSE(J96, IF(K96&lt;P96/2,Deadtime*Fsw*IF(VfdSky_Q2&gt;0,0,Vsd_Q2)*(K96+P96/2),2*Deadtime*Fsw*IF(VfdSky_Q2&gt;0,0,Vsd_Q2)*K96),0, IF(K96&lt;P96/2,Deadtime*Fsw/2*IF(VfdSky_Q2&gt;0,0,Vsd_Q2)*(K96+P96/2),2*Deadtime*Fsw/2*IF(VfdSky_Q2&gt;0,0,Vsd_Q2)*K96))</f>
        <v>0.06264</v>
      </c>
      <c r="AI96" s="488" t="n">
        <f aca="false">(AH96+AG96*(1+RdsonBotTc*Ta-RdsonBotTc*25))/(1-AG96*RdsonBotTc*ThetaJA_Q2)</f>
        <v>0.0704113204855443</v>
      </c>
      <c r="AJ96" s="488" t="n">
        <f aca="false">CHOOSE(J96, 0, SQRT(O96)*SQRT(L96^2+(P96^2)/12), SQRT(O96)*SQRT(M96^2+(P96^2)/12))</f>
        <v>1.15950703595616</v>
      </c>
      <c r="AK96" s="488" t="n">
        <f aca="false">Rdson4*AJ96^2</f>
        <v>0.0025544674762205</v>
      </c>
      <c r="AL96" s="488" t="n">
        <f aca="false">CHOOSE(J96, 0, (Vout*L96/2)*(Fsw)*(Tr_boost+Tf_boost), (Vout*Iout/2)*(Fsw/2)*(Tr_boost+Tf_boost))</f>
        <v>0.0349071770123085</v>
      </c>
      <c r="AM96" s="488" t="n">
        <f aca="false">IF(H96&gt;Vout, 0, IF(L96&gt;P96/2,0,ABS(L96-P96/2)*Vsd_Q4*Deadtime*Fsw))</f>
        <v>0</v>
      </c>
      <c r="AN96" s="488" t="n">
        <f aca="false">(AM96+AL96+AK96*(1+RdsonTopTc*Ta-RdsonTopTc*25))/(1-AK96*RdsonTopTc*ThetaJA_Q4)</f>
        <v>0.0374807931819623</v>
      </c>
      <c r="AO96" s="488" t="n">
        <f aca="false">CHOOSE(J96, SQRT(K96^2+(P96^2)/12), SQRT(1-O96)*SQRT(L96^2+(P96^2)/12), SQRT(1-O96)*SQRT(M96^2+(P96^2)/12))</f>
        <v>5.34156868540904</v>
      </c>
      <c r="AP96" s="488" t="n">
        <f aca="false">Rdson3*AO96^2</f>
        <v>0.0542114764397906</v>
      </c>
      <c r="AQ96" s="488" t="n">
        <f aca="false">CHOOSE(J96, 0, IF(L96&lt;P96/2,Deadtime*Fsw*IF(VfdSky_Q3&gt;0,0,Vsd_Q3)*(L96+P96/2), 2*Deadtime*Fsw*IF(VfdSky_Q3&gt;0,0,Vsd_Q3)*L96), IF(L96&lt;P96/2,Deadtime*Fsw/2*IF(VfdSky_Q3&gt;0,0,Vsd_Q3)*(L96+P96/2), 2*Deadtime*Fsw/2*IF(VfdSky_Q3&gt;0,0,Vsd_Q3)*L96))</f>
        <v>0.0696</v>
      </c>
      <c r="AR96" s="488" t="n">
        <f aca="false">(AQ96+AP96*(1+RdsonBotTc*Ta-RdsonBotTc*25))/(1-AP96*RdsonBotTc*ThetaJA_Q3)</f>
        <v>0.125168591267086</v>
      </c>
      <c r="AS96" s="488" t="n">
        <f aca="false">CHOOSE(J96, Rdson3*Q96^2, Rdson1*Q96^2, 0)</f>
        <v>0</v>
      </c>
      <c r="AT96" s="488" t="n">
        <f aca="false">CHOOSE(J96, 2*Deadtime*Fsw*IF(VfdSky_Q2&gt;0,VfdSky_Q2,0)*K96, 2*Deadtime*Fsw*IF(VfdSky_Q3&gt;0,VfdSky_Q3,0)*L96, 2*Deadtime*Fsw/2*IF(VfdSky_Q2&gt;0,VfdSky_Q2,0)*K96+2*Deadtime*Fsw/2*IF(VfdSky_Q3&gt;0,VfdSky_Q3,0)*L96)</f>
        <v>0</v>
      </c>
      <c r="AU96" s="488" t="n">
        <f aca="false">CHOOSE(J96, IF(QrrSky_Q2&gt;0,QrrSky_Q2,Qrr_Q2*K96/Iout)*Fsw*(Vin-K96*Rdson1), IF(QrrSky_Q3&gt;0,QrrSky_Q3,Qrr_Q3)*Fsw*Vout,  IF(QrrSky_Q2&gt;0,QrrSky_Q2,Qrr_Q2*K96/Iout)*Fsw/2*(Vin-K96*Rdson1)+IF(QrrSky_Q3&gt;0,QrrSky_Q3,Qrr_Q3)*Fsw/2*Vout)</f>
        <v>0.157813377489</v>
      </c>
      <c r="AV96" s="488" t="n">
        <f aca="false">CHOOSE(J96, Rs*AF96^2, Rs*AJ96^2, Rs*(AF96^2+AJ96^2))</f>
        <v>0.0215113050629095</v>
      </c>
      <c r="AW96" s="488" t="n">
        <f aca="false">Rshunt_std/1000*Iout^2</f>
        <v>0.14832</v>
      </c>
      <c r="AX96" s="488" t="n">
        <f aca="false">IF(Vout&gt;8, Iq*Vout, Iq*Vin)</f>
        <v>0.036</v>
      </c>
      <c r="AY96" s="488" t="n">
        <f aca="false">CHOOSE(J96, (Qg_Q1+Qg_Q2)*Fsw, (Qg_Q3+Qg_Q4)*Fsw, (Qg_Q1+Qg_Q2+Qg_Q3+Qg_Q4)*Fsw/2)*IF(Vout&gt;8, Vout, Vin)</f>
        <v>0.1188</v>
      </c>
      <c r="AZ96" s="488" t="n">
        <f aca="false">(Vin-Vdd)*Fsw*(Qg_Q1+Qg_Q2)+(RdsonDRT+RdsonDRT2)*Fsw*Qg_Q1*Vdd/(RdsonDRT+2*Rgate1+RdsonDRT2)+(RdsonDRB+RdsonDRB2)*Fsw*Qg_Q2*Vdd/(RdsonDRB+2*Rgate2+RdsonDRB2)</f>
        <v>0.0522</v>
      </c>
      <c r="BA96" s="488" t="n">
        <f aca="false">SUM(AX96:AY96)</f>
        <v>0.1548</v>
      </c>
      <c r="BB96" s="488" t="n">
        <f aca="false">SUM(T96,W96,Z96,AE96,AI96,AN96,AR96, AT96,AU96,BA96,AV96,AW96)</f>
        <v>1.02389013269238</v>
      </c>
      <c r="BC96" s="419" t="n">
        <f aca="false">Vout*K96</f>
        <v>62.64</v>
      </c>
      <c r="BD96" s="589" t="n">
        <f aca="false">BC96/(BC96+BB96)</f>
        <v>0.983917254654745</v>
      </c>
      <c r="BE96" s="590" t="n">
        <f aca="false">IF(Vin&gt;Vout,ThetaJA_Q1*BK96,ThetaJA_Q4*BK96)</f>
        <v>7.08188111623511</v>
      </c>
      <c r="BF96" s="590" t="n">
        <f aca="false">IF(Vin&gt;Vout, ThetaJA_Q2*BL96, ThetaJA_Q3*BL96)</f>
        <v>8.8623502919228</v>
      </c>
      <c r="BG96" s="536"/>
      <c r="BH96" s="385" t="n">
        <f aca="false">BD96*100</f>
        <v>98.3917254654745</v>
      </c>
      <c r="BI96" s="488" t="n">
        <f aca="false">T96</f>
        <v>0.100895188506683</v>
      </c>
      <c r="BJ96" s="488" t="n">
        <f aca="false">AE96+AI96+AN96+AR96+AU96</f>
        <v>0.591943859018076</v>
      </c>
      <c r="BK96" s="488" t="n">
        <f aca="false">IF(Vin&gt;Vout, AE96+AU96*0.66, AN96+AU96*0.66)</f>
        <v>0.141637622324702</v>
      </c>
      <c r="BL96" s="488" t="n">
        <f aca="false">IF(Vin&gt;Vout, AI96+AU96*0.33, AR96+AU96*0.33)</f>
        <v>0.177247005838456</v>
      </c>
      <c r="BM96" s="488" t="n">
        <f aca="false">AV96</f>
        <v>0.0215113050629095</v>
      </c>
      <c r="BS96" s="591"/>
      <c r="BT96" s="592"/>
    </row>
    <row r="97" customFormat="false" ht="12.75" hidden="false" customHeight="false" outlineLevel="0" collapsed="false">
      <c r="G97" s="0" t="n">
        <v>88</v>
      </c>
      <c r="H97" s="586" t="n">
        <f aca="false">Vin</f>
        <v>12</v>
      </c>
      <c r="I97" s="385" t="str">
        <f aca="false">IF(H97&gt;VIN_BB_to_buck, "BUCK", IF(H97&lt;VIN_boost_to_BB,"BOOST","BUCK-BST"))</f>
        <v>BUCK-BST</v>
      </c>
      <c r="J97" s="419" t="n">
        <f aca="false">IF(I97="BOOST",2, IF(I97="BUCK", 1,3))</f>
        <v>3</v>
      </c>
      <c r="K97" s="488" t="n">
        <f aca="false">Iout*G97/100</f>
        <v>5.28</v>
      </c>
      <c r="L97" s="385" t="n">
        <f aca="false">Vout*K97/(Vin*Efficiency)</f>
        <v>5.86666666666667</v>
      </c>
      <c r="M97" s="385" t="n">
        <f aca="false">K97/(1-O97)</f>
        <v>5.52879581151833</v>
      </c>
      <c r="N97" s="488" t="n">
        <f aca="false">CHOOSE(J97,(Vout+(Rdson2+Rs+Rdcr)*K97)/(Vin+(Rs+Rdson2-Rdson1)*K97), 1, IF(Vin&lt;Vout, D_max_buck_BB, Vout/Vin*(1-D_min_boost_exitBB_to_buck)))</f>
        <v>0.955</v>
      </c>
      <c r="O97" s="488" t="n">
        <f aca="false">CHOOSE(J97,0,(Vout+(Rdson3+Rdcr)*L97-Vin)/(Vout+(Rdson3-Rdson4-Rs)*L97), IF(Vin&gt;Vout,D_min_boost_exitBB_to_buck, (Vout-Vin*D_max_buck_BB)/Vout))</f>
        <v>0.0450000000000001</v>
      </c>
      <c r="P97" s="385" t="n">
        <f aca="false">MAX(0, CHOOSE(J97, (Vin-(Rdson1+Rdcr)*K97-Vout)*N97/(Fsw*Lf), (Vin-(Rdson4+Rdcr+Rs)*L97)*O97/(Fsw*Lf), IF(Vin&lt;Vout, (Vin-(Rdson4+Rdcr+Rs)*L97)*O97/(0.5*Fsw*Lf),(Vin-(Rdson1+Rdcr)*K97-Vout)*N97/(0.5*Fsw*Lf))))</f>
        <v>0</v>
      </c>
      <c r="Q97" s="385" t="n">
        <f aca="false">CHOOSE(J97, SQRT(K97^2+(P97^2)/12), SQRT(L97^2+(P97^2)/12), SQRT(M97^2+(P97^2)/12))</f>
        <v>5.52879581151833</v>
      </c>
      <c r="R97" s="488" t="n">
        <f aca="false">(Q97^2*Rdcr*(1+Ltc*Ta-Ltc*25))/(1-Q97^2*Rdcr*Ltc*ThetaCa)</f>
        <v>0.103247216258239</v>
      </c>
      <c r="S97" s="488" t="n">
        <f aca="false">7.759*10^-3*Fsw^0.9458*(0.00787*P97)^2.304</f>
        <v>0</v>
      </c>
      <c r="T97" s="488" t="n">
        <f aca="false">R97+S97</f>
        <v>0.103247216258239</v>
      </c>
      <c r="U97" s="385" t="n">
        <f aca="false">IF(Vin&gt;Vout, P97/SQRT(12), SQRT(O97/(1-O97))*SQRT(K97^2+(P97^2)/12))</f>
        <v>1.1461421747832</v>
      </c>
      <c r="V97" s="488" t="n">
        <f aca="false">RCoutEsr*U97^2</f>
        <v>0.00656820942408378</v>
      </c>
      <c r="W97" s="488" t="n">
        <f aca="false">V97</f>
        <v>0.00656820942408378</v>
      </c>
      <c r="X97" s="385" t="n">
        <f aca="false">IF(Vin&gt;Vout, SQRT(N97*(1-N97))*SQRT(K97^2+(P97^2)/12), P97/SQRT(12))</f>
        <v>0</v>
      </c>
      <c r="Y97" s="587" t="n">
        <f aca="false">RCinEsr*X97^2</f>
        <v>0</v>
      </c>
      <c r="Z97" s="588" t="n">
        <f aca="false">Y97</f>
        <v>0</v>
      </c>
      <c r="AA97" s="488" t="n">
        <f aca="false">CHOOSE(J97, SQRT(N97)*SQRT(K97^2+(P97^2)/12), SQRT(L97^2+(P97^2)/12), SQRT(N97)*SQRT(M97^2+(P97^2)/12))</f>
        <v>5.40296602662063</v>
      </c>
      <c r="AB97" s="488" t="n">
        <f aca="false">Rdson1*AA97^2</f>
        <v>0.166394638743456</v>
      </c>
      <c r="AC97" s="488" t="n">
        <f aca="false">CHOOSE(J97, (Vin*K97/2)*(Fsw)*(Tr_buck+Tf_buck), 0, (Vin*K97/2)*(Fsw/2)*(Tr_buck+Tf_buck))</f>
        <v>0.0322617847919656</v>
      </c>
      <c r="AD97" s="488" t="n">
        <f aca="false">CHOOSE(J97, IF(K97&gt;P97/2,0,ABS(K97-P97/2)*Vsd_Q1*Deadtime*Fsw),0, IF(K97&gt;P97/2,0,ABS(K97-P97/2)*Vsd_Q1*Deadtime*Fsw/2))</f>
        <v>0</v>
      </c>
      <c r="AE97" s="488" t="n">
        <f aca="false">(AD97+AC97+AB97*(1+RdsonTopTc*Ta-RdsonTopTc*25))/(1-AB97*RdsonTopTc*ThetaJA_Q1)</f>
        <v>0.205495079436707</v>
      </c>
      <c r="AF97" s="488" t="n">
        <f aca="false">CHOOSE(J97, SQRT((1-N97))*SQRT(K97^2+(P97^2)/12), 0, SQRT((1-N97))*SQRT(M97^2+(P97^2)/12))</f>
        <v>1.17283470303612</v>
      </c>
      <c r="AG97" s="488" t="n">
        <f aca="false">Rdson2*AF97^2</f>
        <v>0.00784058507168116</v>
      </c>
      <c r="AH97" s="488" t="n">
        <f aca="false">CHOOSE(J97, IF(K97&lt;P97/2,Deadtime*Fsw*IF(VfdSky_Q2&gt;0,0,Vsd_Q2)*(K97+P97/2),2*Deadtime*Fsw*IF(VfdSky_Q2&gt;0,0,Vsd_Q2)*K97),0, IF(K97&lt;P97/2,Deadtime*Fsw/2*IF(VfdSky_Q2&gt;0,0,Vsd_Q2)*(K97+P97/2),2*Deadtime*Fsw/2*IF(VfdSky_Q2&gt;0,0,Vsd_Q2)*K97))</f>
        <v>0.06336</v>
      </c>
      <c r="AI97" s="488" t="n">
        <f aca="false">(AH97+AG97*(1+RdsonBotTc*Ta-RdsonBotTc*25))/(1-AG97*RdsonBotTc*ThetaJA_Q2)</f>
        <v>0.0713124112771382</v>
      </c>
      <c r="AJ97" s="488" t="n">
        <f aca="false">CHOOSE(J97, 0, SQRT(O97)*SQRT(L97^2+(P97^2)/12), SQRT(O97)*SQRT(M97^2+(P97^2)/12))</f>
        <v>1.17283470303612</v>
      </c>
      <c r="AK97" s="488" t="n">
        <f aca="false">Rdson4*AJ97^2</f>
        <v>0.00261352835722705</v>
      </c>
      <c r="AL97" s="488" t="n">
        <f aca="false">CHOOSE(J97, 0, (Vout*L97/2)*(Fsw)*(Tr_boost+Tf_boost), (Vout*Iout/2)*(Fsw/2)*(Tr_boost+Tf_boost))</f>
        <v>0.0349071770123085</v>
      </c>
      <c r="AM97" s="488" t="n">
        <f aca="false">IF(H97&gt;Vout, 0, IF(L97&gt;P97/2,0,ABS(L97-P97/2)*Vsd_Q4*Deadtime*Fsw))</f>
        <v>0</v>
      </c>
      <c r="AN97" s="488" t="n">
        <f aca="false">(AM97+AL97+AK97*(1+RdsonTopTc*Ta-RdsonTopTc*25))/(1-AK97*RdsonTopTc*ThetaJA_Q4)</f>
        <v>0.037540327911843</v>
      </c>
      <c r="AO97" s="488" t="n">
        <f aca="false">CHOOSE(J97, SQRT(K97^2+(P97^2)/12), SQRT(1-O97)*SQRT(L97^2+(P97^2)/12), SQRT(1-O97)*SQRT(M97^2+(P97^2)/12))</f>
        <v>5.40296602662063</v>
      </c>
      <c r="AP97" s="488" t="n">
        <f aca="false">Rdson3*AO97^2</f>
        <v>0.0554648795811518</v>
      </c>
      <c r="AQ97" s="488" t="n">
        <f aca="false">CHOOSE(J97, 0, IF(L97&lt;P97/2,Deadtime*Fsw*IF(VfdSky_Q3&gt;0,0,Vsd_Q3)*(L97+P97/2), 2*Deadtime*Fsw*IF(VfdSky_Q3&gt;0,0,Vsd_Q3)*L97), IF(L97&lt;P97/2,Deadtime*Fsw/2*IF(VfdSky_Q3&gt;0,0,Vsd_Q3)*(L97+P97/2), 2*Deadtime*Fsw/2*IF(VfdSky_Q3&gt;0,0,Vsd_Q3)*L97))</f>
        <v>0.0704</v>
      </c>
      <c r="AR97" s="488" t="n">
        <f aca="false">(AQ97+AP97*(1+RdsonBotTc*Ta-RdsonBotTc*25))/(1-AP97*RdsonBotTc*ThetaJA_Q3)</f>
        <v>0.127276757587769</v>
      </c>
      <c r="AS97" s="488" t="n">
        <f aca="false">CHOOSE(J97, Rdson3*Q97^2, Rdson1*Q97^2, 0)</f>
        <v>0</v>
      </c>
      <c r="AT97" s="488" t="n">
        <f aca="false">CHOOSE(J97, 2*Deadtime*Fsw*IF(VfdSky_Q2&gt;0,VfdSky_Q2,0)*K97, 2*Deadtime*Fsw*IF(VfdSky_Q3&gt;0,VfdSky_Q3,0)*L97, 2*Deadtime*Fsw/2*IF(VfdSky_Q2&gt;0,VfdSky_Q2,0)*K97+2*Deadtime*Fsw/2*IF(VfdSky_Q3&gt;0,VfdSky_Q3,0)*L97)</f>
        <v>0</v>
      </c>
      <c r="AU97" s="488" t="n">
        <f aca="false">CHOOSE(J97, IF(QrrSky_Q2&gt;0,QrrSky_Q2,Qrr_Q2*K97/Iout)*Fsw*(Vin-K97*Rdson1), IF(QrrSky_Q3&gt;0,QrrSky_Q3,Qrr_Q3)*Fsw*Vout,  IF(QrrSky_Q2&gt;0,QrrSky_Q2,Qrr_Q2*K97/Iout)*Fsw/2*(Vin-K97*Rdson1)+IF(QrrSky_Q3&gt;0,QrrSky_Q3,Qrr_Q3)*Fsw/2*Vout)</f>
        <v>0.158941721664</v>
      </c>
      <c r="AV97" s="488" t="n">
        <f aca="false">CHOOSE(J97, Rs*AF97^2, Rs*AJ97^2, Rs*(AF97^2+AJ97^2))</f>
        <v>0.0220086598503331</v>
      </c>
      <c r="AW97" s="488" t="n">
        <f aca="false">Rshunt_std/1000*Iout^2</f>
        <v>0.14832</v>
      </c>
      <c r="AX97" s="488" t="n">
        <f aca="false">IF(Vout&gt;8, Iq*Vout, Iq*Vin)</f>
        <v>0.036</v>
      </c>
      <c r="AY97" s="488" t="n">
        <f aca="false">CHOOSE(J97, (Qg_Q1+Qg_Q2)*Fsw, (Qg_Q3+Qg_Q4)*Fsw, (Qg_Q1+Qg_Q2+Qg_Q3+Qg_Q4)*Fsw/2)*IF(Vout&gt;8, Vout, Vin)</f>
        <v>0.1188</v>
      </c>
      <c r="AZ97" s="488" t="n">
        <f aca="false">(Vin-Vdd)*Fsw*(Qg_Q1+Qg_Q2)+(RdsonDRT+RdsonDRT2)*Fsw*Qg_Q1*Vdd/(RdsonDRT+2*Rgate1+RdsonDRT2)+(RdsonDRB+RdsonDRB2)*Fsw*Qg_Q2*Vdd/(RdsonDRB+2*Rgate2+RdsonDRB2)</f>
        <v>0.0522</v>
      </c>
      <c r="BA97" s="488" t="n">
        <f aca="false">SUM(AX97:AY97)</f>
        <v>0.1548</v>
      </c>
      <c r="BB97" s="488" t="n">
        <f aca="false">SUM(T97,W97,Z97,AE97,AI97,AN97,AR97, AT97,AU97,BA97,AV97,AW97)</f>
        <v>1.03551038341011</v>
      </c>
      <c r="BC97" s="419" t="n">
        <f aca="false">Vout*K97</f>
        <v>63.36</v>
      </c>
      <c r="BD97" s="589" t="n">
        <f aca="false">BC97/(BC97+BB97)</f>
        <v>0.983919525177381</v>
      </c>
      <c r="BE97" s="590" t="n">
        <f aca="false">IF(Vin&gt;Vout,ThetaJA_Q1*BK97,ThetaJA_Q4*BK97)</f>
        <v>7.12209321050415</v>
      </c>
      <c r="BF97" s="590" t="n">
        <f aca="false">IF(Vin&gt;Vout, ThetaJA_Q2*BL97, ThetaJA_Q3*BL97)</f>
        <v>8.98637628684444</v>
      </c>
      <c r="BG97" s="536"/>
      <c r="BH97" s="385" t="n">
        <f aca="false">BD97*100</f>
        <v>98.3919525177381</v>
      </c>
      <c r="BI97" s="488" t="n">
        <f aca="false">T97</f>
        <v>0.103247216258239</v>
      </c>
      <c r="BJ97" s="488" t="n">
        <f aca="false">AE97+AI97+AN97+AR97+AU97</f>
        <v>0.600566297877457</v>
      </c>
      <c r="BK97" s="488" t="n">
        <f aca="false">IF(Vin&gt;Vout, AE97+AU97*0.66, AN97+AU97*0.66)</f>
        <v>0.142441864210083</v>
      </c>
      <c r="BL97" s="488" t="n">
        <f aca="false">IF(Vin&gt;Vout, AI97+AU97*0.33, AR97+AU97*0.33)</f>
        <v>0.179727525736889</v>
      </c>
      <c r="BM97" s="488" t="n">
        <f aca="false">AV97</f>
        <v>0.0220086598503331</v>
      </c>
      <c r="BS97" s="591"/>
      <c r="BT97" s="592"/>
    </row>
    <row r="98" customFormat="false" ht="12.75" hidden="false" customHeight="false" outlineLevel="0" collapsed="false">
      <c r="G98" s="0" t="n">
        <v>89</v>
      </c>
      <c r="H98" s="586" t="n">
        <f aca="false">Vin</f>
        <v>12</v>
      </c>
      <c r="I98" s="385" t="str">
        <f aca="false">IF(H98&gt;VIN_BB_to_buck, "BUCK", IF(H98&lt;VIN_boost_to_BB,"BOOST","BUCK-BST"))</f>
        <v>BUCK-BST</v>
      </c>
      <c r="J98" s="419" t="n">
        <f aca="false">IF(I98="BOOST",2, IF(I98="BUCK", 1,3))</f>
        <v>3</v>
      </c>
      <c r="K98" s="488" t="n">
        <f aca="false">Iout*G98/100</f>
        <v>5.34</v>
      </c>
      <c r="L98" s="385" t="n">
        <f aca="false">Vout*K98/(Vin*Efficiency)</f>
        <v>5.93333333333333</v>
      </c>
      <c r="M98" s="385" t="n">
        <f aca="false">K98/(1-O98)</f>
        <v>5.59162303664922</v>
      </c>
      <c r="N98" s="488" t="n">
        <f aca="false">CHOOSE(J98,(Vout+(Rdson2+Rs+Rdcr)*K98)/(Vin+(Rs+Rdson2-Rdson1)*K98), 1, IF(Vin&lt;Vout, D_max_buck_BB, Vout/Vin*(1-D_min_boost_exitBB_to_buck)))</f>
        <v>0.955</v>
      </c>
      <c r="O98" s="488" t="n">
        <f aca="false">CHOOSE(J98,0,(Vout+(Rdson3+Rdcr)*L98-Vin)/(Vout+(Rdson3-Rdson4-Rs)*L98), IF(Vin&gt;Vout,D_min_boost_exitBB_to_buck, (Vout-Vin*D_max_buck_BB)/Vout))</f>
        <v>0.0450000000000001</v>
      </c>
      <c r="P98" s="385" t="n">
        <f aca="false">MAX(0, CHOOSE(J98, (Vin-(Rdson1+Rdcr)*K98-Vout)*N98/(Fsw*Lf), (Vin-(Rdson4+Rdcr+Rs)*L98)*O98/(Fsw*Lf), IF(Vin&lt;Vout, (Vin-(Rdson4+Rdcr+Rs)*L98)*O98/(0.5*Fsw*Lf),(Vin-(Rdson1+Rdcr)*K98-Vout)*N98/(0.5*Fsw*Lf))))</f>
        <v>0</v>
      </c>
      <c r="Q98" s="385" t="n">
        <f aca="false">CHOOSE(J98, SQRT(K98^2+(P98^2)/12), SQRT(L98^2+(P98^2)/12), SQRT(M98^2+(P98^2)/12))</f>
        <v>5.59162303664922</v>
      </c>
      <c r="R98" s="488" t="n">
        <f aca="false">(Q98^2*Rdcr*(1+Ltc*Ta-Ltc*25))/(1-Q98^2*Rdcr*Ltc*ThetaCa)</f>
        <v>0.105627017643371</v>
      </c>
      <c r="S98" s="488" t="n">
        <f aca="false">7.759*10^-3*Fsw^0.9458*(0.00787*P98)^2.304</f>
        <v>0</v>
      </c>
      <c r="T98" s="488" t="n">
        <f aca="false">R98+S98</f>
        <v>0.105627017643371</v>
      </c>
      <c r="U98" s="385" t="n">
        <f aca="false">IF(Vin&gt;Vout, P98/SQRT(12), SQRT(O98/(1-O98))*SQRT(K98^2+(P98^2)/12))</f>
        <v>1.15916651767846</v>
      </c>
      <c r="V98" s="488" t="n">
        <f aca="false">RCoutEsr*U98^2</f>
        <v>0.00671833507853404</v>
      </c>
      <c r="W98" s="488" t="n">
        <f aca="false">V98</f>
        <v>0.00671833507853404</v>
      </c>
      <c r="X98" s="385" t="n">
        <f aca="false">IF(Vin&gt;Vout, SQRT(N98*(1-N98))*SQRT(K98^2+(P98^2)/12), P98/SQRT(12))</f>
        <v>0</v>
      </c>
      <c r="Y98" s="587" t="n">
        <f aca="false">RCinEsr*X98^2</f>
        <v>0</v>
      </c>
      <c r="Z98" s="588" t="n">
        <f aca="false">Y98</f>
        <v>0</v>
      </c>
      <c r="AA98" s="488" t="n">
        <f aca="false">CHOOSE(J98, SQRT(N98)*SQRT(K98^2+(P98^2)/12), SQRT(L98^2+(P98^2)/12), SQRT(N98)*SQRT(M98^2+(P98^2)/12))</f>
        <v>5.46436336783223</v>
      </c>
      <c r="AB98" s="488" t="n">
        <f aca="false">Rdson1*AA98^2</f>
        <v>0.170197821989529</v>
      </c>
      <c r="AC98" s="488" t="n">
        <f aca="false">CHOOSE(J98, (Vin*K98/2)*(Fsw)*(Tr_buck+Tf_buck), 0, (Vin*K98/2)*(Fsw/2)*(Tr_buck+Tf_buck))</f>
        <v>0.0326283959827834</v>
      </c>
      <c r="AD98" s="488" t="n">
        <f aca="false">CHOOSE(J98, IF(K98&gt;P98/2,0,ABS(K98-P98/2)*Vsd_Q1*Deadtime*Fsw),0, IF(K98&gt;P98/2,0,ABS(K98-P98/2)*Vsd_Q1*Deadtime*Fsw/2))</f>
        <v>0</v>
      </c>
      <c r="AE98" s="488" t="n">
        <f aca="false">(AD98+AC98+AB98*(1+RdsonTopTc*Ta-RdsonTopTc*25))/(1-AB98*RdsonTopTc*ThetaJA_Q1)</f>
        <v>0.209973628832829</v>
      </c>
      <c r="AF98" s="488" t="n">
        <f aca="false">CHOOSE(J98, SQRT((1-N98))*SQRT(K98^2+(P98^2)/12), 0, SQRT((1-N98))*SQRT(M98^2+(P98^2)/12))</f>
        <v>1.18616237011607</v>
      </c>
      <c r="AG98" s="488" t="n">
        <f aca="false">Rdson2*AF98^2</f>
        <v>0.00801979265919246</v>
      </c>
      <c r="AH98" s="488" t="n">
        <f aca="false">CHOOSE(J98, IF(K98&lt;P98/2,Deadtime*Fsw*IF(VfdSky_Q2&gt;0,0,Vsd_Q2)*(K98+P98/2),2*Deadtime*Fsw*IF(VfdSky_Q2&gt;0,0,Vsd_Q2)*K98),0, IF(K98&lt;P98/2,Deadtime*Fsw/2*IF(VfdSky_Q2&gt;0,0,Vsd_Q2)*(K98+P98/2),2*Deadtime*Fsw/2*IF(VfdSky_Q2&gt;0,0,Vsd_Q2)*K98))</f>
        <v>0.06408</v>
      </c>
      <c r="AI98" s="488" t="n">
        <f aca="false">(AH98+AG98*(1+RdsonBotTc*Ta-RdsonBotTc*25))/(1-AG98*RdsonBotTc*ThetaJA_Q2)</f>
        <v>0.0722156235246769</v>
      </c>
      <c r="AJ98" s="488" t="n">
        <f aca="false">CHOOSE(J98, 0, SQRT(O98)*SQRT(L98^2+(P98^2)/12), SQRT(O98)*SQRT(M98^2+(P98^2)/12))</f>
        <v>1.18616237011607</v>
      </c>
      <c r="AK98" s="488" t="n">
        <f aca="false">Rdson4*AJ98^2</f>
        <v>0.00267326421973082</v>
      </c>
      <c r="AL98" s="488" t="n">
        <f aca="false">CHOOSE(J98, 0, (Vout*L98/2)*(Fsw)*(Tr_boost+Tf_boost), (Vout*Iout/2)*(Fsw/2)*(Tr_boost+Tf_boost))</f>
        <v>0.0349071770123085</v>
      </c>
      <c r="AM98" s="488" t="n">
        <f aca="false">IF(H98&gt;Vout, 0, IF(L98&gt;P98/2,0,ABS(L98-P98/2)*Vsd_Q4*Deadtime*Fsw))</f>
        <v>0</v>
      </c>
      <c r="AN98" s="488" t="n">
        <f aca="false">(AM98+AL98+AK98*(1+RdsonTopTc*Ta-RdsonTopTc*25))/(1-AK98*RdsonTopTc*ThetaJA_Q4)</f>
        <v>0.0376005444700742</v>
      </c>
      <c r="AO98" s="488" t="n">
        <f aca="false">CHOOSE(J98, SQRT(K98^2+(P98^2)/12), SQRT(1-O98)*SQRT(L98^2+(P98^2)/12), SQRT(1-O98)*SQRT(M98^2+(P98^2)/12))</f>
        <v>5.46436336783223</v>
      </c>
      <c r="AP98" s="488" t="n">
        <f aca="false">Rdson3*AO98^2</f>
        <v>0.0567326073298429</v>
      </c>
      <c r="AQ98" s="488" t="n">
        <f aca="false">CHOOSE(J98, 0, IF(L98&lt;P98/2,Deadtime*Fsw*IF(VfdSky_Q3&gt;0,0,Vsd_Q3)*(L98+P98/2), 2*Deadtime*Fsw*IF(VfdSky_Q3&gt;0,0,Vsd_Q3)*L98), IF(L98&lt;P98/2,Deadtime*Fsw/2*IF(VfdSky_Q3&gt;0,0,Vsd_Q3)*(L98+P98/2), 2*Deadtime*Fsw/2*IF(VfdSky_Q3&gt;0,0,Vsd_Q3)*L98))</f>
        <v>0.0712</v>
      </c>
      <c r="AR98" s="488" t="n">
        <f aca="false">(AQ98+AP98*(1+RdsonBotTc*Ta-RdsonBotTc*25))/(1-AP98*RdsonBotTc*ThetaJA_Q3)</f>
        <v>0.129400856930722</v>
      </c>
      <c r="AS98" s="488" t="n">
        <f aca="false">CHOOSE(J98, Rdson3*Q98^2, Rdson1*Q98^2, 0)</f>
        <v>0</v>
      </c>
      <c r="AT98" s="488" t="n">
        <f aca="false">CHOOSE(J98, 2*Deadtime*Fsw*IF(VfdSky_Q2&gt;0,VfdSky_Q2,0)*K98, 2*Deadtime*Fsw*IF(VfdSky_Q3&gt;0,VfdSky_Q3,0)*L98, 2*Deadtime*Fsw/2*IF(VfdSky_Q2&gt;0,VfdSky_Q2,0)*K98+2*Deadtime*Fsw/2*IF(VfdSky_Q3&gt;0,VfdSky_Q3,0)*L98)</f>
        <v>0</v>
      </c>
      <c r="AU98" s="488" t="n">
        <f aca="false">CHOOSE(J98, IF(QrrSky_Q2&gt;0,QrrSky_Q2,Qrr_Q2*K98/Iout)*Fsw*(Vin-K98*Rdson1), IF(QrrSky_Q3&gt;0,QrrSky_Q3,Qrr_Q3)*Fsw*Vout,  IF(QrrSky_Q2&gt;0,QrrSky_Q2,Qrr_Q2*K98/Iout)*Fsw/2*(Vin-K98*Rdson1)+IF(QrrSky_Q3&gt;0,QrrSky_Q3,Qrr_Q3)*Fsw/2*Vout)</f>
        <v>0.160070001201</v>
      </c>
      <c r="AV98" s="488" t="n">
        <f aca="false">CHOOSE(J98, Rs*AF98^2, Rs*AJ98^2, Rs*(AF98^2+AJ98^2))</f>
        <v>0.0225116986924701</v>
      </c>
      <c r="AW98" s="488" t="n">
        <f aca="false">Rshunt_std/1000*Iout^2</f>
        <v>0.14832</v>
      </c>
      <c r="AX98" s="488" t="n">
        <f aca="false">IF(Vout&gt;8, Iq*Vout, Iq*Vin)</f>
        <v>0.036</v>
      </c>
      <c r="AY98" s="488" t="n">
        <f aca="false">CHOOSE(J98, (Qg_Q1+Qg_Q2)*Fsw, (Qg_Q3+Qg_Q4)*Fsw, (Qg_Q1+Qg_Q2+Qg_Q3+Qg_Q4)*Fsw/2)*IF(Vout&gt;8, Vout, Vin)</f>
        <v>0.1188</v>
      </c>
      <c r="AZ98" s="488" t="n">
        <f aca="false">(Vin-Vdd)*Fsw*(Qg_Q1+Qg_Q2)+(RdsonDRT+RdsonDRT2)*Fsw*Qg_Q1*Vdd/(RdsonDRT+2*Rgate1+RdsonDRT2)+(RdsonDRB+RdsonDRB2)*Fsw*Qg_Q2*Vdd/(RdsonDRB+2*Rgate2+RdsonDRB2)</f>
        <v>0.0522</v>
      </c>
      <c r="BA98" s="488" t="n">
        <f aca="false">SUM(AX98:AY98)</f>
        <v>0.1548</v>
      </c>
      <c r="BB98" s="488" t="n">
        <f aca="false">SUM(T98,W98,Z98,AE98,AI98,AN98,AR98, AT98,AU98,BA98,AV98,AW98)</f>
        <v>1.04723770637368</v>
      </c>
      <c r="BC98" s="419" t="n">
        <f aca="false">Vout*K98</f>
        <v>64.08</v>
      </c>
      <c r="BD98" s="589" t="n">
        <f aca="false">BC98/(BC98+BB98)</f>
        <v>0.983920127073481</v>
      </c>
      <c r="BE98" s="590" t="n">
        <f aca="false">IF(Vin&gt;Vout,ThetaJA_Q1*BK98,ThetaJA_Q4*BK98)</f>
        <v>7.16233726313671</v>
      </c>
      <c r="BF98" s="590" t="n">
        <f aca="false">IF(Vin&gt;Vout, ThetaJA_Q2*BL98, ThetaJA_Q3*BL98)</f>
        <v>9.1111978663526</v>
      </c>
      <c r="BG98" s="536"/>
      <c r="BH98" s="385" t="n">
        <f aca="false">BD98*100</f>
        <v>98.3920127073481</v>
      </c>
      <c r="BI98" s="488" t="n">
        <f aca="false">T98</f>
        <v>0.105627017643371</v>
      </c>
      <c r="BJ98" s="488" t="n">
        <f aca="false">AE98+AI98+AN98+AR98+AU98</f>
        <v>0.609260654959302</v>
      </c>
      <c r="BK98" s="488" t="n">
        <f aca="false">IF(Vin&gt;Vout, AE98+AU98*0.66, AN98+AU98*0.66)</f>
        <v>0.143246745262734</v>
      </c>
      <c r="BL98" s="488" t="n">
        <f aca="false">IF(Vin&gt;Vout, AI98+AU98*0.33, AR98+AU98*0.33)</f>
        <v>0.182223957327052</v>
      </c>
      <c r="BM98" s="488" t="n">
        <f aca="false">AV98</f>
        <v>0.0225116986924701</v>
      </c>
      <c r="BS98" s="591"/>
      <c r="BT98" s="592"/>
    </row>
    <row r="99" customFormat="false" ht="12.75" hidden="false" customHeight="false" outlineLevel="0" collapsed="false">
      <c r="G99" s="0" t="n">
        <v>90</v>
      </c>
      <c r="H99" s="586" t="n">
        <f aca="false">Vin</f>
        <v>12</v>
      </c>
      <c r="I99" s="385" t="str">
        <f aca="false">IF(H99&gt;VIN_BB_to_buck, "BUCK", IF(H99&lt;VIN_boost_to_BB,"BOOST","BUCK-BST"))</f>
        <v>BUCK-BST</v>
      </c>
      <c r="J99" s="419" t="n">
        <f aca="false">IF(I99="BOOST",2, IF(I99="BUCK", 1,3))</f>
        <v>3</v>
      </c>
      <c r="K99" s="488" t="n">
        <f aca="false">Iout*G99/100</f>
        <v>5.4</v>
      </c>
      <c r="L99" s="385" t="n">
        <f aca="false">Vout*K99/(Vin*Efficiency)</f>
        <v>6</v>
      </c>
      <c r="M99" s="385" t="n">
        <f aca="false">K99/(1-O99)</f>
        <v>5.65445026178011</v>
      </c>
      <c r="N99" s="488" t="n">
        <f aca="false">CHOOSE(J99,(Vout+(Rdson2+Rs+Rdcr)*K99)/(Vin+(Rs+Rdson2-Rdson1)*K99), 1, IF(Vin&lt;Vout, D_max_buck_BB, Vout/Vin*(1-D_min_boost_exitBB_to_buck)))</f>
        <v>0.955</v>
      </c>
      <c r="O99" s="488" t="n">
        <f aca="false">CHOOSE(J99,0,(Vout+(Rdson3+Rdcr)*L99-Vin)/(Vout+(Rdson3-Rdson4-Rs)*L99), IF(Vin&gt;Vout,D_min_boost_exitBB_to_buck, (Vout-Vin*D_max_buck_BB)/Vout))</f>
        <v>0.0450000000000001</v>
      </c>
      <c r="P99" s="385" t="n">
        <f aca="false">MAX(0, CHOOSE(J99, (Vin-(Rdson1+Rdcr)*K99-Vout)*N99/(Fsw*Lf), (Vin-(Rdson4+Rdcr+Rs)*L99)*O99/(Fsw*Lf), IF(Vin&lt;Vout, (Vin-(Rdson4+Rdcr+Rs)*L99)*O99/(0.5*Fsw*Lf),(Vin-(Rdson1+Rdcr)*K99-Vout)*N99/(0.5*Fsw*Lf))))</f>
        <v>0</v>
      </c>
      <c r="Q99" s="385" t="n">
        <f aca="false">CHOOSE(J99, SQRT(K99^2+(P99^2)/12), SQRT(L99^2+(P99^2)/12), SQRT(M99^2+(P99^2)/12))</f>
        <v>5.65445026178011</v>
      </c>
      <c r="R99" s="488" t="n">
        <f aca="false">(Q99^2*Rdcr*(1+Ltc*Ta-Ltc*25))/(1-Q99^2*Rdcr*Ltc*ThetaCa)</f>
        <v>0.108034623633719</v>
      </c>
      <c r="S99" s="488" t="n">
        <f aca="false">7.759*10^-3*Fsw^0.9458*(0.00787*P99)^2.304</f>
        <v>0</v>
      </c>
      <c r="T99" s="488" t="n">
        <f aca="false">R99+S99</f>
        <v>0.108034623633719</v>
      </c>
      <c r="U99" s="385" t="n">
        <f aca="false">IF(Vin&gt;Vout, P99/SQRT(12), SQRT(O99/(1-O99))*SQRT(K99^2+(P99^2)/12))</f>
        <v>1.17219086057372</v>
      </c>
      <c r="V99" s="488" t="n">
        <f aca="false">RCoutEsr*U99^2</f>
        <v>0.00687015706806284</v>
      </c>
      <c r="W99" s="488" t="n">
        <f aca="false">V99</f>
        <v>0.00687015706806284</v>
      </c>
      <c r="X99" s="385" t="n">
        <f aca="false">IF(Vin&gt;Vout, SQRT(N99*(1-N99))*SQRT(K99^2+(P99^2)/12), P99/SQRT(12))</f>
        <v>0</v>
      </c>
      <c r="Y99" s="587" t="n">
        <f aca="false">RCinEsr*X99^2</f>
        <v>0</v>
      </c>
      <c r="Z99" s="588" t="n">
        <f aca="false">Y99</f>
        <v>0</v>
      </c>
      <c r="AA99" s="488" t="n">
        <f aca="false">CHOOSE(J99, SQRT(N99)*SQRT(K99^2+(P99^2)/12), SQRT(L99^2+(P99^2)/12), SQRT(N99)*SQRT(M99^2+(P99^2)/12))</f>
        <v>5.52576070904383</v>
      </c>
      <c r="AB99" s="488" t="n">
        <f aca="false">Rdson1*AA99^2</f>
        <v>0.174043979057592</v>
      </c>
      <c r="AC99" s="488" t="n">
        <f aca="false">CHOOSE(J99, (Vin*K99/2)*(Fsw)*(Tr_buck+Tf_buck), 0, (Vin*K99/2)*(Fsw/2)*(Tr_buck+Tf_buck))</f>
        <v>0.0329950071736012</v>
      </c>
      <c r="AD99" s="488" t="n">
        <f aca="false">CHOOSE(J99, IF(K99&gt;P99/2,0,ABS(K99-P99/2)*Vsd_Q1*Deadtime*Fsw),0, IF(K99&gt;P99/2,0,ABS(K99-P99/2)*Vsd_Q1*Deadtime*Fsw/2))</f>
        <v>0</v>
      </c>
      <c r="AE99" s="488" t="n">
        <f aca="false">(AD99+AC99+AB99*(1+RdsonTopTc*Ta-RdsonTopTc*25))/(1-AB99*RdsonTopTc*ThetaJA_Q1)</f>
        <v>0.214505670309406</v>
      </c>
      <c r="AF99" s="488" t="n">
        <f aca="false">CHOOSE(J99, SQRT((1-N99))*SQRT(K99^2+(P99^2)/12), 0, SQRT((1-N99))*SQRT(M99^2+(P99^2)/12))</f>
        <v>1.19949003719603</v>
      </c>
      <c r="AG99" s="488" t="n">
        <f aca="false">Rdson2*AF99^2</f>
        <v>0.00820102519119543</v>
      </c>
      <c r="AH99" s="488" t="n">
        <f aca="false">CHOOSE(J99, IF(K99&lt;P99/2,Deadtime*Fsw*IF(VfdSky_Q2&gt;0,0,Vsd_Q2)*(K99+P99/2),2*Deadtime*Fsw*IF(VfdSky_Q2&gt;0,0,Vsd_Q2)*K99),0, IF(K99&lt;P99/2,Deadtime*Fsw/2*IF(VfdSky_Q2&gt;0,0,Vsd_Q2)*(K99+P99/2),2*Deadtime*Fsw/2*IF(VfdSky_Q2&gt;0,0,Vsd_Q2)*K99))</f>
        <v>0.0648</v>
      </c>
      <c r="AI99" s="488" t="n">
        <f aca="false">(AH99+AG99*(1+RdsonBotTc*Ta-RdsonBotTc*25))/(1-AG99*RdsonBotTc*ThetaJA_Q2)</f>
        <v>0.0731209585558196</v>
      </c>
      <c r="AJ99" s="488" t="n">
        <f aca="false">CHOOSE(J99, 0, SQRT(O99)*SQRT(L99^2+(P99^2)/12), SQRT(O99)*SQRT(M99^2+(P99^2)/12))</f>
        <v>1.19949003719603</v>
      </c>
      <c r="AK99" s="488" t="n">
        <f aca="false">Rdson4*AJ99^2</f>
        <v>0.00273367506373181</v>
      </c>
      <c r="AL99" s="488" t="n">
        <f aca="false">CHOOSE(J99, 0, (Vout*L99/2)*(Fsw)*(Tr_boost+Tf_boost), (Vout*Iout/2)*(Fsw/2)*(Tr_boost+Tf_boost))</f>
        <v>0.0349071770123085</v>
      </c>
      <c r="AM99" s="488" t="n">
        <f aca="false">IF(H99&gt;Vout, 0, IF(L99&gt;P99/2,0,ABS(L99-P99/2)*Vsd_Q4*Deadtime*Fsw))</f>
        <v>0</v>
      </c>
      <c r="AN99" s="488" t="n">
        <f aca="false">(AM99+AL99+AK99*(1+RdsonTopTc*Ta-RdsonTopTc*25))/(1-AK99*RdsonTopTc*ThetaJA_Q4)</f>
        <v>0.0376614429055073</v>
      </c>
      <c r="AO99" s="488" t="n">
        <f aca="false">CHOOSE(J99, SQRT(K99^2+(P99^2)/12), SQRT(1-O99)*SQRT(L99^2+(P99^2)/12), SQRT(1-O99)*SQRT(M99^2+(P99^2)/12))</f>
        <v>5.52576070904383</v>
      </c>
      <c r="AP99" s="488" t="n">
        <f aca="false">Rdson3*AO99^2</f>
        <v>0.0580146596858639</v>
      </c>
      <c r="AQ99" s="488" t="n">
        <f aca="false">CHOOSE(J99, 0, IF(L99&lt;P99/2,Deadtime*Fsw*IF(VfdSky_Q3&gt;0,0,Vsd_Q3)*(L99+P99/2), 2*Deadtime*Fsw*IF(VfdSky_Q3&gt;0,0,Vsd_Q3)*L99), IF(L99&lt;P99/2,Deadtime*Fsw/2*IF(VfdSky_Q3&gt;0,0,Vsd_Q3)*(L99+P99/2), 2*Deadtime*Fsw/2*IF(VfdSky_Q3&gt;0,0,Vsd_Q3)*L99))</f>
        <v>0.072</v>
      </c>
      <c r="AR99" s="488" t="n">
        <f aca="false">(AQ99+AP99*(1+RdsonBotTc*Ta-RdsonBotTc*25))/(1-AP99*RdsonBotTc*ThetaJA_Q3)</f>
        <v>0.131540920027901</v>
      </c>
      <c r="AS99" s="488" t="n">
        <f aca="false">CHOOSE(J99, Rdson3*Q99^2, Rdson1*Q99^2, 0)</f>
        <v>0</v>
      </c>
      <c r="AT99" s="488" t="n">
        <f aca="false">CHOOSE(J99, 2*Deadtime*Fsw*IF(VfdSky_Q2&gt;0,VfdSky_Q2,0)*K99, 2*Deadtime*Fsw*IF(VfdSky_Q3&gt;0,VfdSky_Q3,0)*L99, 2*Deadtime*Fsw/2*IF(VfdSky_Q2&gt;0,VfdSky_Q2,0)*K99+2*Deadtime*Fsw/2*IF(VfdSky_Q3&gt;0,VfdSky_Q3,0)*L99)</f>
        <v>0</v>
      </c>
      <c r="AU99" s="488" t="n">
        <f aca="false">CHOOSE(J99, IF(QrrSky_Q2&gt;0,QrrSky_Q2,Qrr_Q2*K99/Iout)*Fsw*(Vin-K99*Rdson1), IF(QrrSky_Q3&gt;0,QrrSky_Q3,Qrr_Q3)*Fsw*Vout,  IF(QrrSky_Q2&gt;0,QrrSky_Q2,Qrr_Q2*K99/Iout)*Fsw/2*(Vin-K99*Rdson1)+IF(QrrSky_Q3&gt;0,QrrSky_Q3,Qrr_Q3)*Fsw/2*Vout)</f>
        <v>0.1611982161</v>
      </c>
      <c r="AV99" s="488" t="n">
        <f aca="false">CHOOSE(J99, Rs*AF99^2, Rs*AJ99^2, Rs*(AF99^2+AJ99^2))</f>
        <v>0.0230204215893205</v>
      </c>
      <c r="AW99" s="488" t="n">
        <f aca="false">Rshunt_std/1000*Iout^2</f>
        <v>0.14832</v>
      </c>
      <c r="AX99" s="488" t="n">
        <f aca="false">IF(Vout&gt;8, Iq*Vout, Iq*Vin)</f>
        <v>0.036</v>
      </c>
      <c r="AY99" s="488" t="n">
        <f aca="false">CHOOSE(J99, (Qg_Q1+Qg_Q2)*Fsw, (Qg_Q3+Qg_Q4)*Fsw, (Qg_Q1+Qg_Q2+Qg_Q3+Qg_Q4)*Fsw/2)*IF(Vout&gt;8, Vout, Vin)</f>
        <v>0.1188</v>
      </c>
      <c r="AZ99" s="488" t="n">
        <f aca="false">(Vin-Vdd)*Fsw*(Qg_Q1+Qg_Q2)+(RdsonDRT+RdsonDRT2)*Fsw*Qg_Q1*Vdd/(RdsonDRT+2*Rgate1+RdsonDRT2)+(RdsonDRB+RdsonDRB2)*Fsw*Qg_Q2*Vdd/(RdsonDRB+2*Rgate2+RdsonDRB2)</f>
        <v>0.0522</v>
      </c>
      <c r="BA99" s="488" t="n">
        <f aca="false">SUM(AX99:AY99)</f>
        <v>0.1548</v>
      </c>
      <c r="BB99" s="488" t="n">
        <f aca="false">SUM(T99,W99,Z99,AE99,AI99,AN99,AR99, AT99,AU99,BA99,AV99,AW99)</f>
        <v>1.05907241018974</v>
      </c>
      <c r="BC99" s="419" t="n">
        <f aca="false">Vout*K99</f>
        <v>64.8</v>
      </c>
      <c r="BD99" s="589" t="n">
        <f aca="false">BC99/(BC99+BB99)</f>
        <v>0.983919111347431</v>
      </c>
      <c r="BE99" s="590" t="n">
        <f aca="false">IF(Vin&gt;Vout,ThetaJA_Q1*BK99,ThetaJA_Q4*BK99)</f>
        <v>7.20261327657537</v>
      </c>
      <c r="BF99" s="590" t="n">
        <f aca="false">IF(Vin&gt;Vout, ThetaJA_Q2*BL99, ThetaJA_Q3*BL99)</f>
        <v>9.23681656704504</v>
      </c>
      <c r="BG99" s="536"/>
      <c r="BH99" s="385" t="n">
        <f aca="false">BD99*100</f>
        <v>98.3919111347431</v>
      </c>
      <c r="BI99" s="488" t="n">
        <f aca="false">T99</f>
        <v>0.108034623633719</v>
      </c>
      <c r="BJ99" s="488" t="n">
        <f aca="false">AE99+AI99+AN99+AR99+AU99</f>
        <v>0.618027207898633</v>
      </c>
      <c r="BK99" s="488" t="n">
        <f aca="false">IF(Vin&gt;Vout, AE99+AU99*0.66, AN99+AU99*0.66)</f>
        <v>0.144052265531507</v>
      </c>
      <c r="BL99" s="488" t="n">
        <f aca="false">IF(Vin&gt;Vout, AI99+AU99*0.33, AR99+AU99*0.33)</f>
        <v>0.184736331340901</v>
      </c>
      <c r="BM99" s="488" t="n">
        <f aca="false">AV99</f>
        <v>0.0230204215893205</v>
      </c>
      <c r="BS99" s="591"/>
      <c r="BT99" s="592"/>
    </row>
    <row r="100" customFormat="false" ht="12.75" hidden="false" customHeight="false" outlineLevel="0" collapsed="false">
      <c r="G100" s="0" t="n">
        <v>91</v>
      </c>
      <c r="H100" s="586" t="n">
        <f aca="false">Vin</f>
        <v>12</v>
      </c>
      <c r="I100" s="385" t="str">
        <f aca="false">IF(H100&gt;VIN_BB_to_buck, "BUCK", IF(H100&lt;VIN_boost_to_BB,"BOOST","BUCK-BST"))</f>
        <v>BUCK-BST</v>
      </c>
      <c r="J100" s="419" t="n">
        <f aca="false">IF(I100="BOOST",2, IF(I100="BUCK", 1,3))</f>
        <v>3</v>
      </c>
      <c r="K100" s="488" t="n">
        <f aca="false">Iout*G100/100</f>
        <v>5.46</v>
      </c>
      <c r="L100" s="385" t="n">
        <f aca="false">Vout*K100/(Vin*Efficiency)</f>
        <v>6.06666666666667</v>
      </c>
      <c r="M100" s="385" t="n">
        <f aca="false">K100/(1-O100)</f>
        <v>5.717277486911</v>
      </c>
      <c r="N100" s="488" t="n">
        <f aca="false">CHOOSE(J100,(Vout+(Rdson2+Rs+Rdcr)*K100)/(Vin+(Rs+Rdson2-Rdson1)*K100), 1, IF(Vin&lt;Vout, D_max_buck_BB, Vout/Vin*(1-D_min_boost_exitBB_to_buck)))</f>
        <v>0.955</v>
      </c>
      <c r="O100" s="488" t="n">
        <f aca="false">CHOOSE(J100,0,(Vout+(Rdson3+Rdcr)*L100-Vin)/(Vout+(Rdson3-Rdson4-Rs)*L100), IF(Vin&gt;Vout,D_min_boost_exitBB_to_buck, (Vout-Vin*D_max_buck_BB)/Vout))</f>
        <v>0.0450000000000001</v>
      </c>
      <c r="P100" s="385" t="n">
        <f aca="false">MAX(0, CHOOSE(J100, (Vin-(Rdson1+Rdcr)*K100-Vout)*N100/(Fsw*Lf), (Vin-(Rdson4+Rdcr+Rs)*L100)*O100/(Fsw*Lf), IF(Vin&lt;Vout, (Vin-(Rdson4+Rdcr+Rs)*L100)*O100/(0.5*Fsw*Lf),(Vin-(Rdson1+Rdcr)*K100-Vout)*N100/(0.5*Fsw*Lf))))</f>
        <v>0</v>
      </c>
      <c r="Q100" s="385" t="n">
        <f aca="false">CHOOSE(J100, SQRT(K100^2+(P100^2)/12), SQRT(L100^2+(P100^2)/12), SQRT(M100^2+(P100^2)/12))</f>
        <v>5.717277486911</v>
      </c>
      <c r="R100" s="488" t="n">
        <f aca="false">(Q100^2*Rdcr*(1+Ltc*Ta-Ltc*25))/(1-Q100^2*Rdcr*Ltc*ThetaCa)</f>
        <v>0.11047006558054</v>
      </c>
      <c r="S100" s="488" t="n">
        <f aca="false">7.759*10^-3*Fsw^0.9458*(0.00787*P100)^2.304</f>
        <v>0</v>
      </c>
      <c r="T100" s="488" t="n">
        <f aca="false">R100+S100</f>
        <v>0.11047006558054</v>
      </c>
      <c r="U100" s="385" t="n">
        <f aca="false">IF(Vin&gt;Vout, P100/SQRT(12), SQRT(O100/(1-O100))*SQRT(K100^2+(P100^2)/12))</f>
        <v>1.18521520346899</v>
      </c>
      <c r="V100" s="488" t="n">
        <f aca="false">RCoutEsr*U100^2</f>
        <v>0.00702367539267017</v>
      </c>
      <c r="W100" s="488" t="n">
        <f aca="false">V100</f>
        <v>0.00702367539267017</v>
      </c>
      <c r="X100" s="385" t="n">
        <f aca="false">IF(Vin&gt;Vout, SQRT(N100*(1-N100))*SQRT(K100^2+(P100^2)/12), P100/SQRT(12))</f>
        <v>0</v>
      </c>
      <c r="Y100" s="587" t="n">
        <f aca="false">RCinEsr*X100^2</f>
        <v>0</v>
      </c>
      <c r="Z100" s="588" t="n">
        <f aca="false">Y100</f>
        <v>0</v>
      </c>
      <c r="AA100" s="488" t="n">
        <f aca="false">CHOOSE(J100, SQRT(N100)*SQRT(K100^2+(P100^2)/12), SQRT(L100^2+(P100^2)/12), SQRT(N100)*SQRT(M100^2+(P100^2)/12))</f>
        <v>5.58715805025543</v>
      </c>
      <c r="AB100" s="488" t="n">
        <f aca="false">Rdson1*AA100^2</f>
        <v>0.177933109947644</v>
      </c>
      <c r="AC100" s="488" t="n">
        <f aca="false">CHOOSE(J100, (Vin*K100/2)*(Fsw)*(Tr_buck+Tf_buck), 0, (Vin*K100/2)*(Fsw/2)*(Tr_buck+Tf_buck))</f>
        <v>0.0333616183644189</v>
      </c>
      <c r="AD100" s="488" t="n">
        <f aca="false">CHOOSE(J100, IF(K100&gt;P100/2,0,ABS(K100-P100/2)*Vsd_Q1*Deadtime*Fsw),0, IF(K100&gt;P100/2,0,ABS(K100-P100/2)*Vsd_Q1*Deadtime*Fsw/2))</f>
        <v>0</v>
      </c>
      <c r="AE100" s="488" t="n">
        <f aca="false">(AD100+AC100+AB100*(1+RdsonTopTc*Ta-RdsonTopTc*25))/(1-AB100*RdsonTopTc*ThetaJA_Q1)</f>
        <v>0.219091453032259</v>
      </c>
      <c r="AF100" s="488" t="n">
        <f aca="false">CHOOSE(J100, SQRT((1-N100))*SQRT(K100^2+(P100^2)/12), 0, SQRT((1-N100))*SQRT(M100^2+(P100^2)/12))</f>
        <v>1.21281770427598</v>
      </c>
      <c r="AG100" s="488" t="n">
        <f aca="false">Rdson2*AF100^2</f>
        <v>0.00838428266769004</v>
      </c>
      <c r="AH100" s="488" t="n">
        <f aca="false">CHOOSE(J100, IF(K100&lt;P100/2,Deadtime*Fsw*IF(VfdSky_Q2&gt;0,0,Vsd_Q2)*(K100+P100/2),2*Deadtime*Fsw*IF(VfdSky_Q2&gt;0,0,Vsd_Q2)*K100),0, IF(K100&lt;P100/2,Deadtime*Fsw/2*IF(VfdSky_Q2&gt;0,0,Vsd_Q2)*(K100+P100/2),2*Deadtime*Fsw/2*IF(VfdSky_Q2&gt;0,0,Vsd_Q2)*K100))</f>
        <v>0.06552</v>
      </c>
      <c r="AI100" s="488" t="n">
        <f aca="false">(AH100+AG100*(1+RdsonBotTc*Ta-RdsonBotTc*25))/(1-AG100*RdsonBotTc*ThetaJA_Q2)</f>
        <v>0.0740284177035838</v>
      </c>
      <c r="AJ100" s="488" t="n">
        <f aca="false">CHOOSE(J100, 0, SQRT(O100)*SQRT(L100^2+(P100^2)/12), SQRT(O100)*SQRT(M100^2+(P100^2)/12))</f>
        <v>1.21281770427599</v>
      </c>
      <c r="AK100" s="488" t="n">
        <f aca="false">Rdson4*AJ100^2</f>
        <v>0.00279476088923001</v>
      </c>
      <c r="AL100" s="488" t="n">
        <f aca="false">CHOOSE(J100, 0, (Vout*L100/2)*(Fsw)*(Tr_boost+Tf_boost), (Vout*Iout/2)*(Fsw/2)*(Tr_boost+Tf_boost))</f>
        <v>0.0349071770123085</v>
      </c>
      <c r="AM100" s="488" t="n">
        <f aca="false">IF(H100&gt;Vout, 0, IF(L100&gt;P100/2,0,ABS(L100-P100/2)*Vsd_Q4*Deadtime*Fsw))</f>
        <v>0</v>
      </c>
      <c r="AN100" s="488" t="n">
        <f aca="false">(AM100+AL100+AK100*(1+RdsonTopTc*Ta-RdsonTopTc*25))/(1-AK100*RdsonTopTc*ThetaJA_Q4)</f>
        <v>0.0377230232675489</v>
      </c>
      <c r="AO100" s="488" t="n">
        <f aca="false">CHOOSE(J100, SQRT(K100^2+(P100^2)/12), SQRT(1-O100)*SQRT(L100^2+(P100^2)/12), SQRT(1-O100)*SQRT(M100^2+(P100^2)/12))</f>
        <v>5.58715805025543</v>
      </c>
      <c r="AP100" s="488" t="n">
        <f aca="false">Rdson3*AO100^2</f>
        <v>0.0593110366492147</v>
      </c>
      <c r="AQ100" s="488" t="n">
        <f aca="false">CHOOSE(J100, 0, IF(L100&lt;P100/2,Deadtime*Fsw*IF(VfdSky_Q3&gt;0,0,Vsd_Q3)*(L100+P100/2), 2*Deadtime*Fsw*IF(VfdSky_Q3&gt;0,0,Vsd_Q3)*L100), IF(L100&lt;P100/2,Deadtime*Fsw/2*IF(VfdSky_Q3&gt;0,0,Vsd_Q3)*(L100+P100/2), 2*Deadtime*Fsw/2*IF(VfdSky_Q3&gt;0,0,Vsd_Q3)*L100))</f>
        <v>0.0728</v>
      </c>
      <c r="AR100" s="488" t="n">
        <f aca="false">(AQ100+AP100*(1+RdsonBotTc*Ta-RdsonBotTc*25))/(1-AP100*RdsonBotTc*ThetaJA_Q3)</f>
        <v>0.133696977920683</v>
      </c>
      <c r="AS100" s="488" t="n">
        <f aca="false">CHOOSE(J100, Rdson3*Q100^2, Rdson1*Q100^2, 0)</f>
        <v>0</v>
      </c>
      <c r="AT100" s="488" t="n">
        <f aca="false">CHOOSE(J100, 2*Deadtime*Fsw*IF(VfdSky_Q2&gt;0,VfdSky_Q2,0)*K100, 2*Deadtime*Fsw*IF(VfdSky_Q3&gt;0,VfdSky_Q3,0)*L100, 2*Deadtime*Fsw/2*IF(VfdSky_Q2&gt;0,VfdSky_Q2,0)*K100+2*Deadtime*Fsw/2*IF(VfdSky_Q3&gt;0,VfdSky_Q3,0)*L100)</f>
        <v>0</v>
      </c>
      <c r="AU100" s="488" t="n">
        <f aca="false">CHOOSE(J100, IF(QrrSky_Q2&gt;0,QrrSky_Q2,Qrr_Q2*K100/Iout)*Fsw*(Vin-K100*Rdson1), IF(QrrSky_Q3&gt;0,QrrSky_Q3,Qrr_Q3)*Fsw*Vout,  IF(QrrSky_Q2&gt;0,QrrSky_Q2,Qrr_Q2*K100/Iout)*Fsw/2*(Vin-K100*Rdson1)+IF(QrrSky_Q3&gt;0,QrrSky_Q3,Qrr_Q3)*Fsw/2*Vout)</f>
        <v>0.162326366361</v>
      </c>
      <c r="AV100" s="488" t="n">
        <f aca="false">CHOOSE(J100, Rs*AF100^2, Rs*AJ100^2, Rs*(AF100^2+AJ100^2))</f>
        <v>0.0235348285408843</v>
      </c>
      <c r="AW100" s="488" t="n">
        <f aca="false">Rshunt_std/1000*Iout^2</f>
        <v>0.14832</v>
      </c>
      <c r="AX100" s="488" t="n">
        <f aca="false">IF(Vout&gt;8, Iq*Vout, Iq*Vin)</f>
        <v>0.036</v>
      </c>
      <c r="AY100" s="488" t="n">
        <f aca="false">CHOOSE(J100, (Qg_Q1+Qg_Q2)*Fsw, (Qg_Q3+Qg_Q4)*Fsw, (Qg_Q1+Qg_Q2+Qg_Q3+Qg_Q4)*Fsw/2)*IF(Vout&gt;8, Vout, Vin)</f>
        <v>0.1188</v>
      </c>
      <c r="AZ100" s="488" t="n">
        <f aca="false">(Vin-Vdd)*Fsw*(Qg_Q1+Qg_Q2)+(RdsonDRT+RdsonDRT2)*Fsw*Qg_Q1*Vdd/(RdsonDRT+2*Rgate1+RdsonDRT2)+(RdsonDRB+RdsonDRB2)*Fsw*Qg_Q2*Vdd/(RdsonDRB+2*Rgate2+RdsonDRB2)</f>
        <v>0.0522</v>
      </c>
      <c r="BA100" s="488" t="n">
        <f aca="false">SUM(AX100:AY100)</f>
        <v>0.1548</v>
      </c>
      <c r="BB100" s="488" t="n">
        <f aca="false">SUM(T100,W100,Z100,AE100,AI100,AN100,AR100, AT100,AU100,BA100,AV100,AW100)</f>
        <v>1.07101480779917</v>
      </c>
      <c r="BC100" s="419" t="n">
        <f aca="false">Vout*K100</f>
        <v>65.52</v>
      </c>
      <c r="BD100" s="589" t="n">
        <f aca="false">BC100/(BC100+BB100)</f>
        <v>0.983916526713245</v>
      </c>
      <c r="BE100" s="590" t="n">
        <f aca="false">IF(Vin&gt;Vout,ThetaJA_Q1*BK100,ThetaJA_Q4*BK100)</f>
        <v>7.24292125329044</v>
      </c>
      <c r="BF100" s="590" t="n">
        <f aca="false">IF(Vin&gt;Vout, ThetaJA_Q2*BL100, ThetaJA_Q3*BL100)</f>
        <v>9.36323394099066</v>
      </c>
      <c r="BG100" s="536"/>
      <c r="BH100" s="385" t="n">
        <f aca="false">BD100*100</f>
        <v>98.3916526713245</v>
      </c>
      <c r="BI100" s="488" t="n">
        <f aca="false">T100</f>
        <v>0.11047006558054</v>
      </c>
      <c r="BJ100" s="488" t="n">
        <f aca="false">AE100+AI100+AN100+AR100+AU100</f>
        <v>0.626866238285074</v>
      </c>
      <c r="BK100" s="488" t="n">
        <f aca="false">IF(Vin&gt;Vout, AE100+AU100*0.66, AN100+AU100*0.66)</f>
        <v>0.144858425065809</v>
      </c>
      <c r="BL100" s="488" t="n">
        <f aca="false">IF(Vin&gt;Vout, AI100+AU100*0.33, AR100+AU100*0.33)</f>
        <v>0.187264678819813</v>
      </c>
      <c r="BM100" s="488" t="n">
        <f aca="false">AV100</f>
        <v>0.0235348285408843</v>
      </c>
      <c r="BS100" s="591"/>
      <c r="BT100" s="592"/>
    </row>
    <row r="101" customFormat="false" ht="12.75" hidden="false" customHeight="false" outlineLevel="0" collapsed="false">
      <c r="G101" s="0" t="n">
        <v>92</v>
      </c>
      <c r="H101" s="586" t="n">
        <f aca="false">Vin</f>
        <v>12</v>
      </c>
      <c r="I101" s="385" t="str">
        <f aca="false">IF(H101&gt;VIN_BB_to_buck, "BUCK", IF(H101&lt;VIN_boost_to_BB,"BOOST","BUCK-BST"))</f>
        <v>BUCK-BST</v>
      </c>
      <c r="J101" s="419" t="n">
        <f aca="false">IF(I101="BOOST",2, IF(I101="BUCK", 1,3))</f>
        <v>3</v>
      </c>
      <c r="K101" s="488" t="n">
        <f aca="false">Iout*G101/100</f>
        <v>5.52</v>
      </c>
      <c r="L101" s="385" t="n">
        <f aca="false">Vout*K101/(Vin*Efficiency)</f>
        <v>6.13333333333333</v>
      </c>
      <c r="M101" s="385" t="n">
        <f aca="false">K101/(1-O101)</f>
        <v>5.78010471204189</v>
      </c>
      <c r="N101" s="488" t="n">
        <f aca="false">CHOOSE(J101,(Vout+(Rdson2+Rs+Rdcr)*K101)/(Vin+(Rs+Rdson2-Rdson1)*K101), 1, IF(Vin&lt;Vout, D_max_buck_BB, Vout/Vin*(1-D_min_boost_exitBB_to_buck)))</f>
        <v>0.955</v>
      </c>
      <c r="O101" s="488" t="n">
        <f aca="false">CHOOSE(J101,0,(Vout+(Rdson3+Rdcr)*L101-Vin)/(Vout+(Rdson3-Rdson4-Rs)*L101), IF(Vin&gt;Vout,D_min_boost_exitBB_to_buck, (Vout-Vin*D_max_buck_BB)/Vout))</f>
        <v>0.0450000000000001</v>
      </c>
      <c r="P101" s="385" t="n">
        <f aca="false">MAX(0, CHOOSE(J101, (Vin-(Rdson1+Rdcr)*K101-Vout)*N101/(Fsw*Lf), (Vin-(Rdson4+Rdcr+Rs)*L101)*O101/(Fsw*Lf), IF(Vin&lt;Vout, (Vin-(Rdson4+Rdcr+Rs)*L101)*O101/(0.5*Fsw*Lf),(Vin-(Rdson1+Rdcr)*K101-Vout)*N101/(0.5*Fsw*Lf))))</f>
        <v>0</v>
      </c>
      <c r="Q101" s="385" t="n">
        <f aca="false">CHOOSE(J101, SQRT(K101^2+(P101^2)/12), SQRT(L101^2+(P101^2)/12), SQRT(M101^2+(P101^2)/12))</f>
        <v>5.78010471204189</v>
      </c>
      <c r="R101" s="488" t="n">
        <f aca="false">(Q101^2*Rdcr*(1+Ltc*Ta-Ltc*25))/(1-Q101^2*Rdcr*Ltc*ThetaCa)</f>
        <v>0.112933375215739</v>
      </c>
      <c r="S101" s="488" t="n">
        <f aca="false">7.759*10^-3*Fsw^0.9458*(0.00787*P101)^2.304</f>
        <v>0</v>
      </c>
      <c r="T101" s="488" t="n">
        <f aca="false">R101+S101</f>
        <v>0.112933375215739</v>
      </c>
      <c r="U101" s="385" t="n">
        <f aca="false">IF(Vin&gt;Vout, P101/SQRT(12), SQRT(O101/(1-O101))*SQRT(K101^2+(P101^2)/12))</f>
        <v>1.19823954636425</v>
      </c>
      <c r="V101" s="488" t="n">
        <f aca="false">RCoutEsr*U101^2</f>
        <v>0.00717889005235603</v>
      </c>
      <c r="W101" s="488" t="n">
        <f aca="false">V101</f>
        <v>0.00717889005235603</v>
      </c>
      <c r="X101" s="385" t="n">
        <f aca="false">IF(Vin&gt;Vout, SQRT(N101*(1-N101))*SQRT(K101^2+(P101^2)/12), P101/SQRT(12))</f>
        <v>0</v>
      </c>
      <c r="Y101" s="587" t="n">
        <f aca="false">RCinEsr*X101^2</f>
        <v>0</v>
      </c>
      <c r="Z101" s="588" t="n">
        <f aca="false">Y101</f>
        <v>0</v>
      </c>
      <c r="AA101" s="488" t="n">
        <f aca="false">CHOOSE(J101, SQRT(N101)*SQRT(K101^2+(P101^2)/12), SQRT(L101^2+(P101^2)/12), SQRT(N101)*SQRT(M101^2+(P101^2)/12))</f>
        <v>5.64855539146703</v>
      </c>
      <c r="AB101" s="488" t="n">
        <f aca="false">Rdson1*AA101^2</f>
        <v>0.181865214659686</v>
      </c>
      <c r="AC101" s="488" t="n">
        <f aca="false">CHOOSE(J101, (Vin*K101/2)*(Fsw)*(Tr_buck+Tf_buck), 0, (Vin*K101/2)*(Fsw/2)*(Tr_buck+Tf_buck))</f>
        <v>0.0337282295552367</v>
      </c>
      <c r="AD101" s="488" t="n">
        <f aca="false">CHOOSE(J101, IF(K101&gt;P101/2,0,ABS(K101-P101/2)*Vsd_Q1*Deadtime*Fsw),0, IF(K101&gt;P101/2,0,ABS(K101-P101/2)*Vsd_Q1*Deadtime*Fsw/2))</f>
        <v>0</v>
      </c>
      <c r="AE101" s="488" t="n">
        <f aca="false">(AD101+AC101+AB101*(1+RdsonTopTc*Ta-RdsonTopTc*25))/(1-AB101*RdsonTopTc*ThetaJA_Q1)</f>
        <v>0.223731229843225</v>
      </c>
      <c r="AF101" s="488" t="n">
        <f aca="false">CHOOSE(J101, SQRT((1-N101))*SQRT(K101^2+(P101^2)/12), 0, SQRT((1-N101))*SQRT(M101^2+(P101^2)/12))</f>
        <v>1.22614537135594</v>
      </c>
      <c r="AG101" s="488" t="n">
        <f aca="false">Rdson2*AF101^2</f>
        <v>0.0085695650886763</v>
      </c>
      <c r="AH101" s="488" t="n">
        <f aca="false">CHOOSE(J101, IF(K101&lt;P101/2,Deadtime*Fsw*IF(VfdSky_Q2&gt;0,0,Vsd_Q2)*(K101+P101/2),2*Deadtime*Fsw*IF(VfdSky_Q2&gt;0,0,Vsd_Q2)*K101),0, IF(K101&lt;P101/2,Deadtime*Fsw/2*IF(VfdSky_Q2&gt;0,0,Vsd_Q2)*(K101+P101/2),2*Deadtime*Fsw/2*IF(VfdSky_Q2&gt;0,0,Vsd_Q2)*K101))</f>
        <v>0.06624</v>
      </c>
      <c r="AI101" s="488" t="n">
        <f aca="false">(AH101+AG101*(1+RdsonBotTc*Ta-RdsonBotTc*25))/(1-AG101*RdsonBotTc*ThetaJA_Q2)</f>
        <v>0.0749380023063522</v>
      </c>
      <c r="AJ101" s="488" t="n">
        <f aca="false">CHOOSE(J101, 0, SQRT(O101)*SQRT(L101^2+(P101^2)/12), SQRT(O101)*SQRT(M101^2+(P101^2)/12))</f>
        <v>1.22614537135594</v>
      </c>
      <c r="AK101" s="488" t="n">
        <f aca="false">Rdson4*AJ101^2</f>
        <v>0.00285652169622544</v>
      </c>
      <c r="AL101" s="488" t="n">
        <f aca="false">CHOOSE(J101, 0, (Vout*L101/2)*(Fsw)*(Tr_boost+Tf_boost), (Vout*Iout/2)*(Fsw/2)*(Tr_boost+Tf_boost))</f>
        <v>0.0349071770123085</v>
      </c>
      <c r="AM101" s="488" t="n">
        <f aca="false">IF(H101&gt;Vout, 0, IF(L101&gt;P101/2,0,ABS(L101-P101/2)*Vsd_Q4*Deadtime*Fsw))</f>
        <v>0</v>
      </c>
      <c r="AN101" s="488" t="n">
        <f aca="false">(AM101+AL101+AK101*(1+RdsonTopTc*Ta-RdsonTopTc*25))/(1-AK101*RdsonTopTc*ThetaJA_Q4)</f>
        <v>0.0377852856061604</v>
      </c>
      <c r="AO101" s="488" t="n">
        <f aca="false">CHOOSE(J101, SQRT(K101^2+(P101^2)/12), SQRT(1-O101)*SQRT(L101^2+(P101^2)/12), SQRT(1-O101)*SQRT(M101^2+(P101^2)/12))</f>
        <v>5.64855539146703</v>
      </c>
      <c r="AP101" s="488" t="n">
        <f aca="false">Rdson3*AO101^2</f>
        <v>0.0606217382198953</v>
      </c>
      <c r="AQ101" s="488" t="n">
        <f aca="false">CHOOSE(J101, 0, IF(L101&lt;P101/2,Deadtime*Fsw*IF(VfdSky_Q3&gt;0,0,Vsd_Q3)*(L101+P101/2), 2*Deadtime*Fsw*IF(VfdSky_Q3&gt;0,0,Vsd_Q3)*L101), IF(L101&lt;P101/2,Deadtime*Fsw/2*IF(VfdSky_Q3&gt;0,0,Vsd_Q3)*(L101+P101/2), 2*Deadtime*Fsw/2*IF(VfdSky_Q3&gt;0,0,Vsd_Q3)*L101))</f>
        <v>0.0736</v>
      </c>
      <c r="AR101" s="488" t="n">
        <f aca="false">(AQ101+AP101*(1+RdsonBotTc*Ta-RdsonBotTc*25))/(1-AP101*RdsonBotTc*ThetaJA_Q3)</f>
        <v>0.135869061961174</v>
      </c>
      <c r="AS101" s="488" t="n">
        <f aca="false">CHOOSE(J101, Rdson3*Q101^2, Rdson1*Q101^2, 0)</f>
        <v>0</v>
      </c>
      <c r="AT101" s="488" t="n">
        <f aca="false">CHOOSE(J101, 2*Deadtime*Fsw*IF(VfdSky_Q2&gt;0,VfdSky_Q2,0)*K101, 2*Deadtime*Fsw*IF(VfdSky_Q3&gt;0,VfdSky_Q3,0)*L101, 2*Deadtime*Fsw/2*IF(VfdSky_Q2&gt;0,VfdSky_Q2,0)*K101+2*Deadtime*Fsw/2*IF(VfdSky_Q3&gt;0,VfdSky_Q3,0)*L101)</f>
        <v>0</v>
      </c>
      <c r="AU101" s="488" t="n">
        <f aca="false">CHOOSE(J101, IF(QrrSky_Q2&gt;0,QrrSky_Q2,Qrr_Q2*K101/Iout)*Fsw*(Vin-K101*Rdson1), IF(QrrSky_Q3&gt;0,QrrSky_Q3,Qrr_Q3)*Fsw*Vout,  IF(QrrSky_Q2&gt;0,QrrSky_Q2,Qrr_Q2*K101/Iout)*Fsw/2*(Vin-K101*Rdson1)+IF(QrrSky_Q3&gt;0,QrrSky_Q3,Qrr_Q3)*Fsw/2*Vout)</f>
        <v>0.163454451984</v>
      </c>
      <c r="AV101" s="488" t="n">
        <f aca="false">CHOOSE(J101, Rs*AF101^2, Rs*AJ101^2, Rs*(AF101^2+AJ101^2))</f>
        <v>0.0240549195471616</v>
      </c>
      <c r="AW101" s="488" t="n">
        <f aca="false">Rshunt_std/1000*Iout^2</f>
        <v>0.14832</v>
      </c>
      <c r="AX101" s="488" t="n">
        <f aca="false">IF(Vout&gt;8, Iq*Vout, Iq*Vin)</f>
        <v>0.036</v>
      </c>
      <c r="AY101" s="488" t="n">
        <f aca="false">CHOOSE(J101, (Qg_Q1+Qg_Q2)*Fsw, (Qg_Q3+Qg_Q4)*Fsw, (Qg_Q1+Qg_Q2+Qg_Q3+Qg_Q4)*Fsw/2)*IF(Vout&gt;8, Vout, Vin)</f>
        <v>0.1188</v>
      </c>
      <c r="AZ101" s="488" t="n">
        <f aca="false">(Vin-Vdd)*Fsw*(Qg_Q1+Qg_Q2)+(RdsonDRT+RdsonDRT2)*Fsw*Qg_Q1*Vdd/(RdsonDRT+2*Rgate1+RdsonDRT2)+(RdsonDRB+RdsonDRB2)*Fsw*Qg_Q2*Vdd/(RdsonDRB+2*Rgate2+RdsonDRB2)</f>
        <v>0.0522</v>
      </c>
      <c r="BA101" s="488" t="n">
        <f aca="false">SUM(AX101:AY101)</f>
        <v>0.1548</v>
      </c>
      <c r="BB101" s="488" t="n">
        <f aca="false">SUM(T101,W101,Z101,AE101,AI101,AN101,AR101, AT101,AU101,BA101,AV101,AW101)</f>
        <v>1.08306521651617</v>
      </c>
      <c r="BC101" s="419" t="n">
        <f aca="false">Vout*K101</f>
        <v>66.24</v>
      </c>
      <c r="BD101" s="589" t="n">
        <f aca="false">BC101/(BC101+BB101)</f>
        <v>0.983912419717775</v>
      </c>
      <c r="BE101" s="590" t="n">
        <f aca="false">IF(Vin&gt;Vout,ThetaJA_Q1*BK101,ThetaJA_Q4*BK101)</f>
        <v>7.28326119578002</v>
      </c>
      <c r="BF101" s="590" t="n">
        <f aca="false">IF(Vin&gt;Vout, ThetaJA_Q2*BL101, ThetaJA_Q3*BL101)</f>
        <v>9.49045155579469</v>
      </c>
      <c r="BG101" s="536"/>
      <c r="BH101" s="385" t="n">
        <f aca="false">BD101*100</f>
        <v>98.3912419717775</v>
      </c>
      <c r="BI101" s="488" t="n">
        <f aca="false">T101</f>
        <v>0.112933375215739</v>
      </c>
      <c r="BJ101" s="488" t="n">
        <f aca="false">AE101+AI101+AN101+AR101+AU101</f>
        <v>0.635778031700912</v>
      </c>
      <c r="BK101" s="488" t="n">
        <f aca="false">IF(Vin&gt;Vout, AE101+AU101*0.66, AN101+AU101*0.66)</f>
        <v>0.1456652239156</v>
      </c>
      <c r="BL101" s="488" t="n">
        <f aca="false">IF(Vin&gt;Vout, AI101+AU101*0.33, AR101+AU101*0.33)</f>
        <v>0.189809031115894</v>
      </c>
      <c r="BM101" s="488" t="n">
        <f aca="false">AV101</f>
        <v>0.0240549195471616</v>
      </c>
      <c r="BS101" s="591"/>
      <c r="BT101" s="592"/>
    </row>
    <row r="102" customFormat="false" ht="12.75" hidden="false" customHeight="false" outlineLevel="0" collapsed="false">
      <c r="G102" s="0" t="n">
        <v>93</v>
      </c>
      <c r="H102" s="586" t="n">
        <f aca="false">Vin</f>
        <v>12</v>
      </c>
      <c r="I102" s="385" t="str">
        <f aca="false">IF(H102&gt;VIN_BB_to_buck, "BUCK", IF(H102&lt;VIN_boost_to_BB,"BOOST","BUCK-BST"))</f>
        <v>BUCK-BST</v>
      </c>
      <c r="J102" s="419" t="n">
        <f aca="false">IF(I102="BOOST",2, IF(I102="BUCK", 1,3))</f>
        <v>3</v>
      </c>
      <c r="K102" s="488" t="n">
        <f aca="false">Iout*G102/100</f>
        <v>5.58</v>
      </c>
      <c r="L102" s="385" t="n">
        <f aca="false">Vout*K102/(Vin*Efficiency)</f>
        <v>6.2</v>
      </c>
      <c r="M102" s="385" t="n">
        <f aca="false">K102/(1-O102)</f>
        <v>5.84293193717278</v>
      </c>
      <c r="N102" s="488" t="n">
        <f aca="false">CHOOSE(J102,(Vout+(Rdson2+Rs+Rdcr)*K102)/(Vin+(Rs+Rdson2-Rdson1)*K102), 1, IF(Vin&lt;Vout, D_max_buck_BB, Vout/Vin*(1-D_min_boost_exitBB_to_buck)))</f>
        <v>0.955</v>
      </c>
      <c r="O102" s="488" t="n">
        <f aca="false">CHOOSE(J102,0,(Vout+(Rdson3+Rdcr)*L102-Vin)/(Vout+(Rdson3-Rdson4-Rs)*L102), IF(Vin&gt;Vout,D_min_boost_exitBB_to_buck, (Vout-Vin*D_max_buck_BB)/Vout))</f>
        <v>0.0450000000000001</v>
      </c>
      <c r="P102" s="385" t="n">
        <f aca="false">MAX(0, CHOOSE(J102, (Vin-(Rdson1+Rdcr)*K102-Vout)*N102/(Fsw*Lf), (Vin-(Rdson4+Rdcr+Rs)*L102)*O102/(Fsw*Lf), IF(Vin&lt;Vout, (Vin-(Rdson4+Rdcr+Rs)*L102)*O102/(0.5*Fsw*Lf),(Vin-(Rdson1+Rdcr)*K102-Vout)*N102/(0.5*Fsw*Lf))))</f>
        <v>0</v>
      </c>
      <c r="Q102" s="385" t="n">
        <f aca="false">CHOOSE(J102, SQRT(K102^2+(P102^2)/12), SQRT(L102^2+(P102^2)/12), SQRT(M102^2+(P102^2)/12))</f>
        <v>5.84293193717278</v>
      </c>
      <c r="R102" s="488" t="n">
        <f aca="false">(Q102^2*Rdcr*(1+Ltc*Ta-Ltc*25))/(1-Q102^2*Rdcr*Ltc*ThetaCa)</f>
        <v>0.115424584652913</v>
      </c>
      <c r="S102" s="488" t="n">
        <f aca="false">7.759*10^-3*Fsw^0.9458*(0.00787*P102)^2.304</f>
        <v>0</v>
      </c>
      <c r="T102" s="488" t="n">
        <f aca="false">R102+S102</f>
        <v>0.115424584652913</v>
      </c>
      <c r="U102" s="385" t="n">
        <f aca="false">IF(Vin&gt;Vout, P102/SQRT(12), SQRT(O102/(1-O102))*SQRT(K102^2+(P102^2)/12))</f>
        <v>1.21126388925952</v>
      </c>
      <c r="V102" s="488" t="n">
        <f aca="false">RCoutEsr*U102^2</f>
        <v>0.00733580104712043</v>
      </c>
      <c r="W102" s="488" t="n">
        <f aca="false">V102</f>
        <v>0.00733580104712043</v>
      </c>
      <c r="X102" s="385" t="n">
        <f aca="false">IF(Vin&gt;Vout, SQRT(N102*(1-N102))*SQRT(K102^2+(P102^2)/12), P102/SQRT(12))</f>
        <v>0</v>
      </c>
      <c r="Y102" s="587" t="n">
        <f aca="false">RCinEsr*X102^2</f>
        <v>0</v>
      </c>
      <c r="Z102" s="588" t="n">
        <f aca="false">Y102</f>
        <v>0</v>
      </c>
      <c r="AA102" s="488" t="n">
        <f aca="false">CHOOSE(J102, SQRT(N102)*SQRT(K102^2+(P102^2)/12), SQRT(L102^2+(P102^2)/12), SQRT(N102)*SQRT(M102^2+(P102^2)/12))</f>
        <v>5.70995273267862</v>
      </c>
      <c r="AB102" s="488" t="n">
        <f aca="false">Rdson1*AA102^2</f>
        <v>0.185840293193717</v>
      </c>
      <c r="AC102" s="488" t="n">
        <f aca="false">CHOOSE(J102, (Vin*K102/2)*(Fsw)*(Tr_buck+Tf_buck), 0, (Vin*K102/2)*(Fsw/2)*(Tr_buck+Tf_buck))</f>
        <v>0.0340948407460545</v>
      </c>
      <c r="AD102" s="488" t="n">
        <f aca="false">CHOOSE(J102, IF(K102&gt;P102/2,0,ABS(K102-P102/2)*Vsd_Q1*Deadtime*Fsw),0, IF(K102&gt;P102/2,0,ABS(K102-P102/2)*Vsd_Q1*Deadtime*Fsw/2))</f>
        <v>0</v>
      </c>
      <c r="AE102" s="488" t="n">
        <f aca="false">(AD102+AC102+AB102*(1+RdsonTopTc*Ta-RdsonTopTc*25))/(1-AB102*RdsonTopTc*ThetaJA_Q1)</f>
        <v>0.228425257297578</v>
      </c>
      <c r="AF102" s="488" t="n">
        <f aca="false">CHOOSE(J102, SQRT((1-N102))*SQRT(K102^2+(P102^2)/12), 0, SQRT((1-N102))*SQRT(M102^2+(P102^2)/12))</f>
        <v>1.2394730384359</v>
      </c>
      <c r="AG102" s="488" t="n">
        <f aca="false">Rdson2*AF102^2</f>
        <v>0.00875687245415422</v>
      </c>
      <c r="AH102" s="488" t="n">
        <f aca="false">CHOOSE(J102, IF(K102&lt;P102/2,Deadtime*Fsw*IF(VfdSky_Q2&gt;0,0,Vsd_Q2)*(K102+P102/2),2*Deadtime*Fsw*IF(VfdSky_Q2&gt;0,0,Vsd_Q2)*K102),0, IF(K102&lt;P102/2,Deadtime*Fsw/2*IF(VfdSky_Q2&gt;0,0,Vsd_Q2)*(K102+P102/2),2*Deadtime*Fsw/2*IF(VfdSky_Q2&gt;0,0,Vsd_Q2)*K102))</f>
        <v>0.06696</v>
      </c>
      <c r="AI102" s="488" t="n">
        <f aca="false">(AH102+AG102*(1+RdsonBotTc*Ta-RdsonBotTc*25))/(1-AG102*RdsonBotTc*ThetaJA_Q2)</f>
        <v>0.075849713707879</v>
      </c>
      <c r="AJ102" s="488" t="n">
        <f aca="false">CHOOSE(J102, 0, SQRT(O102)*SQRT(L102^2+(P102^2)/12), SQRT(O102)*SQRT(M102^2+(P102^2)/12))</f>
        <v>1.2394730384359</v>
      </c>
      <c r="AK102" s="488" t="n">
        <f aca="false">Rdson4*AJ102^2</f>
        <v>0.00291895748471808</v>
      </c>
      <c r="AL102" s="488" t="n">
        <f aca="false">CHOOSE(J102, 0, (Vout*L102/2)*(Fsw)*(Tr_boost+Tf_boost), (Vout*Iout/2)*(Fsw/2)*(Tr_boost+Tf_boost))</f>
        <v>0.0349071770123085</v>
      </c>
      <c r="AM102" s="488" t="n">
        <f aca="false">IF(H102&gt;Vout, 0, IF(L102&gt;P102/2,0,ABS(L102-P102/2)*Vsd_Q4*Deadtime*Fsw))</f>
        <v>0</v>
      </c>
      <c r="AN102" s="488" t="n">
        <f aca="false">(AM102+AL102+AK102*(1+RdsonTopTc*Ta-RdsonTopTc*25))/(1-AK102*RdsonTopTc*ThetaJA_Q4)</f>
        <v>0.0378482299718585</v>
      </c>
      <c r="AO102" s="488" t="n">
        <f aca="false">CHOOSE(J102, SQRT(K102^2+(P102^2)/12), SQRT(1-O102)*SQRT(L102^2+(P102^2)/12), SQRT(1-O102)*SQRT(M102^2+(P102^2)/12))</f>
        <v>5.70995273267862</v>
      </c>
      <c r="AP102" s="488" t="n">
        <f aca="false">Rdson3*AO102^2</f>
        <v>0.0619467643979058</v>
      </c>
      <c r="AQ102" s="488" t="n">
        <f aca="false">CHOOSE(J102, 0, IF(L102&lt;P102/2,Deadtime*Fsw*IF(VfdSky_Q3&gt;0,0,Vsd_Q3)*(L102+P102/2), 2*Deadtime*Fsw*IF(VfdSky_Q3&gt;0,0,Vsd_Q3)*L102), IF(L102&lt;P102/2,Deadtime*Fsw/2*IF(VfdSky_Q3&gt;0,0,Vsd_Q3)*(L102+P102/2), 2*Deadtime*Fsw/2*IF(VfdSky_Q3&gt;0,0,Vsd_Q3)*L102))</f>
        <v>0.0744</v>
      </c>
      <c r="AR102" s="488" t="n">
        <f aca="false">(AQ102+AP102*(1+RdsonBotTc*Ta-RdsonBotTc*25))/(1-AP102*RdsonBotTc*ThetaJA_Q3)</f>
        <v>0.13805720381352</v>
      </c>
      <c r="AS102" s="488" t="n">
        <f aca="false">CHOOSE(J102, Rdson3*Q102^2, Rdson1*Q102^2, 0)</f>
        <v>0</v>
      </c>
      <c r="AT102" s="488" t="n">
        <f aca="false">CHOOSE(J102, 2*Deadtime*Fsw*IF(VfdSky_Q2&gt;0,VfdSky_Q2,0)*K102, 2*Deadtime*Fsw*IF(VfdSky_Q3&gt;0,VfdSky_Q3,0)*L102, 2*Deadtime*Fsw/2*IF(VfdSky_Q2&gt;0,VfdSky_Q2,0)*K102+2*Deadtime*Fsw/2*IF(VfdSky_Q3&gt;0,VfdSky_Q3,0)*L102)</f>
        <v>0</v>
      </c>
      <c r="AU102" s="488" t="n">
        <f aca="false">CHOOSE(J102, IF(QrrSky_Q2&gt;0,QrrSky_Q2,Qrr_Q2*K102/Iout)*Fsw*(Vin-K102*Rdson1), IF(QrrSky_Q3&gt;0,QrrSky_Q3,Qrr_Q3)*Fsw*Vout,  IF(QrrSky_Q2&gt;0,QrrSky_Q2,Qrr_Q2*K102/Iout)*Fsw/2*(Vin-K102*Rdson1)+IF(QrrSky_Q3&gt;0,QrrSky_Q3,Qrr_Q3)*Fsw/2*Vout)</f>
        <v>0.164582472969</v>
      </c>
      <c r="AV102" s="488" t="n">
        <f aca="false">CHOOSE(J102, Rs*AF102^2, Rs*AJ102^2, Rs*(AF102^2+AJ102^2))</f>
        <v>0.0245806946081522</v>
      </c>
      <c r="AW102" s="488" t="n">
        <f aca="false">Rshunt_std/1000*Iout^2</f>
        <v>0.14832</v>
      </c>
      <c r="AX102" s="488" t="n">
        <f aca="false">IF(Vout&gt;8, Iq*Vout, Iq*Vin)</f>
        <v>0.036</v>
      </c>
      <c r="AY102" s="488" t="n">
        <f aca="false">CHOOSE(J102, (Qg_Q1+Qg_Q2)*Fsw, (Qg_Q3+Qg_Q4)*Fsw, (Qg_Q1+Qg_Q2+Qg_Q3+Qg_Q4)*Fsw/2)*IF(Vout&gt;8, Vout, Vin)</f>
        <v>0.1188</v>
      </c>
      <c r="AZ102" s="488" t="n">
        <f aca="false">(Vin-Vdd)*Fsw*(Qg_Q1+Qg_Q2)+(RdsonDRT+RdsonDRT2)*Fsw*Qg_Q1*Vdd/(RdsonDRT+2*Rgate1+RdsonDRT2)+(RdsonDRB+RdsonDRB2)*Fsw*Qg_Q2*Vdd/(RdsonDRB+2*Rgate2+RdsonDRB2)</f>
        <v>0.0522</v>
      </c>
      <c r="BA102" s="488" t="n">
        <f aca="false">SUM(AX102:AY102)</f>
        <v>0.1548</v>
      </c>
      <c r="BB102" s="488" t="n">
        <f aca="false">SUM(T102,W102,Z102,AE102,AI102,AN102,AR102, AT102,AU102,BA102,AV102,AW102)</f>
        <v>1.09522395806802</v>
      </c>
      <c r="BC102" s="419" t="n">
        <f aca="false">Vout*K102</f>
        <v>66.96</v>
      </c>
      <c r="BD102" s="589" t="n">
        <f aca="false">BC102/(BC102+BB102)</f>
        <v>0.983906834856016</v>
      </c>
      <c r="BE102" s="590" t="n">
        <f aca="false">IF(Vin&gt;Vout,ThetaJA_Q1*BK102,ThetaJA_Q4*BK102)</f>
        <v>7.32363310656993</v>
      </c>
      <c r="BF102" s="590" t="n">
        <f aca="false">IF(Vin&gt;Vout, ThetaJA_Q2*BL102, ThetaJA_Q3*BL102)</f>
        <v>9.61847099466448</v>
      </c>
      <c r="BG102" s="536"/>
      <c r="BH102" s="385" t="n">
        <f aca="false">BD102*100</f>
        <v>98.3906834856016</v>
      </c>
      <c r="BI102" s="488" t="n">
        <f aca="false">T102</f>
        <v>0.115424584652913</v>
      </c>
      <c r="BJ102" s="488" t="n">
        <f aca="false">AE102+AI102+AN102+AR102+AU102</f>
        <v>0.644762877759836</v>
      </c>
      <c r="BK102" s="488" t="n">
        <f aca="false">IF(Vin&gt;Vout, AE102+AU102*0.66, AN102+AU102*0.66)</f>
        <v>0.146472662131399</v>
      </c>
      <c r="BL102" s="488" t="n">
        <f aca="false">IF(Vin&gt;Vout, AI102+AU102*0.33, AR102+AU102*0.33)</f>
        <v>0.19236941989329</v>
      </c>
      <c r="BM102" s="488" t="n">
        <f aca="false">AV102</f>
        <v>0.0245806946081522</v>
      </c>
      <c r="BS102" s="591"/>
      <c r="BT102" s="592"/>
    </row>
    <row r="103" customFormat="false" ht="12.75" hidden="false" customHeight="false" outlineLevel="0" collapsed="false">
      <c r="G103" s="0" t="n">
        <v>94</v>
      </c>
      <c r="H103" s="586" t="n">
        <f aca="false">Vin</f>
        <v>12</v>
      </c>
      <c r="I103" s="385" t="str">
        <f aca="false">IF(H103&gt;VIN_BB_to_buck, "BUCK", IF(H103&lt;VIN_boost_to_BB,"BOOST","BUCK-BST"))</f>
        <v>BUCK-BST</v>
      </c>
      <c r="J103" s="419" t="n">
        <f aca="false">IF(I103="BOOST",2, IF(I103="BUCK", 1,3))</f>
        <v>3</v>
      </c>
      <c r="K103" s="488" t="n">
        <f aca="false">Iout*G103/100</f>
        <v>5.64</v>
      </c>
      <c r="L103" s="385" t="n">
        <f aca="false">Vout*K103/(Vin*Efficiency)</f>
        <v>6.26666666666667</v>
      </c>
      <c r="M103" s="385" t="n">
        <f aca="false">K103/(1-O103)</f>
        <v>5.90575916230366</v>
      </c>
      <c r="N103" s="488" t="n">
        <f aca="false">CHOOSE(J103,(Vout+(Rdson2+Rs+Rdcr)*K103)/(Vin+(Rs+Rdson2-Rdson1)*K103), 1, IF(Vin&lt;Vout, D_max_buck_BB, Vout/Vin*(1-D_min_boost_exitBB_to_buck)))</f>
        <v>0.955</v>
      </c>
      <c r="O103" s="488" t="n">
        <f aca="false">CHOOSE(J103,0,(Vout+(Rdson3+Rdcr)*L103-Vin)/(Vout+(Rdson3-Rdson4-Rs)*L103), IF(Vin&gt;Vout,D_min_boost_exitBB_to_buck, (Vout-Vin*D_max_buck_BB)/Vout))</f>
        <v>0.0450000000000001</v>
      </c>
      <c r="P103" s="385" t="n">
        <f aca="false">MAX(0, CHOOSE(J103, (Vin-(Rdson1+Rdcr)*K103-Vout)*N103/(Fsw*Lf), (Vin-(Rdson4+Rdcr+Rs)*L103)*O103/(Fsw*Lf), IF(Vin&lt;Vout, (Vin-(Rdson4+Rdcr+Rs)*L103)*O103/(0.5*Fsw*Lf),(Vin-(Rdson1+Rdcr)*K103-Vout)*N103/(0.5*Fsw*Lf))))</f>
        <v>0</v>
      </c>
      <c r="Q103" s="385" t="n">
        <f aca="false">CHOOSE(J103, SQRT(K103^2+(P103^2)/12), SQRT(L103^2+(P103^2)/12), SQRT(M103^2+(P103^2)/12))</f>
        <v>5.90575916230366</v>
      </c>
      <c r="R103" s="488" t="n">
        <f aca="false">(Q103^2*Rdcr*(1+Ltc*Ta-Ltc*25))/(1-Q103^2*Rdcr*Ltc*ThetaCa)</f>
        <v>0.117943726388412</v>
      </c>
      <c r="S103" s="488" t="n">
        <f aca="false">7.759*10^-3*Fsw^0.9458*(0.00787*P103)^2.304</f>
        <v>0</v>
      </c>
      <c r="T103" s="488" t="n">
        <f aca="false">R103+S103</f>
        <v>0.117943726388412</v>
      </c>
      <c r="U103" s="385" t="n">
        <f aca="false">IF(Vin&gt;Vout, P103/SQRT(12), SQRT(O103/(1-O103))*SQRT(K103^2+(P103^2)/12))</f>
        <v>1.22428823215478</v>
      </c>
      <c r="V103" s="488" t="n">
        <f aca="false">RCoutEsr*U103^2</f>
        <v>0.00749440837696336</v>
      </c>
      <c r="W103" s="488" t="n">
        <f aca="false">V103</f>
        <v>0.00749440837696336</v>
      </c>
      <c r="X103" s="385" t="n">
        <f aca="false">IF(Vin&gt;Vout, SQRT(N103*(1-N103))*SQRT(K103^2+(P103^2)/12), P103/SQRT(12))</f>
        <v>0</v>
      </c>
      <c r="Y103" s="587" t="n">
        <f aca="false">RCinEsr*X103^2</f>
        <v>0</v>
      </c>
      <c r="Z103" s="588" t="n">
        <f aca="false">Y103</f>
        <v>0</v>
      </c>
      <c r="AA103" s="488" t="n">
        <f aca="false">CHOOSE(J103, SQRT(N103)*SQRT(K103^2+(P103^2)/12), SQRT(L103^2+(P103^2)/12), SQRT(N103)*SQRT(M103^2+(P103^2)/12))</f>
        <v>5.77135007389022</v>
      </c>
      <c r="AB103" s="488" t="n">
        <f aca="false">Rdson1*AA103^2</f>
        <v>0.189858345549738</v>
      </c>
      <c r="AC103" s="488" t="n">
        <f aca="false">CHOOSE(J103, (Vin*K103/2)*(Fsw)*(Tr_buck+Tf_buck), 0, (Vin*K103/2)*(Fsw/2)*(Tr_buck+Tf_buck))</f>
        <v>0.0344614519368723</v>
      </c>
      <c r="AD103" s="488" t="n">
        <f aca="false">CHOOSE(J103, IF(K103&gt;P103/2,0,ABS(K103-P103/2)*Vsd_Q1*Deadtime*Fsw),0, IF(K103&gt;P103/2,0,ABS(K103-P103/2)*Vsd_Q1*Deadtime*Fsw/2))</f>
        <v>0</v>
      </c>
      <c r="AE103" s="488" t="n">
        <f aca="false">(AD103+AC103+AB103*(1+RdsonTopTc*Ta-RdsonTopTc*25))/(1-AB103*RdsonTopTc*ThetaJA_Q1)</f>
        <v>0.233173795702122</v>
      </c>
      <c r="AF103" s="488" t="n">
        <f aca="false">CHOOSE(J103, SQRT((1-N103))*SQRT(K103^2+(P103^2)/12), 0, SQRT((1-N103))*SQRT(M103^2+(P103^2)/12))</f>
        <v>1.25280070551585</v>
      </c>
      <c r="AG103" s="488" t="n">
        <f aca="false">Rdson2*AF103^2</f>
        <v>0.0089462047641238</v>
      </c>
      <c r="AH103" s="488" t="n">
        <f aca="false">CHOOSE(J103, IF(K103&lt;P103/2,Deadtime*Fsw*IF(VfdSky_Q2&gt;0,0,Vsd_Q2)*(K103+P103/2),2*Deadtime*Fsw*IF(VfdSky_Q2&gt;0,0,Vsd_Q2)*K103),0, IF(K103&lt;P103/2,Deadtime*Fsw/2*IF(VfdSky_Q2&gt;0,0,Vsd_Q2)*(K103+P103/2),2*Deadtime*Fsw/2*IF(VfdSky_Q2&gt;0,0,Vsd_Q2)*K103))</f>
        <v>0.06768</v>
      </c>
      <c r="AI103" s="488" t="n">
        <f aca="false">(AH103+AG103*(1+RdsonBotTc*Ta-RdsonBotTc*25))/(1-AG103*RdsonBotTc*ThetaJA_Q2)</f>
        <v>0.0767635532572961</v>
      </c>
      <c r="AJ103" s="488" t="n">
        <f aca="false">CHOOSE(J103, 0, SQRT(O103)*SQRT(L103^2+(P103^2)/12), SQRT(O103)*SQRT(M103^2+(P103^2)/12))</f>
        <v>1.25280070551585</v>
      </c>
      <c r="AK103" s="488" t="n">
        <f aca="false">Rdson4*AJ103^2</f>
        <v>0.00298206825470793</v>
      </c>
      <c r="AL103" s="488" t="n">
        <f aca="false">CHOOSE(J103, 0, (Vout*L103/2)*(Fsw)*(Tr_boost+Tf_boost), (Vout*Iout/2)*(Fsw/2)*(Tr_boost+Tf_boost))</f>
        <v>0.0349071770123085</v>
      </c>
      <c r="AM103" s="488" t="n">
        <f aca="false">IF(H103&gt;Vout, 0, IF(L103&gt;P103/2,0,ABS(L103-P103/2)*Vsd_Q4*Deadtime*Fsw))</f>
        <v>0</v>
      </c>
      <c r="AN103" s="488" t="n">
        <f aca="false">(AM103+AL103+AK103*(1+RdsonTopTc*Ta-RdsonTopTc*25))/(1-AK103*RdsonTopTc*ThetaJA_Q4)</f>
        <v>0.0379118564157153</v>
      </c>
      <c r="AO103" s="488" t="n">
        <f aca="false">CHOOSE(J103, SQRT(K103^2+(P103^2)/12), SQRT(1-O103)*SQRT(L103^2+(P103^2)/12), SQRT(1-O103)*SQRT(M103^2+(P103^2)/12))</f>
        <v>5.77135007389022</v>
      </c>
      <c r="AP103" s="488" t="n">
        <f aca="false">Rdson3*AO103^2</f>
        <v>0.0632861151832461</v>
      </c>
      <c r="AQ103" s="488" t="n">
        <f aca="false">CHOOSE(J103, 0, IF(L103&lt;P103/2,Deadtime*Fsw*IF(VfdSky_Q3&gt;0,0,Vsd_Q3)*(L103+P103/2), 2*Deadtime*Fsw*IF(VfdSky_Q3&gt;0,0,Vsd_Q3)*L103), IF(L103&lt;P103/2,Deadtime*Fsw/2*IF(VfdSky_Q3&gt;0,0,Vsd_Q3)*(L103+P103/2), 2*Deadtime*Fsw/2*IF(VfdSky_Q3&gt;0,0,Vsd_Q3)*L103))</f>
        <v>0.0752</v>
      </c>
      <c r="AR103" s="488" t="n">
        <f aca="false">(AQ103+AP103*(1+RdsonBotTc*Ta-RdsonBotTc*25))/(1-AP103*RdsonBotTc*ThetaJA_Q3)</f>
        <v>0.140261435455244</v>
      </c>
      <c r="AS103" s="488" t="n">
        <f aca="false">CHOOSE(J103, Rdson3*Q103^2, Rdson1*Q103^2, 0)</f>
        <v>0</v>
      </c>
      <c r="AT103" s="488" t="n">
        <f aca="false">CHOOSE(J103, 2*Deadtime*Fsw*IF(VfdSky_Q2&gt;0,VfdSky_Q2,0)*K103, 2*Deadtime*Fsw*IF(VfdSky_Q3&gt;0,VfdSky_Q3,0)*L103, 2*Deadtime*Fsw/2*IF(VfdSky_Q2&gt;0,VfdSky_Q2,0)*K103+2*Deadtime*Fsw/2*IF(VfdSky_Q3&gt;0,VfdSky_Q3,0)*L103)</f>
        <v>0</v>
      </c>
      <c r="AU103" s="488" t="n">
        <f aca="false">CHOOSE(J103, IF(QrrSky_Q2&gt;0,QrrSky_Q2,Qrr_Q2*K103/Iout)*Fsw*(Vin-K103*Rdson1), IF(QrrSky_Q3&gt;0,QrrSky_Q3,Qrr_Q3)*Fsw*Vout,  IF(QrrSky_Q2&gt;0,QrrSky_Q2,Qrr_Q2*K103/Iout)*Fsw/2*(Vin-K103*Rdson1)+IF(QrrSky_Q3&gt;0,QrrSky_Q3,Qrr_Q3)*Fsw/2*Vout)</f>
        <v>0.165710429316</v>
      </c>
      <c r="AV103" s="488" t="n">
        <f aca="false">CHOOSE(J103, Rs*AF103^2, Rs*AJ103^2, Rs*(AF103^2+AJ103^2))</f>
        <v>0.0251121537238563</v>
      </c>
      <c r="AW103" s="488" t="n">
        <f aca="false">Rshunt_std/1000*Iout^2</f>
        <v>0.14832</v>
      </c>
      <c r="AX103" s="488" t="n">
        <f aca="false">IF(Vout&gt;8, Iq*Vout, Iq*Vin)</f>
        <v>0.036</v>
      </c>
      <c r="AY103" s="488" t="n">
        <f aca="false">CHOOSE(J103, (Qg_Q1+Qg_Q2)*Fsw, (Qg_Q3+Qg_Q4)*Fsw, (Qg_Q1+Qg_Q2+Qg_Q3+Qg_Q4)*Fsw/2)*IF(Vout&gt;8, Vout, Vin)</f>
        <v>0.1188</v>
      </c>
      <c r="AZ103" s="488" t="n">
        <f aca="false">(Vin-Vdd)*Fsw*(Qg_Q1+Qg_Q2)+(RdsonDRT+RdsonDRT2)*Fsw*Qg_Q1*Vdd/(RdsonDRT+2*Rgate1+RdsonDRT2)+(RdsonDRB+RdsonDRB2)*Fsw*Qg_Q2*Vdd/(RdsonDRB+2*Rgate2+RdsonDRB2)</f>
        <v>0.0522</v>
      </c>
      <c r="BA103" s="488" t="n">
        <f aca="false">SUM(AX103:AY103)</f>
        <v>0.1548</v>
      </c>
      <c r="BB103" s="488" t="n">
        <f aca="false">SUM(T103,W103,Z103,AE103,AI103,AN103,AR103, AT103,AU103,BA103,AV103,AW103)</f>
        <v>1.10749135863561</v>
      </c>
      <c r="BC103" s="419" t="n">
        <f aca="false">Vout*K103</f>
        <v>67.68</v>
      </c>
      <c r="BD103" s="589" t="n">
        <f aca="false">BC103/(BC103+BB103)</f>
        <v>0.983899814679074</v>
      </c>
      <c r="BE103" s="590" t="n">
        <f aca="false">IF(Vin&gt;Vout,ThetaJA_Q1*BK103,ThetaJA_Q4*BK103)</f>
        <v>7.36403698821377</v>
      </c>
      <c r="BF103" s="590" t="n">
        <f aca="false">IF(Vin&gt;Vout, ThetaJA_Q2*BL103, ThetaJA_Q3*BL103)</f>
        <v>9.74729385647618</v>
      </c>
      <c r="BG103" s="536"/>
      <c r="BH103" s="385" t="n">
        <f aca="false">BD103*100</f>
        <v>98.3899814679074</v>
      </c>
      <c r="BI103" s="488" t="n">
        <f aca="false">T103</f>
        <v>0.117943726388412</v>
      </c>
      <c r="BJ103" s="488" t="n">
        <f aca="false">AE103+AI103+AN103+AR103+AU103</f>
        <v>0.653821070146377</v>
      </c>
      <c r="BK103" s="488" t="n">
        <f aca="false">IF(Vin&gt;Vout, AE103+AU103*0.66, AN103+AU103*0.66)</f>
        <v>0.147280739764275</v>
      </c>
      <c r="BL103" s="488" t="n">
        <f aca="false">IF(Vin&gt;Vout, AI103+AU103*0.33, AR103+AU103*0.33)</f>
        <v>0.194945877129524</v>
      </c>
      <c r="BM103" s="488" t="n">
        <f aca="false">AV103</f>
        <v>0.0251121537238563</v>
      </c>
      <c r="BS103" s="591"/>
      <c r="BT103" s="592"/>
    </row>
    <row r="104" customFormat="false" ht="12.75" hidden="false" customHeight="false" outlineLevel="0" collapsed="false">
      <c r="G104" s="0" t="n">
        <v>95</v>
      </c>
      <c r="H104" s="586" t="n">
        <f aca="false">Vin</f>
        <v>12</v>
      </c>
      <c r="I104" s="385" t="str">
        <f aca="false">IF(H104&gt;VIN_BB_to_buck, "BUCK", IF(H104&lt;VIN_boost_to_BB,"BOOST","BUCK-BST"))</f>
        <v>BUCK-BST</v>
      </c>
      <c r="J104" s="419" t="n">
        <f aca="false">IF(I104="BOOST",2, IF(I104="BUCK", 1,3))</f>
        <v>3</v>
      </c>
      <c r="K104" s="488" t="n">
        <f aca="false">Iout*G104/100</f>
        <v>5.7</v>
      </c>
      <c r="L104" s="385" t="n">
        <f aca="false">Vout*K104/(Vin*Efficiency)</f>
        <v>6.33333333333333</v>
      </c>
      <c r="M104" s="385" t="n">
        <f aca="false">K104/(1-O104)</f>
        <v>5.96858638743456</v>
      </c>
      <c r="N104" s="488" t="n">
        <f aca="false">CHOOSE(J104,(Vout+(Rdson2+Rs+Rdcr)*K104)/(Vin+(Rs+Rdson2-Rdson1)*K104), 1, IF(Vin&lt;Vout, D_max_buck_BB, Vout/Vin*(1-D_min_boost_exitBB_to_buck)))</f>
        <v>0.955</v>
      </c>
      <c r="O104" s="488" t="n">
        <f aca="false">CHOOSE(J104,0,(Vout+(Rdson3+Rdcr)*L104-Vin)/(Vout+(Rdson3-Rdson4-Rs)*L104), IF(Vin&gt;Vout,D_min_boost_exitBB_to_buck, (Vout-Vin*D_max_buck_BB)/Vout))</f>
        <v>0.0450000000000001</v>
      </c>
      <c r="P104" s="385" t="n">
        <f aca="false">MAX(0, CHOOSE(J104, (Vin-(Rdson1+Rdcr)*K104-Vout)*N104/(Fsw*Lf), (Vin-(Rdson4+Rdcr+Rs)*L104)*O104/(Fsw*Lf), IF(Vin&lt;Vout, (Vin-(Rdson4+Rdcr+Rs)*L104)*O104/(0.5*Fsw*Lf),(Vin-(Rdson1+Rdcr)*K104-Vout)*N104/(0.5*Fsw*Lf))))</f>
        <v>0</v>
      </c>
      <c r="Q104" s="385" t="n">
        <f aca="false">CHOOSE(J104, SQRT(K104^2+(P104^2)/12), SQRT(L104^2+(P104^2)/12), SQRT(M104^2+(P104^2)/12))</f>
        <v>5.96858638743456</v>
      </c>
      <c r="R104" s="488" t="n">
        <f aca="false">(Q104^2*Rdcr*(1+Ltc*Ta-Ltc*25))/(1-Q104^2*Rdcr*Ltc*ThetaCa)</f>
        <v>0.12049083330241</v>
      </c>
      <c r="S104" s="488" t="n">
        <f aca="false">7.759*10^-3*Fsw^0.9458*(0.00787*P104)^2.304</f>
        <v>0</v>
      </c>
      <c r="T104" s="488" t="n">
        <f aca="false">R104+S104</f>
        <v>0.12049083330241</v>
      </c>
      <c r="U104" s="385" t="n">
        <f aca="false">IF(Vin&gt;Vout, P104/SQRT(12), SQRT(O104/(1-O104))*SQRT(K104^2+(P104^2)/12))</f>
        <v>1.23731257505004</v>
      </c>
      <c r="V104" s="488" t="n">
        <f aca="false">RCoutEsr*U104^2</f>
        <v>0.00765471204188483</v>
      </c>
      <c r="W104" s="488" t="n">
        <f aca="false">V104</f>
        <v>0.00765471204188483</v>
      </c>
      <c r="X104" s="385" t="n">
        <f aca="false">IF(Vin&gt;Vout, SQRT(N104*(1-N104))*SQRT(K104^2+(P104^2)/12), P104/SQRT(12))</f>
        <v>0</v>
      </c>
      <c r="Y104" s="587" t="n">
        <f aca="false">RCinEsr*X104^2</f>
        <v>0</v>
      </c>
      <c r="Z104" s="588" t="n">
        <f aca="false">Y104</f>
        <v>0</v>
      </c>
      <c r="AA104" s="488" t="n">
        <f aca="false">CHOOSE(J104, SQRT(N104)*SQRT(K104^2+(P104^2)/12), SQRT(L104^2+(P104^2)/12), SQRT(N104)*SQRT(M104^2+(P104^2)/12))</f>
        <v>5.83274741510182</v>
      </c>
      <c r="AB104" s="488" t="n">
        <f aca="false">Rdson1*AA104^2</f>
        <v>0.193919371727749</v>
      </c>
      <c r="AC104" s="488" t="n">
        <f aca="false">CHOOSE(J104, (Vin*K104/2)*(Fsw)*(Tr_buck+Tf_buck), 0, (Vin*K104/2)*(Fsw/2)*(Tr_buck+Tf_buck))</f>
        <v>0.0348280631276901</v>
      </c>
      <c r="AD104" s="488" t="n">
        <f aca="false">CHOOSE(J104, IF(K104&gt;P104/2,0,ABS(K104-P104/2)*Vsd_Q1*Deadtime*Fsw),0, IF(K104&gt;P104/2,0,ABS(K104-P104/2)*Vsd_Q1*Deadtime*Fsw/2))</f>
        <v>0</v>
      </c>
      <c r="AE104" s="488" t="n">
        <f aca="false">(AD104+AC104+AB104*(1+RdsonTopTc*Ta-RdsonTopTc*25))/(1-AB104*RdsonTopTc*ThetaJA_Q1)</f>
        <v>0.237977109153984</v>
      </c>
      <c r="AF104" s="488" t="n">
        <f aca="false">CHOOSE(J104, SQRT((1-N104))*SQRT(K104^2+(P104^2)/12), 0, SQRT((1-N104))*SQRT(M104^2+(P104^2)/12))</f>
        <v>1.26612837259581</v>
      </c>
      <c r="AG104" s="488" t="n">
        <f aca="false">Rdson2*AF104^2</f>
        <v>0.00913756201858503</v>
      </c>
      <c r="AH104" s="488" t="n">
        <f aca="false">CHOOSE(J104, IF(K104&lt;P104/2,Deadtime*Fsw*IF(VfdSky_Q2&gt;0,0,Vsd_Q2)*(K104+P104/2),2*Deadtime*Fsw*IF(VfdSky_Q2&gt;0,0,Vsd_Q2)*K104),0, IF(K104&lt;P104/2,Deadtime*Fsw/2*IF(VfdSky_Q2&gt;0,0,Vsd_Q2)*(K104+P104/2),2*Deadtime*Fsw/2*IF(VfdSky_Q2&gt;0,0,Vsd_Q2)*K104))</f>
        <v>0.0684</v>
      </c>
      <c r="AI104" s="488" t="n">
        <f aca="false">(AH104+AG104*(1+RdsonBotTc*Ta-RdsonBotTc*25))/(1-AG104*RdsonBotTc*ThetaJA_Q2)</f>
        <v>0.0776795223091198</v>
      </c>
      <c r="AJ104" s="488" t="n">
        <f aca="false">CHOOSE(J104, 0, SQRT(O104)*SQRT(L104^2+(P104^2)/12), SQRT(O104)*SQRT(M104^2+(P104^2)/12))</f>
        <v>1.26612837259581</v>
      </c>
      <c r="AK104" s="488" t="n">
        <f aca="false">Rdson4*AJ104^2</f>
        <v>0.00304585400619501</v>
      </c>
      <c r="AL104" s="488" t="n">
        <f aca="false">CHOOSE(J104, 0, (Vout*L104/2)*(Fsw)*(Tr_boost+Tf_boost), (Vout*Iout/2)*(Fsw/2)*(Tr_boost+Tf_boost))</f>
        <v>0.0349071770123085</v>
      </c>
      <c r="AM104" s="488" t="n">
        <f aca="false">IF(H104&gt;Vout, 0, IF(L104&gt;P104/2,0,ABS(L104-P104/2)*Vsd_Q4*Deadtime*Fsw))</f>
        <v>0</v>
      </c>
      <c r="AN104" s="488" t="n">
        <f aca="false">(AM104+AL104+AK104*(1+RdsonTopTc*Ta-RdsonTopTc*25))/(1-AK104*RdsonTopTc*ThetaJA_Q4)</f>
        <v>0.0379761649893581</v>
      </c>
      <c r="AO104" s="488" t="n">
        <f aca="false">CHOOSE(J104, SQRT(K104^2+(P104^2)/12), SQRT(1-O104)*SQRT(L104^2+(P104^2)/12), SQRT(1-O104)*SQRT(M104^2+(P104^2)/12))</f>
        <v>5.83274741510182</v>
      </c>
      <c r="AP104" s="488" t="n">
        <f aca="false">Rdson3*AO104^2</f>
        <v>0.0646397905759163</v>
      </c>
      <c r="AQ104" s="488" t="n">
        <f aca="false">CHOOSE(J104, 0, IF(L104&lt;P104/2,Deadtime*Fsw*IF(VfdSky_Q3&gt;0,0,Vsd_Q3)*(L104+P104/2), 2*Deadtime*Fsw*IF(VfdSky_Q3&gt;0,0,Vsd_Q3)*L104), IF(L104&lt;P104/2,Deadtime*Fsw/2*IF(VfdSky_Q3&gt;0,0,Vsd_Q3)*(L104+P104/2), 2*Deadtime*Fsw/2*IF(VfdSky_Q3&gt;0,0,Vsd_Q3)*L104))</f>
        <v>0.076</v>
      </c>
      <c r="AR104" s="488" t="n">
        <f aca="false">(AQ104+AP104*(1+RdsonBotTc*Ta-RdsonBotTc*25))/(1-AP104*RdsonBotTc*ThetaJA_Q3)</f>
        <v>0.142481789178593</v>
      </c>
      <c r="AS104" s="488" t="n">
        <f aca="false">CHOOSE(J104, Rdson3*Q104^2, Rdson1*Q104^2, 0)</f>
        <v>0</v>
      </c>
      <c r="AT104" s="488" t="n">
        <f aca="false">CHOOSE(J104, 2*Deadtime*Fsw*IF(VfdSky_Q2&gt;0,VfdSky_Q2,0)*K104, 2*Deadtime*Fsw*IF(VfdSky_Q3&gt;0,VfdSky_Q3,0)*L104, 2*Deadtime*Fsw/2*IF(VfdSky_Q2&gt;0,VfdSky_Q2,0)*K104+2*Deadtime*Fsw/2*IF(VfdSky_Q3&gt;0,VfdSky_Q3,0)*L104)</f>
        <v>0</v>
      </c>
      <c r="AU104" s="488" t="n">
        <f aca="false">CHOOSE(J104, IF(QrrSky_Q2&gt;0,QrrSky_Q2,Qrr_Q2*K104/Iout)*Fsw*(Vin-K104*Rdson1), IF(QrrSky_Q3&gt;0,QrrSky_Q3,Qrr_Q3)*Fsw*Vout,  IF(QrrSky_Q2&gt;0,QrrSky_Q2,Qrr_Q2*K104/Iout)*Fsw/2*(Vin-K104*Rdson1)+IF(QrrSky_Q3&gt;0,QrrSky_Q3,Qrr_Q3)*Fsw/2*Vout)</f>
        <v>0.166838321025</v>
      </c>
      <c r="AV104" s="488" t="n">
        <f aca="false">CHOOSE(J104, Rs*AF104^2, Rs*AJ104^2, Rs*(AF104^2+AJ104^2))</f>
        <v>0.0256492968942738</v>
      </c>
      <c r="AW104" s="488" t="n">
        <f aca="false">Rshunt_std/1000*Iout^2</f>
        <v>0.14832</v>
      </c>
      <c r="AX104" s="488" t="n">
        <f aca="false">IF(Vout&gt;8, Iq*Vout, Iq*Vin)</f>
        <v>0.036</v>
      </c>
      <c r="AY104" s="488" t="n">
        <f aca="false">CHOOSE(J104, (Qg_Q1+Qg_Q2)*Fsw, (Qg_Q3+Qg_Q4)*Fsw, (Qg_Q1+Qg_Q2+Qg_Q3+Qg_Q4)*Fsw/2)*IF(Vout&gt;8, Vout, Vin)</f>
        <v>0.1188</v>
      </c>
      <c r="AZ104" s="488" t="n">
        <f aca="false">(Vin-Vdd)*Fsw*(Qg_Q1+Qg_Q2)+(RdsonDRT+RdsonDRT2)*Fsw*Qg_Q1*Vdd/(RdsonDRT+2*Rgate1+RdsonDRT2)+(RdsonDRB+RdsonDRB2)*Fsw*Qg_Q2*Vdd/(RdsonDRB+2*Rgate2+RdsonDRB2)</f>
        <v>0.0522</v>
      </c>
      <c r="BA104" s="488" t="n">
        <f aca="false">SUM(AX104:AY104)</f>
        <v>0.1548</v>
      </c>
      <c r="BB104" s="488" t="n">
        <f aca="false">SUM(T104,W104,Z104,AE104,AI104,AN104,AR104, AT104,AU104,BA104,AV104,AW104)</f>
        <v>1.11986774889462</v>
      </c>
      <c r="BC104" s="419" t="n">
        <f aca="false">Vout*K104</f>
        <v>68.4</v>
      </c>
      <c r="BD104" s="589" t="n">
        <f aca="false">BC104/(BC104+BB104)</f>
        <v>0.983891399895357</v>
      </c>
      <c r="BE104" s="590" t="n">
        <f aca="false">IF(Vin&gt;Vout,ThetaJA_Q1*BK104,ThetaJA_Q4*BK104)</f>
        <v>7.4044728432929</v>
      </c>
      <c r="BF104" s="590" t="n">
        <f aca="false">IF(Vin&gt;Vout, ThetaJA_Q2*BL104, ThetaJA_Q3*BL104)</f>
        <v>9.87692175584217</v>
      </c>
      <c r="BG104" s="536"/>
      <c r="BH104" s="385" t="n">
        <f aca="false">BD104*100</f>
        <v>98.3891399895357</v>
      </c>
      <c r="BI104" s="488" t="n">
        <f aca="false">T104</f>
        <v>0.12049083330241</v>
      </c>
      <c r="BJ104" s="488" t="n">
        <f aca="false">AE104+AI104+AN104+AR104+AU104</f>
        <v>0.662952906656056</v>
      </c>
      <c r="BK104" s="488" t="n">
        <f aca="false">IF(Vin&gt;Vout, AE104+AU104*0.66, AN104+AU104*0.66)</f>
        <v>0.148089456865858</v>
      </c>
      <c r="BL104" s="488" t="n">
        <f aca="false">IF(Vin&gt;Vout, AI104+AU104*0.33, AR104+AU104*0.33)</f>
        <v>0.197538435116844</v>
      </c>
      <c r="BM104" s="488" t="n">
        <f aca="false">AV104</f>
        <v>0.0256492968942738</v>
      </c>
      <c r="BS104" s="591"/>
      <c r="BT104" s="592"/>
    </row>
    <row r="105" customFormat="false" ht="12.75" hidden="false" customHeight="false" outlineLevel="0" collapsed="false">
      <c r="G105" s="0" t="n">
        <v>96</v>
      </c>
      <c r="H105" s="586" t="n">
        <f aca="false">Vin</f>
        <v>12</v>
      </c>
      <c r="I105" s="385" t="str">
        <f aca="false">IF(H105&gt;VIN_BB_to_buck, "BUCK", IF(H105&lt;VIN_boost_to_BB,"BOOST","BUCK-BST"))</f>
        <v>BUCK-BST</v>
      </c>
      <c r="J105" s="419" t="n">
        <f aca="false">IF(I105="BOOST",2, IF(I105="BUCK", 1,3))</f>
        <v>3</v>
      </c>
      <c r="K105" s="488" t="n">
        <f aca="false">Iout*G105/100</f>
        <v>5.76</v>
      </c>
      <c r="L105" s="385" t="n">
        <f aca="false">Vout*K105/(Vin*Efficiency)</f>
        <v>6.4</v>
      </c>
      <c r="M105" s="385" t="n">
        <f aca="false">K105/(1-O105)</f>
        <v>6.03141361256545</v>
      </c>
      <c r="N105" s="488" t="n">
        <f aca="false">CHOOSE(J105,(Vout+(Rdson2+Rs+Rdcr)*K105)/(Vin+(Rs+Rdson2-Rdson1)*K105), 1, IF(Vin&lt;Vout, D_max_buck_BB, Vout/Vin*(1-D_min_boost_exitBB_to_buck)))</f>
        <v>0.955</v>
      </c>
      <c r="O105" s="488" t="n">
        <f aca="false">CHOOSE(J105,0,(Vout+(Rdson3+Rdcr)*L105-Vin)/(Vout+(Rdson3-Rdson4-Rs)*L105), IF(Vin&gt;Vout,D_min_boost_exitBB_to_buck, (Vout-Vin*D_max_buck_BB)/Vout))</f>
        <v>0.0450000000000001</v>
      </c>
      <c r="P105" s="385" t="n">
        <f aca="false">MAX(0, CHOOSE(J105, (Vin-(Rdson1+Rdcr)*K105-Vout)*N105/(Fsw*Lf), (Vin-(Rdson4+Rdcr+Rs)*L105)*O105/(Fsw*Lf), IF(Vin&lt;Vout, (Vin-(Rdson4+Rdcr+Rs)*L105)*O105/(0.5*Fsw*Lf),(Vin-(Rdson1+Rdcr)*K105-Vout)*N105/(0.5*Fsw*Lf))))</f>
        <v>0</v>
      </c>
      <c r="Q105" s="385" t="n">
        <f aca="false">CHOOSE(J105, SQRT(K105^2+(P105^2)/12), SQRT(L105^2+(P105^2)/12), SQRT(M105^2+(P105^2)/12))</f>
        <v>6.03141361256545</v>
      </c>
      <c r="R105" s="488" t="n">
        <f aca="false">(Q105^2*Rdcr*(1+Ltc*Ta-Ltc*25))/(1-Q105^2*Rdcr*Ltc*ThetaCa)</f>
        <v>0.123065938659991</v>
      </c>
      <c r="S105" s="488" t="n">
        <f aca="false">7.759*10^-3*Fsw^0.9458*(0.00787*P105)^2.304</f>
        <v>0</v>
      </c>
      <c r="T105" s="488" t="n">
        <f aca="false">R105+S105</f>
        <v>0.123065938659991</v>
      </c>
      <c r="U105" s="385" t="n">
        <f aca="false">IF(Vin&gt;Vout, P105/SQRT(12), SQRT(O105/(1-O105))*SQRT(K105^2+(P105^2)/12))</f>
        <v>1.25033691794531</v>
      </c>
      <c r="V105" s="488" t="n">
        <f aca="false">RCoutEsr*U105^2</f>
        <v>0.00781671204188483</v>
      </c>
      <c r="W105" s="488" t="n">
        <f aca="false">V105</f>
        <v>0.00781671204188483</v>
      </c>
      <c r="X105" s="385" t="n">
        <f aca="false">IF(Vin&gt;Vout, SQRT(N105*(1-N105))*SQRT(K105^2+(P105^2)/12), P105/SQRT(12))</f>
        <v>0</v>
      </c>
      <c r="Y105" s="587" t="n">
        <f aca="false">RCinEsr*X105^2</f>
        <v>0</v>
      </c>
      <c r="Z105" s="588" t="n">
        <f aca="false">Y105</f>
        <v>0</v>
      </c>
      <c r="AA105" s="488" t="n">
        <f aca="false">CHOOSE(J105, SQRT(N105)*SQRT(K105^2+(P105^2)/12), SQRT(L105^2+(P105^2)/12), SQRT(N105)*SQRT(M105^2+(P105^2)/12))</f>
        <v>5.89414475631342</v>
      </c>
      <c r="AB105" s="488" t="n">
        <f aca="false">Rdson1*AA105^2</f>
        <v>0.198023371727749</v>
      </c>
      <c r="AC105" s="488" t="n">
        <f aca="false">CHOOSE(J105, (Vin*K105/2)*(Fsw)*(Tr_buck+Tf_buck), 0, (Vin*K105/2)*(Fsw/2)*(Tr_buck+Tf_buck))</f>
        <v>0.0351946743185079</v>
      </c>
      <c r="AD105" s="488" t="n">
        <f aca="false">CHOOSE(J105, IF(K105&gt;P105/2,0,ABS(K105-P105/2)*Vsd_Q1*Deadtime*Fsw),0, IF(K105&gt;P105/2,0,ABS(K105-P105/2)*Vsd_Q1*Deadtime*Fsw/2))</f>
        <v>0</v>
      </c>
      <c r="AE105" s="488" t="n">
        <f aca="false">(AD105+AC105+AB105*(1+RdsonTopTc*Ta-RdsonTopTc*25))/(1-AB105*RdsonTopTc*ThetaJA_Q1)</f>
        <v>0.242835465580107</v>
      </c>
      <c r="AF105" s="488" t="n">
        <f aca="false">CHOOSE(J105, SQRT((1-N105))*SQRT(K105^2+(P105^2)/12), 0, SQRT((1-N105))*SQRT(M105^2+(P105^2)/12))</f>
        <v>1.27945603967576</v>
      </c>
      <c r="AG105" s="488" t="n">
        <f aca="false">Rdson2*AF105^2</f>
        <v>0.0093309442175379</v>
      </c>
      <c r="AH105" s="488" t="n">
        <f aca="false">CHOOSE(J105, IF(K105&lt;P105/2,Deadtime*Fsw*IF(VfdSky_Q2&gt;0,0,Vsd_Q2)*(K105+P105/2),2*Deadtime*Fsw*IF(VfdSky_Q2&gt;0,0,Vsd_Q2)*K105),0, IF(K105&lt;P105/2,Deadtime*Fsw/2*IF(VfdSky_Q2&gt;0,0,Vsd_Q2)*(K105+P105/2),2*Deadtime*Fsw/2*IF(VfdSky_Q2&gt;0,0,Vsd_Q2)*K105))</f>
        <v>0.06912</v>
      </c>
      <c r="AI105" s="488" t="n">
        <f aca="false">(AH105+AG105*(1+RdsonBotTc*Ta-RdsonBotTc*25))/(1-AG105*RdsonBotTc*ThetaJA_Q2)</f>
        <v>0.0785976222232572</v>
      </c>
      <c r="AJ105" s="488" t="n">
        <f aca="false">CHOOSE(J105, 0, SQRT(O105)*SQRT(L105^2+(P105^2)/12), SQRT(O105)*SQRT(M105^2+(P105^2)/12))</f>
        <v>1.27945603967576</v>
      </c>
      <c r="AK105" s="488" t="n">
        <f aca="false">Rdson4*AJ105^2</f>
        <v>0.0031103147391793</v>
      </c>
      <c r="AL105" s="488" t="n">
        <f aca="false">CHOOSE(J105, 0, (Vout*L105/2)*(Fsw)*(Tr_boost+Tf_boost), (Vout*Iout/2)*(Fsw/2)*(Tr_boost+Tf_boost))</f>
        <v>0.0349071770123085</v>
      </c>
      <c r="AM105" s="488" t="n">
        <f aca="false">IF(H105&gt;Vout, 0, IF(L105&gt;P105/2,0,ABS(L105-P105/2)*Vsd_Q4*Deadtime*Fsw))</f>
        <v>0</v>
      </c>
      <c r="AN105" s="488" t="n">
        <f aca="false">(AM105+AL105+AK105*(1+RdsonTopTc*Ta-RdsonTopTc*25))/(1-AK105*RdsonTopTc*ThetaJA_Q4)</f>
        <v>0.0380411557449696</v>
      </c>
      <c r="AO105" s="488" t="n">
        <f aca="false">CHOOSE(J105, SQRT(K105^2+(P105^2)/12), SQRT(1-O105)*SQRT(L105^2+(P105^2)/12), SQRT(1-O105)*SQRT(M105^2+(P105^2)/12))</f>
        <v>5.89414475631342</v>
      </c>
      <c r="AP105" s="488" t="n">
        <f aca="false">Rdson3*AO105^2</f>
        <v>0.0660077905759162</v>
      </c>
      <c r="AQ105" s="488" t="n">
        <f aca="false">CHOOSE(J105, 0, IF(L105&lt;P105/2,Deadtime*Fsw*IF(VfdSky_Q3&gt;0,0,Vsd_Q3)*(L105+P105/2), 2*Deadtime*Fsw*IF(VfdSky_Q3&gt;0,0,Vsd_Q3)*L105), IF(L105&lt;P105/2,Deadtime*Fsw/2*IF(VfdSky_Q3&gt;0,0,Vsd_Q3)*(L105+P105/2), 2*Deadtime*Fsw/2*IF(VfdSky_Q3&gt;0,0,Vsd_Q3)*L105))</f>
        <v>0.0768</v>
      </c>
      <c r="AR105" s="488" t="n">
        <f aca="false">(AQ105+AP105*(1+RdsonBotTc*Ta-RdsonBotTc*25))/(1-AP105*RdsonBotTc*ThetaJA_Q3)</f>
        <v>0.144718297591906</v>
      </c>
      <c r="AS105" s="488" t="n">
        <f aca="false">CHOOSE(J105, Rdson3*Q105^2, Rdson1*Q105^2, 0)</f>
        <v>0</v>
      </c>
      <c r="AT105" s="488" t="n">
        <f aca="false">CHOOSE(J105, 2*Deadtime*Fsw*IF(VfdSky_Q2&gt;0,VfdSky_Q2,0)*K105, 2*Deadtime*Fsw*IF(VfdSky_Q3&gt;0,VfdSky_Q3,0)*L105, 2*Deadtime*Fsw/2*IF(VfdSky_Q2&gt;0,VfdSky_Q2,0)*K105+2*Deadtime*Fsw/2*IF(VfdSky_Q3&gt;0,VfdSky_Q3,0)*L105)</f>
        <v>0</v>
      </c>
      <c r="AU105" s="488" t="n">
        <f aca="false">CHOOSE(J105, IF(QrrSky_Q2&gt;0,QrrSky_Q2,Qrr_Q2*K105/Iout)*Fsw*(Vin-K105*Rdson1), IF(QrrSky_Q3&gt;0,QrrSky_Q3,Qrr_Q3)*Fsw*Vout,  IF(QrrSky_Q2&gt;0,QrrSky_Q2,Qrr_Q2*K105/Iout)*Fsw/2*(Vin-K105*Rdson1)+IF(QrrSky_Q3&gt;0,QrrSky_Q3,Qrr_Q3)*Fsw/2*Vout)</f>
        <v>0.167966148096</v>
      </c>
      <c r="AV105" s="488" t="n">
        <f aca="false">CHOOSE(J105, Rs*AF105^2, Rs*AJ105^2, Rs*(AF105^2+AJ105^2))</f>
        <v>0.0261921241194047</v>
      </c>
      <c r="AW105" s="488" t="n">
        <f aca="false">Rshunt_std/1000*Iout^2</f>
        <v>0.14832</v>
      </c>
      <c r="AX105" s="488" t="n">
        <f aca="false">IF(Vout&gt;8, Iq*Vout, Iq*Vin)</f>
        <v>0.036</v>
      </c>
      <c r="AY105" s="488" t="n">
        <f aca="false">CHOOSE(J105, (Qg_Q1+Qg_Q2)*Fsw, (Qg_Q3+Qg_Q4)*Fsw, (Qg_Q1+Qg_Q2+Qg_Q3+Qg_Q4)*Fsw/2)*IF(Vout&gt;8, Vout, Vin)</f>
        <v>0.1188</v>
      </c>
      <c r="AZ105" s="488" t="n">
        <f aca="false">(Vin-Vdd)*Fsw*(Qg_Q1+Qg_Q2)+(RdsonDRT+RdsonDRT2)*Fsw*Qg_Q1*Vdd/(RdsonDRT+2*Rgate1+RdsonDRT2)+(RdsonDRB+RdsonDRB2)*Fsw*Qg_Q2*Vdd/(RdsonDRB+2*Rgate2+RdsonDRB2)</f>
        <v>0.0522</v>
      </c>
      <c r="BA105" s="488" t="n">
        <f aca="false">SUM(AX105:AY105)</f>
        <v>0.1548</v>
      </c>
      <c r="BB105" s="488" t="n">
        <f aca="false">SUM(T105,W105,Z105,AE105,AI105,AN105,AR105, AT105,AU105,BA105,AV105,AW105)</f>
        <v>1.13235346405752</v>
      </c>
      <c r="BC105" s="419" t="n">
        <f aca="false">Vout*K105</f>
        <v>69.12</v>
      </c>
      <c r="BD105" s="589" t="n">
        <f aca="false">BC105/(BC105+BB105)</f>
        <v>0.983881629465455</v>
      </c>
      <c r="BE105" s="590" t="n">
        <f aca="false">IF(Vin&gt;Vout,ThetaJA_Q1*BK105,ThetaJA_Q4*BK105)</f>
        <v>7.44494067441648</v>
      </c>
      <c r="BF105" s="590" t="n">
        <f aca="false">IF(Vin&gt;Vout, ThetaJA_Q2*BL105, ThetaJA_Q3*BL105)</f>
        <v>10.0073563231793</v>
      </c>
      <c r="BG105" s="536"/>
      <c r="BH105" s="385" t="n">
        <f aca="false">BD105*100</f>
        <v>98.3881629465455</v>
      </c>
      <c r="BI105" s="488" t="n">
        <f aca="false">T105</f>
        <v>0.123065938659991</v>
      </c>
      <c r="BJ105" s="488" t="n">
        <f aca="false">AE105+AI105+AN105+AR105+AU105</f>
        <v>0.67215868923624</v>
      </c>
      <c r="BK105" s="488" t="n">
        <f aca="false">IF(Vin&gt;Vout, AE105+AU105*0.66, AN105+AU105*0.66)</f>
        <v>0.14889881348833</v>
      </c>
      <c r="BL105" s="488" t="n">
        <f aca="false">IF(Vin&gt;Vout, AI105+AU105*0.33, AR105+AU105*0.33)</f>
        <v>0.200147126463586</v>
      </c>
      <c r="BM105" s="488" t="n">
        <f aca="false">AV105</f>
        <v>0.0261921241194047</v>
      </c>
      <c r="BS105" s="591"/>
      <c r="BT105" s="592"/>
    </row>
    <row r="106" customFormat="false" ht="12.75" hidden="false" customHeight="false" outlineLevel="0" collapsed="false">
      <c r="G106" s="0" t="n">
        <v>97</v>
      </c>
      <c r="H106" s="586" t="n">
        <f aca="false">Vin</f>
        <v>12</v>
      </c>
      <c r="I106" s="385" t="str">
        <f aca="false">IF(H106&gt;VIN_BB_to_buck, "BUCK", IF(H106&lt;VIN_boost_to_BB,"BOOST","BUCK-BST"))</f>
        <v>BUCK-BST</v>
      </c>
      <c r="J106" s="419" t="n">
        <f aca="false">IF(I106="BOOST",2, IF(I106="BUCK", 1,3))</f>
        <v>3</v>
      </c>
      <c r="K106" s="488" t="n">
        <f aca="false">Iout*G106/100</f>
        <v>5.82</v>
      </c>
      <c r="L106" s="385" t="n">
        <f aca="false">Vout*K106/(Vin*Efficiency)</f>
        <v>6.46666666666667</v>
      </c>
      <c r="M106" s="385" t="n">
        <f aca="false">K106/(1-O106)</f>
        <v>6.09424083769634</v>
      </c>
      <c r="N106" s="488" t="n">
        <f aca="false">CHOOSE(J106,(Vout+(Rdson2+Rs+Rdcr)*K106)/(Vin+(Rs+Rdson2-Rdson1)*K106), 1, IF(Vin&lt;Vout, D_max_buck_BB, Vout/Vin*(1-D_min_boost_exitBB_to_buck)))</f>
        <v>0.955</v>
      </c>
      <c r="O106" s="488" t="n">
        <f aca="false">CHOOSE(J106,0,(Vout+(Rdson3+Rdcr)*L106-Vin)/(Vout+(Rdson3-Rdson4-Rs)*L106), IF(Vin&gt;Vout,D_min_boost_exitBB_to_buck, (Vout-Vin*D_max_buck_BB)/Vout))</f>
        <v>0.0450000000000001</v>
      </c>
      <c r="P106" s="385" t="n">
        <f aca="false">MAX(0, CHOOSE(J106, (Vin-(Rdson1+Rdcr)*K106-Vout)*N106/(Fsw*Lf), (Vin-(Rdson4+Rdcr+Rs)*L106)*O106/(Fsw*Lf), IF(Vin&lt;Vout, (Vin-(Rdson4+Rdcr+Rs)*L106)*O106/(0.5*Fsw*Lf),(Vin-(Rdson1+Rdcr)*K106-Vout)*N106/(0.5*Fsw*Lf))))</f>
        <v>0</v>
      </c>
      <c r="Q106" s="385" t="n">
        <f aca="false">CHOOSE(J106, SQRT(K106^2+(P106^2)/12), SQRT(L106^2+(P106^2)/12), SQRT(M106^2+(P106^2)/12))</f>
        <v>6.09424083769634</v>
      </c>
      <c r="R106" s="488" t="n">
        <f aca="false">(Q106^2*Rdcr*(1+Ltc*Ta-Ltc*25))/(1-Q106^2*Rdcr*Ltc*ThetaCa)</f>
        <v>0.125669076112248</v>
      </c>
      <c r="S106" s="488" t="n">
        <f aca="false">7.759*10^-3*Fsw^0.9458*(0.00787*P106)^2.304</f>
        <v>0</v>
      </c>
      <c r="T106" s="488" t="n">
        <f aca="false">R106+S106</f>
        <v>0.125669076112248</v>
      </c>
      <c r="U106" s="385" t="n">
        <f aca="false">IF(Vin&gt;Vout, P106/SQRT(12), SQRT(O106/(1-O106))*SQRT(K106^2+(P106^2)/12))</f>
        <v>1.26336126084057</v>
      </c>
      <c r="V106" s="488" t="n">
        <f aca="false">RCoutEsr*U106^2</f>
        <v>0.00798040837696337</v>
      </c>
      <c r="W106" s="488" t="n">
        <f aca="false">V106</f>
        <v>0.00798040837696337</v>
      </c>
      <c r="X106" s="385" t="n">
        <f aca="false">IF(Vin&gt;Vout, SQRT(N106*(1-N106))*SQRT(K106^2+(P106^2)/12), P106/SQRT(12))</f>
        <v>0</v>
      </c>
      <c r="Y106" s="587" t="n">
        <f aca="false">RCinEsr*X106^2</f>
        <v>0</v>
      </c>
      <c r="Z106" s="588" t="n">
        <f aca="false">Y106</f>
        <v>0</v>
      </c>
      <c r="AA106" s="488" t="n">
        <f aca="false">CHOOSE(J106, SQRT(N106)*SQRT(K106^2+(P106^2)/12), SQRT(L106^2+(P106^2)/12), SQRT(N106)*SQRT(M106^2+(P106^2)/12))</f>
        <v>5.95554209752502</v>
      </c>
      <c r="AB106" s="488" t="n">
        <f aca="false">Rdson1*AA106^2</f>
        <v>0.202170345549738</v>
      </c>
      <c r="AC106" s="488" t="n">
        <f aca="false">CHOOSE(J106, (Vin*K106/2)*(Fsw)*(Tr_buck+Tf_buck), 0, (Vin*K106/2)*(Fsw/2)*(Tr_buck+Tf_buck))</f>
        <v>0.0355612855093257</v>
      </c>
      <c r="AD106" s="488" t="n">
        <f aca="false">CHOOSE(J106, IF(K106&gt;P106/2,0,ABS(K106-P106/2)*Vsd_Q1*Deadtime*Fsw),0, IF(K106&gt;P106/2,0,ABS(K106-P106/2)*Vsd_Q1*Deadtime*Fsw/2))</f>
        <v>0</v>
      </c>
      <c r="AE106" s="488" t="n">
        <f aca="false">(AD106+AC106+AB106*(1+RdsonTopTc*Ta-RdsonTopTc*25))/(1-AB106*RdsonTopTc*ThetaJA_Q1)</f>
        <v>0.247749136777453</v>
      </c>
      <c r="AF106" s="488" t="n">
        <f aca="false">CHOOSE(J106, SQRT((1-N106))*SQRT(K106^2+(P106^2)/12), 0, SQRT((1-N106))*SQRT(M106^2+(P106^2)/12))</f>
        <v>1.29278370675572</v>
      </c>
      <c r="AG106" s="488" t="n">
        <f aca="false">Rdson2*AF106^2</f>
        <v>0.00952635136098244</v>
      </c>
      <c r="AH106" s="488" t="n">
        <f aca="false">CHOOSE(J106, IF(K106&lt;P106/2,Deadtime*Fsw*IF(VfdSky_Q2&gt;0,0,Vsd_Q2)*(K106+P106/2),2*Deadtime*Fsw*IF(VfdSky_Q2&gt;0,0,Vsd_Q2)*K106),0, IF(K106&lt;P106/2,Deadtime*Fsw/2*IF(VfdSky_Q2&gt;0,0,Vsd_Q2)*(K106+P106/2),2*Deadtime*Fsw/2*IF(VfdSky_Q2&gt;0,0,Vsd_Q2)*K106))</f>
        <v>0.06984</v>
      </c>
      <c r="AI106" s="488" t="n">
        <f aca="false">(AH106+AG106*(1+RdsonBotTc*Ta-RdsonBotTc*25))/(1-AG106*RdsonBotTc*ThetaJA_Q2)</f>
        <v>0.079517854365013</v>
      </c>
      <c r="AJ106" s="488" t="n">
        <f aca="false">CHOOSE(J106, 0, SQRT(O106)*SQRT(L106^2+(P106^2)/12), SQRT(O106)*SQRT(M106^2+(P106^2)/12))</f>
        <v>1.29278370675572</v>
      </c>
      <c r="AK106" s="488" t="n">
        <f aca="false">Rdson4*AJ106^2</f>
        <v>0.00317545045366082</v>
      </c>
      <c r="AL106" s="488" t="n">
        <f aca="false">CHOOSE(J106, 0, (Vout*L106/2)*(Fsw)*(Tr_boost+Tf_boost), (Vout*Iout/2)*(Fsw/2)*(Tr_boost+Tf_boost))</f>
        <v>0.0349071770123085</v>
      </c>
      <c r="AM106" s="488" t="n">
        <f aca="false">IF(H106&gt;Vout, 0, IF(L106&gt;P106/2,0,ABS(L106-P106/2)*Vsd_Q4*Deadtime*Fsw))</f>
        <v>0</v>
      </c>
      <c r="AN106" s="488" t="n">
        <f aca="false">(AM106+AL106+AK106*(1+RdsonTopTc*Ta-RdsonTopTc*25))/(1-AK106*RdsonTopTc*ThetaJA_Q4)</f>
        <v>0.0381068287352883</v>
      </c>
      <c r="AO106" s="488" t="n">
        <f aca="false">CHOOSE(J106, SQRT(K106^2+(P106^2)/12), SQRT(1-O106)*SQRT(L106^2+(P106^2)/12), SQRT(1-O106)*SQRT(M106^2+(P106^2)/12))</f>
        <v>5.95554209752502</v>
      </c>
      <c r="AP106" s="488" t="n">
        <f aca="false">Rdson3*AO106^2</f>
        <v>0.0673901151832461</v>
      </c>
      <c r="AQ106" s="488" t="n">
        <f aca="false">CHOOSE(J106, 0, IF(L106&lt;P106/2,Deadtime*Fsw*IF(VfdSky_Q3&gt;0,0,Vsd_Q3)*(L106+P106/2), 2*Deadtime*Fsw*IF(VfdSky_Q3&gt;0,0,Vsd_Q3)*L106), IF(L106&lt;P106/2,Deadtime*Fsw/2*IF(VfdSky_Q3&gt;0,0,Vsd_Q3)*(L106+P106/2), 2*Deadtime*Fsw/2*IF(VfdSky_Q3&gt;0,0,Vsd_Q3)*L106))</f>
        <v>0.0776</v>
      </c>
      <c r="AR106" s="488" t="n">
        <f aca="false">(AQ106+AP106*(1+RdsonBotTc*Ta-RdsonBotTc*25))/(1-AP106*RdsonBotTc*ThetaJA_Q3)</f>
        <v>0.146970993620989</v>
      </c>
      <c r="AS106" s="488" t="n">
        <f aca="false">CHOOSE(J106, Rdson3*Q106^2, Rdson1*Q106^2, 0)</f>
        <v>0</v>
      </c>
      <c r="AT106" s="488" t="n">
        <f aca="false">CHOOSE(J106, 2*Deadtime*Fsw*IF(VfdSky_Q2&gt;0,VfdSky_Q2,0)*K106, 2*Deadtime*Fsw*IF(VfdSky_Q3&gt;0,VfdSky_Q3,0)*L106, 2*Deadtime*Fsw/2*IF(VfdSky_Q2&gt;0,VfdSky_Q2,0)*K106+2*Deadtime*Fsw/2*IF(VfdSky_Q3&gt;0,VfdSky_Q3,0)*L106)</f>
        <v>0</v>
      </c>
      <c r="AU106" s="488" t="n">
        <f aca="false">CHOOSE(J106, IF(QrrSky_Q2&gt;0,QrrSky_Q2,Qrr_Q2*K106/Iout)*Fsw*(Vin-K106*Rdson1), IF(QrrSky_Q3&gt;0,QrrSky_Q3,Qrr_Q3)*Fsw*Vout,  IF(QrrSky_Q2&gt;0,QrrSky_Q2,Qrr_Q2*K106/Iout)*Fsw/2*(Vin-K106*Rdson1)+IF(QrrSky_Q3&gt;0,QrrSky_Q3,Qrr_Q3)*Fsw/2*Vout)</f>
        <v>0.169093910529</v>
      </c>
      <c r="AV106" s="488" t="n">
        <f aca="false">CHOOSE(J106, Rs*AF106^2, Rs*AJ106^2, Rs*(AF106^2+AJ106^2))</f>
        <v>0.026740635399249</v>
      </c>
      <c r="AW106" s="488" t="n">
        <f aca="false">Rshunt_std/1000*Iout^2</f>
        <v>0.14832</v>
      </c>
      <c r="AX106" s="488" t="n">
        <f aca="false">IF(Vout&gt;8, Iq*Vout, Iq*Vin)</f>
        <v>0.036</v>
      </c>
      <c r="AY106" s="488" t="n">
        <f aca="false">CHOOSE(J106, (Qg_Q1+Qg_Q2)*Fsw, (Qg_Q3+Qg_Q4)*Fsw, (Qg_Q1+Qg_Q2+Qg_Q3+Qg_Q4)*Fsw/2)*IF(Vout&gt;8, Vout, Vin)</f>
        <v>0.1188</v>
      </c>
      <c r="AZ106" s="488" t="n">
        <f aca="false">(Vin-Vdd)*Fsw*(Qg_Q1+Qg_Q2)+(RdsonDRT+RdsonDRT2)*Fsw*Qg_Q1*Vdd/(RdsonDRT+2*Rgate1+RdsonDRT2)+(RdsonDRB+RdsonDRB2)*Fsw*Qg_Q2*Vdd/(RdsonDRB+2*Rgate2+RdsonDRB2)</f>
        <v>0.0522</v>
      </c>
      <c r="BA106" s="488" t="n">
        <f aca="false">SUM(AX106:AY106)</f>
        <v>0.1548</v>
      </c>
      <c r="BB106" s="488" t="n">
        <f aca="false">SUM(T106,W106,Z106,AE106,AI106,AN106,AR106, AT106,AU106,BA106,AV106,AW106)</f>
        <v>1.1449488439162</v>
      </c>
      <c r="BC106" s="419" t="n">
        <f aca="false">Vout*K106</f>
        <v>69.84</v>
      </c>
      <c r="BD106" s="589" t="n">
        <f aca="false">BC106/(BC106+BB106)</f>
        <v>0.983870540691186</v>
      </c>
      <c r="BE106" s="590" t="n">
        <f aca="false">IF(Vin&gt;Vout,ThetaJA_Q1*BK106,ThetaJA_Q4*BK106)</f>
        <v>7.48544048422142</v>
      </c>
      <c r="BF106" s="590" t="n">
        <f aca="false">IF(Vin&gt;Vout, ThetaJA_Q2*BL106, ThetaJA_Q3*BL106)</f>
        <v>10.138599204778</v>
      </c>
      <c r="BG106" s="536"/>
      <c r="BH106" s="385" t="n">
        <f aca="false">BD106*100</f>
        <v>98.3870540691186</v>
      </c>
      <c r="BI106" s="488" t="n">
        <f aca="false">T106</f>
        <v>0.125669076112248</v>
      </c>
      <c r="BJ106" s="488" t="n">
        <f aca="false">AE106+AI106+AN106+AR106+AU106</f>
        <v>0.681438724027744</v>
      </c>
      <c r="BK106" s="488" t="n">
        <f aca="false">IF(Vin&gt;Vout, AE106+AU106*0.66, AN106+AU106*0.66)</f>
        <v>0.149708809684428</v>
      </c>
      <c r="BL106" s="488" t="n">
        <f aca="false">IF(Vin&gt;Vout, AI106+AU106*0.33, AR106+AU106*0.33)</f>
        <v>0.202771984095559</v>
      </c>
      <c r="BM106" s="488" t="n">
        <f aca="false">AV106</f>
        <v>0.026740635399249</v>
      </c>
      <c r="BS106" s="591"/>
      <c r="BT106" s="592"/>
    </row>
    <row r="107" customFormat="false" ht="12.75" hidden="false" customHeight="false" outlineLevel="0" collapsed="false">
      <c r="G107" s="0" t="n">
        <v>98</v>
      </c>
      <c r="H107" s="586" t="n">
        <f aca="false">Vin</f>
        <v>12</v>
      </c>
      <c r="I107" s="385" t="str">
        <f aca="false">IF(H107&gt;VIN_BB_to_buck, "BUCK", IF(H107&lt;VIN_boost_to_BB,"BOOST","BUCK-BST"))</f>
        <v>BUCK-BST</v>
      </c>
      <c r="J107" s="419" t="n">
        <f aca="false">IF(I107="BOOST",2, IF(I107="BUCK", 1,3))</f>
        <v>3</v>
      </c>
      <c r="K107" s="488" t="n">
        <f aca="false">Iout*G107/100</f>
        <v>5.88</v>
      </c>
      <c r="L107" s="385" t="n">
        <f aca="false">Vout*K107/(Vin*Efficiency)</f>
        <v>6.53333333333333</v>
      </c>
      <c r="M107" s="385" t="n">
        <f aca="false">K107/(1-O107)</f>
        <v>6.15706806282723</v>
      </c>
      <c r="N107" s="488" t="n">
        <f aca="false">CHOOSE(J107,(Vout+(Rdson2+Rs+Rdcr)*K107)/(Vin+(Rs+Rdson2-Rdson1)*K107), 1, IF(Vin&lt;Vout, D_max_buck_BB, Vout/Vin*(1-D_min_boost_exitBB_to_buck)))</f>
        <v>0.955</v>
      </c>
      <c r="O107" s="488" t="n">
        <f aca="false">CHOOSE(J107,0,(Vout+(Rdson3+Rdcr)*L107-Vin)/(Vout+(Rdson3-Rdson4-Rs)*L107), IF(Vin&gt;Vout,D_min_boost_exitBB_to_buck, (Vout-Vin*D_max_buck_BB)/Vout))</f>
        <v>0.0450000000000001</v>
      </c>
      <c r="P107" s="385" t="n">
        <f aca="false">MAX(0, CHOOSE(J107, (Vin-(Rdson1+Rdcr)*K107-Vout)*N107/(Fsw*Lf), (Vin-(Rdson4+Rdcr+Rs)*L107)*O107/(Fsw*Lf), IF(Vin&lt;Vout, (Vin-(Rdson4+Rdcr+Rs)*L107)*O107/(0.5*Fsw*Lf),(Vin-(Rdson1+Rdcr)*K107-Vout)*N107/(0.5*Fsw*Lf))))</f>
        <v>0</v>
      </c>
      <c r="Q107" s="385" t="n">
        <f aca="false">CHOOSE(J107, SQRT(K107^2+(P107^2)/12), SQRT(L107^2+(P107^2)/12), SQRT(M107^2+(P107^2)/12))</f>
        <v>6.15706806282723</v>
      </c>
      <c r="R107" s="488" t="n">
        <f aca="false">(Q107^2*Rdcr*(1+Ltc*Ta-Ltc*25))/(1-Q107^2*Rdcr*Ltc*ThetaCa)</f>
        <v>0.128300279697398</v>
      </c>
      <c r="S107" s="488" t="n">
        <f aca="false">7.759*10^-3*Fsw^0.9458*(0.00787*P107)^2.304</f>
        <v>0</v>
      </c>
      <c r="T107" s="488" t="n">
        <f aca="false">R107+S107</f>
        <v>0.128300279697398</v>
      </c>
      <c r="U107" s="385" t="n">
        <f aca="false">IF(Vin&gt;Vout, P107/SQRT(12), SQRT(O107/(1-O107))*SQRT(K107^2+(P107^2)/12))</f>
        <v>1.27638560373583</v>
      </c>
      <c r="V107" s="488" t="n">
        <f aca="false">RCoutEsr*U107^2</f>
        <v>0.00814580104712043</v>
      </c>
      <c r="W107" s="488" t="n">
        <f aca="false">V107</f>
        <v>0.00814580104712043</v>
      </c>
      <c r="X107" s="385" t="n">
        <f aca="false">IF(Vin&gt;Vout, SQRT(N107*(1-N107))*SQRT(K107^2+(P107^2)/12), P107/SQRT(12))</f>
        <v>0</v>
      </c>
      <c r="Y107" s="587" t="n">
        <f aca="false">RCinEsr*X107^2</f>
        <v>0</v>
      </c>
      <c r="Z107" s="588" t="n">
        <f aca="false">Y107</f>
        <v>0</v>
      </c>
      <c r="AA107" s="488" t="n">
        <f aca="false">CHOOSE(J107, SQRT(N107)*SQRT(K107^2+(P107^2)/12), SQRT(L107^2+(P107^2)/12), SQRT(N107)*SQRT(M107^2+(P107^2)/12))</f>
        <v>6.01693943873661</v>
      </c>
      <c r="AB107" s="488" t="n">
        <f aca="false">Rdson1*AA107^2</f>
        <v>0.206360293193717</v>
      </c>
      <c r="AC107" s="488" t="n">
        <f aca="false">CHOOSE(J107, (Vin*K107/2)*(Fsw)*(Tr_buck+Tf_buck), 0, (Vin*K107/2)*(Fsw/2)*(Tr_buck+Tf_buck))</f>
        <v>0.0359278967001435</v>
      </c>
      <c r="AD107" s="488" t="n">
        <f aca="false">CHOOSE(J107, IF(K107&gt;P107/2,0,ABS(K107-P107/2)*Vsd_Q1*Deadtime*Fsw),0, IF(K107&gt;P107/2,0,ABS(K107-P107/2)*Vsd_Q1*Deadtime*Fsw/2))</f>
        <v>0</v>
      </c>
      <c r="AE107" s="488" t="n">
        <f aca="false">(AD107+AC107+AB107*(1+RdsonTopTc*Ta-RdsonTopTc*25))/(1-AB107*RdsonTopTc*ThetaJA_Q1)</f>
        <v>0.252718398453941</v>
      </c>
      <c r="AF107" s="488" t="n">
        <f aca="false">CHOOSE(J107, SQRT((1-N107))*SQRT(K107^2+(P107^2)/12), 0, SQRT((1-N107))*SQRT(M107^2+(P107^2)/12))</f>
        <v>1.30611137383568</v>
      </c>
      <c r="AG107" s="488" t="n">
        <f aca="false">Rdson2*AF107^2</f>
        <v>0.00972378344891862</v>
      </c>
      <c r="AH107" s="488" t="n">
        <f aca="false">CHOOSE(J107, IF(K107&lt;P107/2,Deadtime*Fsw*IF(VfdSky_Q2&gt;0,0,Vsd_Q2)*(K107+P107/2),2*Deadtime*Fsw*IF(VfdSky_Q2&gt;0,0,Vsd_Q2)*K107),0, IF(K107&lt;P107/2,Deadtime*Fsw/2*IF(VfdSky_Q2&gt;0,0,Vsd_Q2)*(K107+P107/2),2*Deadtime*Fsw/2*IF(VfdSky_Q2&gt;0,0,Vsd_Q2)*K107))</f>
        <v>0.07056</v>
      </c>
      <c r="AI107" s="488" t="n">
        <f aca="false">(AH107+AG107*(1+RdsonBotTc*Ta-RdsonBotTc*25))/(1-AG107*RdsonBotTc*ThetaJA_Q2)</f>
        <v>0.0804402201050957</v>
      </c>
      <c r="AJ107" s="488" t="n">
        <f aca="false">CHOOSE(J107, 0, SQRT(O107)*SQRT(L107^2+(P107^2)/12), SQRT(O107)*SQRT(M107^2+(P107^2)/12))</f>
        <v>1.30611137383568</v>
      </c>
      <c r="AK107" s="488" t="n">
        <f aca="false">Rdson4*AJ107^2</f>
        <v>0.00324126114963954</v>
      </c>
      <c r="AL107" s="488" t="n">
        <f aca="false">CHOOSE(J107, 0, (Vout*L107/2)*(Fsw)*(Tr_boost+Tf_boost), (Vout*Iout/2)*(Fsw/2)*(Tr_boost+Tf_boost))</f>
        <v>0.0349071770123085</v>
      </c>
      <c r="AM107" s="488" t="n">
        <f aca="false">IF(H107&gt;Vout, 0, IF(L107&gt;P107/2,0,ABS(L107-P107/2)*Vsd_Q4*Deadtime*Fsw))</f>
        <v>0</v>
      </c>
      <c r="AN107" s="488" t="n">
        <f aca="false">(AM107+AL107+AK107*(1+RdsonTopTc*Ta-RdsonTopTc*25))/(1-AK107*RdsonTopTc*ThetaJA_Q4)</f>
        <v>0.0381731840136083</v>
      </c>
      <c r="AO107" s="488" t="n">
        <f aca="false">CHOOSE(J107, SQRT(K107^2+(P107^2)/12), SQRT(1-O107)*SQRT(L107^2+(P107^2)/12), SQRT(1-O107)*SQRT(M107^2+(P107^2)/12))</f>
        <v>6.01693943873661</v>
      </c>
      <c r="AP107" s="488" t="n">
        <f aca="false">Rdson3*AO107^2</f>
        <v>0.0687867643979058</v>
      </c>
      <c r="AQ107" s="488" t="n">
        <f aca="false">CHOOSE(J107, 0, IF(L107&lt;P107/2,Deadtime*Fsw*IF(VfdSky_Q3&gt;0,0,Vsd_Q3)*(L107+P107/2), 2*Deadtime*Fsw*IF(VfdSky_Q3&gt;0,0,Vsd_Q3)*L107), IF(L107&lt;P107/2,Deadtime*Fsw/2*IF(VfdSky_Q3&gt;0,0,Vsd_Q3)*(L107+P107/2), 2*Deadtime*Fsw/2*IF(VfdSky_Q3&gt;0,0,Vsd_Q3)*L107))</f>
        <v>0.0784</v>
      </c>
      <c r="AR107" s="488" t="n">
        <f aca="false">(AQ107+AP107*(1+RdsonBotTc*Ta-RdsonBotTc*25))/(1-AP107*RdsonBotTc*ThetaJA_Q3)</f>
        <v>0.149239910510516</v>
      </c>
      <c r="AS107" s="488" t="n">
        <f aca="false">CHOOSE(J107, Rdson3*Q107^2, Rdson1*Q107^2, 0)</f>
        <v>0</v>
      </c>
      <c r="AT107" s="488" t="n">
        <f aca="false">CHOOSE(J107, 2*Deadtime*Fsw*IF(VfdSky_Q2&gt;0,VfdSky_Q2,0)*K107, 2*Deadtime*Fsw*IF(VfdSky_Q3&gt;0,VfdSky_Q3,0)*L107, 2*Deadtime*Fsw/2*IF(VfdSky_Q2&gt;0,VfdSky_Q2,0)*K107+2*Deadtime*Fsw/2*IF(VfdSky_Q3&gt;0,VfdSky_Q3,0)*L107)</f>
        <v>0</v>
      </c>
      <c r="AU107" s="488" t="n">
        <f aca="false">CHOOSE(J107, IF(QrrSky_Q2&gt;0,QrrSky_Q2,Qrr_Q2*K107/Iout)*Fsw*(Vin-K107*Rdson1), IF(QrrSky_Q3&gt;0,QrrSky_Q3,Qrr_Q3)*Fsw*Vout,  IF(QrrSky_Q2&gt;0,QrrSky_Q2,Qrr_Q2*K107/Iout)*Fsw/2*(Vin-K107*Rdson1)+IF(QrrSky_Q3&gt;0,QrrSky_Q3,Qrr_Q3)*Fsw/2*Vout)</f>
        <v>0.170221608324</v>
      </c>
      <c r="AV107" s="488" t="n">
        <f aca="false">CHOOSE(J107, Rs*AF107^2, Rs*AJ107^2, Rs*(AF107^2+AJ107^2))</f>
        <v>0.0272948307338067</v>
      </c>
      <c r="AW107" s="488" t="n">
        <f aca="false">Rshunt_std/1000*Iout^2</f>
        <v>0.14832</v>
      </c>
      <c r="AX107" s="488" t="n">
        <f aca="false">IF(Vout&gt;8, Iq*Vout, Iq*Vin)</f>
        <v>0.036</v>
      </c>
      <c r="AY107" s="488" t="n">
        <f aca="false">CHOOSE(J107, (Qg_Q1+Qg_Q2)*Fsw, (Qg_Q3+Qg_Q4)*Fsw, (Qg_Q1+Qg_Q2+Qg_Q3+Qg_Q4)*Fsw/2)*IF(Vout&gt;8, Vout, Vin)</f>
        <v>0.1188</v>
      </c>
      <c r="AZ107" s="488" t="n">
        <f aca="false">(Vin-Vdd)*Fsw*(Qg_Q1+Qg_Q2)+(RdsonDRT+RdsonDRT2)*Fsw*Qg_Q1*Vdd/(RdsonDRT+2*Rgate1+RdsonDRT2)+(RdsonDRB+RdsonDRB2)*Fsw*Qg_Q2*Vdd/(RdsonDRB+2*Rgate2+RdsonDRB2)</f>
        <v>0.0522</v>
      </c>
      <c r="BA107" s="488" t="n">
        <f aca="false">SUM(AX107:AY107)</f>
        <v>0.1548</v>
      </c>
      <c r="BB107" s="488" t="n">
        <f aca="false">SUM(T107,W107,Z107,AE107,AI107,AN107,AR107, AT107,AU107,BA107,AV107,AW107)</f>
        <v>1.15765423288549</v>
      </c>
      <c r="BC107" s="419" t="n">
        <f aca="false">Vout*K107</f>
        <v>70.56</v>
      </c>
      <c r="BD107" s="589" t="n">
        <f aca="false">BC107/(BC107+BB107)</f>
        <v>0.983858169299204</v>
      </c>
      <c r="BE107" s="590" t="n">
        <f aca="false">IF(Vin&gt;Vout,ThetaJA_Q1*BK107,ThetaJA_Q4*BK107)</f>
        <v>7.52597227537242</v>
      </c>
      <c r="BF107" s="590" t="n">
        <f aca="false">IF(Vin&gt;Vout, ThetaJA_Q2*BL107, ThetaJA_Q3*BL107)</f>
        <v>10.2706520628718</v>
      </c>
      <c r="BG107" s="536"/>
      <c r="BH107" s="385" t="n">
        <f aca="false">BD107*100</f>
        <v>98.3858169299204</v>
      </c>
      <c r="BI107" s="488" t="n">
        <f aca="false">T107</f>
        <v>0.128300279697398</v>
      </c>
      <c r="BJ107" s="488" t="n">
        <f aca="false">AE107+AI107+AN107+AR107+AU107</f>
        <v>0.690793321407161</v>
      </c>
      <c r="BK107" s="488" t="n">
        <f aca="false">IF(Vin&gt;Vout, AE107+AU107*0.66, AN107+AU107*0.66)</f>
        <v>0.150519445507448</v>
      </c>
      <c r="BL107" s="488" t="n">
        <f aca="false">IF(Vin&gt;Vout, AI107+AU107*0.33, AR107+AU107*0.33)</f>
        <v>0.205413041257436</v>
      </c>
      <c r="BM107" s="488" t="n">
        <f aca="false">AV107</f>
        <v>0.0272948307338067</v>
      </c>
      <c r="BS107" s="591"/>
      <c r="BT107" s="592"/>
    </row>
    <row r="108" customFormat="false" ht="12.75" hidden="false" customHeight="false" outlineLevel="0" collapsed="false">
      <c r="G108" s="0" t="n">
        <v>99</v>
      </c>
      <c r="H108" s="586" t="n">
        <f aca="false">Vin</f>
        <v>12</v>
      </c>
      <c r="I108" s="385" t="str">
        <f aca="false">IF(H108&gt;VIN_BB_to_buck, "BUCK", IF(H108&lt;VIN_boost_to_BB,"BOOST","BUCK-BST"))</f>
        <v>BUCK-BST</v>
      </c>
      <c r="J108" s="419" t="n">
        <f aca="false">IF(I108="BOOST",2, IF(I108="BUCK", 1,3))</f>
        <v>3</v>
      </c>
      <c r="K108" s="488" t="n">
        <f aca="false">Iout*G108/100</f>
        <v>5.94</v>
      </c>
      <c r="L108" s="385" t="n">
        <f aca="false">Vout*K108/(Vin*Efficiency)</f>
        <v>6.6</v>
      </c>
      <c r="M108" s="385" t="n">
        <f aca="false">K108/(1-O108)</f>
        <v>6.21989528795812</v>
      </c>
      <c r="N108" s="488" t="n">
        <f aca="false">CHOOSE(J108,(Vout+(Rdson2+Rs+Rdcr)*K108)/(Vin+(Rs+Rdson2-Rdson1)*K108), 1, IF(Vin&lt;Vout, D_max_buck_BB, Vout/Vin*(1-D_min_boost_exitBB_to_buck)))</f>
        <v>0.955</v>
      </c>
      <c r="O108" s="488" t="n">
        <f aca="false">CHOOSE(J108,0,(Vout+(Rdson3+Rdcr)*L108-Vin)/(Vout+(Rdson3-Rdson4-Rs)*L108), IF(Vin&gt;Vout,D_min_boost_exitBB_to_buck, (Vout-Vin*D_max_buck_BB)/Vout))</f>
        <v>0.0450000000000001</v>
      </c>
      <c r="P108" s="385" t="n">
        <f aca="false">MAX(0, CHOOSE(J108, (Vin-(Rdson1+Rdcr)*K108-Vout)*N108/(Fsw*Lf), (Vin-(Rdson4+Rdcr+Rs)*L108)*O108/(Fsw*Lf), IF(Vin&lt;Vout, (Vin-(Rdson4+Rdcr+Rs)*L108)*O108/(0.5*Fsw*Lf),(Vin-(Rdson1+Rdcr)*K108-Vout)*N108/(0.5*Fsw*Lf))))</f>
        <v>0</v>
      </c>
      <c r="Q108" s="385" t="n">
        <f aca="false">CHOOSE(J108, SQRT(K108^2+(P108^2)/12), SQRT(L108^2+(P108^2)/12), SQRT(M108^2+(P108^2)/12))</f>
        <v>6.21989528795812</v>
      </c>
      <c r="R108" s="488" t="n">
        <f aca="false">(Q108^2*Rdcr*(1+Ltc*Ta-Ltc*25))/(1-Q108^2*Rdcr*Ltc*ThetaCa)</f>
        <v>0.130959583841907</v>
      </c>
      <c r="S108" s="488" t="n">
        <f aca="false">7.759*10^-3*Fsw^0.9458*(0.00787*P108)^2.304</f>
        <v>0</v>
      </c>
      <c r="T108" s="488" t="n">
        <f aca="false">R108+S108</f>
        <v>0.130959583841907</v>
      </c>
      <c r="U108" s="385" t="n">
        <f aca="false">IF(Vin&gt;Vout, P108/SQRT(12), SQRT(O108/(1-O108))*SQRT(K108^2+(P108^2)/12))</f>
        <v>1.2894099466311</v>
      </c>
      <c r="V108" s="488" t="n">
        <f aca="false">RCoutEsr*U108^2</f>
        <v>0.00831289005235604</v>
      </c>
      <c r="W108" s="488" t="n">
        <f aca="false">V108</f>
        <v>0.00831289005235604</v>
      </c>
      <c r="X108" s="385" t="n">
        <f aca="false">IF(Vin&gt;Vout, SQRT(N108*(1-N108))*SQRT(K108^2+(P108^2)/12), P108/SQRT(12))</f>
        <v>0</v>
      </c>
      <c r="Y108" s="587" t="n">
        <f aca="false">RCinEsr*X108^2</f>
        <v>0</v>
      </c>
      <c r="Z108" s="588" t="n">
        <f aca="false">Y108</f>
        <v>0</v>
      </c>
      <c r="AA108" s="488" t="n">
        <f aca="false">CHOOSE(J108, SQRT(N108)*SQRT(K108^2+(P108^2)/12), SQRT(L108^2+(P108^2)/12), SQRT(N108)*SQRT(M108^2+(P108^2)/12))</f>
        <v>6.07833677994821</v>
      </c>
      <c r="AB108" s="488" t="n">
        <f aca="false">Rdson1*AA108^2</f>
        <v>0.210593214659686</v>
      </c>
      <c r="AC108" s="488" t="n">
        <f aca="false">CHOOSE(J108, (Vin*K108/2)*(Fsw)*(Tr_buck+Tf_buck), 0, (Vin*K108/2)*(Fsw/2)*(Tr_buck+Tf_buck))</f>
        <v>0.0362945078909613</v>
      </c>
      <c r="AD108" s="488" t="n">
        <f aca="false">CHOOSE(J108, IF(K108&gt;P108/2,0,ABS(K108-P108/2)*Vsd_Q1*Deadtime*Fsw),0, IF(K108&gt;P108/2,0,ABS(K108-P108/2)*Vsd_Q1*Deadtime*Fsw/2))</f>
        <v>0</v>
      </c>
      <c r="AE108" s="488" t="n">
        <f aca="false">(AD108+AC108+AB108*(1+RdsonTopTc*Ta-RdsonTopTc*25))/(1-AB108*RdsonTopTc*ThetaJA_Q1)</f>
        <v>0.257743530270111</v>
      </c>
      <c r="AF108" s="488" t="n">
        <f aca="false">CHOOSE(J108, SQRT((1-N108))*SQRT(K108^2+(P108^2)/12), 0, SQRT((1-N108))*SQRT(M108^2+(P108^2)/12))</f>
        <v>1.31943904091563</v>
      </c>
      <c r="AG108" s="488" t="n">
        <f aca="false">Rdson2*AF108^2</f>
        <v>0.00992324048134647</v>
      </c>
      <c r="AH108" s="488" t="n">
        <f aca="false">CHOOSE(J108, IF(K108&lt;P108/2,Deadtime*Fsw*IF(VfdSky_Q2&gt;0,0,Vsd_Q2)*(K108+P108/2),2*Deadtime*Fsw*IF(VfdSky_Q2&gt;0,0,Vsd_Q2)*K108),0, IF(K108&lt;P108/2,Deadtime*Fsw/2*IF(VfdSky_Q2&gt;0,0,Vsd_Q2)*(K108+P108/2),2*Deadtime*Fsw/2*IF(VfdSky_Q2&gt;0,0,Vsd_Q2)*K108))</f>
        <v>0.07128</v>
      </c>
      <c r="AI108" s="488" t="n">
        <f aca="false">(AH108+AG108*(1+RdsonBotTc*Ta-RdsonBotTc*25))/(1-AG108*RdsonBotTc*ThetaJA_Q2)</f>
        <v>0.0813647208196246</v>
      </c>
      <c r="AJ108" s="488" t="n">
        <f aca="false">CHOOSE(J108, 0, SQRT(O108)*SQRT(L108^2+(P108^2)/12), SQRT(O108)*SQRT(M108^2+(P108^2)/12))</f>
        <v>1.31943904091563</v>
      </c>
      <c r="AK108" s="488" t="n">
        <f aca="false">Rdson4*AJ108^2</f>
        <v>0.00330774682711549</v>
      </c>
      <c r="AL108" s="488" t="n">
        <f aca="false">CHOOSE(J108, 0, (Vout*L108/2)*(Fsw)*(Tr_boost+Tf_boost), (Vout*Iout/2)*(Fsw/2)*(Tr_boost+Tf_boost))</f>
        <v>0.0349071770123085</v>
      </c>
      <c r="AM108" s="488" t="n">
        <f aca="false">IF(H108&gt;Vout, 0, IF(L108&gt;P108/2,0,ABS(L108-P108/2)*Vsd_Q4*Deadtime*Fsw))</f>
        <v>0</v>
      </c>
      <c r="AN108" s="488" t="n">
        <f aca="false">(AM108+AL108+AK108*(1+RdsonTopTc*Ta-RdsonTopTc*25))/(1-AK108*RdsonTopTc*ThetaJA_Q4)</f>
        <v>0.0382402216337795</v>
      </c>
      <c r="AO108" s="488" t="n">
        <f aca="false">CHOOSE(J108, SQRT(K108^2+(P108^2)/12), SQRT(1-O108)*SQRT(L108^2+(P108^2)/12), SQRT(1-O108)*SQRT(M108^2+(P108^2)/12))</f>
        <v>6.07833677994821</v>
      </c>
      <c r="AP108" s="488" t="n">
        <f aca="false">Rdson3*AO108^2</f>
        <v>0.0701977382198953</v>
      </c>
      <c r="AQ108" s="488" t="n">
        <f aca="false">CHOOSE(J108, 0, IF(L108&lt;P108/2,Deadtime*Fsw*IF(VfdSky_Q3&gt;0,0,Vsd_Q3)*(L108+P108/2), 2*Deadtime*Fsw*IF(VfdSky_Q3&gt;0,0,Vsd_Q3)*L108), IF(L108&lt;P108/2,Deadtime*Fsw/2*IF(VfdSky_Q3&gt;0,0,Vsd_Q3)*(L108+P108/2), 2*Deadtime*Fsw/2*IF(VfdSky_Q3&gt;0,0,Vsd_Q3)*L108))</f>
        <v>0.0792</v>
      </c>
      <c r="AR108" s="488" t="n">
        <f aca="false">(AQ108+AP108*(1+RdsonBotTc*Ta-RdsonBotTc*25))/(1-AP108*RdsonBotTc*ThetaJA_Q3)</f>
        <v>0.151525081825441</v>
      </c>
      <c r="AS108" s="488" t="n">
        <f aca="false">CHOOSE(J108, Rdson3*Q108^2, Rdson1*Q108^2, 0)</f>
        <v>0</v>
      </c>
      <c r="AT108" s="488" t="n">
        <f aca="false">CHOOSE(J108, 2*Deadtime*Fsw*IF(VfdSky_Q2&gt;0,VfdSky_Q2,0)*K108, 2*Deadtime*Fsw*IF(VfdSky_Q3&gt;0,VfdSky_Q3,0)*L108, 2*Deadtime*Fsw/2*IF(VfdSky_Q2&gt;0,VfdSky_Q2,0)*K108+2*Deadtime*Fsw/2*IF(VfdSky_Q3&gt;0,VfdSky_Q3,0)*L108)</f>
        <v>0</v>
      </c>
      <c r="AU108" s="488" t="n">
        <f aca="false">CHOOSE(J108, IF(QrrSky_Q2&gt;0,QrrSky_Q2,Qrr_Q2*K108/Iout)*Fsw*(Vin-K108*Rdson1), IF(QrrSky_Q3&gt;0,QrrSky_Q3,Qrr_Q3)*Fsw*Vout,  IF(QrrSky_Q2&gt;0,QrrSky_Q2,Qrr_Q2*K108/Iout)*Fsw/2*(Vin-K108*Rdson1)+IF(QrrSky_Q3&gt;0,QrrSky_Q3,Qrr_Q3)*Fsw/2*Vout)</f>
        <v>0.171349241481</v>
      </c>
      <c r="AV108" s="488" t="n">
        <f aca="false">CHOOSE(J108, Rs*AF108^2, Rs*AJ108^2, Rs*(AF108^2+AJ108^2))</f>
        <v>0.0278547101230778</v>
      </c>
      <c r="AW108" s="488" t="n">
        <f aca="false">Rshunt_std/1000*Iout^2</f>
        <v>0.14832</v>
      </c>
      <c r="AX108" s="488" t="n">
        <f aca="false">IF(Vout&gt;8, Iq*Vout, Iq*Vin)</f>
        <v>0.036</v>
      </c>
      <c r="AY108" s="488" t="n">
        <f aca="false">CHOOSE(J108, (Qg_Q1+Qg_Q2)*Fsw, (Qg_Q3+Qg_Q4)*Fsw, (Qg_Q1+Qg_Q2+Qg_Q3+Qg_Q4)*Fsw/2)*IF(Vout&gt;8, Vout, Vin)</f>
        <v>0.1188</v>
      </c>
      <c r="AZ108" s="488" t="n">
        <f aca="false">(Vin-Vdd)*Fsw*(Qg_Q1+Qg_Q2)+(RdsonDRT+RdsonDRT2)*Fsw*Qg_Q1*Vdd/(RdsonDRT+2*Rgate1+RdsonDRT2)+(RdsonDRB+RdsonDRB2)*Fsw*Qg_Q2*Vdd/(RdsonDRB+2*Rgate2+RdsonDRB2)</f>
        <v>0.0522</v>
      </c>
      <c r="BA108" s="488" t="n">
        <f aca="false">SUM(AX108:AY108)</f>
        <v>0.1548</v>
      </c>
      <c r="BB108" s="488" t="n">
        <f aca="false">SUM(T108,W108,Z108,AE108,AI108,AN108,AR108, AT108,AU108,BA108,AV108,AW108)</f>
        <v>1.1704699800473</v>
      </c>
      <c r="BC108" s="419" t="n">
        <f aca="false">Vout*K108</f>
        <v>71.28</v>
      </c>
      <c r="BD108" s="589" t="n">
        <f aca="false">BC108/(BC108+BB108)</f>
        <v>0.98384454951956</v>
      </c>
      <c r="BE108" s="590" t="n">
        <f aca="false">IF(Vin&gt;Vout,ThetaJA_Q1*BK108,ThetaJA_Q4*BK108)</f>
        <v>7.56653605056197</v>
      </c>
      <c r="BF108" s="590" t="n">
        <f aca="false">IF(Vin&gt;Vout, ThetaJA_Q2*BL108, ThetaJA_Q3*BL108)</f>
        <v>10.4035165757086</v>
      </c>
      <c r="BG108" s="536"/>
      <c r="BH108" s="385" t="n">
        <f aca="false">BD108*100</f>
        <v>98.384454951956</v>
      </c>
      <c r="BI108" s="488" t="n">
        <f aca="false">T108</f>
        <v>0.130959583841907</v>
      </c>
      <c r="BJ108" s="488" t="n">
        <f aca="false">AE108+AI108+AN108+AR108+AU108</f>
        <v>0.700222796029957</v>
      </c>
      <c r="BK108" s="488" t="n">
        <f aca="false">IF(Vin&gt;Vout, AE108+AU108*0.66, AN108+AU108*0.66)</f>
        <v>0.151330721011239</v>
      </c>
      <c r="BL108" s="488" t="n">
        <f aca="false">IF(Vin&gt;Vout, AI108+AU108*0.33, AR108+AU108*0.33)</f>
        <v>0.208070331514171</v>
      </c>
      <c r="BM108" s="488" t="n">
        <f aca="false">AV108</f>
        <v>0.0278547101230778</v>
      </c>
      <c r="BS108" s="591"/>
      <c r="BT108" s="592"/>
    </row>
    <row r="109" customFormat="false" ht="12.75" hidden="false" customHeight="false" outlineLevel="0" collapsed="false">
      <c r="G109" s="0" t="n">
        <v>100</v>
      </c>
      <c r="H109" s="586" t="n">
        <f aca="false">Vin</f>
        <v>12</v>
      </c>
      <c r="I109" s="385" t="str">
        <f aca="false">IF(H109&gt;VIN_BB_to_buck, "BUCK", IF(H109&lt;VIN_boost_to_BB,"BOOST","BUCK-BST"))</f>
        <v>BUCK-BST</v>
      </c>
      <c r="J109" s="419" t="n">
        <f aca="false">IF(I109="BOOST",2, IF(I109="BUCK", 1,3))</f>
        <v>3</v>
      </c>
      <c r="K109" s="488" t="n">
        <f aca="false">Iout*G109/100</f>
        <v>6</v>
      </c>
      <c r="L109" s="385" t="n">
        <f aca="false">Vout*K109/(Vin*Efficiency)</f>
        <v>6.66666666666667</v>
      </c>
      <c r="M109" s="385" t="n">
        <f aca="false">K109/(1-O109)</f>
        <v>6.28272251308901</v>
      </c>
      <c r="N109" s="488" t="n">
        <f aca="false">CHOOSE(J109,(Vout+(Rdson2+Rs+Rdcr)*K109)/(Vin+(Rs+Rdson2-Rdson1)*K109), 1, IF(Vin&lt;Vout, D_max_buck_BB, Vout/Vin*(1-D_min_boost_exitBB_to_buck)))</f>
        <v>0.955</v>
      </c>
      <c r="O109" s="488" t="n">
        <f aca="false">CHOOSE(J109,0,(Vout+(Rdson3+Rdcr)*L109-Vin)/(Vout+(Rdson3-Rdson4-Rs)*L109), IF(Vin&gt;Vout,D_min_boost_exitBB_to_buck, (Vout-Vin*D_max_buck_BB)/Vout))</f>
        <v>0.0450000000000001</v>
      </c>
      <c r="P109" s="385" t="n">
        <f aca="false">MAX(0, CHOOSE(J109, (Vin-(Rdson1+Rdcr)*K109-Vout)*N109/(Fsw*Lf), (Vin-(Rdson4+Rdcr+Rs)*L109)*O109/(Fsw*Lf), IF(Vin&lt;Vout, (Vin-(Rdson4+Rdcr+Rs)*L109)*O109/(0.5*Fsw*Lf),(Vin-(Rdson1+Rdcr)*K109-Vout)*N109/(0.5*Fsw*Lf))))</f>
        <v>0</v>
      </c>
      <c r="Q109" s="385" t="n">
        <f aca="false">CHOOSE(J109, SQRT(K109^2+(P109^2)/12), SQRT(L109^2+(P109^2)/12), SQRT(M109^2+(P109^2)/12))</f>
        <v>6.28272251308901</v>
      </c>
      <c r="R109" s="488" t="n">
        <f aca="false">(Q109^2*Rdcr*(1+Ltc*Ta-Ltc*25))/(1-Q109^2*Rdcr*Ltc*ThetaCa)</f>
        <v>0.133647023361633</v>
      </c>
      <c r="S109" s="488" t="n">
        <f aca="false">7.759*10^-3*Fsw^0.9458*(0.00787*P109)^2.304</f>
        <v>0</v>
      </c>
      <c r="T109" s="488" t="n">
        <f aca="false">R109+S109</f>
        <v>0.133647023361633</v>
      </c>
      <c r="U109" s="385" t="n">
        <f aca="false">IF(Vin&gt;Vout, P109/SQRT(12), SQRT(O109/(1-O109))*SQRT(K109^2+(P109^2)/12))</f>
        <v>1.30243428952636</v>
      </c>
      <c r="V109" s="488" t="n">
        <f aca="false">RCoutEsr*U109^2</f>
        <v>0.00848167539267017</v>
      </c>
      <c r="W109" s="488" t="n">
        <f aca="false">V109</f>
        <v>0.00848167539267017</v>
      </c>
      <c r="X109" s="385" t="n">
        <f aca="false">IF(Vin&gt;Vout, SQRT(N109*(1-N109))*SQRT(K109^2+(P109^2)/12), P109/SQRT(12))</f>
        <v>0</v>
      </c>
      <c r="Y109" s="587" t="n">
        <f aca="false">RCinEsr*X109^2</f>
        <v>0</v>
      </c>
      <c r="Z109" s="588" t="n">
        <f aca="false">Y109</f>
        <v>0</v>
      </c>
      <c r="AA109" s="488" t="n">
        <f aca="false">CHOOSE(J109, SQRT(N109)*SQRT(K109^2+(P109^2)/12), SQRT(L109^2+(P109^2)/12), SQRT(N109)*SQRT(M109^2+(P109^2)/12))</f>
        <v>6.13973412115981</v>
      </c>
      <c r="AB109" s="488" t="n">
        <f aca="false">Rdson1*AA109^2</f>
        <v>0.214869109947644</v>
      </c>
      <c r="AC109" s="488" t="n">
        <f aca="false">CHOOSE(J109, (Vin*K109/2)*(Fsw)*(Tr_buck+Tf_buck), 0, (Vin*K109/2)*(Fsw/2)*(Tr_buck+Tf_buck))</f>
        <v>0.0366611190817791</v>
      </c>
      <c r="AD109" s="488" t="n">
        <f aca="false">CHOOSE(J109, IF(K109&gt;P109/2,0,ABS(K109-P109/2)*Vsd_Q1*Deadtime*Fsw),0, IF(K109&gt;P109/2,0,ABS(K109-P109/2)*Vsd_Q1*Deadtime*Fsw/2))</f>
        <v>0</v>
      </c>
      <c r="AE109" s="488" t="n">
        <f aca="false">(AD109+AC109+AB109*(1+RdsonTopTc*Ta-RdsonTopTc*25))/(1-AB109*RdsonTopTc*ThetaJA_Q1)</f>
        <v>0.262824815881547</v>
      </c>
      <c r="AF109" s="488" t="n">
        <f aca="false">CHOOSE(J109, SQRT((1-N109))*SQRT(K109^2+(P109^2)/12), 0, SQRT((1-N109))*SQRT(M109^2+(P109^2)/12))</f>
        <v>1.33276670799559</v>
      </c>
      <c r="AG109" s="488" t="n">
        <f aca="false">Rdson2*AF109^2</f>
        <v>0.010124722458266</v>
      </c>
      <c r="AH109" s="488" t="n">
        <f aca="false">CHOOSE(J109, IF(K109&lt;P109/2,Deadtime*Fsw*IF(VfdSky_Q2&gt;0,0,Vsd_Q2)*(K109+P109/2),2*Deadtime*Fsw*IF(VfdSky_Q2&gt;0,0,Vsd_Q2)*K109),0, IF(K109&lt;P109/2,Deadtime*Fsw/2*IF(VfdSky_Q2&gt;0,0,Vsd_Q2)*(K109+P109/2),2*Deadtime*Fsw/2*IF(VfdSky_Q2&gt;0,0,Vsd_Q2)*K109))</f>
        <v>0.072</v>
      </c>
      <c r="AI109" s="488" t="n">
        <f aca="false">(AH109+AG109*(1+RdsonBotTc*Ta-RdsonBotTc*25))/(1-AG109*RdsonBotTc*ThetaJA_Q2)</f>
        <v>0.0822913578901363</v>
      </c>
      <c r="AJ109" s="488" t="n">
        <f aca="false">CHOOSE(J109, 0, SQRT(O109)*SQRT(L109^2+(P109^2)/12), SQRT(O109)*SQRT(M109^2+(P109^2)/12))</f>
        <v>1.33276670799559</v>
      </c>
      <c r="AK109" s="488" t="n">
        <f aca="false">Rdson4*AJ109^2</f>
        <v>0.00337490748608865</v>
      </c>
      <c r="AL109" s="488" t="n">
        <f aca="false">CHOOSE(J109, 0, (Vout*L109/2)*(Fsw)*(Tr_boost+Tf_boost), (Vout*Iout/2)*(Fsw/2)*(Tr_boost+Tf_boost))</f>
        <v>0.0349071770123085</v>
      </c>
      <c r="AM109" s="488" t="n">
        <f aca="false">IF(H109&gt;Vout, 0, IF(L109&gt;P109/2,0,ABS(L109-P109/2)*Vsd_Q4*Deadtime*Fsw))</f>
        <v>0</v>
      </c>
      <c r="AN109" s="488" t="n">
        <f aca="false">(AM109+AL109+AK109*(1+RdsonTopTc*Ta-RdsonTopTc*25))/(1-AK109*RdsonTopTc*ThetaJA_Q4)</f>
        <v>0.0383079416502076</v>
      </c>
      <c r="AO109" s="488" t="n">
        <f aca="false">CHOOSE(J109, SQRT(K109^2+(P109^2)/12), SQRT(1-O109)*SQRT(L109^2+(P109^2)/12), SQRT(1-O109)*SQRT(M109^2+(P109^2)/12))</f>
        <v>6.13973412115981</v>
      </c>
      <c r="AP109" s="488" t="n">
        <f aca="false">Rdson3*AO109^2</f>
        <v>0.0716230366492147</v>
      </c>
      <c r="AQ109" s="488" t="n">
        <f aca="false">CHOOSE(J109, 0, IF(L109&lt;P109/2,Deadtime*Fsw*IF(VfdSky_Q3&gt;0,0,Vsd_Q3)*(L109+P109/2), 2*Deadtime*Fsw*IF(VfdSky_Q3&gt;0,0,Vsd_Q3)*L109), IF(L109&lt;P109/2,Deadtime*Fsw/2*IF(VfdSky_Q3&gt;0,0,Vsd_Q3)*(L109+P109/2), 2*Deadtime*Fsw/2*IF(VfdSky_Q3&gt;0,0,Vsd_Q3)*L109))</f>
        <v>0.08</v>
      </c>
      <c r="AR109" s="488" t="n">
        <f aca="false">(AQ109+AP109*(1+RdsonBotTc*Ta-RdsonBotTc*25))/(1-AP109*RdsonBotTc*ThetaJA_Q3)</f>
        <v>0.153826541452429</v>
      </c>
      <c r="AS109" s="488" t="n">
        <f aca="false">CHOOSE(J109, Rdson3*Q109^2, Rdson1*Q109^2, 0)</f>
        <v>0</v>
      </c>
      <c r="AT109" s="488" t="n">
        <f aca="false">CHOOSE(J109, 2*Deadtime*Fsw*IF(VfdSky_Q2&gt;0,VfdSky_Q2,0)*K109, 2*Deadtime*Fsw*IF(VfdSky_Q3&gt;0,VfdSky_Q3,0)*L109, 2*Deadtime*Fsw/2*IF(VfdSky_Q2&gt;0,VfdSky_Q2,0)*K109+2*Deadtime*Fsw/2*IF(VfdSky_Q3&gt;0,VfdSky_Q3,0)*L109)</f>
        <v>0</v>
      </c>
      <c r="AU109" s="488" t="n">
        <f aca="false">CHOOSE(J109, IF(QrrSky_Q2&gt;0,QrrSky_Q2,Qrr_Q2*K109/Iout)*Fsw*(Vin-K109*Rdson1), IF(QrrSky_Q3&gt;0,QrrSky_Q3,Qrr_Q3)*Fsw*Vout,  IF(QrrSky_Q2&gt;0,QrrSky_Q2,Qrr_Q2*K109/Iout)*Fsw/2*(Vin-K109*Rdson1)+IF(QrrSky_Q3&gt;0,QrrSky_Q3,Qrr_Q3)*Fsw/2*Vout)</f>
        <v>0.17247681</v>
      </c>
      <c r="AV109" s="488" t="n">
        <f aca="false">CHOOSE(J109, Rs*AF109^2, Rs*AJ109^2, Rs*(AF109^2+AJ109^2))</f>
        <v>0.0284202735670623</v>
      </c>
      <c r="AW109" s="488" t="n">
        <f aca="false">Rshunt_std/1000*Iout^2</f>
        <v>0.14832</v>
      </c>
      <c r="AX109" s="488" t="n">
        <f aca="false">IF(Vout&gt;8, Iq*Vout, Iq*Vin)</f>
        <v>0.036</v>
      </c>
      <c r="AY109" s="488" t="n">
        <f aca="false">CHOOSE(J109, (Qg_Q1+Qg_Q2)*Fsw, (Qg_Q3+Qg_Q4)*Fsw, (Qg_Q1+Qg_Q2+Qg_Q3+Qg_Q4)*Fsw/2)*IF(Vout&gt;8, Vout, Vin)</f>
        <v>0.1188</v>
      </c>
      <c r="AZ109" s="488" t="n">
        <f aca="false">(Vin-Vdd)*Fsw*(Qg_Q1+Qg_Q2)+(RdsonDRT+RdsonDRT2)*Fsw*Qg_Q1*Vdd/(RdsonDRT+2*Rgate1+RdsonDRT2)+(RdsonDRB+RdsonDRB2)*Fsw*Qg_Q2*Vdd/(RdsonDRB+2*Rgate2+RdsonDRB2)</f>
        <v>0.0522</v>
      </c>
      <c r="BA109" s="488" t="n">
        <f aca="false">SUM(AX109:AY109)</f>
        <v>0.1548</v>
      </c>
      <c r="BB109" s="488" t="n">
        <f aca="false">SUM(T109,W109,Z109,AE109,AI109,AN109,AR109, AT109,AU109,BA109,AV109,AW109)</f>
        <v>1.18339643919568</v>
      </c>
      <c r="BC109" s="419" t="n">
        <f aca="false">Vout*K109</f>
        <v>72</v>
      </c>
      <c r="BD109" s="589" t="n">
        <f aca="false">BC109/(BC109+BB109)</f>
        <v>0.983829714159565</v>
      </c>
      <c r="BE109" s="590" t="n">
        <f aca="false">IF(Vin&gt;Vout,ThetaJA_Q1*BK109,ThetaJA_Q4*BK109)</f>
        <v>7.60713181251038</v>
      </c>
      <c r="BF109" s="590" t="n">
        <f aca="false">IF(Vin&gt;Vout, ThetaJA_Q2*BL109, ThetaJA_Q3*BL109)</f>
        <v>10.5371944376214</v>
      </c>
      <c r="BG109" s="536"/>
      <c r="BH109" s="385" t="n">
        <f aca="false">BD109*100</f>
        <v>98.3829714159565</v>
      </c>
      <c r="BI109" s="488" t="n">
        <f aca="false">T109</f>
        <v>0.133647023361633</v>
      </c>
      <c r="BJ109" s="488" t="n">
        <f aca="false">AE109+AI109+AN109+AR109+AU109</f>
        <v>0.70972746687432</v>
      </c>
      <c r="BK109" s="488" t="n">
        <f aca="false">IF(Vin&gt;Vout, AE109+AU109*0.66, AN109+AU109*0.66)</f>
        <v>0.152142636250208</v>
      </c>
      <c r="BL109" s="488" t="n">
        <f aca="false">IF(Vin&gt;Vout, AI109+AU109*0.33, AR109+AU109*0.33)</f>
        <v>0.210743888752429</v>
      </c>
      <c r="BM109" s="488" t="n">
        <f aca="false">AV109</f>
        <v>0.0284202735670623</v>
      </c>
      <c r="BS109" s="591"/>
      <c r="BT109" s="592"/>
    </row>
    <row r="110" customFormat="false" ht="12.75" hidden="false" customHeight="false" outlineLevel="0" collapsed="false">
      <c r="H110" s="586"/>
      <c r="I110" s="385"/>
      <c r="J110" s="419"/>
      <c r="L110" s="385"/>
      <c r="M110" s="385"/>
      <c r="Q110" s="488"/>
      <c r="R110" s="488"/>
      <c r="S110" s="488"/>
      <c r="T110" s="488"/>
      <c r="V110" s="488"/>
      <c r="W110" s="488"/>
      <c r="X110" s="488"/>
      <c r="Y110" s="587"/>
      <c r="Z110" s="588"/>
      <c r="AA110" s="488"/>
      <c r="AB110" s="488"/>
      <c r="AC110" s="488"/>
      <c r="AE110" s="488"/>
      <c r="AF110" s="488"/>
      <c r="AG110" s="488"/>
      <c r="AH110" s="488"/>
      <c r="AI110" s="488"/>
      <c r="AJ110" s="488"/>
      <c r="AK110" s="488"/>
      <c r="AL110" s="488"/>
      <c r="AN110" s="488"/>
      <c r="AO110" s="488"/>
      <c r="AP110" s="488"/>
      <c r="AQ110" s="488"/>
      <c r="AR110" s="488"/>
      <c r="AS110" s="488"/>
      <c r="AT110" s="488"/>
      <c r="AU110" s="488"/>
      <c r="AV110" s="488"/>
      <c r="AW110" s="488"/>
      <c r="AX110" s="488"/>
      <c r="AY110" s="488"/>
      <c r="AZ110" s="488"/>
      <c r="BA110" s="488"/>
      <c r="BB110" s="488"/>
      <c r="BD110" s="589"/>
      <c r="BE110" s="590"/>
      <c r="BF110" s="590"/>
      <c r="BG110" s="536"/>
      <c r="BH110" s="388"/>
      <c r="BI110" s="488"/>
      <c r="BJ110" s="488"/>
      <c r="BK110" s="488"/>
      <c r="BL110" s="488"/>
      <c r="BM110" s="488"/>
    </row>
    <row r="111" customFormat="false" ht="12.75" hidden="false" customHeight="false" outlineLevel="0" collapsed="false">
      <c r="H111" s="586"/>
      <c r="I111" s="385"/>
      <c r="J111" s="419"/>
      <c r="L111" s="385"/>
      <c r="M111" s="385"/>
      <c r="Q111" s="488"/>
      <c r="R111" s="488"/>
      <c r="S111" s="488"/>
      <c r="T111" s="488"/>
      <c r="V111" s="488"/>
      <c r="W111" s="488"/>
      <c r="X111" s="488"/>
      <c r="Y111" s="587"/>
      <c r="Z111" s="588"/>
      <c r="AA111" s="488"/>
      <c r="AB111" s="488"/>
      <c r="AC111" s="488"/>
      <c r="AE111" s="488"/>
      <c r="AF111" s="488"/>
      <c r="AG111" s="488"/>
      <c r="AH111" s="488"/>
      <c r="AI111" s="488"/>
      <c r="AJ111" s="488"/>
      <c r="AK111" s="488"/>
      <c r="AL111" s="488"/>
      <c r="AN111" s="488"/>
      <c r="AO111" s="488"/>
      <c r="AP111" s="488"/>
      <c r="AQ111" s="488"/>
      <c r="AR111" s="488"/>
      <c r="AS111" s="488"/>
      <c r="AT111" s="488"/>
      <c r="AU111" s="488"/>
      <c r="AV111" s="488"/>
      <c r="AW111" s="488"/>
      <c r="AX111" s="488"/>
      <c r="AY111" s="488"/>
      <c r="AZ111" s="488"/>
      <c r="BA111" s="488"/>
      <c r="BB111" s="488"/>
      <c r="BD111" s="589"/>
      <c r="BE111" s="590"/>
      <c r="BF111" s="590"/>
      <c r="BG111" s="536"/>
      <c r="BH111" s="388"/>
      <c r="BI111" s="488"/>
      <c r="BJ111" s="488"/>
      <c r="BK111" s="488"/>
      <c r="BL111" s="488"/>
      <c r="BM111" s="488"/>
    </row>
    <row r="112" customFormat="false" ht="12.75" hidden="false" customHeight="false" outlineLevel="0" collapsed="false">
      <c r="H112" s="586"/>
      <c r="I112" s="385"/>
      <c r="J112" s="419"/>
      <c r="L112" s="385"/>
      <c r="M112" s="385"/>
      <c r="Q112" s="488"/>
      <c r="R112" s="488"/>
      <c r="S112" s="488"/>
      <c r="T112" s="488"/>
      <c r="V112" s="488"/>
      <c r="W112" s="488"/>
      <c r="X112" s="488"/>
      <c r="Y112" s="587"/>
      <c r="Z112" s="588"/>
      <c r="AA112" s="488"/>
      <c r="AB112" s="488"/>
      <c r="AC112" s="488"/>
      <c r="AE112" s="488"/>
      <c r="AF112" s="488"/>
      <c r="AG112" s="488"/>
      <c r="AH112" s="488"/>
      <c r="AI112" s="488"/>
      <c r="AJ112" s="488"/>
      <c r="AK112" s="488"/>
      <c r="AL112" s="488"/>
      <c r="AN112" s="488"/>
      <c r="AO112" s="488"/>
      <c r="AP112" s="488"/>
      <c r="AQ112" s="488"/>
      <c r="AR112" s="488"/>
      <c r="AS112" s="488"/>
      <c r="AT112" s="488"/>
      <c r="AU112" s="488"/>
      <c r="AV112" s="488"/>
      <c r="AW112" s="488"/>
      <c r="AX112" s="488"/>
      <c r="AY112" s="488"/>
      <c r="AZ112" s="488"/>
      <c r="BA112" s="488"/>
      <c r="BB112" s="488"/>
      <c r="BD112" s="589"/>
      <c r="BE112" s="590"/>
      <c r="BF112" s="590"/>
      <c r="BG112" s="536"/>
      <c r="BH112" s="388"/>
      <c r="BI112" s="488"/>
      <c r="BJ112" s="488"/>
      <c r="BK112" s="488"/>
      <c r="BL112" s="488"/>
      <c r="BM112" s="488"/>
    </row>
    <row r="113" customFormat="false" ht="12.75" hidden="false" customHeight="false" outlineLevel="0" collapsed="false">
      <c r="H113" s="586"/>
      <c r="I113" s="385"/>
      <c r="J113" s="419"/>
      <c r="L113" s="385"/>
      <c r="M113" s="385"/>
      <c r="Q113" s="488"/>
      <c r="R113" s="488"/>
      <c r="S113" s="488"/>
      <c r="T113" s="488"/>
      <c r="V113" s="488"/>
      <c r="W113" s="488"/>
      <c r="X113" s="488"/>
      <c r="Y113" s="587"/>
      <c r="Z113" s="588"/>
      <c r="AA113" s="488"/>
      <c r="AB113" s="488"/>
      <c r="AC113" s="488"/>
      <c r="AE113" s="488"/>
      <c r="AF113" s="488"/>
      <c r="AG113" s="488"/>
      <c r="AH113" s="488"/>
      <c r="AI113" s="488"/>
      <c r="AJ113" s="488"/>
      <c r="AK113" s="488"/>
      <c r="AL113" s="488"/>
      <c r="AN113" s="488"/>
      <c r="AO113" s="488"/>
      <c r="AP113" s="488"/>
      <c r="AQ113" s="488"/>
      <c r="AR113" s="488"/>
      <c r="AS113" s="488"/>
      <c r="AT113" s="488"/>
      <c r="AU113" s="488"/>
      <c r="AV113" s="488"/>
      <c r="AW113" s="488"/>
      <c r="AX113" s="488"/>
      <c r="AY113" s="488"/>
      <c r="AZ113" s="488"/>
      <c r="BA113" s="488"/>
      <c r="BB113" s="488"/>
      <c r="BD113" s="589"/>
      <c r="BE113" s="590"/>
      <c r="BF113" s="590"/>
      <c r="BG113" s="536"/>
      <c r="BH113" s="388"/>
      <c r="BI113" s="488"/>
      <c r="BJ113" s="488"/>
      <c r="BK113" s="488"/>
      <c r="BL113" s="488"/>
      <c r="BM113" s="488"/>
    </row>
    <row r="114" customFormat="false" ht="12.75" hidden="false" customHeight="false" outlineLevel="0" collapsed="false">
      <c r="H114" s="586"/>
      <c r="I114" s="385"/>
      <c r="J114" s="419"/>
      <c r="L114" s="385"/>
      <c r="M114" s="385"/>
      <c r="Q114" s="488"/>
      <c r="R114" s="488"/>
      <c r="S114" s="488"/>
      <c r="T114" s="488"/>
      <c r="V114" s="488"/>
      <c r="W114" s="488"/>
      <c r="X114" s="488"/>
      <c r="Y114" s="587"/>
      <c r="Z114" s="588"/>
      <c r="AA114" s="488"/>
      <c r="AB114" s="488"/>
      <c r="AC114" s="488"/>
      <c r="AE114" s="488"/>
      <c r="AF114" s="488"/>
      <c r="AG114" s="488"/>
      <c r="AH114" s="488"/>
      <c r="AI114" s="488"/>
      <c r="AJ114" s="488"/>
      <c r="AK114" s="488"/>
      <c r="AL114" s="488"/>
      <c r="AN114" s="488"/>
      <c r="AO114" s="488"/>
      <c r="AP114" s="488"/>
      <c r="AQ114" s="488"/>
      <c r="AR114" s="488"/>
      <c r="AS114" s="488"/>
      <c r="AT114" s="488"/>
      <c r="AU114" s="488"/>
      <c r="AV114" s="488"/>
      <c r="AW114" s="488"/>
      <c r="AX114" s="488"/>
      <c r="AY114" s="488"/>
      <c r="AZ114" s="488"/>
      <c r="BA114" s="488"/>
      <c r="BB114" s="488"/>
      <c r="BD114" s="589"/>
      <c r="BE114" s="590"/>
      <c r="BF114" s="590"/>
      <c r="BG114" s="536"/>
      <c r="BH114" s="388"/>
      <c r="BI114" s="488"/>
      <c r="BJ114" s="488"/>
      <c r="BK114" s="488"/>
      <c r="BL114" s="488"/>
      <c r="BM114" s="488"/>
    </row>
    <row r="115" customFormat="false" ht="12.75" hidden="false" customHeight="false" outlineLevel="0" collapsed="false">
      <c r="H115" s="586"/>
      <c r="I115" s="385"/>
      <c r="J115" s="419"/>
      <c r="L115" s="385"/>
      <c r="M115" s="385"/>
      <c r="Q115" s="488"/>
      <c r="R115" s="488"/>
      <c r="S115" s="488"/>
      <c r="T115" s="488"/>
      <c r="V115" s="488"/>
      <c r="W115" s="488"/>
      <c r="X115" s="488"/>
      <c r="Y115" s="587"/>
      <c r="Z115" s="588"/>
      <c r="AA115" s="488"/>
      <c r="AB115" s="488"/>
      <c r="AC115" s="488"/>
      <c r="AE115" s="488"/>
      <c r="AF115" s="488"/>
      <c r="AG115" s="488"/>
      <c r="AH115" s="488"/>
      <c r="AI115" s="488"/>
      <c r="AJ115" s="488"/>
      <c r="AK115" s="488"/>
      <c r="AL115" s="488"/>
      <c r="AN115" s="488"/>
      <c r="AO115" s="488"/>
      <c r="AP115" s="488"/>
      <c r="AQ115" s="488"/>
      <c r="AR115" s="488"/>
      <c r="AS115" s="488"/>
      <c r="AT115" s="488"/>
      <c r="AU115" s="488"/>
      <c r="AV115" s="488"/>
      <c r="AW115" s="488"/>
      <c r="AX115" s="488"/>
      <c r="AY115" s="488"/>
      <c r="AZ115" s="488"/>
      <c r="BA115" s="488"/>
      <c r="BB115" s="488"/>
      <c r="BD115" s="589"/>
      <c r="BE115" s="590"/>
      <c r="BF115" s="590"/>
      <c r="BG115" s="536"/>
      <c r="BH115" s="388"/>
      <c r="BI115" s="488"/>
      <c r="BJ115" s="488"/>
      <c r="BK115" s="488"/>
      <c r="BL115" s="488"/>
      <c r="BM115" s="488"/>
    </row>
    <row r="116" customFormat="false" ht="12.75" hidden="false" customHeight="false" outlineLevel="0" collapsed="false">
      <c r="H116" s="586"/>
      <c r="I116" s="385"/>
      <c r="J116" s="419"/>
      <c r="L116" s="385"/>
      <c r="M116" s="385"/>
      <c r="Q116" s="488"/>
      <c r="R116" s="488"/>
      <c r="S116" s="488"/>
      <c r="T116" s="488"/>
      <c r="V116" s="488"/>
      <c r="W116" s="488"/>
      <c r="X116" s="488"/>
      <c r="Y116" s="587"/>
      <c r="Z116" s="588"/>
      <c r="AA116" s="488"/>
      <c r="AB116" s="488"/>
      <c r="AC116" s="488"/>
      <c r="AE116" s="488"/>
      <c r="AF116" s="488"/>
      <c r="AG116" s="488"/>
      <c r="AH116" s="488"/>
      <c r="AI116" s="488"/>
      <c r="AJ116" s="488"/>
      <c r="AK116" s="488"/>
      <c r="AL116" s="488"/>
      <c r="AN116" s="488"/>
      <c r="AO116" s="488"/>
      <c r="AP116" s="488"/>
      <c r="AQ116" s="488"/>
      <c r="AR116" s="488"/>
      <c r="AS116" s="488"/>
      <c r="AT116" s="488"/>
      <c r="AU116" s="488"/>
      <c r="AV116" s="488"/>
      <c r="AW116" s="488"/>
      <c r="AX116" s="488"/>
      <c r="AY116" s="488"/>
      <c r="AZ116" s="488"/>
      <c r="BA116" s="488"/>
      <c r="BB116" s="488"/>
      <c r="BD116" s="589"/>
      <c r="BE116" s="590"/>
      <c r="BF116" s="590"/>
      <c r="BG116" s="536"/>
      <c r="BH116" s="388"/>
      <c r="BI116" s="488"/>
      <c r="BJ116" s="488"/>
      <c r="BK116" s="488"/>
      <c r="BL116" s="488"/>
      <c r="BM116" s="488"/>
    </row>
    <row r="117" customFormat="false" ht="12.75" hidden="false" customHeight="false" outlineLevel="0" collapsed="false">
      <c r="H117" s="586"/>
      <c r="I117" s="385"/>
      <c r="J117" s="419"/>
      <c r="L117" s="385"/>
      <c r="M117" s="385"/>
      <c r="Q117" s="488"/>
      <c r="R117" s="488"/>
      <c r="S117" s="488"/>
      <c r="T117" s="488"/>
      <c r="V117" s="488"/>
      <c r="W117" s="488"/>
      <c r="X117" s="488"/>
      <c r="Y117" s="587"/>
      <c r="Z117" s="588"/>
      <c r="AA117" s="488"/>
      <c r="AB117" s="488"/>
      <c r="AC117" s="488"/>
      <c r="AE117" s="488"/>
      <c r="AF117" s="488"/>
      <c r="AG117" s="488"/>
      <c r="AH117" s="488"/>
      <c r="AI117" s="488"/>
      <c r="AJ117" s="488"/>
      <c r="AK117" s="488"/>
      <c r="AL117" s="488"/>
      <c r="AN117" s="488"/>
      <c r="AO117" s="488"/>
      <c r="AP117" s="488"/>
      <c r="AQ117" s="488"/>
      <c r="AR117" s="488"/>
      <c r="AS117" s="488"/>
      <c r="AT117" s="488"/>
      <c r="AU117" s="488"/>
      <c r="AV117" s="488"/>
      <c r="AW117" s="488"/>
      <c r="AX117" s="488"/>
      <c r="AY117" s="488"/>
      <c r="AZ117" s="488"/>
      <c r="BA117" s="488"/>
      <c r="BB117" s="488"/>
      <c r="BD117" s="589"/>
      <c r="BE117" s="590"/>
      <c r="BF117" s="590"/>
      <c r="BG117" s="536"/>
      <c r="BH117" s="388"/>
      <c r="BI117" s="488"/>
      <c r="BJ117" s="488"/>
      <c r="BK117" s="488"/>
      <c r="BL117" s="488"/>
      <c r="BM117" s="488"/>
    </row>
    <row r="118" customFormat="false" ht="12.75" hidden="false" customHeight="false" outlineLevel="0" collapsed="false">
      <c r="H118" s="586"/>
      <c r="I118" s="385"/>
      <c r="J118" s="419"/>
      <c r="L118" s="385"/>
      <c r="M118" s="385"/>
      <c r="Q118" s="488"/>
      <c r="R118" s="488"/>
      <c r="S118" s="488"/>
      <c r="T118" s="488"/>
      <c r="V118" s="488"/>
      <c r="W118" s="488"/>
      <c r="X118" s="488"/>
      <c r="Y118" s="587"/>
      <c r="Z118" s="588"/>
      <c r="AA118" s="488"/>
      <c r="AB118" s="488"/>
      <c r="AC118" s="488"/>
      <c r="AE118" s="488"/>
      <c r="AF118" s="488"/>
      <c r="AG118" s="488"/>
      <c r="AH118" s="488"/>
      <c r="AI118" s="488"/>
      <c r="AJ118" s="488"/>
      <c r="AK118" s="488"/>
      <c r="AL118" s="488"/>
      <c r="AN118" s="488"/>
      <c r="AO118" s="488"/>
      <c r="AP118" s="488"/>
      <c r="AQ118" s="488"/>
      <c r="AR118" s="488"/>
      <c r="AS118" s="488"/>
      <c r="AT118" s="488"/>
      <c r="AU118" s="488"/>
      <c r="AV118" s="488"/>
      <c r="AW118" s="488"/>
      <c r="AX118" s="488"/>
      <c r="AY118" s="488"/>
      <c r="AZ118" s="488"/>
      <c r="BA118" s="488"/>
      <c r="BB118" s="488"/>
      <c r="BD118" s="589"/>
      <c r="BE118" s="590"/>
      <c r="BF118" s="590"/>
      <c r="BG118" s="536"/>
      <c r="BH118" s="388"/>
      <c r="BI118" s="488"/>
      <c r="BJ118" s="488"/>
      <c r="BK118" s="488"/>
      <c r="BL118" s="488"/>
      <c r="BM118" s="488"/>
    </row>
    <row r="119" customFormat="false" ht="12.75" hidden="false" customHeight="false" outlineLevel="0" collapsed="false">
      <c r="H119" s="586"/>
      <c r="I119" s="385"/>
      <c r="J119" s="419"/>
      <c r="L119" s="385"/>
      <c r="M119" s="385"/>
      <c r="Q119" s="488"/>
      <c r="R119" s="488"/>
      <c r="S119" s="488"/>
      <c r="T119" s="488"/>
      <c r="V119" s="488"/>
      <c r="W119" s="488"/>
      <c r="X119" s="488"/>
      <c r="Y119" s="587"/>
      <c r="Z119" s="588"/>
      <c r="AA119" s="488"/>
      <c r="AB119" s="488"/>
      <c r="AC119" s="488"/>
      <c r="AE119" s="488"/>
      <c r="AF119" s="488"/>
      <c r="AG119" s="488"/>
      <c r="AH119" s="488"/>
      <c r="AI119" s="488"/>
      <c r="AJ119" s="488"/>
      <c r="AK119" s="488"/>
      <c r="AL119" s="488"/>
      <c r="AN119" s="488"/>
      <c r="AO119" s="488"/>
      <c r="AP119" s="488"/>
      <c r="AQ119" s="488"/>
      <c r="AR119" s="488"/>
      <c r="AS119" s="488"/>
      <c r="AT119" s="488"/>
      <c r="AU119" s="488"/>
      <c r="AV119" s="488"/>
      <c r="AW119" s="488"/>
      <c r="AX119" s="488"/>
      <c r="AY119" s="488"/>
      <c r="AZ119" s="488"/>
      <c r="BA119" s="488"/>
      <c r="BB119" s="488"/>
      <c r="BD119" s="589"/>
      <c r="BE119" s="590"/>
      <c r="BF119" s="590"/>
      <c r="BG119" s="536"/>
      <c r="BH119" s="388"/>
      <c r="BI119" s="488"/>
      <c r="BJ119" s="488"/>
      <c r="BK119" s="488"/>
      <c r="BL119" s="488"/>
      <c r="BM119" s="488"/>
    </row>
    <row r="120" customFormat="false" ht="12.75" hidden="false" customHeight="false" outlineLevel="0" collapsed="false">
      <c r="H120" s="586"/>
      <c r="I120" s="385"/>
      <c r="J120" s="419"/>
      <c r="L120" s="385"/>
      <c r="M120" s="385"/>
      <c r="Q120" s="488"/>
      <c r="R120" s="488"/>
      <c r="S120" s="488"/>
      <c r="T120" s="488"/>
      <c r="V120" s="488"/>
      <c r="W120" s="488"/>
      <c r="X120" s="488"/>
      <c r="Y120" s="587"/>
      <c r="Z120" s="588"/>
      <c r="AA120" s="488"/>
      <c r="AB120" s="488"/>
      <c r="AC120" s="488"/>
      <c r="AE120" s="488"/>
      <c r="AF120" s="488"/>
      <c r="AG120" s="488"/>
      <c r="AH120" s="488"/>
      <c r="AI120" s="488"/>
      <c r="AJ120" s="488"/>
      <c r="AK120" s="488"/>
      <c r="AL120" s="488"/>
      <c r="AN120" s="488"/>
      <c r="AO120" s="488"/>
      <c r="AP120" s="488"/>
      <c r="AQ120" s="488"/>
      <c r="AR120" s="488"/>
      <c r="AS120" s="488"/>
      <c r="AT120" s="488"/>
      <c r="AU120" s="488"/>
      <c r="AV120" s="488"/>
      <c r="AW120" s="488"/>
      <c r="AX120" s="488"/>
      <c r="AY120" s="488"/>
      <c r="AZ120" s="488"/>
      <c r="BA120" s="488"/>
      <c r="BB120" s="488"/>
      <c r="BD120" s="589"/>
      <c r="BE120" s="590"/>
      <c r="BF120" s="590"/>
      <c r="BG120" s="536"/>
      <c r="BH120" s="388"/>
      <c r="BI120" s="488"/>
      <c r="BJ120" s="488"/>
      <c r="BK120" s="488"/>
      <c r="BL120" s="488"/>
      <c r="BM120" s="488"/>
    </row>
    <row r="121" customFormat="false" ht="12.75" hidden="false" customHeight="false" outlineLevel="0" collapsed="false">
      <c r="H121" s="586"/>
      <c r="I121" s="385"/>
      <c r="J121" s="419"/>
      <c r="L121" s="385"/>
      <c r="M121" s="385"/>
      <c r="Q121" s="488"/>
      <c r="R121" s="488"/>
      <c r="S121" s="488"/>
      <c r="T121" s="488"/>
      <c r="V121" s="488"/>
      <c r="W121" s="488"/>
      <c r="X121" s="488"/>
      <c r="Y121" s="587"/>
      <c r="Z121" s="588"/>
      <c r="AA121" s="488"/>
      <c r="AB121" s="488"/>
      <c r="AC121" s="488"/>
      <c r="AE121" s="488"/>
      <c r="AF121" s="488"/>
      <c r="AG121" s="488"/>
      <c r="AH121" s="488"/>
      <c r="AI121" s="488"/>
      <c r="AJ121" s="488"/>
      <c r="AK121" s="488"/>
      <c r="AL121" s="488"/>
      <c r="AN121" s="488"/>
      <c r="AO121" s="488"/>
      <c r="AP121" s="488"/>
      <c r="AQ121" s="488"/>
      <c r="AR121" s="488"/>
      <c r="AS121" s="488"/>
      <c r="AT121" s="488"/>
      <c r="AU121" s="488"/>
      <c r="AV121" s="488"/>
      <c r="AW121" s="488"/>
      <c r="AX121" s="488"/>
      <c r="AY121" s="488"/>
      <c r="AZ121" s="488"/>
      <c r="BA121" s="488"/>
      <c r="BB121" s="488"/>
      <c r="BD121" s="589"/>
      <c r="BE121" s="590"/>
      <c r="BF121" s="590"/>
      <c r="BG121" s="536"/>
      <c r="BH121" s="388"/>
      <c r="BI121" s="488"/>
      <c r="BJ121" s="488"/>
      <c r="BK121" s="488"/>
      <c r="BL121" s="488"/>
      <c r="BM121" s="488"/>
    </row>
    <row r="122" customFormat="false" ht="12.75" hidden="false" customHeight="false" outlineLevel="0" collapsed="false">
      <c r="H122" s="586"/>
      <c r="I122" s="385"/>
      <c r="J122" s="419"/>
      <c r="L122" s="385"/>
      <c r="M122" s="385"/>
      <c r="Q122" s="488"/>
      <c r="R122" s="488"/>
      <c r="S122" s="488"/>
      <c r="T122" s="488"/>
      <c r="V122" s="488"/>
      <c r="W122" s="488"/>
      <c r="X122" s="488"/>
      <c r="Y122" s="587"/>
      <c r="Z122" s="588"/>
      <c r="AA122" s="488"/>
      <c r="AB122" s="488"/>
      <c r="AC122" s="488"/>
      <c r="AE122" s="488"/>
      <c r="AF122" s="488"/>
      <c r="AG122" s="488"/>
      <c r="AH122" s="488"/>
      <c r="AI122" s="488"/>
      <c r="AJ122" s="488"/>
      <c r="AK122" s="488"/>
      <c r="AL122" s="488"/>
      <c r="AN122" s="488"/>
      <c r="AO122" s="488"/>
      <c r="AP122" s="488"/>
      <c r="AQ122" s="488"/>
      <c r="AR122" s="488"/>
      <c r="AS122" s="488"/>
      <c r="AT122" s="488"/>
      <c r="AU122" s="488"/>
      <c r="AV122" s="488"/>
      <c r="AW122" s="488"/>
      <c r="AX122" s="488"/>
      <c r="AY122" s="488"/>
      <c r="AZ122" s="488"/>
      <c r="BA122" s="488"/>
      <c r="BB122" s="488"/>
      <c r="BD122" s="589"/>
      <c r="BE122" s="590"/>
      <c r="BF122" s="590"/>
      <c r="BG122" s="536"/>
      <c r="BH122" s="388"/>
      <c r="BI122" s="488"/>
      <c r="BJ122" s="488"/>
      <c r="BK122" s="488"/>
      <c r="BL122" s="488"/>
      <c r="BM122" s="488"/>
    </row>
    <row r="123" customFormat="false" ht="12.75" hidden="false" customHeight="false" outlineLevel="0" collapsed="false">
      <c r="H123" s="586"/>
      <c r="I123" s="385"/>
      <c r="J123" s="419"/>
      <c r="L123" s="385"/>
      <c r="M123" s="385"/>
      <c r="Q123" s="488"/>
      <c r="R123" s="488"/>
      <c r="S123" s="488"/>
      <c r="T123" s="488"/>
      <c r="V123" s="488"/>
      <c r="W123" s="488"/>
      <c r="X123" s="488"/>
      <c r="Y123" s="587"/>
      <c r="Z123" s="588"/>
      <c r="AA123" s="488"/>
      <c r="AB123" s="488"/>
      <c r="AC123" s="488"/>
      <c r="AE123" s="488"/>
      <c r="AF123" s="488"/>
      <c r="AG123" s="488"/>
      <c r="AH123" s="488"/>
      <c r="AI123" s="488"/>
      <c r="AJ123" s="488"/>
      <c r="AK123" s="488"/>
      <c r="AL123" s="488"/>
      <c r="AN123" s="488"/>
      <c r="AO123" s="488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488"/>
      <c r="AZ123" s="488"/>
      <c r="BA123" s="488"/>
      <c r="BB123" s="488"/>
      <c r="BD123" s="589"/>
      <c r="BE123" s="590"/>
      <c r="BF123" s="590"/>
      <c r="BG123" s="536"/>
      <c r="BH123" s="388"/>
      <c r="BI123" s="488"/>
      <c r="BJ123" s="488"/>
      <c r="BK123" s="488"/>
      <c r="BL123" s="488"/>
      <c r="BM123" s="488"/>
    </row>
    <row r="124" customFormat="false" ht="12.75" hidden="false" customHeight="false" outlineLevel="0" collapsed="false">
      <c r="H124" s="586"/>
      <c r="I124" s="385"/>
      <c r="J124" s="419"/>
      <c r="L124" s="385"/>
      <c r="M124" s="385"/>
      <c r="Q124" s="488"/>
      <c r="R124" s="488"/>
      <c r="S124" s="488"/>
      <c r="T124" s="488"/>
      <c r="V124" s="488"/>
      <c r="W124" s="488"/>
      <c r="X124" s="488"/>
      <c r="Y124" s="587"/>
      <c r="Z124" s="588"/>
      <c r="AA124" s="488"/>
      <c r="AB124" s="488"/>
      <c r="AC124" s="488"/>
      <c r="AE124" s="488"/>
      <c r="AF124" s="488"/>
      <c r="AG124" s="488"/>
      <c r="AH124" s="488"/>
      <c r="AI124" s="488"/>
      <c r="AJ124" s="488"/>
      <c r="AK124" s="488"/>
      <c r="AL124" s="488"/>
      <c r="AN124" s="488"/>
      <c r="AO124" s="488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488"/>
      <c r="AZ124" s="488"/>
      <c r="BA124" s="488"/>
      <c r="BB124" s="488"/>
      <c r="BD124" s="589"/>
      <c r="BE124" s="590"/>
      <c r="BF124" s="590"/>
      <c r="BG124" s="536"/>
      <c r="BH124" s="388"/>
      <c r="BI124" s="488"/>
      <c r="BJ124" s="488"/>
      <c r="BK124" s="488"/>
      <c r="BL124" s="488"/>
      <c r="BM124" s="488"/>
    </row>
    <row r="125" customFormat="false" ht="12.75" hidden="false" customHeight="false" outlineLevel="0" collapsed="false">
      <c r="H125" s="586"/>
      <c r="I125" s="385"/>
      <c r="J125" s="419"/>
      <c r="L125" s="385"/>
      <c r="M125" s="385"/>
      <c r="Q125" s="488"/>
      <c r="R125" s="488"/>
      <c r="S125" s="488"/>
      <c r="T125" s="488"/>
      <c r="V125" s="488"/>
      <c r="W125" s="488"/>
      <c r="X125" s="488"/>
      <c r="Y125" s="587"/>
      <c r="Z125" s="588"/>
      <c r="AA125" s="488"/>
      <c r="AB125" s="488"/>
      <c r="AC125" s="488"/>
      <c r="AE125" s="488"/>
      <c r="AF125" s="488"/>
      <c r="AG125" s="488"/>
      <c r="AH125" s="488"/>
      <c r="AI125" s="488"/>
      <c r="AJ125" s="488"/>
      <c r="AK125" s="488"/>
      <c r="AL125" s="488"/>
      <c r="AN125" s="488"/>
      <c r="AO125" s="488"/>
      <c r="AP125" s="488"/>
      <c r="AQ125" s="488"/>
      <c r="AR125" s="488"/>
      <c r="AS125" s="488"/>
      <c r="AT125" s="488"/>
      <c r="AU125" s="488"/>
      <c r="AV125" s="488"/>
      <c r="AW125" s="488"/>
      <c r="AX125" s="488"/>
      <c r="AY125" s="488"/>
      <c r="AZ125" s="488"/>
      <c r="BA125" s="488"/>
      <c r="BB125" s="488"/>
      <c r="BD125" s="589"/>
      <c r="BE125" s="590"/>
      <c r="BF125" s="590"/>
      <c r="BG125" s="536"/>
      <c r="BH125" s="388"/>
      <c r="BI125" s="488"/>
      <c r="BJ125" s="488"/>
      <c r="BK125" s="488"/>
      <c r="BL125" s="488"/>
      <c r="BM125" s="488"/>
    </row>
    <row r="126" customFormat="false" ht="12.75" hidden="false" customHeight="false" outlineLevel="0" collapsed="false">
      <c r="H126" s="586"/>
      <c r="I126" s="385"/>
      <c r="J126" s="419"/>
      <c r="L126" s="385"/>
      <c r="M126" s="385"/>
      <c r="Q126" s="488"/>
      <c r="R126" s="488"/>
      <c r="S126" s="488"/>
      <c r="T126" s="488"/>
      <c r="V126" s="488"/>
      <c r="W126" s="488"/>
      <c r="X126" s="488"/>
      <c r="Y126" s="587"/>
      <c r="Z126" s="588"/>
      <c r="AA126" s="488"/>
      <c r="AB126" s="488"/>
      <c r="AC126" s="488"/>
      <c r="AE126" s="488"/>
      <c r="AF126" s="488"/>
      <c r="AG126" s="488"/>
      <c r="AH126" s="488"/>
      <c r="AI126" s="488"/>
      <c r="AJ126" s="488"/>
      <c r="AK126" s="488"/>
      <c r="AL126" s="488"/>
      <c r="AN126" s="488"/>
      <c r="AO126" s="488"/>
      <c r="AP126" s="488"/>
      <c r="AQ126" s="488"/>
      <c r="AR126" s="488"/>
      <c r="AS126" s="488"/>
      <c r="AT126" s="488"/>
      <c r="AU126" s="488"/>
      <c r="AV126" s="488"/>
      <c r="AW126" s="488"/>
      <c r="AX126" s="488"/>
      <c r="AY126" s="488"/>
      <c r="AZ126" s="488"/>
      <c r="BA126" s="488"/>
      <c r="BB126" s="488"/>
      <c r="BD126" s="589"/>
      <c r="BE126" s="590"/>
      <c r="BF126" s="590"/>
      <c r="BG126" s="536"/>
      <c r="BH126" s="388"/>
      <c r="BI126" s="488"/>
      <c r="BJ126" s="488"/>
      <c r="BK126" s="488"/>
      <c r="BL126" s="488"/>
      <c r="BM126" s="488"/>
    </row>
    <row r="127" customFormat="false" ht="12.75" hidden="false" customHeight="false" outlineLevel="0" collapsed="false">
      <c r="H127" s="586"/>
      <c r="I127" s="385"/>
      <c r="J127" s="419"/>
      <c r="L127" s="385"/>
      <c r="M127" s="385"/>
      <c r="Q127" s="488"/>
      <c r="R127" s="488"/>
      <c r="S127" s="488"/>
      <c r="T127" s="488"/>
      <c r="V127" s="488"/>
      <c r="W127" s="488"/>
      <c r="X127" s="488"/>
      <c r="Y127" s="587"/>
      <c r="Z127" s="588"/>
      <c r="AA127" s="488"/>
      <c r="AB127" s="488"/>
      <c r="AC127" s="488"/>
      <c r="AE127" s="488"/>
      <c r="AF127" s="488"/>
      <c r="AG127" s="488"/>
      <c r="AH127" s="488"/>
      <c r="AI127" s="488"/>
      <c r="AJ127" s="488"/>
      <c r="AK127" s="488"/>
      <c r="AL127" s="488"/>
      <c r="AN127" s="488"/>
      <c r="AO127" s="488"/>
      <c r="AP127" s="488"/>
      <c r="AQ127" s="488"/>
      <c r="AR127" s="488"/>
      <c r="AS127" s="488"/>
      <c r="AT127" s="488"/>
      <c r="AU127" s="488"/>
      <c r="AV127" s="488"/>
      <c r="AW127" s="488"/>
      <c r="AX127" s="488"/>
      <c r="AY127" s="488"/>
      <c r="AZ127" s="488"/>
      <c r="BA127" s="488"/>
      <c r="BB127" s="488"/>
      <c r="BD127" s="589"/>
      <c r="BE127" s="590"/>
      <c r="BF127" s="590"/>
      <c r="BG127" s="536"/>
      <c r="BH127" s="388"/>
      <c r="BI127" s="488"/>
      <c r="BJ127" s="488"/>
      <c r="BK127" s="488"/>
      <c r="BL127" s="488"/>
      <c r="BM127" s="488"/>
    </row>
    <row r="128" customFormat="false" ht="12.75" hidden="false" customHeight="false" outlineLevel="0" collapsed="false">
      <c r="H128" s="586"/>
      <c r="I128" s="385"/>
      <c r="J128" s="419"/>
      <c r="L128" s="385"/>
      <c r="M128" s="385"/>
      <c r="Q128" s="488"/>
      <c r="R128" s="488"/>
      <c r="S128" s="488"/>
      <c r="T128" s="488"/>
      <c r="V128" s="488"/>
      <c r="W128" s="488"/>
      <c r="X128" s="488"/>
      <c r="Y128" s="587"/>
      <c r="Z128" s="588"/>
      <c r="AA128" s="488"/>
      <c r="AB128" s="488"/>
      <c r="AC128" s="488"/>
      <c r="AE128" s="488"/>
      <c r="AF128" s="488"/>
      <c r="AG128" s="488"/>
      <c r="AH128" s="488"/>
      <c r="AI128" s="488"/>
      <c r="AJ128" s="488"/>
      <c r="AK128" s="488"/>
      <c r="AL128" s="488"/>
      <c r="AN128" s="488"/>
      <c r="AO128" s="488"/>
      <c r="AP128" s="488"/>
      <c r="AQ128" s="488"/>
      <c r="AR128" s="488"/>
      <c r="AS128" s="488"/>
      <c r="AT128" s="488"/>
      <c r="AU128" s="488"/>
      <c r="AV128" s="488"/>
      <c r="AW128" s="488"/>
      <c r="AX128" s="488"/>
      <c r="AY128" s="488"/>
      <c r="AZ128" s="488"/>
      <c r="BA128" s="488"/>
      <c r="BB128" s="488"/>
      <c r="BD128" s="589"/>
      <c r="BE128" s="590"/>
      <c r="BF128" s="590"/>
      <c r="BG128" s="536"/>
      <c r="BH128" s="388"/>
      <c r="BI128" s="488"/>
      <c r="BJ128" s="488"/>
      <c r="BK128" s="488"/>
      <c r="BL128" s="488"/>
      <c r="BM128" s="488"/>
    </row>
    <row r="129" customFormat="false" ht="12.75" hidden="false" customHeight="false" outlineLevel="0" collapsed="false">
      <c r="H129" s="586"/>
      <c r="I129" s="385"/>
      <c r="J129" s="419"/>
      <c r="L129" s="385"/>
      <c r="M129" s="385"/>
      <c r="Q129" s="488"/>
      <c r="R129" s="488"/>
      <c r="S129" s="488"/>
      <c r="T129" s="488"/>
      <c r="V129" s="488"/>
      <c r="W129" s="488"/>
      <c r="X129" s="488"/>
      <c r="Y129" s="587"/>
      <c r="Z129" s="588"/>
      <c r="AA129" s="488"/>
      <c r="AB129" s="488"/>
      <c r="AC129" s="488"/>
      <c r="AE129" s="488"/>
      <c r="AF129" s="488"/>
      <c r="AG129" s="488"/>
      <c r="AH129" s="488"/>
      <c r="AI129" s="488"/>
      <c r="AJ129" s="488"/>
      <c r="AK129" s="488"/>
      <c r="AL129" s="488"/>
      <c r="AN129" s="488"/>
      <c r="AO129" s="488"/>
      <c r="AP129" s="488"/>
      <c r="AQ129" s="488"/>
      <c r="AR129" s="488"/>
      <c r="AS129" s="488"/>
      <c r="AT129" s="488"/>
      <c r="AU129" s="488"/>
      <c r="AV129" s="488"/>
      <c r="AW129" s="488"/>
      <c r="AX129" s="488"/>
      <c r="AY129" s="488"/>
      <c r="AZ129" s="488"/>
      <c r="BA129" s="488"/>
      <c r="BB129" s="488"/>
      <c r="BD129" s="589"/>
      <c r="BE129" s="590"/>
      <c r="BF129" s="590"/>
      <c r="BG129" s="536"/>
      <c r="BH129" s="388"/>
      <c r="BI129" s="488"/>
      <c r="BJ129" s="488"/>
      <c r="BK129" s="488"/>
      <c r="BL129" s="488"/>
      <c r="BM129" s="488"/>
    </row>
    <row r="130" customFormat="false" ht="12.75" hidden="false" customHeight="false" outlineLevel="0" collapsed="false">
      <c r="H130" s="586"/>
      <c r="I130" s="385"/>
      <c r="J130" s="419"/>
      <c r="L130" s="385"/>
      <c r="M130" s="385"/>
      <c r="Q130" s="488"/>
      <c r="R130" s="488"/>
      <c r="S130" s="488"/>
      <c r="T130" s="488"/>
      <c r="V130" s="488"/>
      <c r="W130" s="488"/>
      <c r="X130" s="488"/>
      <c r="Y130" s="587"/>
      <c r="Z130" s="588"/>
      <c r="AA130" s="488"/>
      <c r="AB130" s="488"/>
      <c r="AC130" s="488"/>
      <c r="AE130" s="488"/>
      <c r="AF130" s="488"/>
      <c r="AG130" s="488"/>
      <c r="AH130" s="488"/>
      <c r="AI130" s="488"/>
      <c r="AJ130" s="488"/>
      <c r="AK130" s="488"/>
      <c r="AL130" s="488"/>
      <c r="AN130" s="488"/>
      <c r="AO130" s="488"/>
      <c r="AP130" s="488"/>
      <c r="AQ130" s="488"/>
      <c r="AR130" s="488"/>
      <c r="AS130" s="488"/>
      <c r="AT130" s="488"/>
      <c r="AU130" s="488"/>
      <c r="AV130" s="488"/>
      <c r="AW130" s="488"/>
      <c r="AX130" s="488"/>
      <c r="AY130" s="488"/>
      <c r="AZ130" s="488"/>
      <c r="BA130" s="488"/>
      <c r="BB130" s="488"/>
      <c r="BD130" s="589"/>
      <c r="BE130" s="590"/>
      <c r="BF130" s="590"/>
      <c r="BG130" s="536"/>
      <c r="BH130" s="388"/>
      <c r="BI130" s="488"/>
      <c r="BJ130" s="488"/>
      <c r="BK130" s="488"/>
      <c r="BL130" s="488"/>
      <c r="BM130" s="488"/>
    </row>
    <row r="131" customFormat="false" ht="12.75" hidden="false" customHeight="false" outlineLevel="0" collapsed="false">
      <c r="H131" s="586"/>
      <c r="I131" s="385"/>
      <c r="J131" s="419"/>
      <c r="L131" s="385"/>
      <c r="M131" s="385"/>
      <c r="Q131" s="488"/>
      <c r="R131" s="488"/>
      <c r="S131" s="488"/>
      <c r="T131" s="488"/>
      <c r="V131" s="488"/>
      <c r="W131" s="488"/>
      <c r="X131" s="488"/>
      <c r="Y131" s="587"/>
      <c r="Z131" s="588"/>
      <c r="AA131" s="488"/>
      <c r="AB131" s="488"/>
      <c r="AC131" s="488"/>
      <c r="AE131" s="488"/>
      <c r="AF131" s="488"/>
      <c r="AG131" s="488"/>
      <c r="AH131" s="488"/>
      <c r="AI131" s="488"/>
      <c r="AJ131" s="488"/>
      <c r="AK131" s="488"/>
      <c r="AL131" s="488"/>
      <c r="AN131" s="488"/>
      <c r="AO131" s="488"/>
      <c r="AP131" s="488"/>
      <c r="AQ131" s="488"/>
      <c r="AR131" s="488"/>
      <c r="AS131" s="488"/>
      <c r="AT131" s="488"/>
      <c r="AU131" s="488"/>
      <c r="AV131" s="488"/>
      <c r="AW131" s="488"/>
      <c r="AX131" s="488"/>
      <c r="AY131" s="488"/>
      <c r="AZ131" s="488"/>
      <c r="BA131" s="488"/>
      <c r="BB131" s="488"/>
      <c r="BD131" s="589"/>
      <c r="BE131" s="590"/>
      <c r="BF131" s="590"/>
      <c r="BG131" s="536"/>
      <c r="BH131" s="388"/>
      <c r="BI131" s="488"/>
      <c r="BJ131" s="488"/>
      <c r="BK131" s="488"/>
      <c r="BL131" s="488"/>
      <c r="BM131" s="488"/>
    </row>
    <row r="132" customFormat="false" ht="12.75" hidden="false" customHeight="false" outlineLevel="0" collapsed="false">
      <c r="H132" s="586"/>
      <c r="I132" s="385"/>
      <c r="J132" s="419"/>
      <c r="L132" s="385"/>
      <c r="M132" s="385"/>
      <c r="Q132" s="488"/>
      <c r="R132" s="488"/>
      <c r="S132" s="488"/>
      <c r="T132" s="488"/>
      <c r="V132" s="488"/>
      <c r="W132" s="488"/>
      <c r="X132" s="488"/>
      <c r="Y132" s="587"/>
      <c r="Z132" s="588"/>
      <c r="AA132" s="488"/>
      <c r="AB132" s="488"/>
      <c r="AC132" s="488"/>
      <c r="AE132" s="488"/>
      <c r="AF132" s="488"/>
      <c r="AG132" s="488"/>
      <c r="AH132" s="488"/>
      <c r="AI132" s="488"/>
      <c r="AJ132" s="488"/>
      <c r="AK132" s="488"/>
      <c r="AL132" s="488"/>
      <c r="AN132" s="488"/>
      <c r="AO132" s="488"/>
      <c r="AP132" s="488"/>
      <c r="AQ132" s="488"/>
      <c r="AR132" s="488"/>
      <c r="AS132" s="488"/>
      <c r="AT132" s="488"/>
      <c r="AU132" s="488"/>
      <c r="AV132" s="488"/>
      <c r="AW132" s="488"/>
      <c r="AX132" s="488"/>
      <c r="AY132" s="488"/>
      <c r="AZ132" s="488"/>
      <c r="BA132" s="488"/>
      <c r="BB132" s="488"/>
      <c r="BD132" s="589"/>
      <c r="BE132" s="590"/>
      <c r="BF132" s="590"/>
      <c r="BG132" s="536"/>
      <c r="BH132" s="388"/>
      <c r="BI132" s="488"/>
      <c r="BJ132" s="488"/>
      <c r="BK132" s="488"/>
      <c r="BL132" s="488"/>
      <c r="BM132" s="488"/>
    </row>
    <row r="133" customFormat="false" ht="12.75" hidden="false" customHeight="false" outlineLevel="0" collapsed="false">
      <c r="H133" s="586"/>
      <c r="I133" s="385"/>
      <c r="J133" s="419"/>
      <c r="L133" s="385"/>
      <c r="M133" s="385"/>
      <c r="Q133" s="488"/>
      <c r="R133" s="488"/>
      <c r="S133" s="488"/>
      <c r="T133" s="488"/>
      <c r="V133" s="488"/>
      <c r="W133" s="488"/>
      <c r="X133" s="488"/>
      <c r="Y133" s="587"/>
      <c r="Z133" s="588"/>
      <c r="AA133" s="488"/>
      <c r="AB133" s="488"/>
      <c r="AC133" s="488"/>
      <c r="AE133" s="488"/>
      <c r="AF133" s="488"/>
      <c r="AG133" s="488"/>
      <c r="AH133" s="488"/>
      <c r="AI133" s="488"/>
      <c r="AJ133" s="488"/>
      <c r="AK133" s="488"/>
      <c r="AL133" s="488"/>
      <c r="AN133" s="488"/>
      <c r="AO133" s="488"/>
      <c r="AP133" s="488"/>
      <c r="AQ133" s="488"/>
      <c r="AR133" s="488"/>
      <c r="AS133" s="488"/>
      <c r="AT133" s="488"/>
      <c r="AU133" s="488"/>
      <c r="AV133" s="488"/>
      <c r="AW133" s="488"/>
      <c r="AX133" s="488"/>
      <c r="AY133" s="488"/>
      <c r="AZ133" s="488"/>
      <c r="BA133" s="488"/>
      <c r="BB133" s="488"/>
      <c r="BD133" s="589"/>
      <c r="BE133" s="590"/>
      <c r="BF133" s="590"/>
      <c r="BG133" s="536"/>
      <c r="BH133" s="388"/>
      <c r="BI133" s="488"/>
      <c r="BJ133" s="488"/>
      <c r="BK133" s="488"/>
      <c r="BL133" s="488"/>
      <c r="BM133" s="488"/>
    </row>
    <row r="134" customFormat="false" ht="12.75" hidden="false" customHeight="false" outlineLevel="0" collapsed="false">
      <c r="H134" s="586"/>
      <c r="I134" s="385"/>
      <c r="J134" s="419"/>
      <c r="L134" s="385"/>
      <c r="M134" s="385"/>
      <c r="Q134" s="488"/>
      <c r="R134" s="488"/>
      <c r="S134" s="488"/>
      <c r="T134" s="488"/>
      <c r="V134" s="488"/>
      <c r="W134" s="488"/>
      <c r="X134" s="488"/>
      <c r="Y134" s="587"/>
      <c r="Z134" s="588"/>
      <c r="AA134" s="488"/>
      <c r="AB134" s="488"/>
      <c r="AC134" s="488"/>
      <c r="AE134" s="488"/>
      <c r="AF134" s="488"/>
      <c r="AG134" s="488"/>
      <c r="AH134" s="488"/>
      <c r="AI134" s="488"/>
      <c r="AJ134" s="488"/>
      <c r="AK134" s="488"/>
      <c r="AL134" s="488"/>
      <c r="AN134" s="488"/>
      <c r="AO134" s="488"/>
      <c r="AP134" s="488"/>
      <c r="AQ134" s="488"/>
      <c r="AR134" s="488"/>
      <c r="AS134" s="488"/>
      <c r="AT134" s="488"/>
      <c r="AU134" s="488"/>
      <c r="AV134" s="488"/>
      <c r="AW134" s="488"/>
      <c r="AX134" s="488"/>
      <c r="AY134" s="488"/>
      <c r="AZ134" s="488"/>
      <c r="BA134" s="488"/>
      <c r="BB134" s="488"/>
      <c r="BD134" s="589"/>
      <c r="BE134" s="590"/>
      <c r="BF134" s="590"/>
      <c r="BG134" s="536"/>
      <c r="BH134" s="388"/>
      <c r="BI134" s="488"/>
      <c r="BJ134" s="488"/>
      <c r="BK134" s="488"/>
      <c r="BL134" s="488"/>
      <c r="BM134" s="488"/>
    </row>
    <row r="135" customFormat="false" ht="12.75" hidden="false" customHeight="false" outlineLevel="0" collapsed="false">
      <c r="H135" s="586"/>
      <c r="I135" s="385"/>
      <c r="J135" s="419"/>
      <c r="L135" s="385"/>
      <c r="M135" s="385"/>
      <c r="Q135" s="488"/>
      <c r="R135" s="488"/>
      <c r="S135" s="488"/>
      <c r="T135" s="488"/>
      <c r="V135" s="488"/>
      <c r="W135" s="488"/>
      <c r="X135" s="488"/>
      <c r="Y135" s="587"/>
      <c r="Z135" s="588"/>
      <c r="AA135" s="488"/>
      <c r="AB135" s="488"/>
      <c r="AC135" s="488"/>
      <c r="AE135" s="488"/>
      <c r="AF135" s="488"/>
      <c r="AG135" s="488"/>
      <c r="AH135" s="488"/>
      <c r="AI135" s="488"/>
      <c r="AJ135" s="488"/>
      <c r="AK135" s="488"/>
      <c r="AL135" s="488"/>
      <c r="AN135" s="488"/>
      <c r="AO135" s="488"/>
      <c r="AP135" s="488"/>
      <c r="AQ135" s="488"/>
      <c r="AR135" s="488"/>
      <c r="AS135" s="488"/>
      <c r="AT135" s="488"/>
      <c r="AU135" s="488"/>
      <c r="AV135" s="488"/>
      <c r="AW135" s="488"/>
      <c r="AX135" s="488"/>
      <c r="AY135" s="488"/>
      <c r="AZ135" s="488"/>
      <c r="BA135" s="488"/>
      <c r="BB135" s="488"/>
      <c r="BD135" s="589"/>
      <c r="BE135" s="590"/>
      <c r="BF135" s="590"/>
      <c r="BG135" s="536"/>
      <c r="BH135" s="388"/>
      <c r="BI135" s="488"/>
      <c r="BJ135" s="488"/>
      <c r="BK135" s="488"/>
      <c r="BL135" s="488"/>
      <c r="BM135" s="488"/>
    </row>
    <row r="136" customFormat="false" ht="12.75" hidden="false" customHeight="false" outlineLevel="0" collapsed="false">
      <c r="H136" s="586"/>
      <c r="I136" s="385"/>
      <c r="J136" s="419"/>
      <c r="L136" s="385"/>
      <c r="M136" s="385"/>
      <c r="Q136" s="488"/>
      <c r="R136" s="488"/>
      <c r="S136" s="488"/>
      <c r="T136" s="488"/>
      <c r="V136" s="488"/>
      <c r="W136" s="488"/>
      <c r="X136" s="488"/>
      <c r="Y136" s="587"/>
      <c r="Z136" s="588"/>
      <c r="AA136" s="488"/>
      <c r="AB136" s="488"/>
      <c r="AC136" s="488"/>
      <c r="AE136" s="488"/>
      <c r="AF136" s="488"/>
      <c r="AG136" s="488"/>
      <c r="AH136" s="488"/>
      <c r="AI136" s="488"/>
      <c r="AJ136" s="488"/>
      <c r="AK136" s="488"/>
      <c r="AL136" s="488"/>
      <c r="AN136" s="488"/>
      <c r="AO136" s="488"/>
      <c r="AP136" s="488"/>
      <c r="AQ136" s="488"/>
      <c r="AR136" s="488"/>
      <c r="AS136" s="488"/>
      <c r="AT136" s="488"/>
      <c r="AU136" s="488"/>
      <c r="AV136" s="488"/>
      <c r="AW136" s="488"/>
      <c r="AX136" s="488"/>
      <c r="AY136" s="488"/>
      <c r="AZ136" s="488"/>
      <c r="BA136" s="488"/>
      <c r="BB136" s="488"/>
      <c r="BD136" s="589"/>
      <c r="BE136" s="590"/>
      <c r="BF136" s="590"/>
      <c r="BG136" s="536"/>
      <c r="BH136" s="388"/>
      <c r="BI136" s="488"/>
      <c r="BJ136" s="488"/>
      <c r="BK136" s="488"/>
      <c r="BL136" s="488"/>
      <c r="BM136" s="488"/>
    </row>
    <row r="137" customFormat="false" ht="12.75" hidden="false" customHeight="false" outlineLevel="0" collapsed="false">
      <c r="H137" s="586"/>
      <c r="I137" s="385"/>
      <c r="J137" s="419"/>
      <c r="L137" s="385"/>
      <c r="M137" s="385"/>
      <c r="Q137" s="488"/>
      <c r="R137" s="488"/>
      <c r="S137" s="488"/>
      <c r="T137" s="488"/>
      <c r="V137" s="488"/>
      <c r="W137" s="488"/>
      <c r="X137" s="488"/>
      <c r="Y137" s="587"/>
      <c r="Z137" s="588"/>
      <c r="AA137" s="488"/>
      <c r="AB137" s="488"/>
      <c r="AC137" s="488"/>
      <c r="AE137" s="488"/>
      <c r="AF137" s="488"/>
      <c r="AG137" s="488"/>
      <c r="AH137" s="488"/>
      <c r="AI137" s="488"/>
      <c r="AJ137" s="488"/>
      <c r="AK137" s="488"/>
      <c r="AL137" s="488"/>
      <c r="AN137" s="488"/>
      <c r="AO137" s="488"/>
      <c r="AP137" s="488"/>
      <c r="AQ137" s="488"/>
      <c r="AR137" s="488"/>
      <c r="AS137" s="488"/>
      <c r="AT137" s="488"/>
      <c r="AU137" s="488"/>
      <c r="AV137" s="488"/>
      <c r="AW137" s="488"/>
      <c r="AX137" s="488"/>
      <c r="AY137" s="488"/>
      <c r="AZ137" s="488"/>
      <c r="BA137" s="488"/>
      <c r="BB137" s="488"/>
      <c r="BD137" s="589"/>
      <c r="BE137" s="590"/>
      <c r="BF137" s="590"/>
      <c r="BG137" s="536"/>
      <c r="BH137" s="388"/>
      <c r="BI137" s="488"/>
      <c r="BJ137" s="488"/>
      <c r="BK137" s="488"/>
      <c r="BL137" s="488"/>
      <c r="BM137" s="488"/>
    </row>
    <row r="138" customFormat="false" ht="12.75" hidden="false" customHeight="false" outlineLevel="0" collapsed="false">
      <c r="H138" s="586"/>
      <c r="I138" s="385"/>
      <c r="J138" s="419"/>
      <c r="L138" s="385"/>
      <c r="M138" s="385"/>
      <c r="Q138" s="488"/>
      <c r="R138" s="488"/>
      <c r="S138" s="488"/>
      <c r="T138" s="488"/>
      <c r="V138" s="488"/>
      <c r="W138" s="488"/>
      <c r="X138" s="488"/>
      <c r="Y138" s="587"/>
      <c r="Z138" s="588"/>
      <c r="AA138" s="488"/>
      <c r="AB138" s="488"/>
      <c r="AC138" s="488"/>
      <c r="AE138" s="488"/>
      <c r="AF138" s="488"/>
      <c r="AG138" s="488"/>
      <c r="AH138" s="488"/>
      <c r="AI138" s="488"/>
      <c r="AJ138" s="488"/>
      <c r="AK138" s="488"/>
      <c r="AL138" s="488"/>
      <c r="AN138" s="488"/>
      <c r="AO138" s="488"/>
      <c r="AP138" s="488"/>
      <c r="AQ138" s="488"/>
      <c r="AR138" s="488"/>
      <c r="AS138" s="488"/>
      <c r="AT138" s="488"/>
      <c r="AU138" s="488"/>
      <c r="AV138" s="488"/>
      <c r="AW138" s="488"/>
      <c r="AX138" s="488"/>
      <c r="AY138" s="488"/>
      <c r="AZ138" s="488"/>
      <c r="BA138" s="488"/>
      <c r="BB138" s="488"/>
      <c r="BD138" s="589"/>
      <c r="BE138" s="590"/>
      <c r="BF138" s="590"/>
      <c r="BG138" s="536"/>
      <c r="BH138" s="388"/>
      <c r="BI138" s="488"/>
      <c r="BJ138" s="488"/>
      <c r="BK138" s="488"/>
      <c r="BL138" s="488"/>
      <c r="BM138" s="488"/>
    </row>
    <row r="139" customFormat="false" ht="12.75" hidden="false" customHeight="false" outlineLevel="0" collapsed="false">
      <c r="H139" s="586"/>
      <c r="I139" s="385"/>
      <c r="J139" s="419"/>
      <c r="L139" s="385"/>
      <c r="M139" s="385"/>
      <c r="Q139" s="488"/>
      <c r="R139" s="488"/>
      <c r="S139" s="488"/>
      <c r="T139" s="488"/>
      <c r="V139" s="488"/>
      <c r="W139" s="488"/>
      <c r="X139" s="488"/>
      <c r="Y139" s="587"/>
      <c r="Z139" s="588"/>
      <c r="AA139" s="488"/>
      <c r="AB139" s="488"/>
      <c r="AC139" s="488"/>
      <c r="AE139" s="488"/>
      <c r="AF139" s="488"/>
      <c r="AG139" s="488"/>
      <c r="AH139" s="488"/>
      <c r="AI139" s="488"/>
      <c r="AJ139" s="488"/>
      <c r="AK139" s="488"/>
      <c r="AL139" s="488"/>
      <c r="AN139" s="488"/>
      <c r="AO139" s="488"/>
      <c r="AP139" s="488"/>
      <c r="AQ139" s="488"/>
      <c r="AR139" s="488"/>
      <c r="AS139" s="488"/>
      <c r="AT139" s="488"/>
      <c r="AU139" s="488"/>
      <c r="AV139" s="488"/>
      <c r="AW139" s="488"/>
      <c r="AX139" s="488"/>
      <c r="AY139" s="488"/>
      <c r="AZ139" s="488"/>
      <c r="BA139" s="488"/>
      <c r="BB139" s="488"/>
      <c r="BD139" s="589"/>
      <c r="BE139" s="590"/>
      <c r="BF139" s="590"/>
      <c r="BG139" s="536"/>
      <c r="BH139" s="388"/>
      <c r="BI139" s="488"/>
      <c r="BJ139" s="488"/>
      <c r="BK139" s="488"/>
      <c r="BL139" s="488"/>
      <c r="BM139" s="488"/>
    </row>
    <row r="140" customFormat="false" ht="12.75" hidden="false" customHeight="false" outlineLevel="0" collapsed="false">
      <c r="H140" s="586"/>
      <c r="I140" s="385"/>
      <c r="J140" s="419"/>
      <c r="L140" s="385"/>
      <c r="M140" s="385"/>
      <c r="Q140" s="488"/>
      <c r="R140" s="488"/>
      <c r="S140" s="488"/>
      <c r="T140" s="488"/>
      <c r="V140" s="488"/>
      <c r="W140" s="488"/>
      <c r="X140" s="488"/>
      <c r="Y140" s="587"/>
      <c r="Z140" s="588"/>
      <c r="AA140" s="488"/>
      <c r="AB140" s="488"/>
      <c r="AC140" s="488"/>
      <c r="AE140" s="488"/>
      <c r="AF140" s="488"/>
      <c r="AG140" s="488"/>
      <c r="AH140" s="488"/>
      <c r="AI140" s="488"/>
      <c r="AJ140" s="488"/>
      <c r="AK140" s="488"/>
      <c r="AL140" s="488"/>
      <c r="AN140" s="488"/>
      <c r="AO140" s="488"/>
      <c r="AP140" s="488"/>
      <c r="AQ140" s="488"/>
      <c r="AR140" s="488"/>
      <c r="AS140" s="488"/>
      <c r="AT140" s="488"/>
      <c r="AU140" s="488"/>
      <c r="AV140" s="488"/>
      <c r="AW140" s="488"/>
      <c r="AX140" s="488"/>
      <c r="AY140" s="488"/>
      <c r="AZ140" s="488"/>
      <c r="BA140" s="488"/>
      <c r="BB140" s="488"/>
      <c r="BD140" s="589"/>
      <c r="BE140" s="590"/>
      <c r="BF140" s="590"/>
      <c r="BG140" s="536"/>
      <c r="BH140" s="388"/>
      <c r="BI140" s="488"/>
      <c r="BJ140" s="488"/>
      <c r="BK140" s="488"/>
      <c r="BL140" s="488"/>
      <c r="BM140" s="488"/>
    </row>
    <row r="141" customFormat="false" ht="12.75" hidden="false" customHeight="false" outlineLevel="0" collapsed="false">
      <c r="H141" s="586"/>
      <c r="I141" s="385"/>
      <c r="J141" s="419"/>
      <c r="L141" s="385"/>
      <c r="M141" s="385"/>
      <c r="Q141" s="488"/>
      <c r="R141" s="488"/>
      <c r="S141" s="488"/>
      <c r="T141" s="488"/>
      <c r="V141" s="488"/>
      <c r="W141" s="488"/>
      <c r="X141" s="488"/>
      <c r="Y141" s="587"/>
      <c r="Z141" s="588"/>
      <c r="AA141" s="488"/>
      <c r="AB141" s="488"/>
      <c r="AC141" s="488"/>
      <c r="AE141" s="488"/>
      <c r="AF141" s="488"/>
      <c r="AG141" s="488"/>
      <c r="AH141" s="488"/>
      <c r="AI141" s="488"/>
      <c r="AJ141" s="488"/>
      <c r="AK141" s="488"/>
      <c r="AL141" s="488"/>
      <c r="AN141" s="488"/>
      <c r="AO141" s="488"/>
      <c r="AP141" s="488"/>
      <c r="AQ141" s="488"/>
      <c r="AR141" s="488"/>
      <c r="AS141" s="488"/>
      <c r="AT141" s="488"/>
      <c r="AU141" s="488"/>
      <c r="AV141" s="488"/>
      <c r="AW141" s="488"/>
      <c r="AX141" s="488"/>
      <c r="AY141" s="488"/>
      <c r="AZ141" s="488"/>
      <c r="BA141" s="488"/>
      <c r="BB141" s="488"/>
      <c r="BD141" s="589"/>
      <c r="BE141" s="590"/>
      <c r="BF141" s="590"/>
      <c r="BG141" s="536"/>
      <c r="BH141" s="388"/>
      <c r="BI141" s="488"/>
      <c r="BJ141" s="488"/>
      <c r="BK141" s="488"/>
      <c r="BL141" s="488"/>
      <c r="BM141" s="488"/>
    </row>
    <row r="142" customFormat="false" ht="12.75" hidden="false" customHeight="false" outlineLevel="0" collapsed="false">
      <c r="H142" s="586"/>
      <c r="I142" s="385"/>
      <c r="J142" s="419"/>
      <c r="L142" s="385"/>
      <c r="M142" s="385"/>
      <c r="Q142" s="488"/>
      <c r="R142" s="488"/>
      <c r="S142" s="488"/>
      <c r="T142" s="488"/>
      <c r="V142" s="488"/>
      <c r="W142" s="488"/>
      <c r="X142" s="488"/>
      <c r="Y142" s="587"/>
      <c r="Z142" s="588"/>
      <c r="AA142" s="488"/>
      <c r="AB142" s="488"/>
      <c r="AC142" s="488"/>
      <c r="AE142" s="488"/>
      <c r="AF142" s="488"/>
      <c r="AG142" s="488"/>
      <c r="AH142" s="488"/>
      <c r="AI142" s="488"/>
      <c r="AJ142" s="488"/>
      <c r="AK142" s="488"/>
      <c r="AL142" s="488"/>
      <c r="AN142" s="488"/>
      <c r="AO142" s="488"/>
      <c r="AP142" s="488"/>
      <c r="AQ142" s="488"/>
      <c r="AR142" s="488"/>
      <c r="AS142" s="488"/>
      <c r="AT142" s="488"/>
      <c r="AU142" s="488"/>
      <c r="AV142" s="488"/>
      <c r="AW142" s="488"/>
      <c r="AX142" s="488"/>
      <c r="AY142" s="488"/>
      <c r="AZ142" s="488"/>
      <c r="BA142" s="488"/>
      <c r="BB142" s="488"/>
      <c r="BD142" s="589"/>
      <c r="BE142" s="590"/>
      <c r="BF142" s="590"/>
      <c r="BG142" s="536"/>
      <c r="BH142" s="388"/>
      <c r="BI142" s="488"/>
      <c r="BJ142" s="488"/>
      <c r="BK142" s="488"/>
      <c r="BL142" s="488"/>
      <c r="BM142" s="488"/>
    </row>
    <row r="143" customFormat="false" ht="12.75" hidden="false" customHeight="false" outlineLevel="0" collapsed="false">
      <c r="H143" s="586"/>
      <c r="I143" s="385"/>
      <c r="J143" s="419"/>
      <c r="L143" s="385"/>
      <c r="M143" s="385"/>
      <c r="Q143" s="488"/>
      <c r="R143" s="488"/>
      <c r="S143" s="488"/>
      <c r="T143" s="488"/>
      <c r="V143" s="488"/>
      <c r="W143" s="488"/>
      <c r="X143" s="488"/>
      <c r="Y143" s="587"/>
      <c r="Z143" s="588"/>
      <c r="AA143" s="488"/>
      <c r="AB143" s="488"/>
      <c r="AC143" s="488"/>
      <c r="AE143" s="488"/>
      <c r="AF143" s="488"/>
      <c r="AG143" s="488"/>
      <c r="AH143" s="488"/>
      <c r="AI143" s="488"/>
      <c r="AJ143" s="488"/>
      <c r="AK143" s="488"/>
      <c r="AL143" s="488"/>
      <c r="AN143" s="488"/>
      <c r="AO143" s="488"/>
      <c r="AP143" s="488"/>
      <c r="AQ143" s="488"/>
      <c r="AR143" s="488"/>
      <c r="AS143" s="488"/>
      <c r="AT143" s="488"/>
      <c r="AU143" s="488"/>
      <c r="AV143" s="488"/>
      <c r="AW143" s="488"/>
      <c r="AX143" s="488"/>
      <c r="AY143" s="488"/>
      <c r="AZ143" s="488"/>
      <c r="BA143" s="488"/>
      <c r="BB143" s="488"/>
      <c r="BD143" s="589"/>
      <c r="BE143" s="590"/>
      <c r="BF143" s="590"/>
      <c r="BG143" s="536"/>
      <c r="BH143" s="388"/>
      <c r="BI143" s="488"/>
      <c r="BJ143" s="488"/>
      <c r="BK143" s="488"/>
      <c r="BL143" s="488"/>
      <c r="BM143" s="488"/>
    </row>
    <row r="144" customFormat="false" ht="12.75" hidden="false" customHeight="false" outlineLevel="0" collapsed="false">
      <c r="H144" s="586"/>
      <c r="I144" s="385"/>
      <c r="J144" s="419"/>
      <c r="L144" s="385"/>
      <c r="M144" s="385"/>
      <c r="Q144" s="488"/>
      <c r="R144" s="488"/>
      <c r="S144" s="488"/>
      <c r="T144" s="488"/>
      <c r="V144" s="488"/>
      <c r="W144" s="488"/>
      <c r="X144" s="488"/>
      <c r="Y144" s="587"/>
      <c r="Z144" s="588"/>
      <c r="AA144" s="488"/>
      <c r="AB144" s="488"/>
      <c r="AC144" s="488"/>
      <c r="AE144" s="488"/>
      <c r="AF144" s="488"/>
      <c r="AG144" s="488"/>
      <c r="AH144" s="488"/>
      <c r="AI144" s="488"/>
      <c r="AJ144" s="488"/>
      <c r="AK144" s="488"/>
      <c r="AL144" s="488"/>
      <c r="AN144" s="488"/>
      <c r="AO144" s="488"/>
      <c r="AP144" s="488"/>
      <c r="AQ144" s="488"/>
      <c r="AR144" s="488"/>
      <c r="AS144" s="488"/>
      <c r="AT144" s="488"/>
      <c r="AU144" s="488"/>
      <c r="AV144" s="488"/>
      <c r="AW144" s="488"/>
      <c r="AX144" s="488"/>
      <c r="AY144" s="488"/>
      <c r="AZ144" s="488"/>
      <c r="BA144" s="488"/>
      <c r="BB144" s="488"/>
      <c r="BD144" s="589"/>
      <c r="BE144" s="590"/>
      <c r="BF144" s="590"/>
      <c r="BG144" s="536"/>
      <c r="BH144" s="388"/>
      <c r="BI144" s="488"/>
      <c r="BJ144" s="488"/>
      <c r="BK144" s="488"/>
      <c r="BL144" s="488"/>
      <c r="BM144" s="488"/>
    </row>
    <row r="145" customFormat="false" ht="12.75" hidden="false" customHeight="false" outlineLevel="0" collapsed="false">
      <c r="H145" s="586"/>
      <c r="I145" s="385"/>
      <c r="J145" s="419"/>
      <c r="L145" s="385"/>
      <c r="M145" s="385"/>
      <c r="Q145" s="488"/>
      <c r="R145" s="488"/>
      <c r="S145" s="488"/>
      <c r="T145" s="488"/>
      <c r="V145" s="488"/>
      <c r="W145" s="488"/>
      <c r="X145" s="488"/>
      <c r="Y145" s="587"/>
      <c r="Z145" s="588"/>
      <c r="AA145" s="488"/>
      <c r="AB145" s="488"/>
      <c r="AC145" s="488"/>
      <c r="AE145" s="488"/>
      <c r="AF145" s="488"/>
      <c r="AG145" s="488"/>
      <c r="AH145" s="488"/>
      <c r="AI145" s="488"/>
      <c r="AJ145" s="488"/>
      <c r="AK145" s="488"/>
      <c r="AL145" s="488"/>
      <c r="AN145" s="488"/>
      <c r="AO145" s="488"/>
      <c r="AP145" s="488"/>
      <c r="AQ145" s="488"/>
      <c r="AR145" s="488"/>
      <c r="AS145" s="488"/>
      <c r="AT145" s="488"/>
      <c r="AU145" s="488"/>
      <c r="AV145" s="488"/>
      <c r="AW145" s="488"/>
      <c r="AX145" s="488"/>
      <c r="AY145" s="488"/>
      <c r="AZ145" s="488"/>
      <c r="BA145" s="488"/>
      <c r="BB145" s="488"/>
      <c r="BD145" s="589"/>
      <c r="BE145" s="590"/>
      <c r="BF145" s="590"/>
      <c r="BG145" s="536"/>
      <c r="BH145" s="388"/>
      <c r="BI145" s="488"/>
      <c r="BJ145" s="488"/>
      <c r="BK145" s="488"/>
      <c r="BL145" s="488"/>
      <c r="BM145" s="488"/>
    </row>
    <row r="146" customFormat="false" ht="12.75" hidden="false" customHeight="false" outlineLevel="0" collapsed="false">
      <c r="H146" s="586"/>
      <c r="I146" s="385"/>
      <c r="J146" s="419"/>
      <c r="L146" s="385"/>
      <c r="M146" s="385"/>
      <c r="Q146" s="488"/>
      <c r="R146" s="488"/>
      <c r="S146" s="488"/>
      <c r="T146" s="488"/>
      <c r="V146" s="488"/>
      <c r="W146" s="488"/>
      <c r="X146" s="488"/>
      <c r="Y146" s="587"/>
      <c r="Z146" s="588"/>
      <c r="AA146" s="488"/>
      <c r="AB146" s="488"/>
      <c r="AC146" s="488"/>
      <c r="AE146" s="488"/>
      <c r="AF146" s="488"/>
      <c r="AG146" s="488"/>
      <c r="AH146" s="488"/>
      <c r="AI146" s="488"/>
      <c r="AJ146" s="488"/>
      <c r="AK146" s="488"/>
      <c r="AL146" s="488"/>
      <c r="AN146" s="488"/>
      <c r="AO146" s="488"/>
      <c r="AP146" s="488"/>
      <c r="AQ146" s="488"/>
      <c r="AR146" s="488"/>
      <c r="AS146" s="488"/>
      <c r="AT146" s="488"/>
      <c r="AU146" s="488"/>
      <c r="AV146" s="488"/>
      <c r="AW146" s="488"/>
      <c r="AX146" s="488"/>
      <c r="AY146" s="488"/>
      <c r="AZ146" s="488"/>
      <c r="BA146" s="488"/>
      <c r="BB146" s="488"/>
      <c r="BD146" s="589"/>
      <c r="BE146" s="590"/>
      <c r="BF146" s="590"/>
      <c r="BG146" s="536"/>
      <c r="BH146" s="388"/>
      <c r="BI146" s="488"/>
      <c r="BJ146" s="488"/>
      <c r="BK146" s="488"/>
      <c r="BL146" s="488"/>
      <c r="BM146" s="488"/>
    </row>
    <row r="147" customFormat="false" ht="12.75" hidden="false" customHeight="false" outlineLevel="0" collapsed="false">
      <c r="H147" s="586"/>
      <c r="I147" s="385"/>
      <c r="J147" s="419"/>
      <c r="L147" s="385"/>
      <c r="M147" s="385"/>
      <c r="Q147" s="488"/>
      <c r="R147" s="488"/>
      <c r="S147" s="488"/>
      <c r="T147" s="488"/>
      <c r="V147" s="488"/>
      <c r="W147" s="488"/>
      <c r="X147" s="488"/>
      <c r="Y147" s="587"/>
      <c r="Z147" s="588"/>
      <c r="AA147" s="488"/>
      <c r="AB147" s="488"/>
      <c r="AC147" s="488"/>
      <c r="AE147" s="488"/>
      <c r="AF147" s="488"/>
      <c r="AG147" s="488"/>
      <c r="AH147" s="488"/>
      <c r="AI147" s="488"/>
      <c r="AJ147" s="488"/>
      <c r="AK147" s="488"/>
      <c r="AL147" s="488"/>
      <c r="AN147" s="488"/>
      <c r="AO147" s="488"/>
      <c r="AP147" s="488"/>
      <c r="AQ147" s="488"/>
      <c r="AR147" s="488"/>
      <c r="AS147" s="488"/>
      <c r="AT147" s="488"/>
      <c r="AU147" s="488"/>
      <c r="AV147" s="488"/>
      <c r="AW147" s="488"/>
      <c r="AX147" s="488"/>
      <c r="AY147" s="488"/>
      <c r="AZ147" s="488"/>
      <c r="BA147" s="488"/>
      <c r="BB147" s="488"/>
      <c r="BD147" s="589"/>
      <c r="BE147" s="590"/>
      <c r="BF147" s="590"/>
      <c r="BG147" s="536"/>
      <c r="BH147" s="388"/>
      <c r="BI147" s="488"/>
      <c r="BJ147" s="488"/>
      <c r="BK147" s="488"/>
      <c r="BL147" s="488"/>
      <c r="BM147" s="488"/>
    </row>
    <row r="148" customFormat="false" ht="12.75" hidden="false" customHeight="false" outlineLevel="0" collapsed="false">
      <c r="H148" s="586"/>
      <c r="I148" s="385"/>
      <c r="J148" s="419"/>
      <c r="L148" s="385"/>
      <c r="M148" s="385"/>
      <c r="Q148" s="488"/>
      <c r="R148" s="488"/>
      <c r="S148" s="488"/>
      <c r="T148" s="488"/>
      <c r="V148" s="488"/>
      <c r="W148" s="488"/>
      <c r="X148" s="488"/>
      <c r="Y148" s="587"/>
      <c r="Z148" s="588"/>
      <c r="AA148" s="488"/>
      <c r="AB148" s="488"/>
      <c r="AC148" s="488"/>
      <c r="AE148" s="488"/>
      <c r="AF148" s="488"/>
      <c r="AG148" s="488"/>
      <c r="AH148" s="488"/>
      <c r="AI148" s="488"/>
      <c r="AJ148" s="488"/>
      <c r="AK148" s="488"/>
      <c r="AL148" s="488"/>
      <c r="AN148" s="488"/>
      <c r="AO148" s="488"/>
      <c r="AP148" s="488"/>
      <c r="AQ148" s="488"/>
      <c r="AR148" s="488"/>
      <c r="AS148" s="488"/>
      <c r="AT148" s="488"/>
      <c r="AU148" s="488"/>
      <c r="AV148" s="488"/>
      <c r="AW148" s="488"/>
      <c r="AX148" s="488"/>
      <c r="AY148" s="488"/>
      <c r="AZ148" s="488"/>
      <c r="BA148" s="488"/>
      <c r="BB148" s="488"/>
      <c r="BD148" s="589"/>
      <c r="BE148" s="590"/>
      <c r="BF148" s="590"/>
      <c r="BG148" s="536"/>
      <c r="BH148" s="388"/>
      <c r="BI148" s="488"/>
      <c r="BJ148" s="488"/>
      <c r="BK148" s="488"/>
      <c r="BL148" s="488"/>
      <c r="BM148" s="488"/>
    </row>
    <row r="149" customFormat="false" ht="12.75" hidden="false" customHeight="false" outlineLevel="0" collapsed="false">
      <c r="H149" s="586"/>
      <c r="I149" s="385"/>
      <c r="J149" s="419"/>
      <c r="L149" s="385"/>
      <c r="M149" s="385"/>
      <c r="Q149" s="488"/>
      <c r="R149" s="488"/>
      <c r="S149" s="488"/>
      <c r="T149" s="488"/>
      <c r="V149" s="488"/>
      <c r="W149" s="488"/>
      <c r="X149" s="488"/>
      <c r="Y149" s="587"/>
      <c r="Z149" s="588"/>
      <c r="AA149" s="488"/>
      <c r="AB149" s="488"/>
      <c r="AC149" s="488"/>
      <c r="AE149" s="488"/>
      <c r="AF149" s="488"/>
      <c r="AG149" s="488"/>
      <c r="AH149" s="488"/>
      <c r="AI149" s="488"/>
      <c r="AJ149" s="488"/>
      <c r="AK149" s="488"/>
      <c r="AL149" s="488"/>
      <c r="AN149" s="488"/>
      <c r="AO149" s="488"/>
      <c r="AP149" s="488"/>
      <c r="AQ149" s="488"/>
      <c r="AR149" s="488"/>
      <c r="AS149" s="488"/>
      <c r="AT149" s="488"/>
      <c r="AU149" s="488"/>
      <c r="AV149" s="488"/>
      <c r="AW149" s="488"/>
      <c r="AX149" s="488"/>
      <c r="AY149" s="488"/>
      <c r="AZ149" s="488"/>
      <c r="BA149" s="488"/>
      <c r="BB149" s="488"/>
      <c r="BD149" s="589"/>
      <c r="BE149" s="590"/>
      <c r="BF149" s="590"/>
      <c r="BG149" s="536"/>
      <c r="BH149" s="388"/>
      <c r="BI149" s="488"/>
      <c r="BJ149" s="488"/>
      <c r="BK149" s="488"/>
      <c r="BL149" s="488"/>
      <c r="BM149" s="488"/>
    </row>
    <row r="150" customFormat="false" ht="12.75" hidden="false" customHeight="false" outlineLevel="0" collapsed="false">
      <c r="H150" s="586"/>
      <c r="I150" s="385"/>
      <c r="J150" s="419"/>
      <c r="L150" s="385"/>
      <c r="M150" s="385"/>
      <c r="Q150" s="488"/>
      <c r="R150" s="488"/>
      <c r="S150" s="488"/>
      <c r="T150" s="488"/>
      <c r="V150" s="488"/>
      <c r="W150" s="488"/>
      <c r="X150" s="488"/>
      <c r="Y150" s="587"/>
      <c r="Z150" s="588"/>
      <c r="AA150" s="488"/>
      <c r="AB150" s="488"/>
      <c r="AC150" s="488"/>
      <c r="AE150" s="488"/>
      <c r="AF150" s="488"/>
      <c r="AG150" s="488"/>
      <c r="AH150" s="488"/>
      <c r="AI150" s="488"/>
      <c r="AJ150" s="488"/>
      <c r="AK150" s="488"/>
      <c r="AL150" s="488"/>
      <c r="AN150" s="488"/>
      <c r="AO150" s="488"/>
      <c r="AP150" s="488"/>
      <c r="AQ150" s="488"/>
      <c r="AR150" s="488"/>
      <c r="AS150" s="488"/>
      <c r="AT150" s="488"/>
      <c r="AU150" s="488"/>
      <c r="AV150" s="488"/>
      <c r="AW150" s="488"/>
      <c r="AX150" s="488"/>
      <c r="AY150" s="488"/>
      <c r="AZ150" s="488"/>
      <c r="BA150" s="488"/>
      <c r="BB150" s="488"/>
      <c r="BD150" s="589"/>
      <c r="BE150" s="590"/>
      <c r="BF150" s="590"/>
      <c r="BG150" s="536"/>
      <c r="BH150" s="388"/>
      <c r="BI150" s="488"/>
      <c r="BJ150" s="488"/>
      <c r="BK150" s="488"/>
      <c r="BL150" s="488"/>
      <c r="BM150" s="488"/>
    </row>
    <row r="151" customFormat="false" ht="12.75" hidden="false" customHeight="false" outlineLevel="0" collapsed="false">
      <c r="H151" s="586"/>
      <c r="I151" s="385"/>
      <c r="J151" s="419"/>
      <c r="L151" s="385"/>
      <c r="M151" s="385"/>
      <c r="Q151" s="488"/>
      <c r="R151" s="488"/>
      <c r="S151" s="488"/>
      <c r="T151" s="488"/>
      <c r="V151" s="488"/>
      <c r="W151" s="488"/>
      <c r="X151" s="488"/>
      <c r="Y151" s="587"/>
      <c r="Z151" s="588"/>
      <c r="AA151" s="488"/>
      <c r="AB151" s="488"/>
      <c r="AC151" s="488"/>
      <c r="AE151" s="488"/>
      <c r="AF151" s="488"/>
      <c r="AG151" s="488"/>
      <c r="AH151" s="488"/>
      <c r="AI151" s="488"/>
      <c r="AJ151" s="488"/>
      <c r="AK151" s="488"/>
      <c r="AL151" s="488"/>
      <c r="AN151" s="488"/>
      <c r="AO151" s="488"/>
      <c r="AP151" s="488"/>
      <c r="AQ151" s="488"/>
      <c r="AR151" s="488"/>
      <c r="AS151" s="488"/>
      <c r="AT151" s="488"/>
      <c r="AU151" s="488"/>
      <c r="AV151" s="488"/>
      <c r="AW151" s="488"/>
      <c r="AX151" s="488"/>
      <c r="AY151" s="488"/>
      <c r="AZ151" s="488"/>
      <c r="BA151" s="488"/>
      <c r="BB151" s="488"/>
      <c r="BD151" s="589"/>
      <c r="BE151" s="590"/>
      <c r="BF151" s="590"/>
      <c r="BG151" s="536"/>
      <c r="BH151" s="388"/>
      <c r="BI151" s="488"/>
      <c r="BJ151" s="488"/>
      <c r="BK151" s="488"/>
      <c r="BL151" s="488"/>
      <c r="BM151" s="488"/>
    </row>
    <row r="152" customFormat="false" ht="12.75" hidden="false" customHeight="false" outlineLevel="0" collapsed="false">
      <c r="H152" s="586"/>
      <c r="I152" s="385"/>
      <c r="J152" s="419"/>
      <c r="L152" s="385"/>
      <c r="M152" s="385"/>
      <c r="Q152" s="488"/>
      <c r="R152" s="488"/>
      <c r="S152" s="488"/>
      <c r="T152" s="488"/>
      <c r="V152" s="488"/>
      <c r="W152" s="488"/>
      <c r="X152" s="488"/>
      <c r="Y152" s="587"/>
      <c r="Z152" s="588"/>
      <c r="AA152" s="488"/>
      <c r="AB152" s="488"/>
      <c r="AC152" s="488"/>
      <c r="AE152" s="488"/>
      <c r="AF152" s="488"/>
      <c r="AG152" s="488"/>
      <c r="AH152" s="488"/>
      <c r="AI152" s="488"/>
      <c r="AJ152" s="488"/>
      <c r="AK152" s="488"/>
      <c r="AL152" s="488"/>
      <c r="AN152" s="488"/>
      <c r="AO152" s="488"/>
      <c r="AP152" s="488"/>
      <c r="AQ152" s="488"/>
      <c r="AR152" s="488"/>
      <c r="AS152" s="488"/>
      <c r="AT152" s="488"/>
      <c r="AU152" s="488"/>
      <c r="AV152" s="488"/>
      <c r="AW152" s="488"/>
      <c r="AX152" s="488"/>
      <c r="AY152" s="488"/>
      <c r="AZ152" s="488"/>
      <c r="BA152" s="488"/>
      <c r="BB152" s="488"/>
      <c r="BD152" s="589"/>
      <c r="BE152" s="590"/>
      <c r="BF152" s="590"/>
      <c r="BG152" s="536"/>
      <c r="BH152" s="388"/>
      <c r="BI152" s="488"/>
      <c r="BJ152" s="488"/>
      <c r="BK152" s="488"/>
      <c r="BL152" s="488"/>
      <c r="BM152" s="488"/>
    </row>
    <row r="153" customFormat="false" ht="12.75" hidden="false" customHeight="false" outlineLevel="0" collapsed="false">
      <c r="H153" s="586"/>
      <c r="I153" s="385"/>
      <c r="J153" s="419"/>
      <c r="L153" s="385"/>
      <c r="M153" s="385"/>
      <c r="Q153" s="488"/>
      <c r="R153" s="488"/>
      <c r="S153" s="488"/>
      <c r="T153" s="488"/>
      <c r="V153" s="488"/>
      <c r="W153" s="488"/>
      <c r="X153" s="488"/>
      <c r="Y153" s="587"/>
      <c r="Z153" s="588"/>
      <c r="AA153" s="488"/>
      <c r="AB153" s="488"/>
      <c r="AC153" s="488"/>
      <c r="AE153" s="488"/>
      <c r="AF153" s="488"/>
      <c r="AG153" s="488"/>
      <c r="AH153" s="488"/>
      <c r="AI153" s="488"/>
      <c r="AJ153" s="488"/>
      <c r="AK153" s="488"/>
      <c r="AL153" s="488"/>
      <c r="AN153" s="488"/>
      <c r="AO153" s="488"/>
      <c r="AP153" s="488"/>
      <c r="AQ153" s="488"/>
      <c r="AR153" s="488"/>
      <c r="AS153" s="488"/>
      <c r="AT153" s="488"/>
      <c r="AU153" s="488"/>
      <c r="AV153" s="488"/>
      <c r="AW153" s="488"/>
      <c r="AX153" s="488"/>
      <c r="AY153" s="488"/>
      <c r="AZ153" s="488"/>
      <c r="BA153" s="488"/>
      <c r="BB153" s="488"/>
      <c r="BD153" s="589"/>
      <c r="BE153" s="590"/>
      <c r="BF153" s="590"/>
      <c r="BG153" s="536"/>
      <c r="BH153" s="388"/>
      <c r="BI153" s="488"/>
      <c r="BJ153" s="488"/>
      <c r="BK153" s="488"/>
      <c r="BL153" s="488"/>
      <c r="BM153" s="488"/>
    </row>
    <row r="154" customFormat="false" ht="12.75" hidden="false" customHeight="false" outlineLevel="0" collapsed="false">
      <c r="H154" s="586"/>
      <c r="I154" s="385"/>
      <c r="J154" s="419"/>
      <c r="L154" s="385"/>
      <c r="M154" s="385"/>
      <c r="Q154" s="488"/>
      <c r="R154" s="488"/>
      <c r="S154" s="488"/>
      <c r="T154" s="488"/>
      <c r="V154" s="488"/>
      <c r="W154" s="488"/>
      <c r="X154" s="488"/>
      <c r="Y154" s="587"/>
      <c r="Z154" s="588"/>
      <c r="AA154" s="488"/>
      <c r="AB154" s="488"/>
      <c r="AC154" s="488"/>
      <c r="AE154" s="488"/>
      <c r="AF154" s="488"/>
      <c r="AG154" s="488"/>
      <c r="AH154" s="488"/>
      <c r="AI154" s="488"/>
      <c r="AJ154" s="488"/>
      <c r="AK154" s="488"/>
      <c r="AL154" s="488"/>
      <c r="AN154" s="488"/>
      <c r="AO154" s="488"/>
      <c r="AP154" s="488"/>
      <c r="AQ154" s="488"/>
      <c r="AR154" s="488"/>
      <c r="AS154" s="488"/>
      <c r="AT154" s="488"/>
      <c r="AU154" s="488"/>
      <c r="AV154" s="488"/>
      <c r="AW154" s="488"/>
      <c r="AX154" s="488"/>
      <c r="AY154" s="488"/>
      <c r="AZ154" s="488"/>
      <c r="BA154" s="488"/>
      <c r="BB154" s="488"/>
      <c r="BD154" s="589"/>
      <c r="BE154" s="590"/>
      <c r="BF154" s="590"/>
      <c r="BG154" s="536"/>
      <c r="BH154" s="388"/>
      <c r="BI154" s="488"/>
      <c r="BJ154" s="488"/>
      <c r="BK154" s="488"/>
      <c r="BL154" s="488"/>
      <c r="BM154" s="488"/>
    </row>
    <row r="155" customFormat="false" ht="12.75" hidden="false" customHeight="false" outlineLevel="0" collapsed="false">
      <c r="H155" s="586"/>
      <c r="I155" s="385"/>
      <c r="J155" s="419"/>
      <c r="L155" s="385"/>
      <c r="M155" s="385"/>
      <c r="Q155" s="488"/>
      <c r="R155" s="488"/>
      <c r="S155" s="488"/>
      <c r="T155" s="488"/>
      <c r="V155" s="488"/>
      <c r="W155" s="488"/>
      <c r="X155" s="488"/>
      <c r="Y155" s="587"/>
      <c r="Z155" s="588"/>
      <c r="AA155" s="488"/>
      <c r="AB155" s="488"/>
      <c r="AC155" s="488"/>
      <c r="AE155" s="488"/>
      <c r="AF155" s="488"/>
      <c r="AG155" s="488"/>
      <c r="AH155" s="488"/>
      <c r="AI155" s="488"/>
      <c r="AJ155" s="488"/>
      <c r="AK155" s="488"/>
      <c r="AL155" s="488"/>
      <c r="AN155" s="488"/>
      <c r="AO155" s="488"/>
      <c r="AP155" s="488"/>
      <c r="AQ155" s="488"/>
      <c r="AR155" s="488"/>
      <c r="AS155" s="488"/>
      <c r="AT155" s="488"/>
      <c r="AU155" s="488"/>
      <c r="AV155" s="488"/>
      <c r="AW155" s="488"/>
      <c r="AX155" s="488"/>
      <c r="AY155" s="488"/>
      <c r="AZ155" s="488"/>
      <c r="BA155" s="488"/>
      <c r="BB155" s="488"/>
      <c r="BD155" s="589"/>
      <c r="BE155" s="590"/>
      <c r="BF155" s="590"/>
      <c r="BG155" s="536"/>
      <c r="BH155" s="388"/>
      <c r="BI155" s="488"/>
      <c r="BJ155" s="488"/>
      <c r="BK155" s="488"/>
      <c r="BL155" s="488"/>
      <c r="BM155" s="488"/>
    </row>
    <row r="156" customFormat="false" ht="12.75" hidden="false" customHeight="false" outlineLevel="0" collapsed="false">
      <c r="H156" s="586"/>
      <c r="I156" s="385"/>
      <c r="J156" s="419"/>
      <c r="L156" s="385"/>
      <c r="M156" s="385"/>
      <c r="Q156" s="488"/>
      <c r="R156" s="488"/>
      <c r="S156" s="488"/>
      <c r="T156" s="488"/>
      <c r="V156" s="488"/>
      <c r="W156" s="488"/>
      <c r="X156" s="488"/>
      <c r="Y156" s="587"/>
      <c r="Z156" s="588"/>
      <c r="AA156" s="488"/>
      <c r="AB156" s="488"/>
      <c r="AC156" s="488"/>
      <c r="AE156" s="488"/>
      <c r="AF156" s="488"/>
      <c r="AG156" s="488"/>
      <c r="AH156" s="488"/>
      <c r="AI156" s="488"/>
      <c r="AJ156" s="488"/>
      <c r="AK156" s="488"/>
      <c r="AL156" s="488"/>
      <c r="AN156" s="488"/>
      <c r="AO156" s="488"/>
      <c r="AP156" s="488"/>
      <c r="AQ156" s="488"/>
      <c r="AR156" s="488"/>
      <c r="AS156" s="488"/>
      <c r="AT156" s="488"/>
      <c r="AU156" s="488"/>
      <c r="AV156" s="488"/>
      <c r="AW156" s="488"/>
      <c r="AX156" s="488"/>
      <c r="AY156" s="488"/>
      <c r="AZ156" s="488"/>
      <c r="BA156" s="488"/>
      <c r="BB156" s="488"/>
      <c r="BD156" s="589"/>
      <c r="BE156" s="590"/>
      <c r="BF156" s="590"/>
      <c r="BG156" s="536"/>
      <c r="BH156" s="388"/>
      <c r="BI156" s="488"/>
      <c r="BJ156" s="488"/>
      <c r="BK156" s="488"/>
      <c r="BL156" s="488"/>
      <c r="BM156" s="488"/>
    </row>
    <row r="157" customFormat="false" ht="12.75" hidden="false" customHeight="false" outlineLevel="0" collapsed="false">
      <c r="H157" s="586"/>
      <c r="I157" s="385"/>
      <c r="J157" s="419"/>
      <c r="L157" s="385"/>
      <c r="M157" s="385"/>
      <c r="Q157" s="488"/>
      <c r="R157" s="488"/>
      <c r="S157" s="488"/>
      <c r="T157" s="488"/>
      <c r="V157" s="488"/>
      <c r="W157" s="488"/>
      <c r="X157" s="488"/>
      <c r="Y157" s="587"/>
      <c r="Z157" s="588"/>
      <c r="AA157" s="488"/>
      <c r="AB157" s="488"/>
      <c r="AC157" s="488"/>
      <c r="AE157" s="488"/>
      <c r="AF157" s="488"/>
      <c r="AG157" s="488"/>
      <c r="AH157" s="488"/>
      <c r="AI157" s="488"/>
      <c r="AJ157" s="488"/>
      <c r="AK157" s="488"/>
      <c r="AL157" s="488"/>
      <c r="AN157" s="488"/>
      <c r="AO157" s="488"/>
      <c r="AP157" s="488"/>
      <c r="AQ157" s="488"/>
      <c r="AR157" s="488"/>
      <c r="AS157" s="488"/>
      <c r="AT157" s="488"/>
      <c r="AU157" s="488"/>
      <c r="AV157" s="488"/>
      <c r="AW157" s="488"/>
      <c r="AX157" s="488"/>
      <c r="AY157" s="488"/>
      <c r="AZ157" s="488"/>
      <c r="BA157" s="488"/>
      <c r="BB157" s="488"/>
      <c r="BD157" s="589"/>
      <c r="BE157" s="590"/>
      <c r="BF157" s="590"/>
      <c r="BG157" s="536"/>
      <c r="BH157" s="388"/>
      <c r="BI157" s="488"/>
      <c r="BJ157" s="488"/>
      <c r="BK157" s="488"/>
      <c r="BL157" s="488"/>
      <c r="BM157" s="488"/>
    </row>
    <row r="158" customFormat="false" ht="12.75" hidden="false" customHeight="false" outlineLevel="0" collapsed="false">
      <c r="H158" s="586"/>
      <c r="I158" s="385"/>
      <c r="J158" s="419"/>
      <c r="L158" s="385"/>
      <c r="M158" s="385"/>
      <c r="Q158" s="488"/>
      <c r="R158" s="488"/>
      <c r="S158" s="488"/>
      <c r="T158" s="488"/>
      <c r="V158" s="488"/>
      <c r="W158" s="488"/>
      <c r="X158" s="488"/>
      <c r="Y158" s="587"/>
      <c r="Z158" s="588"/>
      <c r="AA158" s="488"/>
      <c r="AB158" s="488"/>
      <c r="AC158" s="488"/>
      <c r="AE158" s="488"/>
      <c r="AF158" s="488"/>
      <c r="AG158" s="488"/>
      <c r="AH158" s="488"/>
      <c r="AI158" s="488"/>
      <c r="AJ158" s="488"/>
      <c r="AK158" s="488"/>
      <c r="AL158" s="488"/>
      <c r="AN158" s="488"/>
      <c r="AO158" s="488"/>
      <c r="AP158" s="488"/>
      <c r="AQ158" s="488"/>
      <c r="AR158" s="488"/>
      <c r="AS158" s="488"/>
      <c r="AT158" s="488"/>
      <c r="AU158" s="488"/>
      <c r="AV158" s="488"/>
      <c r="AW158" s="488"/>
      <c r="AX158" s="488"/>
      <c r="AY158" s="488"/>
      <c r="AZ158" s="488"/>
      <c r="BA158" s="488"/>
      <c r="BB158" s="488"/>
      <c r="BD158" s="589"/>
      <c r="BE158" s="590"/>
      <c r="BF158" s="590"/>
      <c r="BG158" s="536"/>
      <c r="BH158" s="388"/>
      <c r="BI158" s="488"/>
      <c r="BJ158" s="488"/>
      <c r="BK158" s="488"/>
      <c r="BL158" s="488"/>
      <c r="BM158" s="488"/>
    </row>
    <row r="159" customFormat="false" ht="12.75" hidden="false" customHeight="false" outlineLevel="0" collapsed="false">
      <c r="H159" s="586"/>
      <c r="I159" s="385"/>
      <c r="J159" s="419"/>
      <c r="L159" s="385"/>
      <c r="M159" s="385"/>
      <c r="Q159" s="488"/>
      <c r="R159" s="488"/>
      <c r="S159" s="488"/>
      <c r="T159" s="488"/>
      <c r="V159" s="488"/>
      <c r="W159" s="488"/>
      <c r="X159" s="488"/>
      <c r="Y159" s="587"/>
      <c r="Z159" s="588"/>
      <c r="AA159" s="488"/>
      <c r="AB159" s="488"/>
      <c r="AC159" s="488"/>
      <c r="AE159" s="488"/>
      <c r="AF159" s="488"/>
      <c r="AG159" s="488"/>
      <c r="AH159" s="488"/>
      <c r="AI159" s="488"/>
      <c r="AJ159" s="488"/>
      <c r="AK159" s="488"/>
      <c r="AL159" s="488"/>
      <c r="AN159" s="488"/>
      <c r="AO159" s="488"/>
      <c r="AP159" s="488"/>
      <c r="AQ159" s="488"/>
      <c r="AR159" s="488"/>
      <c r="AS159" s="488"/>
      <c r="AT159" s="488"/>
      <c r="AU159" s="488"/>
      <c r="AV159" s="488"/>
      <c r="AW159" s="488"/>
      <c r="AX159" s="488"/>
      <c r="AY159" s="488"/>
      <c r="AZ159" s="488"/>
      <c r="BA159" s="488"/>
      <c r="BB159" s="488"/>
      <c r="BD159" s="589"/>
      <c r="BE159" s="590"/>
      <c r="BF159" s="590"/>
      <c r="BG159" s="536"/>
      <c r="BH159" s="388"/>
      <c r="BI159" s="488"/>
      <c r="BJ159" s="488"/>
      <c r="BK159" s="488"/>
      <c r="BL159" s="488"/>
      <c r="BM159" s="488"/>
    </row>
    <row r="160" customFormat="false" ht="12.75" hidden="false" customHeight="false" outlineLevel="0" collapsed="false">
      <c r="H160" s="586"/>
      <c r="I160" s="385"/>
      <c r="J160" s="419"/>
      <c r="L160" s="385"/>
      <c r="M160" s="385"/>
      <c r="Q160" s="488"/>
      <c r="R160" s="488"/>
      <c r="S160" s="488"/>
      <c r="T160" s="488"/>
      <c r="V160" s="488"/>
      <c r="W160" s="488"/>
      <c r="X160" s="488"/>
      <c r="Y160" s="587"/>
      <c r="Z160" s="588"/>
      <c r="AA160" s="488"/>
      <c r="AB160" s="488"/>
      <c r="AC160" s="488"/>
      <c r="AE160" s="488"/>
      <c r="AF160" s="488"/>
      <c r="AG160" s="488"/>
      <c r="AH160" s="488"/>
      <c r="AI160" s="488"/>
      <c r="AJ160" s="488"/>
      <c r="AK160" s="488"/>
      <c r="AL160" s="488"/>
      <c r="AN160" s="488"/>
      <c r="AO160" s="488"/>
      <c r="AP160" s="488"/>
      <c r="AQ160" s="488"/>
      <c r="AR160" s="488"/>
      <c r="AS160" s="488"/>
      <c r="AT160" s="488"/>
      <c r="AU160" s="488"/>
      <c r="AV160" s="488"/>
      <c r="AW160" s="488"/>
      <c r="AX160" s="488"/>
      <c r="AY160" s="488"/>
      <c r="AZ160" s="488"/>
      <c r="BA160" s="488"/>
      <c r="BB160" s="488"/>
      <c r="BD160" s="589"/>
      <c r="BE160" s="590"/>
      <c r="BF160" s="590"/>
      <c r="BG160" s="536"/>
      <c r="BH160" s="388"/>
      <c r="BI160" s="488"/>
      <c r="BJ160" s="488"/>
      <c r="BK160" s="488"/>
      <c r="BL160" s="488"/>
      <c r="BM160" s="488"/>
    </row>
    <row r="161" customFormat="false" ht="12.75" hidden="false" customHeight="false" outlineLevel="0" collapsed="false">
      <c r="H161" s="586"/>
      <c r="I161" s="385"/>
      <c r="J161" s="419"/>
      <c r="L161" s="385"/>
      <c r="M161" s="385"/>
      <c r="Q161" s="488"/>
      <c r="R161" s="488"/>
      <c r="S161" s="488"/>
      <c r="T161" s="488"/>
      <c r="V161" s="488"/>
      <c r="W161" s="488"/>
      <c r="X161" s="488"/>
      <c r="Y161" s="587"/>
      <c r="Z161" s="588"/>
      <c r="AA161" s="488"/>
      <c r="AB161" s="488"/>
      <c r="AC161" s="488"/>
      <c r="AE161" s="488"/>
      <c r="AF161" s="488"/>
      <c r="AG161" s="488"/>
      <c r="AH161" s="488"/>
      <c r="AI161" s="488"/>
      <c r="AJ161" s="488"/>
      <c r="AK161" s="488"/>
      <c r="AL161" s="488"/>
      <c r="AN161" s="488"/>
      <c r="AO161" s="488"/>
      <c r="AP161" s="488"/>
      <c r="AQ161" s="488"/>
      <c r="AR161" s="488"/>
      <c r="AS161" s="488"/>
      <c r="AT161" s="488"/>
      <c r="AU161" s="488"/>
      <c r="AV161" s="488"/>
      <c r="AW161" s="488"/>
      <c r="AX161" s="488"/>
      <c r="AY161" s="488"/>
      <c r="AZ161" s="488"/>
      <c r="BA161" s="488"/>
      <c r="BB161" s="488"/>
      <c r="BD161" s="589"/>
      <c r="BE161" s="590"/>
      <c r="BF161" s="590"/>
      <c r="BG161" s="536"/>
      <c r="BH161" s="388"/>
      <c r="BI161" s="488"/>
      <c r="BJ161" s="488"/>
      <c r="BK161" s="488"/>
      <c r="BL161" s="488"/>
      <c r="BM161" s="488"/>
    </row>
    <row r="162" customFormat="false" ht="12.75" hidden="false" customHeight="false" outlineLevel="0" collapsed="false">
      <c r="H162" s="586"/>
      <c r="I162" s="385"/>
      <c r="J162" s="419"/>
      <c r="L162" s="385"/>
      <c r="M162" s="385"/>
      <c r="Q162" s="488"/>
      <c r="R162" s="488"/>
      <c r="S162" s="488"/>
      <c r="T162" s="488"/>
      <c r="V162" s="488"/>
      <c r="W162" s="488"/>
      <c r="X162" s="488"/>
      <c r="Y162" s="587"/>
      <c r="Z162" s="588"/>
      <c r="AA162" s="488"/>
      <c r="AB162" s="488"/>
      <c r="AC162" s="488"/>
      <c r="AE162" s="488"/>
      <c r="AF162" s="488"/>
      <c r="AG162" s="488"/>
      <c r="AH162" s="488"/>
      <c r="AI162" s="488"/>
      <c r="AJ162" s="488"/>
      <c r="AK162" s="488"/>
      <c r="AL162" s="488"/>
      <c r="AN162" s="488"/>
      <c r="AO162" s="488"/>
      <c r="AP162" s="488"/>
      <c r="AQ162" s="488"/>
      <c r="AR162" s="488"/>
      <c r="AS162" s="488"/>
      <c r="AT162" s="488"/>
      <c r="AU162" s="488"/>
      <c r="AV162" s="488"/>
      <c r="AW162" s="488"/>
      <c r="AX162" s="488"/>
      <c r="AY162" s="488"/>
      <c r="AZ162" s="488"/>
      <c r="BA162" s="488"/>
      <c r="BB162" s="488"/>
      <c r="BD162" s="589"/>
      <c r="BE162" s="590"/>
      <c r="BF162" s="590"/>
      <c r="BG162" s="536"/>
      <c r="BH162" s="388"/>
      <c r="BI162" s="488"/>
      <c r="BJ162" s="488"/>
      <c r="BK162" s="488"/>
      <c r="BL162" s="488"/>
      <c r="BM162" s="488"/>
    </row>
    <row r="163" customFormat="false" ht="12.75" hidden="false" customHeight="false" outlineLevel="0" collapsed="false">
      <c r="H163" s="586"/>
      <c r="I163" s="385"/>
      <c r="J163" s="419"/>
      <c r="L163" s="385"/>
      <c r="M163" s="385"/>
      <c r="Q163" s="488"/>
      <c r="R163" s="488"/>
      <c r="S163" s="488"/>
      <c r="T163" s="488"/>
      <c r="V163" s="488"/>
      <c r="W163" s="488"/>
      <c r="X163" s="488"/>
      <c r="Y163" s="587"/>
      <c r="Z163" s="588"/>
      <c r="AA163" s="488"/>
      <c r="AB163" s="488"/>
      <c r="AC163" s="488"/>
      <c r="AE163" s="488"/>
      <c r="AF163" s="488"/>
      <c r="AG163" s="488"/>
      <c r="AH163" s="488"/>
      <c r="AI163" s="488"/>
      <c r="AJ163" s="488"/>
      <c r="AK163" s="488"/>
      <c r="AL163" s="488"/>
      <c r="AN163" s="488"/>
      <c r="AO163" s="488"/>
      <c r="AP163" s="488"/>
      <c r="AQ163" s="488"/>
      <c r="AR163" s="488"/>
      <c r="AS163" s="488"/>
      <c r="AT163" s="488"/>
      <c r="AU163" s="488"/>
      <c r="AV163" s="488"/>
      <c r="AW163" s="488"/>
      <c r="AX163" s="488"/>
      <c r="AY163" s="488"/>
      <c r="AZ163" s="488"/>
      <c r="BA163" s="488"/>
      <c r="BB163" s="488"/>
      <c r="BD163" s="589"/>
      <c r="BE163" s="590"/>
      <c r="BF163" s="590"/>
      <c r="BG163" s="536"/>
      <c r="BH163" s="388"/>
      <c r="BI163" s="488"/>
      <c r="BJ163" s="488"/>
      <c r="BK163" s="488"/>
      <c r="BL163" s="488"/>
      <c r="BM163" s="488"/>
    </row>
    <row r="164" customFormat="false" ht="12.75" hidden="false" customHeight="false" outlineLevel="0" collapsed="false">
      <c r="H164" s="586"/>
      <c r="I164" s="385"/>
      <c r="J164" s="419"/>
      <c r="L164" s="385"/>
      <c r="M164" s="385"/>
      <c r="Q164" s="488"/>
      <c r="R164" s="488"/>
      <c r="S164" s="488"/>
      <c r="T164" s="488"/>
      <c r="V164" s="488"/>
      <c r="W164" s="488"/>
      <c r="X164" s="488"/>
      <c r="Y164" s="587"/>
      <c r="Z164" s="588"/>
      <c r="AA164" s="488"/>
      <c r="AB164" s="488"/>
      <c r="AC164" s="488"/>
      <c r="AE164" s="488"/>
      <c r="AF164" s="488"/>
      <c r="AG164" s="488"/>
      <c r="AH164" s="488"/>
      <c r="AI164" s="488"/>
      <c r="AJ164" s="488"/>
      <c r="AK164" s="488"/>
      <c r="AL164" s="488"/>
      <c r="AN164" s="488"/>
      <c r="AO164" s="488"/>
      <c r="AP164" s="488"/>
      <c r="AQ164" s="488"/>
      <c r="AR164" s="488"/>
      <c r="AS164" s="488"/>
      <c r="AT164" s="488"/>
      <c r="AU164" s="488"/>
      <c r="AV164" s="488"/>
      <c r="AW164" s="488"/>
      <c r="AX164" s="488"/>
      <c r="AY164" s="488"/>
      <c r="AZ164" s="488"/>
      <c r="BA164" s="488"/>
      <c r="BB164" s="488"/>
      <c r="BD164" s="589"/>
      <c r="BE164" s="590"/>
      <c r="BF164" s="590"/>
      <c r="BG164" s="536"/>
      <c r="BH164" s="388"/>
      <c r="BI164" s="488"/>
      <c r="BJ164" s="488"/>
      <c r="BK164" s="488"/>
      <c r="BL164" s="488"/>
      <c r="BM164" s="488"/>
    </row>
    <row r="165" customFormat="false" ht="12.75" hidden="false" customHeight="false" outlineLevel="0" collapsed="false">
      <c r="H165" s="586"/>
      <c r="I165" s="385"/>
      <c r="J165" s="419"/>
      <c r="L165" s="385"/>
      <c r="M165" s="385"/>
      <c r="Q165" s="488"/>
      <c r="R165" s="488"/>
      <c r="S165" s="488"/>
      <c r="T165" s="488"/>
      <c r="V165" s="488"/>
      <c r="W165" s="488"/>
      <c r="X165" s="488"/>
      <c r="Y165" s="587"/>
      <c r="Z165" s="588"/>
      <c r="AA165" s="488"/>
      <c r="AB165" s="488"/>
      <c r="AC165" s="488"/>
      <c r="AE165" s="488"/>
      <c r="AF165" s="488"/>
      <c r="AG165" s="488"/>
      <c r="AH165" s="488"/>
      <c r="AI165" s="488"/>
      <c r="AJ165" s="488"/>
      <c r="AK165" s="488"/>
      <c r="AL165" s="488"/>
      <c r="AN165" s="488"/>
      <c r="AO165" s="488"/>
      <c r="AP165" s="488"/>
      <c r="AQ165" s="488"/>
      <c r="AR165" s="488"/>
      <c r="AS165" s="488"/>
      <c r="AT165" s="488"/>
      <c r="AU165" s="488"/>
      <c r="AV165" s="488"/>
      <c r="AW165" s="488"/>
      <c r="AX165" s="488"/>
      <c r="AY165" s="488"/>
      <c r="AZ165" s="488"/>
      <c r="BA165" s="488"/>
      <c r="BB165" s="488"/>
      <c r="BD165" s="589"/>
      <c r="BE165" s="590"/>
      <c r="BF165" s="590"/>
      <c r="BG165" s="536"/>
      <c r="BH165" s="388"/>
      <c r="BI165" s="488"/>
      <c r="BJ165" s="488"/>
      <c r="BK165" s="488"/>
      <c r="BL165" s="488"/>
      <c r="BM165" s="488"/>
    </row>
    <row r="166" customFormat="false" ht="12.75" hidden="false" customHeight="false" outlineLevel="0" collapsed="false">
      <c r="H166" s="586"/>
      <c r="I166" s="385"/>
      <c r="J166" s="419"/>
      <c r="L166" s="385"/>
      <c r="M166" s="385"/>
      <c r="Q166" s="488"/>
      <c r="R166" s="488"/>
      <c r="S166" s="488"/>
      <c r="T166" s="488"/>
      <c r="V166" s="488"/>
      <c r="W166" s="488"/>
      <c r="X166" s="488"/>
      <c r="Y166" s="587"/>
      <c r="Z166" s="588"/>
      <c r="AA166" s="488"/>
      <c r="AB166" s="488"/>
      <c r="AC166" s="488"/>
      <c r="AE166" s="488"/>
      <c r="AF166" s="488"/>
      <c r="AG166" s="488"/>
      <c r="AH166" s="488"/>
      <c r="AI166" s="488"/>
      <c r="AJ166" s="488"/>
      <c r="AK166" s="488"/>
      <c r="AL166" s="488"/>
      <c r="AN166" s="488"/>
      <c r="AO166" s="488"/>
      <c r="AP166" s="488"/>
      <c r="AQ166" s="488"/>
      <c r="AR166" s="488"/>
      <c r="AS166" s="488"/>
      <c r="AT166" s="488"/>
      <c r="AU166" s="488"/>
      <c r="AV166" s="488"/>
      <c r="AW166" s="488"/>
      <c r="AX166" s="488"/>
      <c r="AY166" s="488"/>
      <c r="AZ166" s="488"/>
      <c r="BA166" s="488"/>
      <c r="BB166" s="488"/>
      <c r="BD166" s="589"/>
      <c r="BE166" s="590"/>
      <c r="BF166" s="590"/>
      <c r="BG166" s="536"/>
      <c r="BH166" s="388"/>
      <c r="BI166" s="488"/>
      <c r="BJ166" s="488"/>
      <c r="BK166" s="488"/>
      <c r="BL166" s="488"/>
      <c r="BM166" s="488"/>
    </row>
    <row r="167" customFormat="false" ht="12.75" hidden="false" customHeight="false" outlineLevel="0" collapsed="false">
      <c r="H167" s="586"/>
      <c r="I167" s="385"/>
      <c r="J167" s="419"/>
      <c r="L167" s="385"/>
      <c r="M167" s="385"/>
      <c r="Q167" s="488"/>
      <c r="R167" s="488"/>
      <c r="S167" s="488"/>
      <c r="T167" s="488"/>
      <c r="V167" s="488"/>
      <c r="W167" s="488"/>
      <c r="X167" s="488"/>
      <c r="Y167" s="587"/>
      <c r="Z167" s="588"/>
      <c r="AA167" s="488"/>
      <c r="AB167" s="488"/>
      <c r="AC167" s="488"/>
      <c r="AE167" s="488"/>
      <c r="AF167" s="488"/>
      <c r="AG167" s="488"/>
      <c r="AH167" s="488"/>
      <c r="AI167" s="488"/>
      <c r="AJ167" s="488"/>
      <c r="AK167" s="488"/>
      <c r="AL167" s="488"/>
      <c r="AN167" s="488"/>
      <c r="AO167" s="488"/>
      <c r="AP167" s="488"/>
      <c r="AQ167" s="488"/>
      <c r="AR167" s="488"/>
      <c r="AS167" s="488"/>
      <c r="AT167" s="488"/>
      <c r="AU167" s="488"/>
      <c r="AV167" s="488"/>
      <c r="AW167" s="488"/>
      <c r="AX167" s="488"/>
      <c r="AY167" s="488"/>
      <c r="AZ167" s="488"/>
      <c r="BA167" s="488"/>
      <c r="BB167" s="488"/>
      <c r="BD167" s="589"/>
      <c r="BE167" s="590"/>
      <c r="BF167" s="590"/>
      <c r="BG167" s="536"/>
      <c r="BH167" s="388"/>
      <c r="BI167" s="488"/>
      <c r="BJ167" s="488"/>
      <c r="BK167" s="488"/>
      <c r="BL167" s="488"/>
      <c r="BM167" s="488"/>
    </row>
    <row r="168" customFormat="false" ht="12.75" hidden="false" customHeight="false" outlineLevel="0" collapsed="false">
      <c r="H168" s="586"/>
      <c r="I168" s="385"/>
      <c r="J168" s="419"/>
      <c r="L168" s="385"/>
      <c r="M168" s="385"/>
      <c r="Q168" s="488"/>
      <c r="R168" s="488"/>
      <c r="S168" s="488"/>
      <c r="T168" s="488"/>
      <c r="V168" s="488"/>
      <c r="W168" s="488"/>
      <c r="X168" s="488"/>
      <c r="Y168" s="587"/>
      <c r="Z168" s="588"/>
      <c r="AA168" s="488"/>
      <c r="AB168" s="488"/>
      <c r="AC168" s="488"/>
      <c r="AE168" s="488"/>
      <c r="AF168" s="488"/>
      <c r="AG168" s="488"/>
      <c r="AH168" s="488"/>
      <c r="AI168" s="488"/>
      <c r="AJ168" s="488"/>
      <c r="AK168" s="488"/>
      <c r="AL168" s="488"/>
      <c r="AN168" s="488"/>
      <c r="AO168" s="488"/>
      <c r="AP168" s="488"/>
      <c r="AQ168" s="488"/>
      <c r="AR168" s="488"/>
      <c r="AS168" s="488"/>
      <c r="AT168" s="488"/>
      <c r="AU168" s="488"/>
      <c r="AV168" s="488"/>
      <c r="AW168" s="488"/>
      <c r="AX168" s="488"/>
      <c r="AY168" s="488"/>
      <c r="AZ168" s="488"/>
      <c r="BA168" s="488"/>
      <c r="BB168" s="488"/>
      <c r="BD168" s="589"/>
      <c r="BE168" s="590"/>
      <c r="BF168" s="590"/>
      <c r="BG168" s="536"/>
      <c r="BH168" s="388"/>
      <c r="BI168" s="488"/>
      <c r="BJ168" s="488"/>
      <c r="BK168" s="488"/>
      <c r="BL168" s="488"/>
      <c r="BM168" s="488"/>
    </row>
    <row r="169" customFormat="false" ht="12.75" hidden="false" customHeight="false" outlineLevel="0" collapsed="false">
      <c r="H169" s="586"/>
      <c r="I169" s="385"/>
      <c r="J169" s="419"/>
      <c r="L169" s="385"/>
      <c r="M169" s="385"/>
      <c r="Q169" s="488"/>
      <c r="R169" s="488"/>
      <c r="S169" s="488"/>
      <c r="T169" s="488"/>
      <c r="V169" s="488"/>
      <c r="W169" s="488"/>
      <c r="X169" s="488"/>
      <c r="Y169" s="587"/>
      <c r="Z169" s="588"/>
      <c r="AA169" s="488"/>
      <c r="AB169" s="488"/>
      <c r="AC169" s="488"/>
      <c r="AE169" s="488"/>
      <c r="AF169" s="488"/>
      <c r="AG169" s="488"/>
      <c r="AH169" s="488"/>
      <c r="AI169" s="488"/>
      <c r="AJ169" s="488"/>
      <c r="AK169" s="488"/>
      <c r="AL169" s="488"/>
      <c r="AN169" s="488"/>
      <c r="AO169" s="488"/>
      <c r="AP169" s="488"/>
      <c r="AQ169" s="488"/>
      <c r="AR169" s="488"/>
      <c r="AS169" s="488"/>
      <c r="AT169" s="488"/>
      <c r="AU169" s="488"/>
      <c r="AV169" s="488"/>
      <c r="AW169" s="488"/>
      <c r="AX169" s="488"/>
      <c r="AY169" s="488"/>
      <c r="AZ169" s="488"/>
      <c r="BA169" s="488"/>
      <c r="BB169" s="488"/>
      <c r="BD169" s="589"/>
      <c r="BE169" s="590"/>
      <c r="BF169" s="590"/>
      <c r="BG169" s="536"/>
      <c r="BH169" s="388"/>
      <c r="BI169" s="488"/>
      <c r="BJ169" s="488"/>
      <c r="BK169" s="488"/>
      <c r="BL169" s="488"/>
      <c r="BM169" s="488"/>
    </row>
    <row r="170" customFormat="false" ht="12.75" hidden="false" customHeight="false" outlineLevel="0" collapsed="false">
      <c r="H170" s="586"/>
      <c r="I170" s="385"/>
      <c r="J170" s="419"/>
      <c r="L170" s="385"/>
      <c r="M170" s="385"/>
      <c r="Q170" s="488"/>
      <c r="R170" s="488"/>
      <c r="S170" s="488"/>
      <c r="T170" s="488"/>
      <c r="V170" s="488"/>
      <c r="W170" s="488"/>
      <c r="X170" s="488"/>
      <c r="Y170" s="587"/>
      <c r="Z170" s="588"/>
      <c r="AA170" s="488"/>
      <c r="AB170" s="488"/>
      <c r="AC170" s="488"/>
      <c r="AE170" s="488"/>
      <c r="AF170" s="488"/>
      <c r="AG170" s="488"/>
      <c r="AH170" s="488"/>
      <c r="AI170" s="488"/>
      <c r="AJ170" s="488"/>
      <c r="AK170" s="488"/>
      <c r="AL170" s="488"/>
      <c r="AN170" s="488"/>
      <c r="AO170" s="488"/>
      <c r="AP170" s="488"/>
      <c r="AQ170" s="488"/>
      <c r="AR170" s="488"/>
      <c r="AS170" s="488"/>
      <c r="AT170" s="488"/>
      <c r="AU170" s="488"/>
      <c r="AV170" s="488"/>
      <c r="AW170" s="488"/>
      <c r="AX170" s="488"/>
      <c r="AY170" s="488"/>
      <c r="AZ170" s="488"/>
      <c r="BA170" s="488"/>
      <c r="BB170" s="488"/>
      <c r="BD170" s="589"/>
      <c r="BE170" s="590"/>
      <c r="BF170" s="590"/>
      <c r="BG170" s="536"/>
      <c r="BH170" s="388"/>
      <c r="BI170" s="488"/>
      <c r="BJ170" s="488"/>
      <c r="BK170" s="488"/>
      <c r="BL170" s="488"/>
      <c r="BM170" s="488"/>
    </row>
    <row r="171" customFormat="false" ht="12.75" hidden="false" customHeight="false" outlineLevel="0" collapsed="false">
      <c r="H171" s="586"/>
      <c r="I171" s="385"/>
      <c r="J171" s="419"/>
      <c r="L171" s="385"/>
      <c r="M171" s="385"/>
      <c r="Q171" s="488"/>
      <c r="R171" s="488"/>
      <c r="S171" s="488"/>
      <c r="T171" s="488"/>
      <c r="V171" s="488"/>
      <c r="W171" s="488"/>
      <c r="X171" s="488"/>
      <c r="Y171" s="587"/>
      <c r="Z171" s="588"/>
      <c r="AA171" s="488"/>
      <c r="AB171" s="488"/>
      <c r="AC171" s="488"/>
      <c r="AE171" s="488"/>
      <c r="AF171" s="488"/>
      <c r="AG171" s="488"/>
      <c r="AH171" s="488"/>
      <c r="AI171" s="488"/>
      <c r="AJ171" s="488"/>
      <c r="AK171" s="488"/>
      <c r="AL171" s="488"/>
      <c r="AN171" s="488"/>
      <c r="AO171" s="488"/>
      <c r="AP171" s="488"/>
      <c r="AQ171" s="488"/>
      <c r="AR171" s="488"/>
      <c r="AS171" s="488"/>
      <c r="AT171" s="488"/>
      <c r="AU171" s="488"/>
      <c r="AV171" s="488"/>
      <c r="AW171" s="488"/>
      <c r="AX171" s="488"/>
      <c r="AY171" s="488"/>
      <c r="AZ171" s="488"/>
      <c r="BA171" s="488"/>
      <c r="BB171" s="488"/>
      <c r="BD171" s="589"/>
      <c r="BE171" s="590"/>
      <c r="BF171" s="590"/>
      <c r="BG171" s="536"/>
      <c r="BH171" s="388"/>
      <c r="BI171" s="488"/>
      <c r="BJ171" s="488"/>
      <c r="BK171" s="488"/>
      <c r="BL171" s="488"/>
      <c r="BM171" s="488"/>
    </row>
    <row r="172" customFormat="false" ht="12.75" hidden="false" customHeight="false" outlineLevel="0" collapsed="false">
      <c r="H172" s="586"/>
      <c r="I172" s="385"/>
      <c r="J172" s="419"/>
      <c r="L172" s="385"/>
      <c r="M172" s="385"/>
      <c r="Q172" s="488"/>
      <c r="R172" s="488"/>
      <c r="S172" s="488"/>
      <c r="T172" s="488"/>
      <c r="V172" s="488"/>
      <c r="W172" s="488"/>
      <c r="X172" s="488"/>
      <c r="Y172" s="587"/>
      <c r="Z172" s="588"/>
      <c r="AA172" s="488"/>
      <c r="AB172" s="488"/>
      <c r="AC172" s="488"/>
      <c r="AE172" s="488"/>
      <c r="AF172" s="488"/>
      <c r="AG172" s="488"/>
      <c r="AH172" s="488"/>
      <c r="AI172" s="488"/>
      <c r="AJ172" s="488"/>
      <c r="AK172" s="488"/>
      <c r="AL172" s="488"/>
      <c r="AN172" s="488"/>
      <c r="AO172" s="488"/>
      <c r="AP172" s="488"/>
      <c r="AQ172" s="488"/>
      <c r="AR172" s="488"/>
      <c r="AS172" s="488"/>
      <c r="AT172" s="488"/>
      <c r="AU172" s="488"/>
      <c r="AV172" s="488"/>
      <c r="AW172" s="488"/>
      <c r="AX172" s="488"/>
      <c r="AY172" s="488"/>
      <c r="AZ172" s="488"/>
      <c r="BA172" s="488"/>
      <c r="BB172" s="488"/>
      <c r="BD172" s="589"/>
      <c r="BE172" s="590"/>
      <c r="BF172" s="590"/>
      <c r="BG172" s="536"/>
      <c r="BH172" s="388"/>
      <c r="BI172" s="488"/>
      <c r="BJ172" s="488"/>
      <c r="BK172" s="488"/>
      <c r="BL172" s="488"/>
      <c r="BM172" s="488"/>
    </row>
    <row r="173" customFormat="false" ht="12.75" hidden="false" customHeight="false" outlineLevel="0" collapsed="false">
      <c r="H173" s="586"/>
      <c r="I173" s="385"/>
      <c r="J173" s="419"/>
      <c r="L173" s="385"/>
      <c r="M173" s="385"/>
      <c r="Q173" s="488"/>
      <c r="R173" s="488"/>
      <c r="S173" s="488"/>
      <c r="T173" s="488"/>
      <c r="V173" s="488"/>
      <c r="W173" s="488"/>
      <c r="X173" s="488"/>
      <c r="Y173" s="587"/>
      <c r="Z173" s="588"/>
      <c r="AA173" s="488"/>
      <c r="AB173" s="488"/>
      <c r="AC173" s="488"/>
      <c r="AE173" s="488"/>
      <c r="AF173" s="488"/>
      <c r="AG173" s="488"/>
      <c r="AH173" s="488"/>
      <c r="AI173" s="488"/>
      <c r="AJ173" s="488"/>
      <c r="AK173" s="488"/>
      <c r="AL173" s="488"/>
      <c r="AN173" s="488"/>
      <c r="AO173" s="488"/>
      <c r="AP173" s="488"/>
      <c r="AQ173" s="488"/>
      <c r="AR173" s="488"/>
      <c r="AS173" s="488"/>
      <c r="AT173" s="488"/>
      <c r="AU173" s="488"/>
      <c r="AV173" s="488"/>
      <c r="AW173" s="488"/>
      <c r="AX173" s="488"/>
      <c r="AY173" s="488"/>
      <c r="AZ173" s="488"/>
      <c r="BA173" s="488"/>
      <c r="BB173" s="488"/>
      <c r="BD173" s="589"/>
      <c r="BE173" s="590"/>
      <c r="BF173" s="590"/>
      <c r="BG173" s="536"/>
      <c r="BH173" s="388"/>
      <c r="BI173" s="488"/>
      <c r="BJ173" s="488"/>
      <c r="BK173" s="488"/>
      <c r="BL173" s="488"/>
      <c r="BM173" s="488"/>
    </row>
    <row r="174" customFormat="false" ht="12.75" hidden="false" customHeight="false" outlineLevel="0" collapsed="false">
      <c r="H174" s="586"/>
      <c r="I174" s="385"/>
      <c r="J174" s="419"/>
      <c r="L174" s="385"/>
      <c r="M174" s="385"/>
      <c r="Q174" s="488"/>
      <c r="R174" s="488"/>
      <c r="S174" s="488"/>
      <c r="T174" s="488"/>
      <c r="V174" s="488"/>
      <c r="W174" s="488"/>
      <c r="X174" s="488"/>
      <c r="Y174" s="587"/>
      <c r="Z174" s="588"/>
      <c r="AA174" s="488"/>
      <c r="AB174" s="488"/>
      <c r="AC174" s="488"/>
      <c r="AE174" s="488"/>
      <c r="AF174" s="488"/>
      <c r="AG174" s="488"/>
      <c r="AH174" s="488"/>
      <c r="AI174" s="488"/>
      <c r="AJ174" s="488"/>
      <c r="AK174" s="488"/>
      <c r="AL174" s="488"/>
      <c r="AN174" s="488"/>
      <c r="AO174" s="488"/>
      <c r="AP174" s="488"/>
      <c r="AQ174" s="488"/>
      <c r="AR174" s="488"/>
      <c r="AS174" s="488"/>
      <c r="AT174" s="488"/>
      <c r="AU174" s="488"/>
      <c r="AV174" s="488"/>
      <c r="AW174" s="488"/>
      <c r="AX174" s="488"/>
      <c r="AY174" s="488"/>
      <c r="AZ174" s="488"/>
      <c r="BA174" s="488"/>
      <c r="BB174" s="488"/>
      <c r="BD174" s="589"/>
      <c r="BE174" s="590"/>
      <c r="BF174" s="590"/>
      <c r="BG174" s="536"/>
      <c r="BH174" s="388"/>
      <c r="BI174" s="488"/>
      <c r="BJ174" s="488"/>
      <c r="BK174" s="488"/>
      <c r="BL174" s="488"/>
      <c r="BM174" s="488"/>
    </row>
    <row r="175" customFormat="false" ht="12.75" hidden="false" customHeight="false" outlineLevel="0" collapsed="false">
      <c r="H175" s="586"/>
      <c r="I175" s="385"/>
      <c r="J175" s="419"/>
      <c r="L175" s="385"/>
      <c r="M175" s="385"/>
      <c r="Q175" s="488"/>
      <c r="R175" s="488"/>
      <c r="S175" s="488"/>
      <c r="T175" s="488"/>
      <c r="V175" s="488"/>
      <c r="W175" s="488"/>
      <c r="X175" s="488"/>
      <c r="Y175" s="587"/>
      <c r="Z175" s="588"/>
      <c r="AA175" s="488"/>
      <c r="AB175" s="488"/>
      <c r="AC175" s="488"/>
      <c r="AE175" s="488"/>
      <c r="AF175" s="488"/>
      <c r="AG175" s="488"/>
      <c r="AH175" s="488"/>
      <c r="AI175" s="488"/>
      <c r="AJ175" s="488"/>
      <c r="AK175" s="488"/>
      <c r="AL175" s="488"/>
      <c r="AN175" s="488"/>
      <c r="AO175" s="488"/>
      <c r="AP175" s="488"/>
      <c r="AQ175" s="488"/>
      <c r="AR175" s="488"/>
      <c r="AS175" s="488"/>
      <c r="AT175" s="488"/>
      <c r="AU175" s="488"/>
      <c r="AV175" s="488"/>
      <c r="AW175" s="488"/>
      <c r="AX175" s="488"/>
      <c r="AY175" s="488"/>
      <c r="AZ175" s="488"/>
      <c r="BA175" s="488"/>
      <c r="BB175" s="488"/>
      <c r="BD175" s="589"/>
      <c r="BE175" s="590"/>
      <c r="BF175" s="590"/>
      <c r="BG175" s="536"/>
      <c r="BH175" s="388"/>
      <c r="BI175" s="488"/>
      <c r="BJ175" s="488"/>
      <c r="BK175" s="488"/>
      <c r="BL175" s="488"/>
      <c r="BM175" s="488"/>
    </row>
    <row r="176" customFormat="false" ht="12.75" hidden="false" customHeight="false" outlineLevel="0" collapsed="false">
      <c r="H176" s="586"/>
      <c r="I176" s="385"/>
      <c r="J176" s="419"/>
      <c r="L176" s="385"/>
      <c r="M176" s="385"/>
      <c r="Q176" s="488"/>
      <c r="R176" s="488"/>
      <c r="S176" s="488"/>
      <c r="T176" s="488"/>
      <c r="V176" s="488"/>
      <c r="W176" s="488"/>
      <c r="X176" s="488"/>
      <c r="Y176" s="587"/>
      <c r="Z176" s="588"/>
      <c r="AA176" s="488"/>
      <c r="AB176" s="488"/>
      <c r="AC176" s="488"/>
      <c r="AE176" s="488"/>
      <c r="AF176" s="488"/>
      <c r="AG176" s="488"/>
      <c r="AH176" s="488"/>
      <c r="AI176" s="488"/>
      <c r="AJ176" s="488"/>
      <c r="AK176" s="488"/>
      <c r="AL176" s="488"/>
      <c r="AN176" s="488"/>
      <c r="AO176" s="488"/>
      <c r="AP176" s="488"/>
      <c r="AQ176" s="488"/>
      <c r="AR176" s="488"/>
      <c r="AS176" s="488"/>
      <c r="AT176" s="488"/>
      <c r="AU176" s="488"/>
      <c r="AV176" s="488"/>
      <c r="AW176" s="488"/>
      <c r="AX176" s="488"/>
      <c r="AY176" s="488"/>
      <c r="AZ176" s="488"/>
      <c r="BA176" s="488"/>
      <c r="BB176" s="488"/>
      <c r="BD176" s="589"/>
      <c r="BE176" s="590"/>
      <c r="BF176" s="590"/>
      <c r="BG176" s="536"/>
      <c r="BH176" s="388"/>
      <c r="BI176" s="488"/>
      <c r="BJ176" s="488"/>
      <c r="BK176" s="488"/>
      <c r="BL176" s="488"/>
      <c r="BM176" s="488"/>
    </row>
    <row r="177" customFormat="false" ht="12.75" hidden="false" customHeight="false" outlineLevel="0" collapsed="false">
      <c r="H177" s="586"/>
      <c r="I177" s="385"/>
      <c r="J177" s="419"/>
      <c r="L177" s="385"/>
      <c r="M177" s="385"/>
      <c r="Q177" s="488"/>
      <c r="R177" s="488"/>
      <c r="S177" s="488"/>
      <c r="T177" s="488"/>
      <c r="V177" s="488"/>
      <c r="W177" s="488"/>
      <c r="X177" s="488"/>
      <c r="Y177" s="587"/>
      <c r="Z177" s="588"/>
      <c r="AA177" s="488"/>
      <c r="AB177" s="488"/>
      <c r="AC177" s="488"/>
      <c r="AE177" s="488"/>
      <c r="AF177" s="488"/>
      <c r="AG177" s="488"/>
      <c r="AH177" s="488"/>
      <c r="AI177" s="488"/>
      <c r="AJ177" s="488"/>
      <c r="AK177" s="488"/>
      <c r="AL177" s="488"/>
      <c r="AN177" s="488"/>
      <c r="AO177" s="488"/>
      <c r="AP177" s="488"/>
      <c r="AQ177" s="488"/>
      <c r="AR177" s="488"/>
      <c r="AS177" s="488"/>
      <c r="AT177" s="488"/>
      <c r="AU177" s="488"/>
      <c r="AV177" s="488"/>
      <c r="AW177" s="488"/>
      <c r="AX177" s="488"/>
      <c r="AY177" s="488"/>
      <c r="AZ177" s="488"/>
      <c r="BA177" s="488"/>
      <c r="BB177" s="488"/>
      <c r="BD177" s="589"/>
      <c r="BE177" s="590"/>
      <c r="BF177" s="590"/>
      <c r="BG177" s="536"/>
      <c r="BH177" s="388"/>
      <c r="BI177" s="488"/>
      <c r="BJ177" s="488"/>
      <c r="BK177" s="488"/>
      <c r="BL177" s="488"/>
      <c r="BM177" s="488"/>
    </row>
    <row r="178" customFormat="false" ht="12.75" hidden="false" customHeight="false" outlineLevel="0" collapsed="false">
      <c r="H178" s="586"/>
      <c r="I178" s="385"/>
      <c r="J178" s="419"/>
      <c r="L178" s="385"/>
      <c r="M178" s="385"/>
      <c r="Q178" s="488"/>
      <c r="R178" s="488"/>
      <c r="S178" s="488"/>
      <c r="T178" s="488"/>
      <c r="V178" s="488"/>
      <c r="W178" s="488"/>
      <c r="X178" s="488"/>
      <c r="Y178" s="587"/>
      <c r="Z178" s="588"/>
      <c r="AA178" s="488"/>
      <c r="AB178" s="488"/>
      <c r="AC178" s="488"/>
      <c r="AE178" s="488"/>
      <c r="AF178" s="488"/>
      <c r="AG178" s="488"/>
      <c r="AH178" s="488"/>
      <c r="AI178" s="488"/>
      <c r="AJ178" s="488"/>
      <c r="AK178" s="488"/>
      <c r="AL178" s="488"/>
      <c r="AN178" s="488"/>
      <c r="AO178" s="488"/>
      <c r="AP178" s="488"/>
      <c r="AQ178" s="488"/>
      <c r="AR178" s="488"/>
      <c r="AS178" s="488"/>
      <c r="AT178" s="488"/>
      <c r="AU178" s="488"/>
      <c r="AV178" s="488"/>
      <c r="AW178" s="488"/>
      <c r="AX178" s="488"/>
      <c r="AY178" s="488"/>
      <c r="AZ178" s="488"/>
      <c r="BA178" s="488"/>
      <c r="BB178" s="488"/>
      <c r="BD178" s="589"/>
      <c r="BE178" s="590"/>
      <c r="BF178" s="590"/>
      <c r="BG178" s="536"/>
      <c r="BH178" s="388"/>
      <c r="BI178" s="488"/>
      <c r="BJ178" s="488"/>
      <c r="BK178" s="488"/>
      <c r="BL178" s="488"/>
      <c r="BM178" s="488"/>
    </row>
    <row r="179" customFormat="false" ht="12.75" hidden="false" customHeight="false" outlineLevel="0" collapsed="false">
      <c r="H179" s="586"/>
      <c r="I179" s="385"/>
      <c r="J179" s="419"/>
      <c r="L179" s="385"/>
      <c r="M179" s="385"/>
      <c r="Q179" s="488"/>
      <c r="R179" s="488"/>
      <c r="S179" s="488"/>
      <c r="T179" s="488"/>
      <c r="V179" s="488"/>
      <c r="W179" s="488"/>
      <c r="X179" s="488"/>
      <c r="Y179" s="587"/>
      <c r="Z179" s="588"/>
      <c r="AA179" s="488"/>
      <c r="AB179" s="488"/>
      <c r="AC179" s="488"/>
      <c r="AE179" s="488"/>
      <c r="AF179" s="488"/>
      <c r="AG179" s="488"/>
      <c r="AH179" s="488"/>
      <c r="AI179" s="488"/>
      <c r="AJ179" s="488"/>
      <c r="AK179" s="488"/>
      <c r="AL179" s="488"/>
      <c r="AN179" s="488"/>
      <c r="AO179" s="488"/>
      <c r="AP179" s="488"/>
      <c r="AQ179" s="488"/>
      <c r="AR179" s="488"/>
      <c r="AS179" s="488"/>
      <c r="AT179" s="488"/>
      <c r="AU179" s="488"/>
      <c r="AV179" s="488"/>
      <c r="AW179" s="488"/>
      <c r="AX179" s="488"/>
      <c r="AY179" s="488"/>
      <c r="AZ179" s="488"/>
      <c r="BA179" s="488"/>
      <c r="BB179" s="488"/>
      <c r="BD179" s="589"/>
      <c r="BE179" s="590"/>
      <c r="BF179" s="590"/>
      <c r="BG179" s="536"/>
      <c r="BH179" s="388"/>
      <c r="BI179" s="488"/>
      <c r="BJ179" s="488"/>
      <c r="BK179" s="488"/>
      <c r="BL179" s="488"/>
      <c r="BM179" s="488"/>
    </row>
    <row r="180" customFormat="false" ht="12.75" hidden="false" customHeight="false" outlineLevel="0" collapsed="false">
      <c r="H180" s="586"/>
      <c r="I180" s="385"/>
      <c r="J180" s="419"/>
      <c r="L180" s="385"/>
      <c r="M180" s="385"/>
      <c r="Q180" s="488"/>
      <c r="R180" s="488"/>
      <c r="S180" s="488"/>
      <c r="T180" s="488"/>
      <c r="V180" s="488"/>
      <c r="W180" s="488"/>
      <c r="X180" s="488"/>
      <c r="Y180" s="587"/>
      <c r="Z180" s="588"/>
      <c r="AA180" s="488"/>
      <c r="AB180" s="488"/>
      <c r="AC180" s="488"/>
      <c r="AE180" s="488"/>
      <c r="AF180" s="488"/>
      <c r="AG180" s="488"/>
      <c r="AH180" s="488"/>
      <c r="AI180" s="488"/>
      <c r="AJ180" s="488"/>
      <c r="AK180" s="488"/>
      <c r="AL180" s="488"/>
      <c r="AN180" s="488"/>
      <c r="AO180" s="488"/>
      <c r="AP180" s="488"/>
      <c r="AQ180" s="488"/>
      <c r="AR180" s="488"/>
      <c r="AS180" s="488"/>
      <c r="AT180" s="488"/>
      <c r="AU180" s="488"/>
      <c r="AV180" s="488"/>
      <c r="AW180" s="488"/>
      <c r="AX180" s="488"/>
      <c r="AY180" s="488"/>
      <c r="AZ180" s="488"/>
      <c r="BA180" s="488"/>
      <c r="BB180" s="488"/>
      <c r="BD180" s="589"/>
      <c r="BE180" s="590"/>
      <c r="BF180" s="590"/>
      <c r="BG180" s="536"/>
      <c r="BH180" s="388"/>
      <c r="BI180" s="488"/>
      <c r="BJ180" s="488"/>
      <c r="BK180" s="488"/>
      <c r="BL180" s="488"/>
      <c r="BM180" s="488"/>
    </row>
    <row r="181" customFormat="false" ht="12.75" hidden="false" customHeight="false" outlineLevel="0" collapsed="false">
      <c r="H181" s="586"/>
      <c r="I181" s="385"/>
      <c r="J181" s="419"/>
      <c r="L181" s="385"/>
      <c r="M181" s="385"/>
      <c r="Q181" s="488"/>
      <c r="R181" s="488"/>
      <c r="S181" s="488"/>
      <c r="T181" s="488"/>
      <c r="V181" s="488"/>
      <c r="W181" s="488"/>
      <c r="X181" s="488"/>
      <c r="Y181" s="587"/>
      <c r="Z181" s="588"/>
      <c r="AA181" s="488"/>
      <c r="AB181" s="488"/>
      <c r="AC181" s="488"/>
      <c r="AE181" s="488"/>
      <c r="AF181" s="488"/>
      <c r="AG181" s="488"/>
      <c r="AH181" s="488"/>
      <c r="AI181" s="488"/>
      <c r="AJ181" s="488"/>
      <c r="AK181" s="488"/>
      <c r="AL181" s="488"/>
      <c r="AN181" s="488"/>
      <c r="AO181" s="488"/>
      <c r="AP181" s="488"/>
      <c r="AQ181" s="488"/>
      <c r="AR181" s="488"/>
      <c r="AS181" s="488"/>
      <c r="AT181" s="488"/>
      <c r="AU181" s="488"/>
      <c r="AV181" s="488"/>
      <c r="AW181" s="488"/>
      <c r="AX181" s="488"/>
      <c r="AY181" s="488"/>
      <c r="AZ181" s="488"/>
      <c r="BA181" s="488"/>
      <c r="BB181" s="488"/>
      <c r="BD181" s="589"/>
      <c r="BE181" s="590"/>
      <c r="BF181" s="590"/>
      <c r="BG181" s="536"/>
      <c r="BH181" s="388"/>
      <c r="BI181" s="488"/>
      <c r="BJ181" s="488"/>
      <c r="BK181" s="488"/>
      <c r="BL181" s="488"/>
      <c r="BM181" s="488"/>
    </row>
    <row r="182" customFormat="false" ht="12.75" hidden="false" customHeight="false" outlineLevel="0" collapsed="false">
      <c r="H182" s="586"/>
      <c r="I182" s="385"/>
      <c r="J182" s="419"/>
      <c r="L182" s="385"/>
      <c r="M182" s="385"/>
      <c r="Q182" s="488"/>
      <c r="R182" s="488"/>
      <c r="S182" s="488"/>
      <c r="T182" s="488"/>
      <c r="V182" s="488"/>
      <c r="W182" s="488"/>
      <c r="X182" s="488"/>
      <c r="Y182" s="587"/>
      <c r="Z182" s="588"/>
      <c r="AA182" s="488"/>
      <c r="AB182" s="488"/>
      <c r="AC182" s="488"/>
      <c r="AE182" s="488"/>
      <c r="AF182" s="488"/>
      <c r="AG182" s="488"/>
      <c r="AH182" s="488"/>
      <c r="AI182" s="488"/>
      <c r="AJ182" s="488"/>
      <c r="AK182" s="488"/>
      <c r="AL182" s="488"/>
      <c r="AN182" s="488"/>
      <c r="AO182" s="488"/>
      <c r="AP182" s="488"/>
      <c r="AQ182" s="488"/>
      <c r="AR182" s="488"/>
      <c r="AS182" s="488"/>
      <c r="AT182" s="488"/>
      <c r="AU182" s="488"/>
      <c r="AV182" s="488"/>
      <c r="AW182" s="488"/>
      <c r="AX182" s="488"/>
      <c r="AY182" s="488"/>
      <c r="AZ182" s="488"/>
      <c r="BA182" s="488"/>
      <c r="BB182" s="488"/>
      <c r="BD182" s="589"/>
      <c r="BE182" s="590"/>
      <c r="BF182" s="590"/>
      <c r="BG182" s="536"/>
      <c r="BH182" s="388"/>
      <c r="BI182" s="488"/>
      <c r="BJ182" s="488"/>
      <c r="BK182" s="488"/>
      <c r="BL182" s="488"/>
      <c r="BM182" s="488"/>
    </row>
    <row r="183" customFormat="false" ht="12.75" hidden="false" customHeight="false" outlineLevel="0" collapsed="false">
      <c r="H183" s="586"/>
      <c r="I183" s="385"/>
      <c r="J183" s="419"/>
      <c r="L183" s="385"/>
      <c r="M183" s="385"/>
      <c r="Q183" s="488"/>
      <c r="R183" s="488"/>
      <c r="S183" s="488"/>
      <c r="T183" s="488"/>
      <c r="V183" s="488"/>
      <c r="W183" s="488"/>
      <c r="X183" s="488"/>
      <c r="Y183" s="587"/>
      <c r="Z183" s="588"/>
      <c r="AA183" s="488"/>
      <c r="AB183" s="488"/>
      <c r="AC183" s="488"/>
      <c r="AE183" s="488"/>
      <c r="AF183" s="488"/>
      <c r="AG183" s="488"/>
      <c r="AH183" s="488"/>
      <c r="AI183" s="488"/>
      <c r="AJ183" s="488"/>
      <c r="AK183" s="488"/>
      <c r="AL183" s="488"/>
      <c r="AN183" s="488"/>
      <c r="AO183" s="488"/>
      <c r="AP183" s="488"/>
      <c r="AQ183" s="488"/>
      <c r="AR183" s="488"/>
      <c r="AS183" s="488"/>
      <c r="AT183" s="488"/>
      <c r="AU183" s="488"/>
      <c r="AV183" s="488"/>
      <c r="AW183" s="488"/>
      <c r="AX183" s="488"/>
      <c r="AY183" s="488"/>
      <c r="AZ183" s="488"/>
      <c r="BA183" s="488"/>
      <c r="BB183" s="488"/>
      <c r="BD183" s="589"/>
      <c r="BE183" s="590"/>
      <c r="BF183" s="590"/>
      <c r="BG183" s="536"/>
      <c r="BH183" s="388"/>
      <c r="BI183" s="488"/>
      <c r="BJ183" s="488"/>
      <c r="BK183" s="488"/>
      <c r="BL183" s="488"/>
      <c r="BM183" s="488"/>
    </row>
    <row r="184" customFormat="false" ht="12.75" hidden="false" customHeight="false" outlineLevel="0" collapsed="false">
      <c r="H184" s="586"/>
      <c r="I184" s="385"/>
      <c r="J184" s="419"/>
      <c r="L184" s="385"/>
      <c r="M184" s="385"/>
      <c r="Q184" s="488"/>
      <c r="R184" s="488"/>
      <c r="S184" s="488"/>
      <c r="T184" s="488"/>
      <c r="V184" s="488"/>
      <c r="W184" s="488"/>
      <c r="X184" s="488"/>
      <c r="Y184" s="587"/>
      <c r="Z184" s="588"/>
      <c r="AA184" s="488"/>
      <c r="AB184" s="488"/>
      <c r="AC184" s="488"/>
      <c r="AE184" s="488"/>
      <c r="AF184" s="488"/>
      <c r="AG184" s="488"/>
      <c r="AH184" s="488"/>
      <c r="AI184" s="488"/>
      <c r="AJ184" s="488"/>
      <c r="AK184" s="488"/>
      <c r="AL184" s="488"/>
      <c r="AN184" s="488"/>
      <c r="AO184" s="488"/>
      <c r="AP184" s="488"/>
      <c r="AQ184" s="488"/>
      <c r="AR184" s="488"/>
      <c r="AS184" s="488"/>
      <c r="AT184" s="488"/>
      <c r="AU184" s="488"/>
      <c r="AV184" s="488"/>
      <c r="AW184" s="488"/>
      <c r="AX184" s="488"/>
      <c r="AY184" s="488"/>
      <c r="AZ184" s="488"/>
      <c r="BA184" s="488"/>
      <c r="BB184" s="488"/>
      <c r="BD184" s="589"/>
      <c r="BE184" s="590"/>
      <c r="BF184" s="590"/>
      <c r="BG184" s="536"/>
      <c r="BH184" s="388"/>
      <c r="BI184" s="488"/>
      <c r="BJ184" s="488"/>
      <c r="BK184" s="488"/>
      <c r="BL184" s="488"/>
      <c r="BM184" s="488"/>
    </row>
    <row r="185" customFormat="false" ht="12.75" hidden="false" customHeight="false" outlineLevel="0" collapsed="false">
      <c r="H185" s="586"/>
      <c r="I185" s="385"/>
      <c r="J185" s="419"/>
      <c r="L185" s="385"/>
      <c r="M185" s="385"/>
      <c r="Q185" s="488"/>
      <c r="R185" s="488"/>
      <c r="S185" s="488"/>
      <c r="T185" s="488"/>
      <c r="V185" s="488"/>
      <c r="W185" s="488"/>
      <c r="X185" s="488"/>
      <c r="Y185" s="587"/>
      <c r="Z185" s="588"/>
      <c r="AA185" s="488"/>
      <c r="AB185" s="488"/>
      <c r="AC185" s="488"/>
      <c r="AE185" s="488"/>
      <c r="AF185" s="488"/>
      <c r="AG185" s="488"/>
      <c r="AH185" s="488"/>
      <c r="AI185" s="488"/>
      <c r="AJ185" s="488"/>
      <c r="AK185" s="488"/>
      <c r="AL185" s="488"/>
      <c r="AN185" s="488"/>
      <c r="AO185" s="488"/>
      <c r="AP185" s="488"/>
      <c r="AQ185" s="488"/>
      <c r="AR185" s="488"/>
      <c r="AS185" s="488"/>
      <c r="AT185" s="488"/>
      <c r="AU185" s="488"/>
      <c r="AV185" s="488"/>
      <c r="AW185" s="488"/>
      <c r="AX185" s="488"/>
      <c r="AY185" s="488"/>
      <c r="AZ185" s="488"/>
      <c r="BA185" s="488"/>
      <c r="BB185" s="488"/>
      <c r="BD185" s="589"/>
      <c r="BE185" s="590"/>
      <c r="BF185" s="590"/>
      <c r="BG185" s="536"/>
      <c r="BH185" s="388"/>
      <c r="BI185" s="488"/>
      <c r="BJ185" s="488"/>
      <c r="BK185" s="488"/>
      <c r="BL185" s="488"/>
      <c r="BM185" s="488"/>
    </row>
    <row r="186" customFormat="false" ht="12.75" hidden="false" customHeight="false" outlineLevel="0" collapsed="false">
      <c r="H186" s="586"/>
      <c r="I186" s="385"/>
      <c r="J186" s="419"/>
      <c r="L186" s="385"/>
      <c r="M186" s="385"/>
      <c r="Q186" s="488"/>
      <c r="R186" s="488"/>
      <c r="S186" s="488"/>
      <c r="T186" s="488"/>
      <c r="V186" s="488"/>
      <c r="W186" s="488"/>
      <c r="X186" s="488"/>
      <c r="Y186" s="587"/>
      <c r="Z186" s="588"/>
      <c r="AA186" s="488"/>
      <c r="AB186" s="488"/>
      <c r="AC186" s="488"/>
      <c r="AE186" s="488"/>
      <c r="AF186" s="488"/>
      <c r="AG186" s="488"/>
      <c r="AH186" s="488"/>
      <c r="AI186" s="488"/>
      <c r="AJ186" s="488"/>
      <c r="AK186" s="488"/>
      <c r="AL186" s="488"/>
      <c r="AN186" s="488"/>
      <c r="AO186" s="488"/>
      <c r="AP186" s="488"/>
      <c r="AQ186" s="488"/>
      <c r="AR186" s="488"/>
      <c r="AS186" s="488"/>
      <c r="AT186" s="488"/>
      <c r="AU186" s="488"/>
      <c r="AV186" s="488"/>
      <c r="AW186" s="488"/>
      <c r="AX186" s="488"/>
      <c r="AY186" s="488"/>
      <c r="AZ186" s="488"/>
      <c r="BA186" s="488"/>
      <c r="BB186" s="488"/>
      <c r="BD186" s="589"/>
      <c r="BE186" s="590"/>
      <c r="BF186" s="590"/>
      <c r="BG186" s="536"/>
      <c r="BH186" s="388"/>
      <c r="BI186" s="488"/>
      <c r="BJ186" s="488"/>
      <c r="BK186" s="488"/>
      <c r="BL186" s="488"/>
      <c r="BM186" s="488"/>
    </row>
    <row r="187" customFormat="false" ht="12.75" hidden="false" customHeight="false" outlineLevel="0" collapsed="false">
      <c r="H187" s="586"/>
      <c r="I187" s="385"/>
      <c r="J187" s="419"/>
      <c r="L187" s="385"/>
      <c r="M187" s="385"/>
      <c r="Q187" s="488"/>
      <c r="R187" s="488"/>
      <c r="S187" s="488"/>
      <c r="T187" s="488"/>
      <c r="V187" s="488"/>
      <c r="W187" s="488"/>
      <c r="X187" s="488"/>
      <c r="Y187" s="587"/>
      <c r="Z187" s="588"/>
      <c r="AA187" s="488"/>
      <c r="AB187" s="488"/>
      <c r="AC187" s="488"/>
      <c r="AE187" s="488"/>
      <c r="AF187" s="488"/>
      <c r="AG187" s="488"/>
      <c r="AH187" s="488"/>
      <c r="AI187" s="488"/>
      <c r="AJ187" s="488"/>
      <c r="AK187" s="488"/>
      <c r="AL187" s="488"/>
      <c r="AN187" s="488"/>
      <c r="AO187" s="488"/>
      <c r="AP187" s="488"/>
      <c r="AQ187" s="488"/>
      <c r="AR187" s="488"/>
      <c r="AS187" s="488"/>
      <c r="AT187" s="488"/>
      <c r="AU187" s="488"/>
      <c r="AV187" s="488"/>
      <c r="AW187" s="488"/>
      <c r="AX187" s="488"/>
      <c r="AY187" s="488"/>
      <c r="AZ187" s="488"/>
      <c r="BA187" s="488"/>
      <c r="BB187" s="488"/>
      <c r="BD187" s="589"/>
      <c r="BE187" s="590"/>
      <c r="BF187" s="590"/>
      <c r="BG187" s="536"/>
      <c r="BH187" s="388"/>
      <c r="BI187" s="488"/>
      <c r="BJ187" s="488"/>
      <c r="BK187" s="488"/>
      <c r="BL187" s="488"/>
      <c r="BM187" s="488"/>
    </row>
    <row r="188" customFormat="false" ht="12.75" hidden="false" customHeight="false" outlineLevel="0" collapsed="false">
      <c r="H188" s="586"/>
      <c r="I188" s="385"/>
      <c r="J188" s="419"/>
      <c r="L188" s="385"/>
      <c r="M188" s="385"/>
      <c r="Q188" s="488"/>
      <c r="R188" s="488"/>
      <c r="S188" s="488"/>
      <c r="T188" s="488"/>
      <c r="V188" s="488"/>
      <c r="W188" s="488"/>
      <c r="X188" s="488"/>
      <c r="Y188" s="587"/>
      <c r="Z188" s="588"/>
      <c r="AA188" s="488"/>
      <c r="AB188" s="488"/>
      <c r="AC188" s="488"/>
      <c r="AE188" s="488"/>
      <c r="AF188" s="488"/>
      <c r="AG188" s="488"/>
      <c r="AH188" s="488"/>
      <c r="AI188" s="488"/>
      <c r="AJ188" s="488"/>
      <c r="AK188" s="488"/>
      <c r="AL188" s="488"/>
      <c r="AN188" s="488"/>
      <c r="AO188" s="488"/>
      <c r="AP188" s="488"/>
      <c r="AQ188" s="488"/>
      <c r="AR188" s="488"/>
      <c r="AS188" s="488"/>
      <c r="AT188" s="488"/>
      <c r="AU188" s="488"/>
      <c r="AV188" s="488"/>
      <c r="AW188" s="488"/>
      <c r="AX188" s="488"/>
      <c r="AY188" s="488"/>
      <c r="AZ188" s="488"/>
      <c r="BA188" s="488"/>
      <c r="BB188" s="488"/>
      <c r="BD188" s="589"/>
      <c r="BE188" s="590"/>
      <c r="BF188" s="590"/>
      <c r="BG188" s="536"/>
      <c r="BH188" s="388"/>
      <c r="BI188" s="488"/>
      <c r="BJ188" s="488"/>
      <c r="BK188" s="488"/>
      <c r="BL188" s="488"/>
      <c r="BM188" s="488"/>
    </row>
    <row r="189" customFormat="false" ht="12.75" hidden="false" customHeight="false" outlineLevel="0" collapsed="false">
      <c r="H189" s="586"/>
      <c r="I189" s="385"/>
      <c r="J189" s="419"/>
      <c r="L189" s="385"/>
      <c r="M189" s="385"/>
      <c r="Q189" s="488"/>
      <c r="R189" s="488"/>
      <c r="S189" s="488"/>
      <c r="T189" s="488"/>
      <c r="V189" s="488"/>
      <c r="W189" s="488"/>
      <c r="X189" s="488"/>
      <c r="Y189" s="587"/>
      <c r="Z189" s="588"/>
      <c r="AA189" s="488"/>
      <c r="AB189" s="488"/>
      <c r="AC189" s="488"/>
      <c r="AE189" s="488"/>
      <c r="AF189" s="488"/>
      <c r="AG189" s="488"/>
      <c r="AH189" s="488"/>
      <c r="AI189" s="488"/>
      <c r="AJ189" s="488"/>
      <c r="AK189" s="488"/>
      <c r="AL189" s="488"/>
      <c r="AN189" s="488"/>
      <c r="AO189" s="488"/>
      <c r="AP189" s="488"/>
      <c r="AQ189" s="488"/>
      <c r="AR189" s="488"/>
      <c r="AS189" s="488"/>
      <c r="AT189" s="488"/>
      <c r="AU189" s="488"/>
      <c r="AV189" s="488"/>
      <c r="AW189" s="488"/>
      <c r="AX189" s="488"/>
      <c r="AY189" s="488"/>
      <c r="AZ189" s="488"/>
      <c r="BA189" s="488"/>
      <c r="BB189" s="488"/>
      <c r="BD189" s="589"/>
      <c r="BE189" s="590"/>
      <c r="BF189" s="590"/>
      <c r="BG189" s="536"/>
      <c r="BH189" s="388"/>
      <c r="BI189" s="488"/>
      <c r="BJ189" s="488"/>
      <c r="BK189" s="488"/>
      <c r="BL189" s="488"/>
      <c r="BM189" s="488"/>
    </row>
    <row r="190" customFormat="false" ht="12.75" hidden="false" customHeight="false" outlineLevel="0" collapsed="false">
      <c r="H190" s="586"/>
      <c r="I190" s="385"/>
      <c r="J190" s="419"/>
      <c r="L190" s="385"/>
      <c r="M190" s="385"/>
      <c r="Q190" s="488"/>
      <c r="R190" s="488"/>
      <c r="S190" s="488"/>
      <c r="T190" s="488"/>
      <c r="V190" s="488"/>
      <c r="W190" s="488"/>
      <c r="X190" s="488"/>
      <c r="Y190" s="587"/>
      <c r="Z190" s="588"/>
      <c r="AA190" s="488"/>
      <c r="AB190" s="488"/>
      <c r="AC190" s="488"/>
      <c r="AE190" s="488"/>
      <c r="AF190" s="488"/>
      <c r="AG190" s="488"/>
      <c r="AH190" s="488"/>
      <c r="AI190" s="488"/>
      <c r="AJ190" s="488"/>
      <c r="AK190" s="488"/>
      <c r="AL190" s="488"/>
      <c r="AN190" s="488"/>
      <c r="AO190" s="488"/>
      <c r="AP190" s="488"/>
      <c r="AQ190" s="488"/>
      <c r="AR190" s="488"/>
      <c r="AS190" s="488"/>
      <c r="AT190" s="488"/>
      <c r="AU190" s="488"/>
      <c r="AV190" s="488"/>
      <c r="AW190" s="488"/>
      <c r="AX190" s="488"/>
      <c r="AY190" s="488"/>
      <c r="AZ190" s="488"/>
      <c r="BA190" s="488"/>
      <c r="BB190" s="488"/>
      <c r="BD190" s="589"/>
      <c r="BE190" s="590"/>
      <c r="BF190" s="590"/>
      <c r="BG190" s="536"/>
      <c r="BH190" s="388"/>
      <c r="BI190" s="488"/>
      <c r="BJ190" s="488"/>
      <c r="BK190" s="488"/>
      <c r="BL190" s="488"/>
      <c r="BM190" s="488"/>
    </row>
    <row r="191" customFormat="false" ht="12.75" hidden="false" customHeight="false" outlineLevel="0" collapsed="false">
      <c r="H191" s="586"/>
      <c r="I191" s="385"/>
      <c r="J191" s="419"/>
      <c r="L191" s="385"/>
      <c r="M191" s="385"/>
      <c r="Q191" s="488"/>
      <c r="R191" s="488"/>
      <c r="S191" s="488"/>
      <c r="T191" s="488"/>
      <c r="V191" s="488"/>
      <c r="W191" s="488"/>
      <c r="X191" s="488"/>
      <c r="Y191" s="587"/>
      <c r="Z191" s="588"/>
      <c r="AA191" s="488"/>
      <c r="AB191" s="488"/>
      <c r="AC191" s="488"/>
      <c r="AE191" s="488"/>
      <c r="AF191" s="488"/>
      <c r="AG191" s="488"/>
      <c r="AH191" s="488"/>
      <c r="AI191" s="488"/>
      <c r="AJ191" s="488"/>
      <c r="AK191" s="488"/>
      <c r="AL191" s="488"/>
      <c r="AN191" s="488"/>
      <c r="AO191" s="488"/>
      <c r="AP191" s="488"/>
      <c r="AQ191" s="488"/>
      <c r="AR191" s="488"/>
      <c r="AS191" s="488"/>
      <c r="AT191" s="488"/>
      <c r="AU191" s="488"/>
      <c r="AV191" s="488"/>
      <c r="AW191" s="488"/>
      <c r="AX191" s="488"/>
      <c r="AY191" s="488"/>
      <c r="AZ191" s="488"/>
      <c r="BA191" s="488"/>
      <c r="BB191" s="488"/>
      <c r="BD191" s="589"/>
      <c r="BE191" s="590"/>
      <c r="BF191" s="590"/>
      <c r="BG191" s="536"/>
      <c r="BH191" s="388"/>
      <c r="BI191" s="488"/>
      <c r="BJ191" s="488"/>
      <c r="BK191" s="488"/>
      <c r="BL191" s="488"/>
      <c r="BM191" s="488"/>
    </row>
    <row r="192" customFormat="false" ht="12.75" hidden="false" customHeight="false" outlineLevel="0" collapsed="false">
      <c r="H192" s="586"/>
      <c r="I192" s="385"/>
      <c r="J192" s="419"/>
      <c r="L192" s="385"/>
      <c r="M192" s="385"/>
      <c r="Q192" s="488"/>
      <c r="R192" s="488"/>
      <c r="S192" s="488"/>
      <c r="T192" s="488"/>
      <c r="V192" s="488"/>
      <c r="W192" s="488"/>
      <c r="X192" s="488"/>
      <c r="Y192" s="587"/>
      <c r="Z192" s="588"/>
      <c r="AA192" s="488"/>
      <c r="AB192" s="488"/>
      <c r="AC192" s="488"/>
      <c r="AE192" s="488"/>
      <c r="AF192" s="488"/>
      <c r="AG192" s="488"/>
      <c r="AH192" s="488"/>
      <c r="AI192" s="488"/>
      <c r="AJ192" s="488"/>
      <c r="AK192" s="488"/>
      <c r="AL192" s="488"/>
      <c r="AN192" s="488"/>
      <c r="AO192" s="488"/>
      <c r="AP192" s="488"/>
      <c r="AQ192" s="488"/>
      <c r="AR192" s="488"/>
      <c r="AS192" s="488"/>
      <c r="AT192" s="488"/>
      <c r="AU192" s="488"/>
      <c r="AV192" s="488"/>
      <c r="AW192" s="488"/>
      <c r="AX192" s="488"/>
      <c r="AY192" s="488"/>
      <c r="AZ192" s="488"/>
      <c r="BA192" s="488"/>
      <c r="BB192" s="488"/>
      <c r="BD192" s="589"/>
      <c r="BE192" s="590"/>
      <c r="BF192" s="590"/>
      <c r="BG192" s="536"/>
      <c r="BH192" s="388"/>
      <c r="BI192" s="488"/>
      <c r="BJ192" s="488"/>
      <c r="BK192" s="488"/>
      <c r="BL192" s="488"/>
      <c r="BM192" s="488"/>
    </row>
    <row r="193" customFormat="false" ht="12.75" hidden="false" customHeight="false" outlineLevel="0" collapsed="false">
      <c r="H193" s="586"/>
      <c r="I193" s="385"/>
      <c r="J193" s="419"/>
      <c r="L193" s="385"/>
      <c r="M193" s="385"/>
      <c r="Q193" s="488"/>
      <c r="R193" s="488"/>
      <c r="S193" s="488"/>
      <c r="T193" s="488"/>
      <c r="V193" s="488"/>
      <c r="W193" s="488"/>
      <c r="X193" s="488"/>
      <c r="Y193" s="587"/>
      <c r="Z193" s="588"/>
      <c r="AA193" s="488"/>
      <c r="AB193" s="488"/>
      <c r="AC193" s="488"/>
      <c r="AE193" s="488"/>
      <c r="AF193" s="488"/>
      <c r="AG193" s="488"/>
      <c r="AH193" s="488"/>
      <c r="AI193" s="488"/>
      <c r="AJ193" s="488"/>
      <c r="AK193" s="488"/>
      <c r="AL193" s="488"/>
      <c r="AN193" s="488"/>
      <c r="AO193" s="488"/>
      <c r="AP193" s="488"/>
      <c r="AQ193" s="488"/>
      <c r="AR193" s="488"/>
      <c r="AS193" s="488"/>
      <c r="AT193" s="488"/>
      <c r="AU193" s="488"/>
      <c r="AV193" s="488"/>
      <c r="AW193" s="488"/>
      <c r="AX193" s="488"/>
      <c r="AY193" s="488"/>
      <c r="AZ193" s="488"/>
      <c r="BA193" s="488"/>
      <c r="BB193" s="488"/>
      <c r="BD193" s="589"/>
      <c r="BE193" s="590"/>
      <c r="BF193" s="590"/>
      <c r="BG193" s="536"/>
      <c r="BH193" s="388"/>
      <c r="BI193" s="488"/>
      <c r="BJ193" s="488"/>
      <c r="BK193" s="488"/>
      <c r="BL193" s="488"/>
      <c r="BM193" s="488"/>
    </row>
    <row r="194" customFormat="false" ht="12.75" hidden="false" customHeight="false" outlineLevel="0" collapsed="false">
      <c r="H194" s="586"/>
      <c r="I194" s="385"/>
      <c r="J194" s="419"/>
      <c r="L194" s="385"/>
      <c r="M194" s="385"/>
      <c r="Q194" s="488"/>
      <c r="R194" s="488"/>
      <c r="S194" s="488"/>
      <c r="T194" s="488"/>
      <c r="V194" s="488"/>
      <c r="W194" s="488"/>
      <c r="X194" s="488"/>
      <c r="Y194" s="587"/>
      <c r="Z194" s="588"/>
      <c r="AA194" s="488"/>
      <c r="AB194" s="488"/>
      <c r="AC194" s="488"/>
      <c r="AE194" s="488"/>
      <c r="AF194" s="488"/>
      <c r="AG194" s="488"/>
      <c r="AH194" s="488"/>
      <c r="AI194" s="488"/>
      <c r="AJ194" s="488"/>
      <c r="AK194" s="488"/>
      <c r="AL194" s="488"/>
      <c r="AN194" s="488"/>
      <c r="AO194" s="488"/>
      <c r="AP194" s="488"/>
      <c r="AQ194" s="488"/>
      <c r="AR194" s="488"/>
      <c r="AS194" s="488"/>
      <c r="AT194" s="488"/>
      <c r="AU194" s="488"/>
      <c r="AV194" s="488"/>
      <c r="AW194" s="488"/>
      <c r="AX194" s="488"/>
      <c r="AY194" s="488"/>
      <c r="AZ194" s="488"/>
      <c r="BA194" s="488"/>
      <c r="BB194" s="488"/>
      <c r="BD194" s="589"/>
      <c r="BE194" s="590"/>
      <c r="BF194" s="590"/>
      <c r="BG194" s="536"/>
      <c r="BH194" s="388"/>
      <c r="BI194" s="488"/>
      <c r="BJ194" s="488"/>
      <c r="BK194" s="488"/>
      <c r="BL194" s="488"/>
      <c r="BM194" s="488"/>
    </row>
    <row r="195" customFormat="false" ht="12.75" hidden="false" customHeight="false" outlineLevel="0" collapsed="false">
      <c r="H195" s="586"/>
      <c r="I195" s="385"/>
      <c r="J195" s="419"/>
      <c r="L195" s="385"/>
      <c r="M195" s="385"/>
      <c r="Q195" s="488"/>
      <c r="R195" s="488"/>
      <c r="S195" s="488"/>
      <c r="T195" s="488"/>
      <c r="V195" s="488"/>
      <c r="W195" s="488"/>
      <c r="X195" s="488"/>
      <c r="Y195" s="587"/>
      <c r="Z195" s="588"/>
      <c r="AA195" s="488"/>
      <c r="AB195" s="488"/>
      <c r="AC195" s="488"/>
      <c r="AE195" s="488"/>
      <c r="AF195" s="488"/>
      <c r="AG195" s="488"/>
      <c r="AH195" s="488"/>
      <c r="AI195" s="488"/>
      <c r="AJ195" s="488"/>
      <c r="AK195" s="488"/>
      <c r="AL195" s="488"/>
      <c r="AN195" s="488"/>
      <c r="AO195" s="488"/>
      <c r="AP195" s="488"/>
      <c r="AQ195" s="488"/>
      <c r="AR195" s="488"/>
      <c r="AS195" s="488"/>
      <c r="AT195" s="488"/>
      <c r="AU195" s="488"/>
      <c r="AV195" s="488"/>
      <c r="AW195" s="488"/>
      <c r="AX195" s="488"/>
      <c r="AY195" s="488"/>
      <c r="AZ195" s="488"/>
      <c r="BA195" s="488"/>
      <c r="BB195" s="488"/>
      <c r="BD195" s="589"/>
      <c r="BE195" s="590"/>
      <c r="BF195" s="590"/>
      <c r="BG195" s="536"/>
      <c r="BH195" s="388"/>
      <c r="BI195" s="488"/>
      <c r="BJ195" s="488"/>
      <c r="BK195" s="488"/>
      <c r="BL195" s="488"/>
      <c r="BM195" s="488"/>
    </row>
    <row r="196" customFormat="false" ht="12.75" hidden="false" customHeight="false" outlineLevel="0" collapsed="false">
      <c r="H196" s="586"/>
      <c r="I196" s="385"/>
      <c r="J196" s="419"/>
      <c r="L196" s="385"/>
      <c r="M196" s="385"/>
      <c r="Q196" s="488"/>
      <c r="R196" s="488"/>
      <c r="S196" s="488"/>
      <c r="T196" s="488"/>
      <c r="V196" s="488"/>
      <c r="W196" s="488"/>
      <c r="X196" s="488"/>
      <c r="Y196" s="587"/>
      <c r="Z196" s="588"/>
      <c r="AA196" s="488"/>
      <c r="AB196" s="488"/>
      <c r="AC196" s="488"/>
      <c r="AE196" s="488"/>
      <c r="AF196" s="488"/>
      <c r="AG196" s="488"/>
      <c r="AH196" s="488"/>
      <c r="AI196" s="488"/>
      <c r="AJ196" s="488"/>
      <c r="AK196" s="488"/>
      <c r="AL196" s="488"/>
      <c r="AN196" s="488"/>
      <c r="AO196" s="488"/>
      <c r="AP196" s="488"/>
      <c r="AQ196" s="488"/>
      <c r="AR196" s="488"/>
      <c r="AS196" s="488"/>
      <c r="AT196" s="488"/>
      <c r="AU196" s="488"/>
      <c r="AV196" s="488"/>
      <c r="AW196" s="488"/>
      <c r="AX196" s="488"/>
      <c r="AY196" s="488"/>
      <c r="AZ196" s="488"/>
      <c r="BA196" s="488"/>
      <c r="BB196" s="488"/>
      <c r="BD196" s="589"/>
      <c r="BE196" s="590"/>
      <c r="BF196" s="590"/>
      <c r="BG196" s="536"/>
      <c r="BH196" s="388"/>
      <c r="BI196" s="488"/>
      <c r="BJ196" s="488"/>
      <c r="BK196" s="488"/>
      <c r="BL196" s="488"/>
      <c r="BM196" s="488"/>
    </row>
    <row r="197" customFormat="false" ht="12.75" hidden="false" customHeight="false" outlineLevel="0" collapsed="false">
      <c r="H197" s="586"/>
      <c r="I197" s="385"/>
      <c r="J197" s="419"/>
      <c r="L197" s="385"/>
      <c r="M197" s="385"/>
      <c r="Q197" s="488"/>
      <c r="R197" s="488"/>
      <c r="S197" s="488"/>
      <c r="T197" s="488"/>
      <c r="V197" s="488"/>
      <c r="W197" s="488"/>
      <c r="X197" s="488"/>
      <c r="Y197" s="587"/>
      <c r="Z197" s="588"/>
      <c r="AA197" s="488"/>
      <c r="AB197" s="488"/>
      <c r="AC197" s="488"/>
      <c r="AE197" s="488"/>
      <c r="AF197" s="488"/>
      <c r="AG197" s="488"/>
      <c r="AH197" s="488"/>
      <c r="AI197" s="488"/>
      <c r="AJ197" s="488"/>
      <c r="AK197" s="488"/>
      <c r="AL197" s="488"/>
      <c r="AN197" s="488"/>
      <c r="AO197" s="488"/>
      <c r="AP197" s="488"/>
      <c r="AQ197" s="488"/>
      <c r="AR197" s="488"/>
      <c r="AS197" s="488"/>
      <c r="AT197" s="488"/>
      <c r="AU197" s="488"/>
      <c r="AV197" s="488"/>
      <c r="AW197" s="488"/>
      <c r="AX197" s="488"/>
      <c r="AY197" s="488"/>
      <c r="AZ197" s="488"/>
      <c r="BA197" s="488"/>
      <c r="BB197" s="488"/>
      <c r="BD197" s="589"/>
      <c r="BE197" s="590"/>
      <c r="BF197" s="590"/>
      <c r="BG197" s="536"/>
      <c r="BH197" s="388"/>
      <c r="BI197" s="488"/>
      <c r="BJ197" s="488"/>
      <c r="BK197" s="488"/>
      <c r="BL197" s="488"/>
      <c r="BM197" s="488"/>
    </row>
    <row r="198" customFormat="false" ht="12.75" hidden="false" customHeight="false" outlineLevel="0" collapsed="false">
      <c r="H198" s="586"/>
      <c r="I198" s="385"/>
      <c r="J198" s="419"/>
      <c r="L198" s="385"/>
      <c r="M198" s="385"/>
      <c r="Q198" s="488"/>
      <c r="R198" s="488"/>
      <c r="S198" s="488"/>
      <c r="T198" s="488"/>
      <c r="V198" s="488"/>
      <c r="W198" s="488"/>
      <c r="X198" s="488"/>
      <c r="Y198" s="587"/>
      <c r="Z198" s="588"/>
      <c r="AA198" s="488"/>
      <c r="AB198" s="488"/>
      <c r="AC198" s="488"/>
      <c r="AE198" s="488"/>
      <c r="AF198" s="488"/>
      <c r="AG198" s="488"/>
      <c r="AH198" s="488"/>
      <c r="AI198" s="488"/>
      <c r="AJ198" s="488"/>
      <c r="AK198" s="488"/>
      <c r="AL198" s="488"/>
      <c r="AN198" s="488"/>
      <c r="AO198" s="488"/>
      <c r="AP198" s="488"/>
      <c r="AQ198" s="488"/>
      <c r="AR198" s="488"/>
      <c r="AS198" s="488"/>
      <c r="AT198" s="488"/>
      <c r="AU198" s="488"/>
      <c r="AV198" s="488"/>
      <c r="AW198" s="488"/>
      <c r="AX198" s="488"/>
      <c r="AY198" s="488"/>
      <c r="AZ198" s="488"/>
      <c r="BA198" s="488"/>
      <c r="BB198" s="488"/>
      <c r="BD198" s="589"/>
      <c r="BE198" s="590"/>
      <c r="BF198" s="590"/>
      <c r="BG198" s="536"/>
      <c r="BH198" s="388"/>
      <c r="BI198" s="488"/>
      <c r="BJ198" s="488"/>
      <c r="BK198" s="488"/>
      <c r="BL198" s="488"/>
      <c r="BM198" s="488"/>
    </row>
    <row r="199" customFormat="false" ht="12.75" hidden="false" customHeight="false" outlineLevel="0" collapsed="false">
      <c r="H199" s="586"/>
      <c r="I199" s="385"/>
      <c r="J199" s="419"/>
      <c r="L199" s="385"/>
      <c r="M199" s="385"/>
      <c r="Q199" s="488"/>
      <c r="R199" s="488"/>
      <c r="S199" s="488"/>
      <c r="T199" s="488"/>
      <c r="V199" s="488"/>
      <c r="W199" s="488"/>
      <c r="X199" s="488"/>
      <c r="Y199" s="587"/>
      <c r="Z199" s="588"/>
      <c r="AA199" s="488"/>
      <c r="AB199" s="488"/>
      <c r="AC199" s="488"/>
      <c r="AE199" s="488"/>
      <c r="AF199" s="488"/>
      <c r="AG199" s="488"/>
      <c r="AH199" s="488"/>
      <c r="AI199" s="488"/>
      <c r="AJ199" s="488"/>
      <c r="AK199" s="488"/>
      <c r="AL199" s="488"/>
      <c r="AN199" s="488"/>
      <c r="AO199" s="488"/>
      <c r="AP199" s="488"/>
      <c r="AQ199" s="488"/>
      <c r="AR199" s="488"/>
      <c r="AS199" s="488"/>
      <c r="AT199" s="488"/>
      <c r="AU199" s="488"/>
      <c r="AV199" s="488"/>
      <c r="AW199" s="488"/>
      <c r="AX199" s="488"/>
      <c r="AY199" s="488"/>
      <c r="AZ199" s="488"/>
      <c r="BA199" s="488"/>
      <c r="BB199" s="488"/>
      <c r="BD199" s="589"/>
      <c r="BE199" s="590"/>
      <c r="BF199" s="590"/>
      <c r="BG199" s="536"/>
      <c r="BH199" s="388"/>
      <c r="BI199" s="488"/>
      <c r="BJ199" s="488"/>
      <c r="BK199" s="488"/>
      <c r="BL199" s="488"/>
      <c r="BM199" s="488"/>
    </row>
    <row r="200" customFormat="false" ht="12.75" hidden="false" customHeight="false" outlineLevel="0" collapsed="false">
      <c r="H200" s="586"/>
      <c r="I200" s="385"/>
      <c r="J200" s="419"/>
      <c r="L200" s="385"/>
      <c r="M200" s="385"/>
      <c r="Q200" s="488"/>
      <c r="R200" s="488"/>
      <c r="S200" s="488"/>
      <c r="T200" s="488"/>
      <c r="V200" s="488"/>
      <c r="W200" s="488"/>
      <c r="X200" s="488"/>
      <c r="Y200" s="587"/>
      <c r="Z200" s="588"/>
      <c r="AA200" s="488"/>
      <c r="AB200" s="488"/>
      <c r="AC200" s="488"/>
      <c r="AE200" s="488"/>
      <c r="AF200" s="488"/>
      <c r="AG200" s="488"/>
      <c r="AH200" s="488"/>
      <c r="AI200" s="488"/>
      <c r="AJ200" s="488"/>
      <c r="AK200" s="488"/>
      <c r="AL200" s="488"/>
      <c r="AN200" s="488"/>
      <c r="AO200" s="488"/>
      <c r="AP200" s="488"/>
      <c r="AQ200" s="488"/>
      <c r="AR200" s="488"/>
      <c r="AS200" s="488"/>
      <c r="AT200" s="488"/>
      <c r="AU200" s="488"/>
      <c r="AV200" s="488"/>
      <c r="AW200" s="488"/>
      <c r="AX200" s="488"/>
      <c r="AY200" s="488"/>
      <c r="AZ200" s="488"/>
      <c r="BA200" s="488"/>
      <c r="BB200" s="488"/>
      <c r="BD200" s="589"/>
      <c r="BE200" s="590"/>
      <c r="BF200" s="590"/>
      <c r="BG200" s="536"/>
      <c r="BH200" s="388"/>
      <c r="BI200" s="488"/>
      <c r="BJ200" s="488"/>
      <c r="BK200" s="488"/>
      <c r="BL200" s="488"/>
      <c r="BM200" s="488"/>
    </row>
    <row r="201" customFormat="false" ht="12.75" hidden="false" customHeight="false" outlineLevel="0" collapsed="false">
      <c r="H201" s="586"/>
      <c r="I201" s="385"/>
      <c r="J201" s="419"/>
      <c r="L201" s="385"/>
      <c r="M201" s="385"/>
      <c r="Q201" s="488"/>
      <c r="R201" s="488"/>
      <c r="S201" s="488"/>
      <c r="T201" s="488"/>
      <c r="V201" s="488"/>
      <c r="W201" s="488"/>
      <c r="X201" s="488"/>
      <c r="Y201" s="587"/>
      <c r="Z201" s="588"/>
      <c r="AA201" s="488"/>
      <c r="AB201" s="488"/>
      <c r="AC201" s="488"/>
      <c r="AE201" s="488"/>
      <c r="AF201" s="488"/>
      <c r="AG201" s="488"/>
      <c r="AH201" s="488"/>
      <c r="AI201" s="488"/>
      <c r="AJ201" s="488"/>
      <c r="AK201" s="488"/>
      <c r="AL201" s="488"/>
      <c r="AN201" s="488"/>
      <c r="AO201" s="488"/>
      <c r="AP201" s="488"/>
      <c r="AQ201" s="488"/>
      <c r="AR201" s="488"/>
      <c r="AS201" s="488"/>
      <c r="AT201" s="488"/>
      <c r="AU201" s="488"/>
      <c r="AV201" s="488"/>
      <c r="AW201" s="488"/>
      <c r="AX201" s="488"/>
      <c r="AY201" s="488"/>
      <c r="AZ201" s="488"/>
      <c r="BA201" s="488"/>
      <c r="BB201" s="488"/>
      <c r="BD201" s="589"/>
      <c r="BE201" s="590"/>
      <c r="BF201" s="590"/>
      <c r="BG201" s="536"/>
      <c r="BH201" s="388"/>
      <c r="BI201" s="488"/>
      <c r="BJ201" s="488"/>
      <c r="BK201" s="488"/>
      <c r="BL201" s="488"/>
      <c r="BM201" s="488"/>
    </row>
    <row r="202" customFormat="false" ht="12.75" hidden="false" customHeight="false" outlineLevel="0" collapsed="false">
      <c r="H202" s="586"/>
      <c r="I202" s="385"/>
      <c r="J202" s="419"/>
      <c r="L202" s="385"/>
      <c r="M202" s="385"/>
      <c r="Q202" s="488"/>
      <c r="R202" s="488"/>
      <c r="S202" s="488"/>
      <c r="T202" s="488"/>
      <c r="V202" s="488"/>
      <c r="W202" s="488"/>
      <c r="X202" s="488"/>
      <c r="Y202" s="587"/>
      <c r="Z202" s="588"/>
      <c r="AA202" s="488"/>
      <c r="AB202" s="488"/>
      <c r="AC202" s="488"/>
      <c r="AE202" s="488"/>
      <c r="AF202" s="488"/>
      <c r="AG202" s="488"/>
      <c r="AH202" s="488"/>
      <c r="AI202" s="488"/>
      <c r="AJ202" s="488"/>
      <c r="AK202" s="488"/>
      <c r="AL202" s="488"/>
      <c r="AN202" s="488"/>
      <c r="AO202" s="488"/>
      <c r="AP202" s="488"/>
      <c r="AQ202" s="488"/>
      <c r="AR202" s="488"/>
      <c r="AS202" s="488"/>
      <c r="AT202" s="488"/>
      <c r="AU202" s="488"/>
      <c r="AV202" s="488"/>
      <c r="AW202" s="488"/>
      <c r="AX202" s="488"/>
      <c r="AY202" s="488"/>
      <c r="AZ202" s="488"/>
      <c r="BA202" s="488"/>
      <c r="BB202" s="488"/>
      <c r="BD202" s="589"/>
      <c r="BE202" s="590"/>
      <c r="BF202" s="590"/>
      <c r="BG202" s="536"/>
      <c r="BH202" s="388"/>
      <c r="BI202" s="488"/>
      <c r="BJ202" s="488"/>
      <c r="BK202" s="488"/>
      <c r="BL202" s="488"/>
      <c r="BM202" s="488"/>
    </row>
    <row r="203" customFormat="false" ht="12.75" hidden="false" customHeight="false" outlineLevel="0" collapsed="false">
      <c r="H203" s="586"/>
      <c r="I203" s="385"/>
      <c r="J203" s="419"/>
      <c r="L203" s="385"/>
      <c r="M203" s="385"/>
      <c r="Q203" s="488"/>
      <c r="R203" s="488"/>
      <c r="S203" s="488"/>
      <c r="T203" s="488"/>
      <c r="V203" s="488"/>
      <c r="W203" s="488"/>
      <c r="X203" s="488"/>
      <c r="Y203" s="587"/>
      <c r="Z203" s="588"/>
      <c r="AA203" s="488"/>
      <c r="AB203" s="488"/>
      <c r="AC203" s="488"/>
      <c r="AE203" s="488"/>
      <c r="AF203" s="488"/>
      <c r="AG203" s="488"/>
      <c r="AH203" s="488"/>
      <c r="AI203" s="488"/>
      <c r="AJ203" s="488"/>
      <c r="AK203" s="488"/>
      <c r="AL203" s="488"/>
      <c r="AN203" s="488"/>
      <c r="AO203" s="488"/>
      <c r="AP203" s="488"/>
      <c r="AQ203" s="488"/>
      <c r="AR203" s="488"/>
      <c r="AS203" s="488"/>
      <c r="AT203" s="488"/>
      <c r="AU203" s="488"/>
      <c r="AV203" s="488"/>
      <c r="AW203" s="488"/>
      <c r="AX203" s="488"/>
      <c r="AY203" s="488"/>
      <c r="AZ203" s="488"/>
      <c r="BA203" s="488"/>
      <c r="BB203" s="488"/>
      <c r="BD203" s="589"/>
      <c r="BE203" s="590"/>
      <c r="BF203" s="590"/>
      <c r="BG203" s="536"/>
      <c r="BH203" s="388"/>
      <c r="BI203" s="488"/>
      <c r="BJ203" s="488"/>
      <c r="BK203" s="488"/>
      <c r="BL203" s="488"/>
      <c r="BM203" s="488"/>
    </row>
    <row r="204" customFormat="false" ht="12.75" hidden="false" customHeight="false" outlineLevel="0" collapsed="false">
      <c r="H204" s="586"/>
      <c r="I204" s="385"/>
      <c r="J204" s="419"/>
      <c r="L204" s="385"/>
      <c r="M204" s="385"/>
      <c r="Q204" s="488"/>
      <c r="R204" s="488"/>
      <c r="S204" s="488"/>
      <c r="T204" s="488"/>
      <c r="V204" s="488"/>
      <c r="W204" s="488"/>
      <c r="X204" s="488"/>
      <c r="Y204" s="587"/>
      <c r="Z204" s="588"/>
      <c r="AA204" s="488"/>
      <c r="AB204" s="488"/>
      <c r="AC204" s="488"/>
      <c r="AE204" s="488"/>
      <c r="AF204" s="488"/>
      <c r="AG204" s="488"/>
      <c r="AH204" s="488"/>
      <c r="AI204" s="488"/>
      <c r="AJ204" s="488"/>
      <c r="AK204" s="488"/>
      <c r="AL204" s="488"/>
      <c r="AN204" s="488"/>
      <c r="AO204" s="488"/>
      <c r="AP204" s="488"/>
      <c r="AQ204" s="488"/>
      <c r="AR204" s="488"/>
      <c r="AS204" s="488"/>
      <c r="AT204" s="488"/>
      <c r="AU204" s="488"/>
      <c r="AV204" s="488"/>
      <c r="AW204" s="488"/>
      <c r="AX204" s="488"/>
      <c r="AY204" s="488"/>
      <c r="AZ204" s="488"/>
      <c r="BA204" s="488"/>
      <c r="BB204" s="488"/>
      <c r="BD204" s="589"/>
      <c r="BE204" s="590"/>
      <c r="BF204" s="590"/>
      <c r="BG204" s="536"/>
      <c r="BH204" s="388"/>
      <c r="BI204" s="488"/>
      <c r="BJ204" s="488"/>
      <c r="BK204" s="488"/>
      <c r="BL204" s="488"/>
      <c r="BM204" s="488"/>
    </row>
    <row r="205" customFormat="false" ht="12.75" hidden="false" customHeight="false" outlineLevel="0" collapsed="false">
      <c r="H205" s="586"/>
      <c r="I205" s="385"/>
      <c r="J205" s="419"/>
      <c r="L205" s="385"/>
      <c r="M205" s="385"/>
      <c r="Q205" s="488"/>
      <c r="R205" s="488"/>
      <c r="S205" s="488"/>
      <c r="T205" s="488"/>
      <c r="V205" s="488"/>
      <c r="W205" s="488"/>
      <c r="X205" s="488"/>
      <c r="Y205" s="587"/>
      <c r="Z205" s="588"/>
      <c r="AA205" s="488"/>
      <c r="AB205" s="488"/>
      <c r="AC205" s="488"/>
      <c r="AE205" s="488"/>
      <c r="AF205" s="488"/>
      <c r="AG205" s="488"/>
      <c r="AH205" s="488"/>
      <c r="AI205" s="488"/>
      <c r="AJ205" s="488"/>
      <c r="AK205" s="488"/>
      <c r="AL205" s="488"/>
      <c r="AN205" s="488"/>
      <c r="AO205" s="488"/>
      <c r="AP205" s="488"/>
      <c r="AQ205" s="488"/>
      <c r="AR205" s="488"/>
      <c r="AS205" s="488"/>
      <c r="AT205" s="488"/>
      <c r="AU205" s="488"/>
      <c r="AV205" s="488"/>
      <c r="AW205" s="488"/>
      <c r="AX205" s="488"/>
      <c r="AY205" s="488"/>
      <c r="AZ205" s="488"/>
      <c r="BA205" s="488"/>
      <c r="BB205" s="488"/>
      <c r="BD205" s="589"/>
      <c r="BE205" s="590"/>
      <c r="BF205" s="590"/>
      <c r="BG205" s="536"/>
      <c r="BH205" s="388"/>
      <c r="BI205" s="488"/>
      <c r="BJ205" s="488"/>
      <c r="BK205" s="488"/>
      <c r="BL205" s="488"/>
      <c r="BM205" s="488"/>
    </row>
    <row r="206" customFormat="false" ht="12.75" hidden="false" customHeight="false" outlineLevel="0" collapsed="false">
      <c r="H206" s="586"/>
      <c r="I206" s="385"/>
      <c r="J206" s="419"/>
      <c r="L206" s="385"/>
      <c r="M206" s="385"/>
      <c r="Q206" s="488"/>
      <c r="R206" s="488"/>
      <c r="S206" s="488"/>
      <c r="T206" s="488"/>
      <c r="V206" s="488"/>
      <c r="W206" s="488"/>
      <c r="X206" s="488"/>
      <c r="Y206" s="587"/>
      <c r="Z206" s="588"/>
      <c r="AA206" s="488"/>
      <c r="AB206" s="488"/>
      <c r="AC206" s="488"/>
      <c r="AE206" s="488"/>
      <c r="AF206" s="488"/>
      <c r="AG206" s="488"/>
      <c r="AH206" s="488"/>
      <c r="AI206" s="488"/>
      <c r="AJ206" s="488"/>
      <c r="AK206" s="488"/>
      <c r="AL206" s="488"/>
      <c r="AN206" s="488"/>
      <c r="AO206" s="488"/>
      <c r="AP206" s="488"/>
      <c r="AQ206" s="488"/>
      <c r="AR206" s="488"/>
      <c r="AS206" s="488"/>
      <c r="AT206" s="488"/>
      <c r="AU206" s="488"/>
      <c r="AV206" s="488"/>
      <c r="AW206" s="488"/>
      <c r="AX206" s="488"/>
      <c r="AY206" s="488"/>
      <c r="AZ206" s="488"/>
      <c r="BA206" s="488"/>
      <c r="BB206" s="488"/>
      <c r="BD206" s="589"/>
      <c r="BE206" s="590"/>
      <c r="BF206" s="590"/>
      <c r="BG206" s="536"/>
      <c r="BH206" s="388"/>
      <c r="BI206" s="488"/>
      <c r="BJ206" s="488"/>
      <c r="BK206" s="488"/>
      <c r="BL206" s="488"/>
      <c r="BM206" s="488"/>
    </row>
    <row r="207" customFormat="false" ht="12.75" hidden="false" customHeight="false" outlineLevel="0" collapsed="false">
      <c r="H207" s="586"/>
      <c r="I207" s="385"/>
      <c r="J207" s="419"/>
      <c r="L207" s="385"/>
      <c r="M207" s="385"/>
      <c r="Q207" s="488"/>
      <c r="R207" s="488"/>
      <c r="S207" s="488"/>
      <c r="T207" s="488"/>
      <c r="V207" s="488"/>
      <c r="W207" s="488"/>
      <c r="X207" s="488"/>
      <c r="Y207" s="587"/>
      <c r="Z207" s="588"/>
      <c r="AA207" s="488"/>
      <c r="AB207" s="488"/>
      <c r="AC207" s="488"/>
      <c r="AE207" s="488"/>
      <c r="AF207" s="488"/>
      <c r="AG207" s="488"/>
      <c r="AH207" s="488"/>
      <c r="AI207" s="488"/>
      <c r="AJ207" s="488"/>
      <c r="AK207" s="488"/>
      <c r="AL207" s="488"/>
      <c r="AN207" s="488"/>
      <c r="AO207" s="488"/>
      <c r="AP207" s="488"/>
      <c r="AQ207" s="488"/>
      <c r="AR207" s="488"/>
      <c r="AS207" s="488"/>
      <c r="AT207" s="488"/>
      <c r="AU207" s="488"/>
      <c r="AV207" s="488"/>
      <c r="AW207" s="488"/>
      <c r="AX207" s="488"/>
      <c r="AY207" s="488"/>
      <c r="AZ207" s="488"/>
      <c r="BA207" s="488"/>
      <c r="BB207" s="488"/>
      <c r="BD207" s="589"/>
      <c r="BE207" s="590"/>
      <c r="BF207" s="590"/>
      <c r="BG207" s="536"/>
      <c r="BH207" s="388"/>
      <c r="BI207" s="488"/>
      <c r="BJ207" s="488"/>
      <c r="BK207" s="488"/>
      <c r="BL207" s="488"/>
      <c r="BM207" s="488"/>
    </row>
    <row r="208" customFormat="false" ht="12.75" hidden="false" customHeight="false" outlineLevel="0" collapsed="false">
      <c r="H208" s="586"/>
      <c r="I208" s="385"/>
      <c r="J208" s="419"/>
      <c r="L208" s="385"/>
      <c r="M208" s="385"/>
      <c r="Q208" s="488"/>
      <c r="R208" s="488"/>
      <c r="S208" s="488"/>
      <c r="T208" s="488"/>
      <c r="V208" s="488"/>
      <c r="W208" s="488"/>
      <c r="X208" s="488"/>
      <c r="Y208" s="587"/>
      <c r="Z208" s="588"/>
      <c r="AA208" s="488"/>
      <c r="AB208" s="488"/>
      <c r="AC208" s="488"/>
      <c r="AE208" s="488"/>
      <c r="AF208" s="488"/>
      <c r="AG208" s="488"/>
      <c r="AH208" s="488"/>
      <c r="AI208" s="488"/>
      <c r="AJ208" s="488"/>
      <c r="AK208" s="488"/>
      <c r="AL208" s="488"/>
      <c r="AN208" s="488"/>
      <c r="AO208" s="488"/>
      <c r="AP208" s="488"/>
      <c r="AQ208" s="488"/>
      <c r="AR208" s="488"/>
      <c r="AS208" s="488"/>
      <c r="AT208" s="488"/>
      <c r="AU208" s="488"/>
      <c r="AV208" s="488"/>
      <c r="AW208" s="488"/>
      <c r="AX208" s="488"/>
      <c r="AY208" s="488"/>
      <c r="AZ208" s="488"/>
      <c r="BA208" s="488"/>
      <c r="BB208" s="488"/>
      <c r="BD208" s="589"/>
      <c r="BE208" s="590"/>
      <c r="BF208" s="590"/>
      <c r="BG208" s="536"/>
      <c r="BH208" s="388"/>
      <c r="BI208" s="488"/>
      <c r="BJ208" s="488"/>
      <c r="BK208" s="488"/>
      <c r="BL208" s="488"/>
      <c r="BM208" s="488"/>
    </row>
    <row r="209" customFormat="false" ht="12.75" hidden="false" customHeight="false" outlineLevel="0" collapsed="false">
      <c r="H209" s="586"/>
      <c r="I209" s="385"/>
      <c r="J209" s="419"/>
      <c r="L209" s="385"/>
      <c r="M209" s="385"/>
      <c r="Q209" s="488"/>
      <c r="R209" s="488"/>
      <c r="S209" s="488"/>
      <c r="T209" s="488"/>
      <c r="V209" s="488"/>
      <c r="W209" s="488"/>
      <c r="X209" s="488"/>
      <c r="Y209" s="587"/>
      <c r="Z209" s="588"/>
      <c r="AA209" s="488"/>
      <c r="AB209" s="488"/>
      <c r="AC209" s="488"/>
      <c r="AE209" s="488"/>
      <c r="AF209" s="488"/>
      <c r="AG209" s="488"/>
      <c r="AH209" s="488"/>
      <c r="AI209" s="488"/>
      <c r="AJ209" s="488"/>
      <c r="AK209" s="488"/>
      <c r="AL209" s="488"/>
      <c r="AN209" s="488"/>
      <c r="AO209" s="488"/>
      <c r="AP209" s="488"/>
      <c r="AQ209" s="488"/>
      <c r="AR209" s="488"/>
      <c r="AS209" s="488"/>
      <c r="AT209" s="488"/>
      <c r="AU209" s="488"/>
      <c r="AV209" s="488"/>
      <c r="AW209" s="488"/>
      <c r="AX209" s="488"/>
      <c r="AY209" s="488"/>
      <c r="AZ209" s="488"/>
      <c r="BA209" s="488"/>
      <c r="BB209" s="488"/>
      <c r="BD209" s="589"/>
      <c r="BE209" s="590"/>
      <c r="BF209" s="590"/>
      <c r="BG209" s="536"/>
      <c r="BH209" s="388"/>
      <c r="BI209" s="488"/>
      <c r="BJ209" s="488"/>
      <c r="BK209" s="488"/>
      <c r="BL209" s="488"/>
      <c r="BM209" s="488"/>
    </row>
  </sheetData>
  <mergeCells count="13">
    <mergeCell ref="A1:D4"/>
    <mergeCell ref="A6:D7"/>
    <mergeCell ref="G7:P7"/>
    <mergeCell ref="Q7:T7"/>
    <mergeCell ref="U7:W7"/>
    <mergeCell ref="X7:Z7"/>
    <mergeCell ref="AA7:AE7"/>
    <mergeCell ref="AF7:AI7"/>
    <mergeCell ref="AJ7:AN7"/>
    <mergeCell ref="AO7:AR7"/>
    <mergeCell ref="AX7:BA7"/>
    <mergeCell ref="BB7:BF7"/>
    <mergeCell ref="BH7:BM7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E68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1" topLeftCell="A13" activePane="bottomLeft" state="frozen"/>
      <selection pane="topLeft" activeCell="A1" activeCellId="0" sqref="A1"/>
      <selection pane="bottomLeft" activeCell="K5" activeCellId="0" sqref="K5"/>
    </sheetView>
  </sheetViews>
  <sheetFormatPr defaultColWidth="9.1484375" defaultRowHeight="12.75" zeroHeight="false" outlineLevelRow="0" outlineLevelCol="0"/>
  <cols>
    <col collapsed="false" customWidth="true" hidden="false" outlineLevel="0" max="1" min="1" style="644" width="16.14"/>
    <col collapsed="false" customWidth="true" hidden="false" outlineLevel="0" max="2" min="2" style="644" width="15.71"/>
    <col collapsed="false" customWidth="true" hidden="false" outlineLevel="0" max="3" min="3" style="644" width="10"/>
    <col collapsed="false" customWidth="true" hidden="false" outlineLevel="0" max="4" min="4" style="644" width="10.85"/>
    <col collapsed="false" customWidth="true" hidden="false" outlineLevel="0" max="5" min="5" style="644" width="10.14"/>
    <col collapsed="false" customWidth="true" hidden="false" outlineLevel="0" max="8" min="6" style="644" width="11.85"/>
    <col collapsed="false" customWidth="true" hidden="false" outlineLevel="0" max="9" min="9" style="644" width="14.29"/>
    <col collapsed="false" customWidth="true" hidden="false" outlineLevel="0" max="10" min="10" style="644" width="11"/>
    <col collapsed="false" customWidth="true" hidden="false" outlineLevel="0" max="11" min="11" style="644" width="12"/>
    <col collapsed="false" customWidth="true" hidden="false" outlineLevel="0" max="12" min="12" style="644" width="11.43"/>
    <col collapsed="false" customWidth="true" hidden="false" outlineLevel="0" max="13" min="13" style="644" width="10.85"/>
    <col collapsed="false" customWidth="true" hidden="false" outlineLevel="0" max="14" min="14" style="644" width="11.43"/>
    <col collapsed="false" customWidth="true" hidden="false" outlineLevel="0" max="15" min="15" style="644" width="12.29"/>
    <col collapsed="false" customWidth="true" hidden="false" outlineLevel="0" max="16" min="16" style="644" width="12.15"/>
    <col collapsed="false" customWidth="true" hidden="false" outlineLevel="0" max="17" min="17" style="644" width="9.42"/>
    <col collapsed="false" customWidth="true" hidden="false" outlineLevel="0" max="18" min="18" style="644" width="16.14"/>
    <col collapsed="false" customWidth="true" hidden="false" outlineLevel="0" max="19" min="19" style="645" width="13.15"/>
    <col collapsed="false" customWidth="false" hidden="false" outlineLevel="0" max="20" min="20" style="644" width="9.14"/>
    <col collapsed="false" customWidth="true" hidden="false" outlineLevel="0" max="21" min="21" style="644" width="13.42"/>
    <col collapsed="false" customWidth="true" hidden="false" outlineLevel="0" max="22" min="22" style="644" width="9.29"/>
    <col collapsed="false" customWidth="false" hidden="false" outlineLevel="0" max="23" min="23" style="644" width="9.14"/>
    <col collapsed="false" customWidth="true" hidden="false" outlineLevel="0" max="24" min="24" style="644" width="13.57"/>
    <col collapsed="false" customWidth="true" hidden="false" outlineLevel="0" max="25" min="25" style="644" width="10.57"/>
    <col collapsed="false" customWidth="false" hidden="false" outlineLevel="0" max="26" min="26" style="644" width="9.14"/>
    <col collapsed="false" customWidth="true" hidden="false" outlineLevel="0" max="27" min="27" style="644" width="9.29"/>
    <col collapsed="false" customWidth="true" hidden="false" outlineLevel="0" max="28" min="28" style="644" width="11.29"/>
    <col collapsed="false" customWidth="false" hidden="false" outlineLevel="0" max="29" min="29" style="644" width="9.14"/>
    <col collapsed="false" customWidth="true" hidden="false" outlineLevel="0" max="30" min="30" style="0" width="12.29"/>
    <col collapsed="false" customWidth="true" hidden="false" outlineLevel="0" max="31" min="31" style="0" width="8.86"/>
    <col collapsed="false" customWidth="false" hidden="false" outlineLevel="0" max="16384" min="32" style="644" width="9.14"/>
  </cols>
  <sheetData>
    <row r="2" customFormat="false" ht="12.75" hidden="false" customHeight="false" outlineLevel="0" collapsed="false">
      <c r="A2" s="646" t="s">
        <v>893</v>
      </c>
      <c r="B2" s="646"/>
      <c r="C2" s="646"/>
      <c r="D2" s="646"/>
      <c r="E2" s="647" t="s">
        <v>894</v>
      </c>
      <c r="F2" s="647"/>
      <c r="G2" s="647"/>
      <c r="H2" s="647"/>
      <c r="I2" s="648"/>
      <c r="J2" s="646" t="s">
        <v>895</v>
      </c>
      <c r="K2" s="646"/>
      <c r="L2" s="646"/>
      <c r="M2" s="646" t="s">
        <v>896</v>
      </c>
      <c r="N2" s="646"/>
      <c r="O2" s="646"/>
      <c r="P2" s="646" t="s">
        <v>897</v>
      </c>
      <c r="Q2" s="646"/>
      <c r="R2" s="646"/>
      <c r="AD2" s="320"/>
      <c r="AE2" s="320"/>
    </row>
    <row r="3" customFormat="false" ht="12.75" hidden="false" customHeight="false" outlineLevel="0" collapsed="false">
      <c r="B3" s="649" t="s">
        <v>898</v>
      </c>
      <c r="C3" s="650" t="n">
        <f aca="false">Afb</f>
        <v>0.0666666666666667</v>
      </c>
      <c r="D3" s="651" t="s">
        <v>541</v>
      </c>
      <c r="E3" s="652" t="s">
        <v>545</v>
      </c>
      <c r="F3" s="653" t="n">
        <f aca="false">Acs</f>
        <v>25</v>
      </c>
      <c r="G3" s="651" t="s">
        <v>899</v>
      </c>
      <c r="H3" s="654" t="s">
        <v>476</v>
      </c>
      <c r="I3" s="655" t="n">
        <f aca="false">gm</f>
        <v>0.00127</v>
      </c>
      <c r="J3" s="652" t="s">
        <v>900</v>
      </c>
      <c r="K3" s="656" t="n">
        <f aca="false">Fesr</f>
        <v>79577.4716368782</v>
      </c>
      <c r="L3" s="651" t="s">
        <v>83</v>
      </c>
      <c r="M3" s="652" t="s">
        <v>901</v>
      </c>
      <c r="N3" s="656" t="n">
        <f aca="false">Fsw/2</f>
        <v>150000</v>
      </c>
      <c r="O3" s="651" t="s">
        <v>83</v>
      </c>
      <c r="P3" s="657" t="s">
        <v>902</v>
      </c>
      <c r="Q3" s="656" t="n">
        <f aca="false">Am*Afb*AEA</f>
        <v>28710.9509905693</v>
      </c>
      <c r="R3" s="658" t="s">
        <v>541</v>
      </c>
    </row>
    <row r="4" customFormat="false" ht="12.75" hidden="false" customHeight="false" outlineLevel="0" collapsed="false">
      <c r="B4" s="649" t="s">
        <v>903</v>
      </c>
      <c r="C4" s="656" t="n">
        <f aca="false">Fz1_u</f>
        <v>779.140075751488</v>
      </c>
      <c r="D4" s="651" t="s">
        <v>83</v>
      </c>
      <c r="E4" s="652" t="s">
        <v>551</v>
      </c>
      <c r="F4" s="659" t="n">
        <f aca="false">Am</f>
        <v>16.9552860180527</v>
      </c>
      <c r="G4" s="651" t="s">
        <v>541</v>
      </c>
      <c r="H4" s="660"/>
      <c r="I4" s="660"/>
      <c r="J4" s="652" t="s">
        <v>904</v>
      </c>
      <c r="K4" s="656" t="n">
        <f aca="false">Fp_dominant</f>
        <v>585.574816193763</v>
      </c>
      <c r="L4" s="651" t="s">
        <v>83</v>
      </c>
      <c r="M4" s="661" t="s">
        <v>905</v>
      </c>
      <c r="N4" s="662" t="n">
        <f aca="false">Q*pole3</f>
        <v>71854.796316609</v>
      </c>
      <c r="O4" s="658"/>
      <c r="P4" s="663" t="s">
        <v>906</v>
      </c>
      <c r="Q4" s="664" t="n">
        <f aca="false">AE7</f>
        <v>4.7863</v>
      </c>
      <c r="R4" s="651" t="s">
        <v>18</v>
      </c>
    </row>
    <row r="5" customFormat="false" ht="12.75" hidden="false" customHeight="false" outlineLevel="0" collapsed="false">
      <c r="B5" s="649" t="s">
        <v>907</v>
      </c>
      <c r="C5" s="659" t="n">
        <f aca="false">Fp1_u</f>
        <v>0.241069242514527</v>
      </c>
      <c r="D5" s="651" t="s">
        <v>83</v>
      </c>
      <c r="E5" s="652" t="s">
        <v>523</v>
      </c>
      <c r="F5" s="650" t="n">
        <f aca="false">Q</f>
        <v>0.47903197544406</v>
      </c>
      <c r="G5" s="651"/>
      <c r="H5" s="660"/>
      <c r="I5" s="660"/>
      <c r="J5" s="661" t="s">
        <v>908</v>
      </c>
      <c r="K5" s="665" t="n">
        <f aca="false">IF(VIN_nom&gt;Vout, 10000000,Frhp)</f>
        <v>67472.5296692988</v>
      </c>
      <c r="L5" s="658" t="s">
        <v>83</v>
      </c>
      <c r="M5" s="661" t="s">
        <v>909</v>
      </c>
      <c r="N5" s="666" t="n">
        <f aca="false">pole3^2</f>
        <v>22500000000</v>
      </c>
      <c r="O5" s="658"/>
      <c r="P5" s="663" t="s">
        <v>910</v>
      </c>
      <c r="Q5" s="667" t="n">
        <f aca="false">AE9</f>
        <v>72.4965084864333</v>
      </c>
      <c r="R5" s="668" t="s">
        <v>911</v>
      </c>
    </row>
    <row r="6" customFormat="false" ht="12.75" hidden="false" customHeight="false" outlineLevel="0" collapsed="false">
      <c r="B6" s="649" t="s">
        <v>912</v>
      </c>
      <c r="C6" s="653" t="n">
        <f aca="false">AEA</f>
        <v>25400</v>
      </c>
      <c r="D6" s="651" t="s">
        <v>541</v>
      </c>
      <c r="E6" s="661" t="s">
        <v>521</v>
      </c>
      <c r="F6" s="669" t="n">
        <f aca="false">mc</f>
        <v>1.16666666666667</v>
      </c>
      <c r="G6" s="670"/>
      <c r="H6" s="671"/>
      <c r="I6" s="672"/>
      <c r="J6" s="673"/>
      <c r="K6" s="674"/>
      <c r="L6" s="672"/>
      <c r="M6" s="673"/>
      <c r="N6" s="675"/>
      <c r="O6" s="672"/>
      <c r="P6" s="676" t="s">
        <v>913</v>
      </c>
      <c r="Q6" s="674" t="n">
        <f aca="false">180/Pi</f>
        <v>57.2957795785523</v>
      </c>
      <c r="R6" s="672"/>
      <c r="AD6" s="596" t="s">
        <v>914</v>
      </c>
      <c r="AE6" s="596"/>
    </row>
    <row r="7" customFormat="false" ht="12.75" hidden="false" customHeight="false" outlineLevel="0" collapsed="false">
      <c r="B7" s="677" t="s">
        <v>915</v>
      </c>
      <c r="C7" s="678" t="n">
        <f aca="false">Fp2_u</f>
        <v>25078.0054450232</v>
      </c>
      <c r="D7" s="679" t="s">
        <v>83</v>
      </c>
      <c r="E7" s="680" t="s">
        <v>522</v>
      </c>
      <c r="F7" s="681" t="n">
        <f aca="false">k</f>
        <v>1.16448567708333</v>
      </c>
      <c r="G7" s="681"/>
      <c r="H7" s="682"/>
      <c r="I7" s="679"/>
      <c r="J7" s="680"/>
      <c r="K7" s="680"/>
      <c r="L7" s="679"/>
      <c r="M7" s="680"/>
      <c r="N7" s="680"/>
      <c r="O7" s="679"/>
      <c r="P7" s="680"/>
      <c r="Q7" s="680"/>
      <c r="R7" s="679"/>
      <c r="AD7" s="0" t="s">
        <v>916</v>
      </c>
      <c r="AE7" s="0" t="n">
        <f aca="false">SUM(AD12:AD613)/1000</f>
        <v>4.7863</v>
      </c>
    </row>
    <row r="8" customFormat="false" ht="12.75" hidden="false" customHeight="false" outlineLevel="0" collapsed="false">
      <c r="B8" s="683"/>
      <c r="C8" s="684"/>
      <c r="D8" s="685"/>
      <c r="E8" s="685"/>
      <c r="F8" s="686"/>
      <c r="G8" s="686"/>
      <c r="H8" s="686"/>
      <c r="I8" s="685"/>
      <c r="J8" s="685"/>
      <c r="K8" s="685"/>
      <c r="L8" s="685"/>
      <c r="M8" s="685"/>
      <c r="N8" s="685"/>
      <c r="O8" s="685"/>
      <c r="P8" s="685"/>
      <c r="Q8" s="685"/>
      <c r="R8" s="685"/>
    </row>
    <row r="9" customFormat="false" ht="12.75" hidden="false" customHeight="false" outlineLevel="0" collapsed="false">
      <c r="AD9" s="0" t="s">
        <v>917</v>
      </c>
      <c r="AE9" s="385" t="n">
        <f aca="false">SUM(AE13:AE613)</f>
        <v>72.4965084864333</v>
      </c>
    </row>
    <row r="10" customFormat="false" ht="13.8" hidden="false" customHeight="false" outlineLevel="0" collapsed="false">
      <c r="A10" s="687" t="s">
        <v>918</v>
      </c>
      <c r="B10" s="688"/>
      <c r="C10" s="689" t="s">
        <v>919</v>
      </c>
      <c r="D10" s="689"/>
      <c r="E10" s="689"/>
      <c r="F10" s="689"/>
      <c r="G10" s="689"/>
      <c r="H10" s="689"/>
      <c r="I10" s="689" t="s">
        <v>920</v>
      </c>
      <c r="J10" s="689"/>
      <c r="K10" s="689"/>
      <c r="L10" s="689"/>
      <c r="M10" s="689"/>
      <c r="N10" s="689"/>
      <c r="O10" s="689" t="s">
        <v>921</v>
      </c>
      <c r="P10" s="689"/>
      <c r="Q10" s="689" t="s">
        <v>922</v>
      </c>
      <c r="R10" s="689"/>
      <c r="S10" s="689"/>
      <c r="X10" s="690" t="s">
        <v>923</v>
      </c>
      <c r="Y10" s="690"/>
      <c r="AA10" s="690" t="s">
        <v>924</v>
      </c>
      <c r="AB10" s="690"/>
    </row>
    <row r="11" customFormat="false" ht="12.75" hidden="false" customHeight="false" outlineLevel="0" collapsed="false">
      <c r="A11" s="687"/>
      <c r="B11" s="688"/>
      <c r="C11" s="691" t="s">
        <v>904</v>
      </c>
      <c r="D11" s="691"/>
      <c r="E11" s="692" t="s">
        <v>900</v>
      </c>
      <c r="F11" s="692"/>
      <c r="G11" s="693" t="s">
        <v>908</v>
      </c>
      <c r="H11" s="693"/>
      <c r="I11" s="691" t="s">
        <v>925</v>
      </c>
      <c r="J11" s="691"/>
      <c r="K11" s="692" t="s">
        <v>926</v>
      </c>
      <c r="L11" s="692"/>
      <c r="M11" s="693" t="s">
        <v>927</v>
      </c>
      <c r="N11" s="693"/>
      <c r="O11" s="693" t="s">
        <v>901</v>
      </c>
      <c r="P11" s="693"/>
      <c r="Q11" s="652"/>
      <c r="R11" s="653"/>
      <c r="S11" s="694"/>
      <c r="X11" s="652"/>
      <c r="Y11" s="651"/>
      <c r="AA11" s="652"/>
      <c r="AB11" s="651"/>
    </row>
    <row r="12" customFormat="false" ht="12.75" hidden="false" customHeight="false" outlineLevel="0" collapsed="false">
      <c r="A12" s="687"/>
      <c r="B12" s="695"/>
      <c r="C12" s="696" t="s">
        <v>928</v>
      </c>
      <c r="D12" s="697" t="s">
        <v>929</v>
      </c>
      <c r="E12" s="697" t="s">
        <v>928</v>
      </c>
      <c r="F12" s="698" t="s">
        <v>929</v>
      </c>
      <c r="G12" s="697" t="s">
        <v>928</v>
      </c>
      <c r="H12" s="698" t="s">
        <v>929</v>
      </c>
      <c r="I12" s="696" t="s">
        <v>928</v>
      </c>
      <c r="J12" s="697" t="s">
        <v>929</v>
      </c>
      <c r="K12" s="697" t="s">
        <v>928</v>
      </c>
      <c r="L12" s="698" t="s">
        <v>929</v>
      </c>
      <c r="M12" s="696" t="s">
        <v>928</v>
      </c>
      <c r="N12" s="697" t="s">
        <v>929</v>
      </c>
      <c r="O12" s="696" t="s">
        <v>928</v>
      </c>
      <c r="P12" s="698" t="s">
        <v>929</v>
      </c>
      <c r="Q12" s="699" t="s">
        <v>930</v>
      </c>
      <c r="R12" s="700" t="s">
        <v>931</v>
      </c>
      <c r="S12" s="701" t="s">
        <v>932</v>
      </c>
      <c r="V12" s="702" t="s">
        <v>933</v>
      </c>
      <c r="X12" s="703" t="s">
        <v>934</v>
      </c>
      <c r="Y12" s="704" t="s">
        <v>935</v>
      </c>
      <c r="AA12" s="703" t="s">
        <v>934</v>
      </c>
      <c r="AB12" s="704" t="s">
        <v>935</v>
      </c>
    </row>
    <row r="13" customFormat="false" ht="12.75" hidden="false" customHeight="false" outlineLevel="0" collapsed="false">
      <c r="A13" s="705" t="n">
        <v>1</v>
      </c>
      <c r="B13" s="706" t="n">
        <f aca="false">A13/1000</f>
        <v>0.001</v>
      </c>
      <c r="C13" s="707" t="n">
        <f aca="false">SQRT(1+(A13/pole1)^2)</f>
        <v>1.00000145815908</v>
      </c>
      <c r="D13" s="708" t="n">
        <f aca="false">ATAN(A13/pole1)</f>
        <v>0.00170772205402366</v>
      </c>
      <c r="E13" s="708" t="n">
        <f aca="false">SQRT(1+(A13/Zero1)^2)</f>
        <v>1.00000000007896</v>
      </c>
      <c r="F13" s="709" t="n">
        <f aca="false">ATAN(A13/Zero1)</f>
        <v>1.25663705993385E-005</v>
      </c>
      <c r="G13" s="708" t="n">
        <f aca="false">IF(VIN_nom&gt;Vout, 1, SQRT(1+(A13/z_RHP)^2))</f>
        <v>1.00000000010983</v>
      </c>
      <c r="H13" s="709" t="n">
        <f aca="false">IF(VIN_nom&gt;Vout, 0, -ATAN(A13/z_RHP))</f>
        <v>-1.4820846421915E-005</v>
      </c>
      <c r="I13" s="707" t="n">
        <f aca="false">SQRT(1+(A13/Pole2)^2)</f>
        <v>4.2670182955806</v>
      </c>
      <c r="J13" s="710" t="n">
        <f aca="false">ATAN(A13/Pole2)</f>
        <v>1.33424058324285</v>
      </c>
      <c r="K13" s="708" t="n">
        <f aca="false">SQRT(1+(A13/Zero2)^2)</f>
        <v>1.00000082364248</v>
      </c>
      <c r="L13" s="709" t="n">
        <f aca="false">ATAN(A13/Zero2)</f>
        <v>0.00128346555648651</v>
      </c>
      <c r="M13" s="707" t="n">
        <f aca="false">SQRT(1+(A13/pole4)^2)</f>
        <v>1.00000000079503</v>
      </c>
      <c r="N13" s="710" t="n">
        <f aca="false">ATAN(A13/pole4)</f>
        <v>3.98755794858651E-005</v>
      </c>
      <c r="O13" s="711" t="n">
        <f aca="false">SQRT((1-(V13/pterm2))^2+(A13/pterm1)^2)</f>
        <v>1.0000000000524</v>
      </c>
      <c r="P13" s="712" t="n">
        <f aca="false">IF((ATAN((A13/pterm1)/(1-A13^2/pterm2))&gt;0),ATAN((A13/pterm1)/(1-A13^2/pterm2)),PI()+ATAN((A13/pterm1)/(1-A13^2/pterm2)))</f>
        <v>1.39169554607552E-005</v>
      </c>
      <c r="Q13" s="713" t="n">
        <f aca="false">20*LOG10(((E13*K13*G13)/(C13*I13*O13*M13))*Adc)</f>
        <v>76.5584559401544</v>
      </c>
      <c r="R13" s="714" t="n">
        <f aca="false">((F13+L13+H13)-(D13+J13+P13+N13))*radconv</f>
        <v>-76.4738737261842</v>
      </c>
      <c r="S13" s="715" t="n">
        <f aca="false">IF(R13&gt;0,R13,R13+180)</f>
        <v>103.526126273816</v>
      </c>
      <c r="U13" s="644" t="n">
        <f aca="false">IF(Q13&lt;0,A13,1000000000)</f>
        <v>1000000000</v>
      </c>
      <c r="V13" s="644" t="n">
        <f aca="false">A13^2</f>
        <v>1</v>
      </c>
      <c r="X13" s="716" t="n">
        <f aca="false">20*LOG10((K13/(I13*M13))*AEA)</f>
        <v>75.4941913800344</v>
      </c>
      <c r="Y13" s="717" t="n">
        <f aca="false">(L13-(J13+N13))*radconv</f>
        <v>-76.3751019050332</v>
      </c>
      <c r="AA13" s="716" t="n">
        <f aca="false">20*LOG10((E13*G13/(C13*O13))*Acs*Am)</f>
        <v>52.5448899146743</v>
      </c>
      <c r="AB13" s="717" t="n">
        <f aca="false">(F13+H13-(D13+P13))*radconv</f>
        <v>-0.0987718211510516</v>
      </c>
      <c r="AD13" s="0" t="n">
        <f aca="false">SUM((Q14&lt;0)*(Q13&gt;0))*A13</f>
        <v>0</v>
      </c>
      <c r="AE13" s="0" t="n">
        <f aca="false">IF(AD13&gt;0,S11,0)</f>
        <v>0</v>
      </c>
    </row>
    <row r="14" customFormat="false" ht="12.75" hidden="false" customHeight="false" outlineLevel="0" collapsed="false">
      <c r="A14" s="718" t="n">
        <v>1.0965</v>
      </c>
      <c r="B14" s="706" t="n">
        <f aca="false">A14/1000</f>
        <v>0.0010965</v>
      </c>
      <c r="C14" s="707" t="n">
        <f aca="false">SQRT(1+(A14/pole1)^2)</f>
        <v>1.00000175316226</v>
      </c>
      <c r="D14" s="708" t="n">
        <f aca="false">ATAN(A14/pole1)</f>
        <v>0.00187251686397171</v>
      </c>
      <c r="E14" s="708" t="n">
        <f aca="false">SQRT(1+(A14/Zero1)^2)</f>
        <v>1.00000000009493</v>
      </c>
      <c r="F14" s="709" t="n">
        <f aca="false">ATAN(A14/Zero1)</f>
        <v>1.3779025362028E-005</v>
      </c>
      <c r="G14" s="708" t="n">
        <f aca="false">IF(VIN_nom&gt;Vout, 1, SQRT(1+(A14/z_RHP)^2))</f>
        <v>1.00000000013205</v>
      </c>
      <c r="H14" s="709" t="n">
        <f aca="false">IF(VIN_nom&gt;Vout, 0, -ATAN(A14/z_RHP))</f>
        <v>-1.62510581013891E-005</v>
      </c>
      <c r="I14" s="707" t="n">
        <f aca="false">SQRT(1+(A14/Pole2)^2)</f>
        <v>4.65711520974052</v>
      </c>
      <c r="J14" s="710" t="n">
        <f aca="false">ATAN(A14/Pole2)</f>
        <v>1.3543858674536</v>
      </c>
      <c r="K14" s="719" t="n">
        <f aca="false">SQRT(1+(A14/Zero2)^2)</f>
        <v>1.00000099027536</v>
      </c>
      <c r="L14" s="720" t="n">
        <f aca="false">ATAN(A14/Zero2)</f>
        <v>0.00140731982635039</v>
      </c>
      <c r="M14" s="707" t="n">
        <f aca="false">SQRT(1+(A14/pole4)^2)</f>
        <v>1.00000000095588</v>
      </c>
      <c r="N14" s="710" t="n">
        <f aca="false">ATAN(A14/pole4)</f>
        <v>4.37235729015627E-005</v>
      </c>
      <c r="O14" s="711" t="n">
        <f aca="false">SQRT((1-(V14/pterm2))^2+(A14/pterm1)^2)</f>
        <v>1.000000000063</v>
      </c>
      <c r="P14" s="712" t="n">
        <f aca="false">IF((ATAN((A14/pterm1)/(1-A14^2/pterm2))&gt;0),ATAN((A14/pterm1)/(1-A14^2/pterm2)),PI()+ATAN((A14/pterm1)/(1-A14^2/pterm2)))</f>
        <v>1.5259941662656E-005</v>
      </c>
      <c r="Q14" s="713" t="n">
        <f aca="false">20*LOG10(((E14*K14*G14)/(C14*I14*O14*M14))*Adc)</f>
        <v>75.7986052868869</v>
      </c>
      <c r="R14" s="714" t="n">
        <f aca="false">((F14+L14+H14)-(D14+J14+P14+N14))*radconv</f>
        <v>-77.6307690963482</v>
      </c>
      <c r="S14" s="694" t="n">
        <f aca="false">IF(R14&gt;0,R14,R14+180)</f>
        <v>102.369230903652</v>
      </c>
      <c r="U14" s="644" t="n">
        <f aca="false">IF(Q14&lt;0,A14,1000000000)</f>
        <v>1000000000</v>
      </c>
      <c r="V14" s="644" t="n">
        <f aca="false">A14^2</f>
        <v>1.20231225</v>
      </c>
      <c r="X14" s="716" t="n">
        <f aca="false">20*LOG10((K14/(I14*M14))*AEA)</f>
        <v>74.7343432888883</v>
      </c>
      <c r="Y14" s="717" t="n">
        <f aca="false">(L14-(J14+N14))*radconv</f>
        <v>-77.5224658155561</v>
      </c>
      <c r="AA14" s="716" t="n">
        <f aca="false">20*LOG10((E14*G14/(C14*O14))*Acs*Am)</f>
        <v>52.544887352553</v>
      </c>
      <c r="AB14" s="717" t="n">
        <f aca="false">(F14+H14-(D14+P14))*radconv</f>
        <v>-0.108303280792076</v>
      </c>
      <c r="AD14" s="0" t="n">
        <f aca="false">SUM((Q15&lt;0)*(Q14&gt;0))*A14</f>
        <v>0</v>
      </c>
      <c r="AE14" s="0" t="n">
        <f aca="false">IF(AD14&gt;0,S12,0)</f>
        <v>0</v>
      </c>
    </row>
    <row r="15" customFormat="false" ht="12.75" hidden="false" customHeight="false" outlineLevel="0" collapsed="false">
      <c r="A15" s="718" t="n">
        <v>1.2023</v>
      </c>
      <c r="B15" s="706" t="n">
        <f aca="false">A15/1000</f>
        <v>0.0012023</v>
      </c>
      <c r="C15" s="707" t="n">
        <f aca="false">SQRT(1+(A15/pole1)^2)</f>
        <v>1.00000210780514</v>
      </c>
      <c r="D15" s="708" t="n">
        <f aca="false">ATAN(A15/pole1)</f>
        <v>0.00205319333632097</v>
      </c>
      <c r="E15" s="708" t="n">
        <f aca="false">SQRT(1+(A15/Zero1)^2)</f>
        <v>1.00000000011413</v>
      </c>
      <c r="F15" s="709" t="n">
        <f aca="false">ATAN(A15/Zero1)</f>
        <v>1.51085473712304E-005</v>
      </c>
      <c r="G15" s="708" t="n">
        <f aca="false">IF(VIN_nom&gt;Vout, 1, SQRT(1+(A15/z_RHP)^2))</f>
        <v>1.00000000015876</v>
      </c>
      <c r="H15" s="709" t="n">
        <f aca="false">IF(VIN_nom&gt;Vout, 0, -ATAN(A15/z_RHP))</f>
        <v>-1.78191036524871E-005</v>
      </c>
      <c r="I15" s="707" t="n">
        <f aca="false">SQRT(1+(A15/Pole2)^2)</f>
        <v>5.08662924918547</v>
      </c>
      <c r="J15" s="710" t="n">
        <f aca="false">ATAN(A15/Pole2)</f>
        <v>1.37291357324696</v>
      </c>
      <c r="K15" s="719" t="n">
        <f aca="false">SQRT(1+(A15/Zero2)^2)</f>
        <v>1.00000119059582</v>
      </c>
      <c r="L15" s="720" t="n">
        <f aca="false">ATAN(A15/Zero2)</f>
        <v>0.00154311026106433</v>
      </c>
      <c r="M15" s="707" t="n">
        <f aca="false">SQRT(1+(A15/pole4)^2)</f>
        <v>1.00000000114924</v>
      </c>
      <c r="N15" s="710" t="n">
        <f aca="false">ATAN(A15/pole4)</f>
        <v>4.79424092045346E-005</v>
      </c>
      <c r="O15" s="711" t="n">
        <f aca="false">SQRT((1-(V15/pterm2))^2+(A15/pterm1)^2)</f>
        <v>1.00000000007574</v>
      </c>
      <c r="P15" s="712" t="n">
        <f aca="false">IF((ATAN((A15/pterm1)/(1-A15^2/pterm2))&gt;0),ATAN((A15/pterm1)/(1-A15^2/pterm2)),PI()+ATAN((A15/pterm1)/(1-A15^2/pterm2)))</f>
        <v>1.6732355550316E-005</v>
      </c>
      <c r="Q15" s="713" t="n">
        <f aca="false">20*LOG10(((E15*K15*G15)/(C15*I15*O15*M15))*Adc)</f>
        <v>75.0323418972871</v>
      </c>
      <c r="R15" s="714" t="n">
        <f aca="false">((F15+L15+H15)-(D15+J15+P15+N15))*radconv</f>
        <v>-78.6952399751079</v>
      </c>
      <c r="S15" s="694" t="n">
        <f aca="false">IF(R15&gt;0,R15,R15+180)</f>
        <v>101.304760024892</v>
      </c>
      <c r="U15" s="644" t="n">
        <f aca="false">IF(Q15&lt;0,A15,1000000000)</f>
        <v>1000000000</v>
      </c>
      <c r="V15" s="644" t="n">
        <f aca="false">A15^2</f>
        <v>1.44552529</v>
      </c>
      <c r="X15" s="716" t="n">
        <f aca="false">20*LOG10((K15/(I15*M15))*AEA)</f>
        <v>73.9680829793833</v>
      </c>
      <c r="Y15" s="717" t="n">
        <f aca="false">(L15-(J15+N15))*radconv</f>
        <v>-78.5764866654872</v>
      </c>
      <c r="AA15" s="716" t="n">
        <f aca="false">20*LOG10((E15*G15/(C15*O15))*Acs*Am)</f>
        <v>52.5448842724582</v>
      </c>
      <c r="AB15" s="717" t="n">
        <f aca="false">(F15+H15-(D15+P15))*radconv</f>
        <v>-0.118753309620666</v>
      </c>
      <c r="AD15" s="0" t="n">
        <f aca="false">SUM((Q16&lt;0)*(Q15&gt;0))*A15</f>
        <v>0</v>
      </c>
      <c r="AE15" s="0" t="n">
        <f aca="false">IF(AD15&gt;0,S13,0)</f>
        <v>0</v>
      </c>
    </row>
    <row r="16" customFormat="false" ht="12.75" hidden="false" customHeight="false" outlineLevel="0" collapsed="false">
      <c r="A16" s="718" t="n">
        <v>1.3183</v>
      </c>
      <c r="B16" s="706" t="n">
        <f aca="false">A16/1000</f>
        <v>0.0013183</v>
      </c>
      <c r="C16" s="707" t="n">
        <f aca="false">SQRT(1+(A16/pole1)^2)</f>
        <v>1.00000253415501</v>
      </c>
      <c r="D16" s="708" t="n">
        <f aca="false">ATAN(A16/pole1)</f>
        <v>0.00225128836890309</v>
      </c>
      <c r="E16" s="708" t="n">
        <f aca="false">SQRT(1+(A16/Zero1)^2)</f>
        <v>1.00000000013722</v>
      </c>
      <c r="F16" s="709" t="n">
        <f aca="false">ATAN(A16/Zero1)</f>
        <v>1.65662463604645E-005</v>
      </c>
      <c r="G16" s="708" t="n">
        <f aca="false">IF(VIN_nom&gt;Vout, 1, SQRT(1+(A16/z_RHP)^2))</f>
        <v>1.00000000019087</v>
      </c>
      <c r="H16" s="709" t="n">
        <f aca="false">IF(VIN_nom&gt;Vout, 0, -ATAN(A16/z_RHP))</f>
        <v>-1.95383218369549E-005</v>
      </c>
      <c r="I16" s="707" t="n">
        <f aca="false">SQRT(1+(A16/Pole2)^2)</f>
        <v>5.5592333211209</v>
      </c>
      <c r="J16" s="710" t="n">
        <f aca="false">ATAN(A16/Pole2)</f>
        <v>1.38993093226944</v>
      </c>
      <c r="K16" s="719" t="n">
        <f aca="false">SQRT(1+(A16/Zero2)^2)</f>
        <v>1.0000014314201</v>
      </c>
      <c r="L16" s="720" t="n">
        <f aca="false">ATAN(A16/Zero2)</f>
        <v>0.00169199195754671</v>
      </c>
      <c r="M16" s="707" t="n">
        <f aca="false">SQRT(1+(A16/pole4)^2)</f>
        <v>1.0000000013817</v>
      </c>
      <c r="N16" s="710" t="n">
        <f aca="false">ATAN(A16/pole4)</f>
        <v>5.25679764156561E-005</v>
      </c>
      <c r="O16" s="711" t="n">
        <f aca="false">SQRT((1-(V16/pterm2))^2+(A16/pterm1)^2)</f>
        <v>1.00000000009106</v>
      </c>
      <c r="P16" s="712" t="n">
        <f aca="false">IF((ATAN((A16/pterm1)/(1-A16^2/pterm2))&gt;0),ATAN((A16/pterm1)/(1-A16^2/pterm2)),PI()+ATAN((A16/pterm1)/(1-A16^2/pterm2)))</f>
        <v>1.83467223836412E-005</v>
      </c>
      <c r="Q16" s="713" t="n">
        <f aca="false">20*LOG10(((E16*K16*G16)/(C16*I16*O16*M16))*Adc)</f>
        <v>74.2606439332132</v>
      </c>
      <c r="R16" s="714" t="n">
        <f aca="false">((F16+L16+H16)-(D16+J16+P16+N16))*radconv</f>
        <v>-79.6734550489581</v>
      </c>
      <c r="S16" s="694" t="n">
        <f aca="false">IF(R16&gt;0,R16,R16+180)</f>
        <v>100.326544951042</v>
      </c>
      <c r="U16" s="644" t="n">
        <f aca="false">IF(Q16&lt;0,A16,1000000000)</f>
        <v>1000000000</v>
      </c>
      <c r="V16" s="644" t="n">
        <f aca="false">A16^2</f>
        <v>1.73791489</v>
      </c>
      <c r="X16" s="716" t="n">
        <f aca="false">20*LOG10((K16/(I16*M16))*AEA)</f>
        <v>73.1963887181823</v>
      </c>
      <c r="Y16" s="717" t="n">
        <f aca="false">(L16-(J16+N16))*radconv</f>
        <v>-79.5432442496626</v>
      </c>
      <c r="AA16" s="716" t="n">
        <f aca="false">20*LOG10((E16*G16/(C16*O16))*Acs*Am)</f>
        <v>52.5448805695852</v>
      </c>
      <c r="AB16" s="717" t="n">
        <f aca="false">(F16+H16-(D16+P16))*radconv</f>
        <v>-0.130210799295504</v>
      </c>
      <c r="AD16" s="0" t="n">
        <f aca="false">SUM((Q17&lt;0)*(Q16&gt;0))*A16</f>
        <v>0</v>
      </c>
      <c r="AE16" s="0" t="n">
        <f aca="false">IF(AD16&gt;0,S14,0)</f>
        <v>0</v>
      </c>
    </row>
    <row r="17" customFormat="false" ht="12.75" hidden="false" customHeight="false" outlineLevel="0" collapsed="false">
      <c r="A17" s="718" t="n">
        <v>1.4454</v>
      </c>
      <c r="B17" s="706" t="n">
        <f aca="false">A17/1000</f>
        <v>0.0014454</v>
      </c>
      <c r="C17" s="707" t="n">
        <f aca="false">SQRT(1+(A17/pole1)^2)</f>
        <v>1.00000304635606</v>
      </c>
      <c r="D17" s="708" t="n">
        <f aca="false">ATAN(A17/pole1)</f>
        <v>0.00246833884341653</v>
      </c>
      <c r="E17" s="708" t="n">
        <f aca="false">SQRT(1+(A17/Zero1)^2)</f>
        <v>1.00000000016496</v>
      </c>
      <c r="F17" s="709" t="n">
        <f aca="false">ATAN(A17/Zero1)</f>
        <v>1.81634320632426E-005</v>
      </c>
      <c r="G17" s="708" t="n">
        <f aca="false">IF(VIN_nom&gt;Vout, 1, SQRT(1+(A17/z_RHP)^2))</f>
        <v>1.00000000022945</v>
      </c>
      <c r="H17" s="709" t="n">
        <f aca="false">IF(VIN_nom&gt;Vout, 0, -ATAN(A17/z_RHP))</f>
        <v>-2.14220514165276E-005</v>
      </c>
      <c r="I17" s="707" t="n">
        <f aca="false">SQRT(1+(A17/Pole2)^2)</f>
        <v>6.07860758623212</v>
      </c>
      <c r="J17" s="710" t="n">
        <f aca="false">ATAN(A17/Pole2)</f>
        <v>1.4055337257154</v>
      </c>
      <c r="K17" s="719" t="n">
        <f aca="false">SQRT(1+(A17/Zero2)^2)</f>
        <v>1.00000172073759</v>
      </c>
      <c r="L17" s="720" t="n">
        <f aca="false">ATAN(A17/Zero2)</f>
        <v>0.00185512000586693</v>
      </c>
      <c r="M17" s="707" t="n">
        <f aca="false">SQRT(1+(A17/pole4)^2)</f>
        <v>1.00000000166096</v>
      </c>
      <c r="N17" s="710" t="n">
        <f aca="false">ATAN(A17/pole4)</f>
        <v>5.76361625555968E-005</v>
      </c>
      <c r="O17" s="711" t="n">
        <f aca="false">SQRT((1-(V17/pterm2))^2+(A17/pterm1)^2)</f>
        <v>1.00000000010947</v>
      </c>
      <c r="P17" s="712" t="n">
        <f aca="false">IF((ATAN((A17/pterm1)/(1-A17^2/pterm2))&gt;0),ATAN((A17/pterm1)/(1-A17^2/pterm2)),PI()+ATAN((A17/pterm1)/(1-A17^2/pterm2)))</f>
        <v>2.01155674225348E-005</v>
      </c>
      <c r="Q17" s="713" t="n">
        <f aca="false">20*LOG10(((E17*K17*G17)/(C17*I17*O17*M17))*Adc)</f>
        <v>73.4848578756764</v>
      </c>
      <c r="R17" s="714" t="n">
        <f aca="false">((F17+L17+H17)-(D17+J17+P17+N17))*radconv</f>
        <v>-80.5709269412797</v>
      </c>
      <c r="S17" s="694" t="n">
        <f aca="false">IF(R17&gt;0,R17,R17+180)</f>
        <v>99.4290730587203</v>
      </c>
      <c r="U17" s="644" t="n">
        <f aca="false">IF(Q17&lt;0,A17,1000000000)</f>
        <v>1000000000</v>
      </c>
      <c r="V17" s="644" t="n">
        <f aca="false">A17^2</f>
        <v>2.08918116</v>
      </c>
      <c r="X17" s="716" t="n">
        <f aca="false">20*LOG10((K17/(I17*M17))*AEA)</f>
        <v>72.4206071091388</v>
      </c>
      <c r="Y17" s="717" t="n">
        <f aca="false">(L17-(J17+N17))*radconv</f>
        <v>-80.4281623007288</v>
      </c>
      <c r="AA17" s="716" t="n">
        <f aca="false">20*LOG10((E17*G17/(C17*O17))*Acs*Am)</f>
        <v>52.544876121092</v>
      </c>
      <c r="AB17" s="717" t="n">
        <f aca="false">(F17+H17-(D17+P17))*radconv</f>
        <v>-0.142764640550908</v>
      </c>
      <c r="AD17" s="0" t="n">
        <f aca="false">SUM((Q18&lt;0)*(Q17&gt;0))*A17</f>
        <v>0</v>
      </c>
      <c r="AE17" s="0" t="n">
        <f aca="false">IF(AD17&gt;0,S15,0)</f>
        <v>0</v>
      </c>
    </row>
    <row r="18" customFormat="false" ht="12.75" hidden="false" customHeight="false" outlineLevel="0" collapsed="false">
      <c r="A18" s="718" t="n">
        <v>1.5849</v>
      </c>
      <c r="B18" s="706" t="n">
        <f aca="false">A18/1000</f>
        <v>0.0015849</v>
      </c>
      <c r="C18" s="707" t="n">
        <f aca="false">SQRT(1+(A18/pole1)^2)</f>
        <v>1.00000366275743</v>
      </c>
      <c r="D18" s="708" t="n">
        <f aca="false">ATAN(A18/pole1)</f>
        <v>0.00270656470550125</v>
      </c>
      <c r="E18" s="708" t="n">
        <f aca="false">SQRT(1+(A18/Zero1)^2)</f>
        <v>1.00000000019833</v>
      </c>
      <c r="F18" s="709" t="n">
        <f aca="false">ATAN(A18/Zero1)</f>
        <v>1.99164407613066E-005</v>
      </c>
      <c r="G18" s="708" t="n">
        <f aca="false">IF(VIN_nom&gt;Vout, 1, SQRT(1+(A18/z_RHP)^2))</f>
        <v>1.00000000027588</v>
      </c>
      <c r="H18" s="709" t="n">
        <f aca="false">IF(VIN_nom&gt;Vout, 0, -ATAN(A18/z_RHP))</f>
        <v>-2.34895594914928E-005</v>
      </c>
      <c r="I18" s="707" t="n">
        <f aca="false">SQRT(1+(A18/Pole2)^2)</f>
        <v>6.65007663608388</v>
      </c>
      <c r="J18" s="710" t="n">
        <f aca="false">ATAN(A18/Pole2)</f>
        <v>1.41984955401055</v>
      </c>
      <c r="K18" s="719" t="n">
        <f aca="false">SQRT(1+(A18/Zero2)^2)</f>
        <v>1.00000206891286</v>
      </c>
      <c r="L18" s="720" t="n">
        <f aca="false">ATAN(A18/Zero2)</f>
        <v>0.00203416287175472</v>
      </c>
      <c r="M18" s="707" t="n">
        <f aca="false">SQRT(1+(A18/pole4)^2)</f>
        <v>1.00000000199704</v>
      </c>
      <c r="N18" s="710" t="n">
        <f aca="false">ATAN(A18/pole4)</f>
        <v>6.31988058765038E-005</v>
      </c>
      <c r="O18" s="711" t="n">
        <f aca="false">SQRT((1-(V18/pterm2))^2+(A18/pterm1)^2)</f>
        <v>1.00000000013161</v>
      </c>
      <c r="P18" s="712" t="n">
        <f aca="false">IF((ATAN((A18/pterm1)/(1-A18^2/pterm2))&gt;0),ATAN((A18/pterm1)/(1-A18^2/pterm2)),PI()+ATAN((A18/pterm1)/(1-A18^2/pterm2)))</f>
        <v>2.20569827090801E-005</v>
      </c>
      <c r="Q18" s="713" t="n">
        <f aca="false">20*LOG10(((E18*K18*G18)/(C18*I18*O18*M18))*Adc)</f>
        <v>72.7044046948292</v>
      </c>
      <c r="R18" s="714" t="n">
        <f aca="false">((F18+L18+H18)-(D18+J18+P18+N18))*radconv</f>
        <v>-81.3950023900425</v>
      </c>
      <c r="S18" s="694" t="n">
        <f aca="false">IF(R18&gt;0,R18,R18+180)</f>
        <v>98.6049976099575</v>
      </c>
      <c r="U18" s="644" t="n">
        <f aca="false">IF(Q18&lt;0,A18,1000000000)</f>
        <v>1000000000</v>
      </c>
      <c r="V18" s="644" t="n">
        <f aca="false">A18^2</f>
        <v>2.51190801</v>
      </c>
      <c r="X18" s="716" t="n">
        <f aca="false">20*LOG10((K18/(I18*M18))*AEA)</f>
        <v>71.6401592817672</v>
      </c>
      <c r="Y18" s="717" t="n">
        <f aca="false">(L18-(J18+N18))*radconv</f>
        <v>-81.2384591586183</v>
      </c>
      <c r="AA18" s="716" t="n">
        <f aca="false">20*LOG10((E18*G18/(C18*O18))*Acs*Am)</f>
        <v>52.5448707676165</v>
      </c>
      <c r="AB18" s="717" t="n">
        <f aca="false">(F18+H18-(D18+P18))*radconv</f>
        <v>-0.156543231424129</v>
      </c>
      <c r="AD18" s="0" t="n">
        <f aca="false">SUM((Q19&lt;0)*(Q18&gt;0))*A18</f>
        <v>0</v>
      </c>
      <c r="AE18" s="0" t="n">
        <f aca="false">IF(AD18&gt;0,S16,0)</f>
        <v>0</v>
      </c>
    </row>
    <row r="19" customFormat="false" ht="12.75" hidden="false" customHeight="false" outlineLevel="0" collapsed="false">
      <c r="A19" s="718" t="n">
        <v>1.7378</v>
      </c>
      <c r="B19" s="706" t="n">
        <f aca="false">A19/1000</f>
        <v>0.0017378</v>
      </c>
      <c r="C19" s="707" t="n">
        <f aca="false">SQRT(1+(A19/pole1)^2)</f>
        <v>1.00000440355933</v>
      </c>
      <c r="D19" s="708" t="n">
        <f aca="false">ATAN(A19/pole1)</f>
        <v>0.00296767355816481</v>
      </c>
      <c r="E19" s="708" t="n">
        <f aca="false">SQRT(1+(A19/Zero1)^2)</f>
        <v>1.00000000023845</v>
      </c>
      <c r="F19" s="709" t="n">
        <f aca="false">ATAN(A19/Zero1)</f>
        <v>2.18378388252086E-005</v>
      </c>
      <c r="G19" s="708" t="n">
        <f aca="false">IF(VIN_nom&gt;Vout, 1, SQRT(1+(A19/z_RHP)^2))</f>
        <v>1.00000000033168</v>
      </c>
      <c r="H19" s="709" t="n">
        <f aca="false">IF(VIN_nom&gt;Vout, 0, -ATAN(A19/z_RHP))</f>
        <v>-2.57556669081947E-005</v>
      </c>
      <c r="I19" s="707" t="n">
        <f aca="false">SQRT(1+(A19/Pole2)^2)</f>
        <v>7.27774717713263</v>
      </c>
      <c r="J19" s="710" t="n">
        <f aca="false">ATAN(A19/Pole2)</f>
        <v>1.43295508131524</v>
      </c>
      <c r="K19" s="719" t="n">
        <f aca="false">SQRT(1+(A19/Zero2)^2)</f>
        <v>1.00000248735609</v>
      </c>
      <c r="L19" s="720" t="n">
        <f aca="false">ATAN(A19/Zero2)</f>
        <v>0.00223040397022827</v>
      </c>
      <c r="M19" s="707" t="n">
        <f aca="false">SQRT(1+(A19/pole4)^2)</f>
        <v>1.00000000240095</v>
      </c>
      <c r="N19" s="710" t="n">
        <f aca="false">ATAN(A19/pole4)</f>
        <v>6.92957819563474E-005</v>
      </c>
      <c r="O19" s="711" t="n">
        <f aca="false">SQRT((1-(V19/pterm2))^2+(A19/pterm1)^2)</f>
        <v>1.00000000015823</v>
      </c>
      <c r="P19" s="712" t="n">
        <f aca="false">IF((ATAN((A19/pterm1)/(1-A19^2/pterm2))&gt;0),ATAN((A19/pterm1)/(1-A19^2/pterm2)),PI()+ATAN((A19/pterm1)/(1-A19^2/pterm2)))</f>
        <v>2.41848851987177E-005</v>
      </c>
      <c r="Q19" s="713" t="n">
        <f aca="false">20*LOG10(((E19*K19*G19)/(C19*I19*O19*M19))*Adc)</f>
        <v>71.9209956059011</v>
      </c>
      <c r="R19" s="714" t="n">
        <f aca="false">((F19+L19+H19)-(D19+J19+P19+N19))*radconv</f>
        <v>-82.150101443519</v>
      </c>
      <c r="S19" s="694" t="n">
        <f aca="false">IF(R19&gt;0,R19,R19+180)</f>
        <v>97.849898556481</v>
      </c>
      <c r="U19" s="644" t="n">
        <f aca="false">IF(Q19&lt;0,A19,1000000000)</f>
        <v>1000000000</v>
      </c>
      <c r="V19" s="644" t="n">
        <f aca="false">A19^2</f>
        <v>3.01994884</v>
      </c>
      <c r="X19" s="716" t="n">
        <f aca="false">20*LOG10((K19/(I19*M19))*AEA)</f>
        <v>70.8567566267348</v>
      </c>
      <c r="Y19" s="717" t="n">
        <f aca="false">(L19-(J19+N19))*radconv</f>
        <v>-81.9784561066036</v>
      </c>
      <c r="AA19" s="716" t="n">
        <f aca="false">20*LOG10((E19*G19/(C19*O19))*Acs*Am)</f>
        <v>52.5448643337207</v>
      </c>
      <c r="AB19" s="717" t="n">
        <f aca="false">(F19+H19-(D19+P19))*radconv</f>
        <v>-0.171645336915457</v>
      </c>
      <c r="AD19" s="0" t="n">
        <f aca="false">SUM((Q20&lt;0)*(Q19&gt;0))*A19</f>
        <v>0</v>
      </c>
      <c r="AE19" s="0" t="n">
        <f aca="false">IF(AD19&gt;0,S17,0)</f>
        <v>0</v>
      </c>
    </row>
    <row r="20" customFormat="false" ht="12.75" hidden="false" customHeight="false" outlineLevel="0" collapsed="false">
      <c r="A20" s="718" t="n">
        <v>1.9055</v>
      </c>
      <c r="B20" s="706" t="n">
        <f aca="false">A20/1000</f>
        <v>0.0019055</v>
      </c>
      <c r="C20" s="707" t="n">
        <f aca="false">SQRT(1+(A20/pole1)^2)</f>
        <v>1.00000529446375</v>
      </c>
      <c r="D20" s="708" t="n">
        <f aca="false">ATAN(A20/pole1)</f>
        <v>0.00325405605158508</v>
      </c>
      <c r="E20" s="708" t="n">
        <f aca="false">SQRT(1+(A20/Zero1)^2)</f>
        <v>1.00000000028669</v>
      </c>
      <c r="F20" s="709" t="n">
        <f aca="false">ATAN(A20/Zero1)</f>
        <v>2.39452191737235E-005</v>
      </c>
      <c r="G20" s="708" t="n">
        <f aca="false">IF(VIN_nom&gt;Vout, 1, SQRT(1+(A20/z_RHP)^2))</f>
        <v>1.00000000039878</v>
      </c>
      <c r="H20" s="709" t="n">
        <f aca="false">IF(VIN_nom&gt;Vout, 0, -ATAN(A20/z_RHP))</f>
        <v>-2.82411228515188E-005</v>
      </c>
      <c r="I20" s="707" t="n">
        <f aca="false">SQRT(1+(A20/Pole2)^2)</f>
        <v>7.96737303414567</v>
      </c>
      <c r="J20" s="710" t="n">
        <f aca="false">ATAN(A20/Pole2)</f>
        <v>1.44495254826388</v>
      </c>
      <c r="K20" s="719" t="n">
        <f aca="false">SQRT(1+(A20/Zero2)^2)</f>
        <v>1.00000299058517</v>
      </c>
      <c r="L20" s="720" t="n">
        <f aca="false">ATAN(A20/Zero2)</f>
        <v>0.00244564008484619</v>
      </c>
      <c r="M20" s="707" t="n">
        <f aca="false">SQRT(1+(A20/pole4)^2)</f>
        <v>1.0000000028867</v>
      </c>
      <c r="N20" s="710" t="n">
        <f aca="false">ATAN(A20/pole4)</f>
        <v>7.59829166043618E-005</v>
      </c>
      <c r="O20" s="711" t="n">
        <f aca="false">SQRT((1-(V20/pterm2))^2+(A20/pterm1)^2)</f>
        <v>1.00000000019025</v>
      </c>
      <c r="P20" s="712" t="n">
        <f aca="false">IF((ATAN((A20/pterm1)/(1-A20^2/pterm2))&gt;0),ATAN((A20/pterm1)/(1-A20^2/pterm2)),PI()+ATAN((A20/pterm1)/(1-A20^2/pterm2)))</f>
        <v>2.65187586290656E-005</v>
      </c>
      <c r="Q20" s="713" t="n">
        <f aca="false">20*LOG10(((E20*K20*G20)/(C20*I20*O20*M20))*Adc)</f>
        <v>71.1346284967273</v>
      </c>
      <c r="R20" s="714" t="n">
        <f aca="false">((F20+L20+H20)-(D20+J20+P20+N20))*radconv</f>
        <v>-82.8421205803735</v>
      </c>
      <c r="S20" s="694" t="n">
        <f aca="false">IF(R20&gt;0,R20,R20+180)</f>
        <v>97.1578794196265</v>
      </c>
      <c r="U20" s="644" t="n">
        <f aca="false">IF(Q20&lt;0,A20,1000000000)</f>
        <v>1000000000</v>
      </c>
      <c r="V20" s="644" t="n">
        <f aca="false">A20^2</f>
        <v>3.63093025</v>
      </c>
      <c r="X20" s="716" t="n">
        <f aca="false">20*LOG10((K20/(I20*M20))*AEA)</f>
        <v>70.0703972550971</v>
      </c>
      <c r="Y20" s="717" t="n">
        <f aca="false">(L20-(J20+N20))*radconv</f>
        <v>-82.6539113520063</v>
      </c>
      <c r="AA20" s="716" t="n">
        <f aca="false">20*LOG10((E20*G20/(C20*O20))*Acs*Am)</f>
        <v>52.5448565961846</v>
      </c>
      <c r="AB20" s="717" t="n">
        <f aca="false">(F20+H20-(D20+P20))*radconv</f>
        <v>-0.188209228367195</v>
      </c>
      <c r="AD20" s="0" t="n">
        <f aca="false">SUM((Q21&lt;0)*(Q20&gt;0))*A20</f>
        <v>0</v>
      </c>
      <c r="AE20" s="0" t="n">
        <f aca="false">IF(AD20&gt;0,S18,0)</f>
        <v>0</v>
      </c>
    </row>
    <row r="21" customFormat="false" ht="12.75" hidden="false" customHeight="false" outlineLevel="0" collapsed="false">
      <c r="A21" s="718" t="n">
        <v>2.0893</v>
      </c>
      <c r="B21" s="706" t="n">
        <f aca="false">A21/1000</f>
        <v>0.0020893</v>
      </c>
      <c r="C21" s="707" t="n">
        <f aca="false">SQRT(1+(A21/pole1)^2)</f>
        <v>1.0000063651032</v>
      </c>
      <c r="D21" s="708" t="n">
        <f aca="false">ATAN(A21/pole1)</f>
        <v>0.00356793201572401</v>
      </c>
      <c r="E21" s="708" t="n">
        <f aca="false">SQRT(1+(A21/Zero1)^2)</f>
        <v>1.00000000034466</v>
      </c>
      <c r="F21" s="709" t="n">
        <f aca="false">ATAN(A21/Zero1)</f>
        <v>2.62549180885473E-005</v>
      </c>
      <c r="G21" s="708" t="n">
        <f aca="false">IF(VIN_nom&gt;Vout, 1, SQRT(1+(A21/z_RHP)^2))</f>
        <v>1.00000000047942</v>
      </c>
      <c r="H21" s="709" t="n">
        <f aca="false">IF(VIN_nom&gt;Vout, 0, -ATAN(A21/z_RHP))</f>
        <v>-3.09651944216774E-005</v>
      </c>
      <c r="I21" s="707" t="n">
        <f aca="false">SQRT(1+(A21/Pole2)^2)</f>
        <v>8.72430516090473</v>
      </c>
      <c r="J21" s="710" t="n">
        <f aca="false">ATAN(A21/Pole2)</f>
        <v>1.45592153252539</v>
      </c>
      <c r="K21" s="719" t="n">
        <f aca="false">SQRT(1+(A21/Zero2)^2)</f>
        <v>1.00000359533817</v>
      </c>
      <c r="L21" s="720" t="n">
        <f aca="false">ATAN(A21/Zero2)</f>
        <v>0.0026815396322295</v>
      </c>
      <c r="M21" s="707" t="n">
        <f aca="false">SQRT(1+(A21/pole4)^2)</f>
        <v>1.00000000347045</v>
      </c>
      <c r="N21" s="710" t="n">
        <f aca="false">ATAN(A21/pole4)</f>
        <v>8.33120480712217E-005</v>
      </c>
      <c r="O21" s="711" t="n">
        <f aca="false">SQRT((1-(V21/pterm2))^2+(A21/pterm1)^2)</f>
        <v>1.00000000022872</v>
      </c>
      <c r="P21" s="712" t="n">
        <f aca="false">IF((ATAN((A21/pterm1)/(1-A21^2/pterm2))&gt;0),ATAN((A21/pterm1)/(1-A21^2/pterm2)),PI()+ATAN((A21/pterm1)/(1-A21^2/pterm2)))</f>
        <v>2.90766950421875E-005</v>
      </c>
      <c r="Q21" s="713" t="n">
        <f aca="false">20*LOG10(((E21*K21*G21)/(C21*I21*O21*M21))*Adc)</f>
        <v>70.3463105133635</v>
      </c>
      <c r="R21" s="714" t="n">
        <f aca="false">((F21+L21+H21)-(D21+J21+P21+N21))*radconv</f>
        <v>-83.4756550334748</v>
      </c>
      <c r="S21" s="694" t="n">
        <f aca="false">IF(R21&gt;0,R21,R21+180)</f>
        <v>96.5243449665252</v>
      </c>
      <c r="U21" s="644" t="n">
        <f aca="false">IF(Q21&lt;0,A21,1000000000)</f>
        <v>1000000000</v>
      </c>
      <c r="V21" s="644" t="n">
        <f aca="false">A21^2</f>
        <v>4.36517449</v>
      </c>
      <c r="X21" s="716" t="n">
        <f aca="false">20*LOG10((K21/(I21*M21))*AEA)</f>
        <v>69.2820885702653</v>
      </c>
      <c r="Y21" s="717" t="n">
        <f aca="false">(L21-(J21+N21))*radconv</f>
        <v>-83.269291736286</v>
      </c>
      <c r="AA21" s="716" t="n">
        <f aca="false">20*LOG10((E21*G21/(C21*O21))*Acs*Am)</f>
        <v>52.5448472976526</v>
      </c>
      <c r="AB21" s="717" t="n">
        <f aca="false">(F21+H21-(D21+P21))*radconv</f>
        <v>-0.20636329718873</v>
      </c>
      <c r="AD21" s="0" t="n">
        <f aca="false">SUM((Q22&lt;0)*(Q21&gt;0))*A21</f>
        <v>0</v>
      </c>
      <c r="AE21" s="0" t="n">
        <f aca="false">IF(AD21&gt;0,S19,0)</f>
        <v>0</v>
      </c>
    </row>
    <row r="22" customFormat="false" ht="12.75" hidden="false" customHeight="false" outlineLevel="0" collapsed="false">
      <c r="A22" s="718" t="n">
        <v>2.2909</v>
      </c>
      <c r="B22" s="706" t="n">
        <f aca="false">A22/1000</f>
        <v>0.0022909</v>
      </c>
      <c r="C22" s="707" t="n">
        <f aca="false">SQRT(1+(A22/pole1)^2)</f>
        <v>1.00000765272004</v>
      </c>
      <c r="D22" s="708" t="n">
        <f aca="false">ATAN(A22/pole1)</f>
        <v>0.00391220429732475</v>
      </c>
      <c r="E22" s="708" t="n">
        <f aca="false">SQRT(1+(A22/Zero1)^2)</f>
        <v>1.00000000041438</v>
      </c>
      <c r="F22" s="709" t="n">
        <f aca="false">ATAN(A22/Zero1)</f>
        <v>2.87882983995871E-005</v>
      </c>
      <c r="G22" s="708" t="n">
        <f aca="false">IF(VIN_nom&gt;Vout, 1, SQRT(1+(A22/z_RHP)^2))</f>
        <v>1.00000000057641</v>
      </c>
      <c r="H22" s="709" t="n">
        <f aca="false">IF(VIN_nom&gt;Vout, 0, -ATAN(A22/z_RHP))</f>
        <v>-3.3953077057404E-005</v>
      </c>
      <c r="I22" s="707" t="n">
        <f aca="false">SQRT(1+(A22/Pole2)^2)</f>
        <v>9.55554844362078</v>
      </c>
      <c r="J22" s="710" t="n">
        <f aca="false">ATAN(A22/Pole2)</f>
        <v>1.46595311716961</v>
      </c>
      <c r="K22" s="719" t="n">
        <f aca="false">SQRT(1+(A22/Zero2)^2)</f>
        <v>1.0000043226517</v>
      </c>
      <c r="L22" s="720" t="n">
        <f aca="false">ATAN(A22/Zero2)</f>
        <v>0.00294028438463845</v>
      </c>
      <c r="M22" s="707" t="n">
        <f aca="false">SQRT(1+(A22/pole4)^2)</f>
        <v>1.0000000041725</v>
      </c>
      <c r="N22" s="710" t="n">
        <f aca="false">ATAN(A22/pole4)</f>
        <v>9.13509648384784E-005</v>
      </c>
      <c r="O22" s="711" t="n">
        <f aca="false">SQRT((1-(V22/pterm2))^2+(A22/pterm1)^2)</f>
        <v>1.00000000027499</v>
      </c>
      <c r="P22" s="712" t="n">
        <f aca="false">IF((ATAN((A22/pterm1)/(1-A22^2/pterm2))&gt;0),ATAN((A22/pterm1)/(1-A22^2/pterm2)),PI()+ATAN((A22/pterm1)/(1-A22^2/pterm2)))</f>
        <v>3.18823532623195E-005</v>
      </c>
      <c r="Q22" s="713" t="n">
        <f aca="false">20*LOG10(((E22*K22*G22)/(C22*I22*O22*M22))*Adc)</f>
        <v>69.5558102308604</v>
      </c>
      <c r="R22" s="714" t="n">
        <f aca="false">((F22+L22+H22)-(D22+J22+P22+N22))*radconv</f>
        <v>-84.055970251977</v>
      </c>
      <c r="S22" s="694" t="n">
        <f aca="false">IF(R22&gt;0,R22,R22+180)</f>
        <v>95.944029748023</v>
      </c>
      <c r="U22" s="644" t="n">
        <f aca="false">IF(Q22&lt;0,A22,1000000000)</f>
        <v>1000000000</v>
      </c>
      <c r="V22" s="644" t="n">
        <f aca="false">A22^2</f>
        <v>5.24822281</v>
      </c>
      <c r="X22" s="716" t="n">
        <f aca="false">20*LOG10((K22/(I22*M22))*AEA)</f>
        <v>68.4915994707355</v>
      </c>
      <c r="Y22" s="717" t="n">
        <f aca="false">(L22-(J22+N22))*radconv</f>
        <v>-83.8296948125867</v>
      </c>
      <c r="AA22" s="716" t="n">
        <f aca="false">20*LOG10((E22*G22/(C22*O22))*Acs*Am)</f>
        <v>52.5448361146793</v>
      </c>
      <c r="AB22" s="717" t="n">
        <f aca="false">(F22+H22-(D22+P22))*radconv</f>
        <v>-0.226275439390298</v>
      </c>
      <c r="AD22" s="0" t="n">
        <f aca="false">SUM((Q23&lt;0)*(Q22&gt;0))*A22</f>
        <v>0</v>
      </c>
      <c r="AE22" s="0" t="n">
        <f aca="false">IF(AD22&gt;0,S20,0)</f>
        <v>0</v>
      </c>
    </row>
    <row r="23" customFormat="false" ht="12.75" hidden="false" customHeight="false" outlineLevel="0" collapsed="false">
      <c r="A23" s="718" t="n">
        <v>2.5119</v>
      </c>
      <c r="B23" s="706" t="n">
        <f aca="false">A23/1000</f>
        <v>0.0025119</v>
      </c>
      <c r="C23" s="707" t="n">
        <f aca="false">SQRT(1+(A23/pole1)^2)</f>
        <v>1.00000920042558</v>
      </c>
      <c r="D23" s="708" t="n">
        <f aca="false">ATAN(A23/pole1)</f>
        <v>0.0042896048866886</v>
      </c>
      <c r="E23" s="708" t="n">
        <f aca="false">SQRT(1+(A23/Zero1)^2)</f>
        <v>1.00000000049819</v>
      </c>
      <c r="F23" s="709" t="n">
        <f aca="false">ATAN(A23/Zero1)</f>
        <v>3.15654662996563E-005</v>
      </c>
      <c r="G23" s="708" t="n">
        <f aca="false">IF(VIN_nom&gt;Vout, 1, SQRT(1+(A23/z_RHP)^2))</f>
        <v>1.00000000069298</v>
      </c>
      <c r="H23" s="709" t="n">
        <f aca="false">IF(VIN_nom&gt;Vout, 0, -ATAN(A23/z_RHP))</f>
        <v>-3.72284841127351E-005</v>
      </c>
      <c r="I23" s="707" t="n">
        <f aca="false">SQRT(1+(A23/Pole2)^2)</f>
        <v>10.467703273615</v>
      </c>
      <c r="J23" s="710" t="n">
        <f aca="false">ATAN(A23/Pole2)</f>
        <v>1.47511847719122</v>
      </c>
      <c r="K23" s="719" t="n">
        <f aca="false">SQRT(1+(A23/Zero2)^2)</f>
        <v>1.00000519687752</v>
      </c>
      <c r="L23" s="720" t="n">
        <f aca="false">ATAN(A23/Zero2)</f>
        <v>0.00322392773201639</v>
      </c>
      <c r="M23" s="707" t="n">
        <f aca="false">SQRT(1+(A23/pole4)^2)</f>
        <v>1.00000000501636</v>
      </c>
      <c r="N23" s="710" t="n">
        <f aca="false">ATAN(A23/pole4)</f>
        <v>0.000100163467828663</v>
      </c>
      <c r="O23" s="711" t="n">
        <f aca="false">SQRT((1-(V23/pterm2))^2+(A23/pterm1)^2)</f>
        <v>1.0000000003306</v>
      </c>
      <c r="P23" s="712" t="n">
        <f aca="false">IF((ATAN((A23/pterm1)/(1-A23^2/pterm2))&gt;0),ATAN((A23/pterm1)/(1-A23^2/pterm2)),PI()+ATAN((A23/pterm1)/(1-A23^2/pterm2)))</f>
        <v>3.49580004181372E-005</v>
      </c>
      <c r="Q23" s="713" t="n">
        <f aca="false">20*LOG10(((E23*K23*G23)/(C23*I23*O23*M23))*Adc)</f>
        <v>68.7638886812502</v>
      </c>
      <c r="R23" s="714" t="n">
        <f aca="false">((F23+L23+H23)-(D23+J23+P23+N23))*radconv</f>
        <v>-84.587188281635</v>
      </c>
      <c r="S23" s="694" t="n">
        <f aca="false">IF(R23&gt;0,R23,R23+180)</f>
        <v>95.412811718365</v>
      </c>
      <c r="U23" s="644" t="n">
        <f aca="false">IF(Q23&lt;0,A23,1000000000)</f>
        <v>1000000000</v>
      </c>
      <c r="V23" s="644" t="n">
        <f aca="false">A23^2</f>
        <v>6.30964161</v>
      </c>
      <c r="X23" s="716" t="n">
        <f aca="false">20*LOG10((K23/(I23*M23))*AEA)</f>
        <v>67.6996913629541</v>
      </c>
      <c r="Y23" s="717" t="n">
        <f aca="false">(L23-(J23+N23))*radconv</f>
        <v>-84.3390846126614</v>
      </c>
      <c r="AA23" s="716" t="n">
        <f aca="false">20*LOG10((E23*G23/(C23*O23))*Acs*Am)</f>
        <v>52.5448226728504</v>
      </c>
      <c r="AB23" s="717" t="n">
        <f aca="false">(F23+H23-(D23+P23))*radconv</f>
        <v>-0.248103668973623</v>
      </c>
      <c r="AD23" s="0" t="n">
        <f aca="false">SUM((Q24&lt;0)*(Q23&gt;0))*A23</f>
        <v>0</v>
      </c>
      <c r="AE23" s="0" t="n">
        <f aca="false">IF(AD23&gt;0,S21,0)</f>
        <v>0</v>
      </c>
    </row>
    <row r="24" customFormat="false" ht="12.75" hidden="false" customHeight="false" outlineLevel="0" collapsed="false">
      <c r="A24" s="718" t="n">
        <v>2.7542</v>
      </c>
      <c r="B24" s="706" t="n">
        <f aca="false">A24/1000</f>
        <v>0.0027542</v>
      </c>
      <c r="C24" s="707" t="n">
        <f aca="false">SQRT(1+(A24/pole1)^2)</f>
        <v>1.00001106098412</v>
      </c>
      <c r="D24" s="708" t="n">
        <f aca="false">ATAN(A24/pole1)</f>
        <v>0.00470337797075662</v>
      </c>
      <c r="E24" s="708" t="n">
        <f aca="false">SQRT(1+(A24/Zero1)^2)</f>
        <v>1.00000000059894</v>
      </c>
      <c r="F24" s="709" t="n">
        <f aca="false">ATAN(A24/Zero1)</f>
        <v>3.46102978927004E-005</v>
      </c>
      <c r="G24" s="708" t="n">
        <f aca="false">IF(VIN_nom&gt;Vout, 1, SQRT(1+(A24/z_RHP)^2))</f>
        <v>1.00000000083312</v>
      </c>
      <c r="H24" s="709" t="n">
        <f aca="false">IF(VIN_nom&gt;Vout, 0, -ATAN(A24/z_RHP))</f>
        <v>-4.08195751955554E-005</v>
      </c>
      <c r="I24" s="707" t="n">
        <f aca="false">SQRT(1+(A24/Pole2)^2)</f>
        <v>11.4686136631251</v>
      </c>
      <c r="J24" s="710" t="n">
        <f aca="false">ATAN(A24/Pole2)</f>
        <v>1.48349096181048</v>
      </c>
      <c r="K24" s="719" t="n">
        <f aca="false">SQRT(1+(A24/Zero2)^2)</f>
        <v>1.00000624782</v>
      </c>
      <c r="L24" s="720" t="n">
        <f aca="false">ATAN(A24/Zero2)</f>
        <v>0.00353490805303933</v>
      </c>
      <c r="M24" s="707" t="n">
        <f aca="false">SQRT(1+(A24/pole4)^2)</f>
        <v>1.0000000060308</v>
      </c>
      <c r="N24" s="710" t="n">
        <f aca="false">ATAN(A24/pole4)</f>
        <v>0.000109825320636623</v>
      </c>
      <c r="O24" s="711" t="n">
        <f aca="false">SQRT((1-(V24/pterm2))^2+(A24/pterm1)^2)</f>
        <v>1.00000000039746</v>
      </c>
      <c r="P24" s="712" t="n">
        <f aca="false">IF((ATAN((A24/pterm1)/(1-A24^2/pterm2))&gt;0),ATAN((A24/pterm1)/(1-A24^2/pterm2)),PI()+ATAN((A24/pterm1)/(1-A24^2/pterm2)))</f>
        <v>3.83300787249341E-005</v>
      </c>
      <c r="Q24" s="713" t="n">
        <f aca="false">20*LOG10(((E24*K24*G24)/(C24*I24*O24*M24))*Adc)</f>
        <v>67.9706912441672</v>
      </c>
      <c r="R24" s="714" t="n">
        <f aca="false">((F24+L24+H24)-(D24+J24+P24+N24))*radconv</f>
        <v>-85.0735639940062</v>
      </c>
      <c r="S24" s="694" t="n">
        <f aca="false">IF(R24&gt;0,R24,R24+180)</f>
        <v>94.9264360059939</v>
      </c>
      <c r="U24" s="644" t="n">
        <f aca="false">IF(Q24&lt;0,A24,1000000000)</f>
        <v>1000000000</v>
      </c>
      <c r="V24" s="644" t="n">
        <f aca="false">A24^2</f>
        <v>7.58561764</v>
      </c>
      <c r="X24" s="716" t="n">
        <f aca="false">20*LOG10((K24/(I24*M24))*AEA)</f>
        <v>66.906510084802</v>
      </c>
      <c r="Y24" s="717" t="n">
        <f aca="false">(L24-(J24+N24))*radconv</f>
        <v>-84.8015283693935</v>
      </c>
      <c r="AA24" s="716" t="n">
        <f aca="false">20*LOG10((E24*G24/(C24*O24))*Acs*Am)</f>
        <v>52.5448065139196</v>
      </c>
      <c r="AB24" s="717" t="n">
        <f aca="false">(F24+H24-(D24+P24))*radconv</f>
        <v>-0.272035624612629</v>
      </c>
      <c r="AD24" s="0" t="n">
        <f aca="false">SUM((Q25&lt;0)*(Q24&gt;0))*A24</f>
        <v>0</v>
      </c>
      <c r="AE24" s="0" t="n">
        <f aca="false">IF(AD24&gt;0,S22,0)</f>
        <v>0</v>
      </c>
    </row>
    <row r="25" customFormat="false" ht="12.75" hidden="false" customHeight="false" outlineLevel="0" collapsed="false">
      <c r="A25" s="718" t="n">
        <v>3.02</v>
      </c>
      <c r="B25" s="706" t="n">
        <f aca="false">A25/1000</f>
        <v>0.00302</v>
      </c>
      <c r="C25" s="707" t="n">
        <f aca="false">SQRT(1+(A25/pole1)^2)</f>
        <v>1.00001329891533</v>
      </c>
      <c r="D25" s="708" t="n">
        <f aca="false">ATAN(A25/pole1)</f>
        <v>0.00515727989248164</v>
      </c>
      <c r="E25" s="708" t="n">
        <f aca="false">SQRT(1+(A25/Zero1)^2)</f>
        <v>1.00000000072012</v>
      </c>
      <c r="F25" s="709" t="n">
        <f aca="false">ATAN(A25/Zero1)</f>
        <v>3.79504391937808E-005</v>
      </c>
      <c r="G25" s="708" t="n">
        <f aca="false">IF(VIN_nom&gt;Vout, 1, SQRT(1+(A25/z_RHP)^2))</f>
        <v>1.00000000100168</v>
      </c>
      <c r="H25" s="709" t="n">
        <f aca="false">IF(VIN_nom&gt;Vout, 0, -ATAN(A25/z_RHP))</f>
        <v>-4.4758956167571E-005</v>
      </c>
      <c r="I25" s="707" t="n">
        <f aca="false">SQRT(1+(A25/Pole2)^2)</f>
        <v>12.5673697569383</v>
      </c>
      <c r="J25" s="710" t="n">
        <f aca="false">ATAN(A25/Pole2)</f>
        <v>1.49114097340108</v>
      </c>
      <c r="K25" s="719" t="n">
        <f aca="false">SQRT(1+(A25/Zero2)^2)</f>
        <v>1.00000751192378</v>
      </c>
      <c r="L25" s="720" t="n">
        <f aca="false">ATAN(A25/Zero2)</f>
        <v>0.00387604869786756</v>
      </c>
      <c r="M25" s="707" t="n">
        <f aca="false">SQRT(1+(A25/pole4)^2)</f>
        <v>1.000000007251</v>
      </c>
      <c r="N25" s="710" t="n">
        <f aca="false">ATAN(A25/pole4)</f>
        <v>0.000120424249529009</v>
      </c>
      <c r="O25" s="711" t="n">
        <f aca="false">SQRT((1-(V25/pterm2))^2+(A25/pterm1)^2)</f>
        <v>1.00000000047788</v>
      </c>
      <c r="P25" s="712" t="n">
        <f aca="false">IF((ATAN((A25/pterm1)/(1-A25^2/pterm2))&gt;0),ATAN((A25/pterm1)/(1-A25^2/pterm2)),PI()+ATAN((A25/pterm1)/(1-A25^2/pterm2)))</f>
        <v>4.20292054846152E-005</v>
      </c>
      <c r="Q25" s="713" t="n">
        <f aca="false">20*LOG10(((E25*K25*G25)/(C25*I25*O25*M25))*Adc)</f>
        <v>67.1760133784362</v>
      </c>
      <c r="R25" s="714" t="n">
        <f aca="false">((F25+L25+H25)-(D25+J25+P25+N25))*radconv</f>
        <v>-85.5191916692898</v>
      </c>
      <c r="S25" s="694" t="n">
        <f aca="false">IF(R25&gt;0,R25,R25+180)</f>
        <v>94.4808083307102</v>
      </c>
      <c r="U25" s="644" t="n">
        <f aca="false">IF(Q25&lt;0,A25,1000000000)</f>
        <v>1000000000</v>
      </c>
      <c r="V25" s="644" t="n">
        <f aca="false">A25^2</f>
        <v>9.1204</v>
      </c>
      <c r="X25" s="716" t="n">
        <f aca="false">20*LOG10((K25/(I25*M25))*AEA)</f>
        <v>66.1118516554395</v>
      </c>
      <c r="Y25" s="717" t="n">
        <f aca="false">(L25-(J25+N25))*radconv</f>
        <v>-85.2209031019642</v>
      </c>
      <c r="AA25" s="716" t="n">
        <f aca="false">20*LOG10((E25*G25/(C25*O25))*Acs*Am)</f>
        <v>52.5447870775511</v>
      </c>
      <c r="AB25" s="717" t="n">
        <f aca="false">(F25+H25-(D25+P25))*radconv</f>
        <v>-0.298288567325623</v>
      </c>
      <c r="AD25" s="0" t="n">
        <f aca="false">SUM((Q26&lt;0)*(Q25&gt;0))*A25</f>
        <v>0</v>
      </c>
      <c r="AE25" s="0" t="n">
        <f aca="false">IF(AD25&gt;0,S23,0)</f>
        <v>0</v>
      </c>
    </row>
    <row r="26" customFormat="false" ht="12.75" hidden="false" customHeight="false" outlineLevel="0" collapsed="false">
      <c r="A26" s="718" t="n">
        <v>3.3113</v>
      </c>
      <c r="B26" s="706" t="n">
        <f aca="false">A26/1000</f>
        <v>0.0033113</v>
      </c>
      <c r="C26" s="707" t="n">
        <f aca="false">SQRT(1+(A26/pole1)^2)</f>
        <v>1.00001598817191</v>
      </c>
      <c r="D26" s="708" t="n">
        <f aca="false">ATAN(A26/pole1)</f>
        <v>0.00565472526208656</v>
      </c>
      <c r="E26" s="708" t="n">
        <f aca="false">SQRT(1+(A26/Zero1)^2)</f>
        <v>1.00000000086574</v>
      </c>
      <c r="F26" s="709" t="n">
        <f aca="false">ATAN(A26/Zero1)</f>
        <v>4.16110229437638E-005</v>
      </c>
      <c r="G26" s="708" t="n">
        <f aca="false">IF(VIN_nom&gt;Vout, 1, SQRT(1+(A26/z_RHP)^2))</f>
        <v>1.00000000120424</v>
      </c>
      <c r="H26" s="709" t="n">
        <f aca="false">IF(VIN_nom&gt;Vout, 0, -ATAN(A26/z_RHP))</f>
        <v>-4.90762687210808E-005</v>
      </c>
      <c r="I26" s="707" t="n">
        <f aca="false">SQRT(1+(A26/Pole2)^2)</f>
        <v>13.7722404130559</v>
      </c>
      <c r="J26" s="710" t="n">
        <f aca="false">ATAN(A26/Pole2)</f>
        <v>1.49812254539953</v>
      </c>
      <c r="K26" s="719" t="n">
        <f aca="false">SQRT(1+(A26/Zero2)^2)</f>
        <v>1.000009030962</v>
      </c>
      <c r="L26" s="720" t="n">
        <f aca="false">ATAN(A26/Zero2)</f>
        <v>0.0042499162436005</v>
      </c>
      <c r="M26" s="707" t="n">
        <f aca="false">SQRT(1+(A26/pole4)^2)</f>
        <v>1.00000000871728</v>
      </c>
      <c r="N26" s="710" t="n">
        <f aca="false">ATAN(A26/pole4)</f>
        <v>0.000132040005654176</v>
      </c>
      <c r="O26" s="711" t="n">
        <f aca="false">SQRT((1-(V26/pterm2))^2+(A26/pterm1)^2)</f>
        <v>1.00000000057451</v>
      </c>
      <c r="P26" s="712" t="n">
        <f aca="false">IF((ATAN((A26/pterm1)/(1-A26^2/pterm2))&gt;0),ATAN((A26/pterm1)/(1-A26^2/pterm2)),PI()+ATAN((A26/pterm1)/(1-A26^2/pterm2)))</f>
        <v>4.60832146079613E-005</v>
      </c>
      <c r="Q26" s="713" t="n">
        <f aca="false">20*LOG10(((E26*K26*G26)/(C26*I26*O26*M26))*Adc)</f>
        <v>66.3807991592942</v>
      </c>
      <c r="R26" s="714" t="n">
        <f aca="false">((F26+L26+H26)-(D26+J26+P26+N26))*radconv</f>
        <v>-85.9272222065867</v>
      </c>
      <c r="S26" s="694" t="n">
        <f aca="false">IF(R26&gt;0,R26,R26+180)</f>
        <v>94.0727777934133</v>
      </c>
      <c r="U26" s="644" t="n">
        <f aca="false">IF(Q26&lt;0,A26,1000000000)</f>
        <v>1000000000</v>
      </c>
      <c r="V26" s="644" t="n">
        <f aca="false">A26^2</f>
        <v>10.96470769</v>
      </c>
      <c r="X26" s="716" t="n">
        <f aca="false">20*LOG10((K26/(I26*M26))*AEA)</f>
        <v>65.3166607923564</v>
      </c>
      <c r="Y26" s="717" t="n">
        <f aca="false">(L26-(J26+N26))*radconv</f>
        <v>-85.6001622136099</v>
      </c>
      <c r="AA26" s="716" t="n">
        <f aca="false">20*LOG10((E26*G26/(C26*O26))*Acs*Am)</f>
        <v>52.5447637214921</v>
      </c>
      <c r="AB26" s="717" t="n">
        <f aca="false">(F26+H26-(D26+P26))*radconv</f>
        <v>-0.327059992976789</v>
      </c>
      <c r="AD26" s="0" t="n">
        <f aca="false">SUM((Q27&lt;0)*(Q26&gt;0))*A26</f>
        <v>0</v>
      </c>
      <c r="AE26" s="0" t="n">
        <f aca="false">IF(AD26&gt;0,S24,0)</f>
        <v>0</v>
      </c>
    </row>
    <row r="27" customFormat="false" ht="12.75" hidden="false" customHeight="false" outlineLevel="0" collapsed="false">
      <c r="A27" s="718" t="n">
        <v>3.6308</v>
      </c>
      <c r="B27" s="706" t="n">
        <f aca="false">A27/1000</f>
        <v>0.0036308</v>
      </c>
      <c r="C27" s="707" t="n">
        <f aca="false">SQRT(1+(A27/pole1)^2)</f>
        <v>1.00001922231555</v>
      </c>
      <c r="D27" s="708" t="n">
        <f aca="false">ATAN(A27/pole1)</f>
        <v>0.00620032380485626</v>
      </c>
      <c r="E27" s="708" t="n">
        <f aca="false">SQRT(1+(A27/Zero1)^2)</f>
        <v>1.00000000104087</v>
      </c>
      <c r="F27" s="709" t="n">
        <f aca="false">ATAN(A27/Zero1)</f>
        <v>4.56259783428197E-005</v>
      </c>
      <c r="G27" s="708" t="n">
        <f aca="false">IF(VIN_nom&gt;Vout, 1, SQRT(1+(A27/z_RHP)^2))</f>
        <v>1.00000000144784</v>
      </c>
      <c r="H27" s="709" t="n">
        <f aca="false">IF(VIN_nom&gt;Vout, 0, -ATAN(A27/z_RHP))</f>
        <v>-5.38115291406887E-005</v>
      </c>
      <c r="I27" s="707" t="n">
        <f aca="false">SQRT(1+(A27/Pole2)^2)</f>
        <v>15.0943941796652</v>
      </c>
      <c r="J27" s="710" t="n">
        <f aca="false">ATAN(A27/Pole2)</f>
        <v>1.50449800824217</v>
      </c>
      <c r="K27" s="719" t="n">
        <f aca="false">SQRT(1+(A27/Zero2)^2)</f>
        <v>1.0000108577844</v>
      </c>
      <c r="L27" s="720" t="n">
        <f aca="false">ATAN(A27/Zero2)</f>
        <v>0.0046599755699497</v>
      </c>
      <c r="M27" s="707" t="n">
        <f aca="false">SQRT(1+(A27/pole4)^2)</f>
        <v>1.00000001048066</v>
      </c>
      <c r="N27" s="710" t="n">
        <f aca="false">ATAN(A27/pole4)</f>
        <v>0.00014478025306242</v>
      </c>
      <c r="O27" s="711" t="n">
        <f aca="false">SQRT((1-(V27/pterm2))^2+(A27/pterm1)^2)</f>
        <v>1.00000000069073</v>
      </c>
      <c r="P27" s="712" t="n">
        <f aca="false">IF((ATAN((A27/pterm1)/(1-A27^2/pterm2))&gt;0),ATAN((A27/pterm1)/(1-A27^2/pterm2)),PI()+ATAN((A27/pterm1)/(1-A27^2/pterm2)))</f>
        <v>5.05296818745268E-005</v>
      </c>
      <c r="Q27" s="713" t="n">
        <f aca="false">20*LOG10(((E27*K27*G27)/(C27*I27*O27*M27))*Adc)</f>
        <v>65.5845650869447</v>
      </c>
      <c r="R27" s="714" t="n">
        <f aca="false">((F27+L27+H27)-(D27+J27+P27+N27))*radconv</f>
        <v>-86.3013011420516</v>
      </c>
      <c r="S27" s="694" t="n">
        <f aca="false">IF(R27&gt;0,R27,R27+180)</f>
        <v>93.6986988579484</v>
      </c>
      <c r="U27" s="644" t="n">
        <f aca="false">IF(Q27&lt;0,A27,1000000000)</f>
        <v>1000000000</v>
      </c>
      <c r="V27" s="644" t="n">
        <f aca="false">A27^2</f>
        <v>13.18270864</v>
      </c>
      <c r="X27" s="716" t="n">
        <f aca="false">20*LOG10((K27/(I27*M27))*AEA)</f>
        <v>64.5204548082995</v>
      </c>
      <c r="Y27" s="717" t="n">
        <f aca="false">(L27-(J27+N27))*radconv</f>
        <v>-85.9426846209838</v>
      </c>
      <c r="AA27" s="716" t="n">
        <f aca="false">20*LOG10((E27*G27/(C27*O27))*Acs*Am)</f>
        <v>52.5447356331995</v>
      </c>
      <c r="AB27" s="717" t="n">
        <f aca="false">(F27+H27-(D27+P27))*radconv</f>
        <v>-0.358616521067796</v>
      </c>
      <c r="AD27" s="0" t="n">
        <f aca="false">SUM((Q28&lt;0)*(Q27&gt;0))*A27</f>
        <v>0</v>
      </c>
      <c r="AE27" s="0" t="n">
        <f aca="false">IF(AD27&gt;0,S25,0)</f>
        <v>0</v>
      </c>
    </row>
    <row r="28" customFormat="false" ht="12.75" hidden="false" customHeight="false" outlineLevel="0" collapsed="false">
      <c r="A28" s="718" t="n">
        <v>3.9811</v>
      </c>
      <c r="B28" s="706" t="n">
        <f aca="false">A28/1000</f>
        <v>0.0039811</v>
      </c>
      <c r="C28" s="707" t="n">
        <f aca="false">SQRT(1+(A28/pole1)^2)</f>
        <v>1.00002311034228</v>
      </c>
      <c r="D28" s="708" t="n">
        <f aca="false">ATAN(A28/pole1)</f>
        <v>0.00679851413433365</v>
      </c>
      <c r="E28" s="708" t="n">
        <f aca="false">SQRT(1+(A28/Zero1)^2)</f>
        <v>1.0000000012514</v>
      </c>
      <c r="F28" s="709" t="n">
        <f aca="false">ATAN(A28/Zero1)</f>
        <v>5.00279779539234E-005</v>
      </c>
      <c r="G28" s="708" t="n">
        <f aca="false">IF(VIN_nom&gt;Vout, 1, SQRT(1+(A28/z_RHP)^2))</f>
        <v>1.00000000174069</v>
      </c>
      <c r="H28" s="709" t="n">
        <f aca="false">IF(VIN_nom&gt;Vout, 0, -ATAN(A28/z_RHP))</f>
        <v>-5.9003271626135E-005</v>
      </c>
      <c r="I28" s="707" t="n">
        <f aca="false">SQRT(1+(A28/Pole2)^2)</f>
        <v>16.5445913556124</v>
      </c>
      <c r="J28" s="710" t="n">
        <f aca="false">ATAN(A28/Pole2)</f>
        <v>1.51031674959511</v>
      </c>
      <c r="K28" s="719" t="n">
        <f aca="false">SQRT(1+(A28/Zero2)^2)</f>
        <v>1.00001305395937</v>
      </c>
      <c r="L28" s="720" t="n">
        <f aca="false">ATAN(A28/Zero2)</f>
        <v>0.00510956306592033</v>
      </c>
      <c r="M28" s="707" t="n">
        <f aca="false">SQRT(1+(A28/pole4)^2)</f>
        <v>1.00000001260057</v>
      </c>
      <c r="N28" s="710" t="n">
        <f aca="false">ATAN(A28/pole4)</f>
        <v>0.000158748668241769</v>
      </c>
      <c r="O28" s="711" t="n">
        <f aca="false">SQRT((1-(V28/pterm2))^2+(A28/pterm1)^2)</f>
        <v>1.00000000083044</v>
      </c>
      <c r="P28" s="712" t="n">
        <f aca="false">IF((ATAN((A28/pterm1)/(1-A28^2/pterm2))&gt;0),ATAN((A28/pterm1)/(1-A28^2/pterm2)),PI()+ATAN((A28/pterm1)/(1-A28^2/pterm2)))</f>
        <v>5.54047913682627E-005</v>
      </c>
      <c r="Q28" s="713" t="n">
        <f aca="false">20*LOG10(((E28*K28*G28)/(C28*I28*O28*M28))*Adc)</f>
        <v>64.7877432242319</v>
      </c>
      <c r="R28" s="714" t="n">
        <f aca="false">((F28+L28+H28)-(D28+J28+P28+N28))*radconv</f>
        <v>-86.6443296825972</v>
      </c>
      <c r="S28" s="694" t="n">
        <f aca="false">IF(R28&gt;0,R28,R28+180)</f>
        <v>93.3556703174028</v>
      </c>
      <c r="U28" s="644" t="n">
        <f aca="false">IF(Q28&lt;0,A28,1000000000)</f>
        <v>1000000000</v>
      </c>
      <c r="V28" s="644" t="n">
        <f aca="false">A28^2</f>
        <v>15.84915721</v>
      </c>
      <c r="X28" s="716" t="n">
        <f aca="false">20*LOG10((K28/(I28*M28))*AEA)</f>
        <v>63.7236667126842</v>
      </c>
      <c r="Y28" s="717" t="n">
        <f aca="false">(L28-(J28+N28))*radconv</f>
        <v>-86.251114808133</v>
      </c>
      <c r="AA28" s="716" t="n">
        <f aca="false">20*LOG10((E28*G28/(C28*O28))*Acs*Am)</f>
        <v>52.5447018661021</v>
      </c>
      <c r="AB28" s="717" t="n">
        <f aca="false">(F28+H28-(D28+P28))*radconv</f>
        <v>-0.393214874464181</v>
      </c>
      <c r="AD28" s="0" t="n">
        <f aca="false">SUM((Q29&lt;0)*(Q28&gt;0))*A28</f>
        <v>0</v>
      </c>
      <c r="AE28" s="0" t="n">
        <f aca="false">IF(AD28&gt;0,S26,0)</f>
        <v>0</v>
      </c>
    </row>
    <row r="29" customFormat="false" ht="12.75" hidden="false" customHeight="false" outlineLevel="0" collapsed="false">
      <c r="A29" s="718" t="n">
        <v>4.3652</v>
      </c>
      <c r="B29" s="706" t="n">
        <f aca="false">A29/1000</f>
        <v>0.0043652</v>
      </c>
      <c r="C29" s="707" t="n">
        <f aca="false">SQRT(1+(A29/pole1)^2)</f>
        <v>1.00002778481328</v>
      </c>
      <c r="D29" s="708" t="n">
        <f aca="false">ATAN(A29/pole1)</f>
        <v>0.00745441747723134</v>
      </c>
      <c r="E29" s="708" t="n">
        <f aca="false">SQRT(1+(A29/Zero1)^2)</f>
        <v>1.00000000150452</v>
      </c>
      <c r="F29" s="709" t="n">
        <f aca="false">ATAN(A29/Zero1)</f>
        <v>5.48547208881E-005</v>
      </c>
      <c r="G29" s="708" t="n">
        <f aca="false">IF(VIN_nom&gt;Vout, 1, SQRT(1+(A29/z_RHP)^2))</f>
        <v>1.00000000209278</v>
      </c>
      <c r="H29" s="709" t="n">
        <f aca="false">IF(VIN_nom&gt;Vout, 0, -ATAN(A29/z_RHP))</f>
        <v>-6.46959587154173E-005</v>
      </c>
      <c r="I29" s="707" t="n">
        <f aca="false">SQRT(1+(A29/Pole2)^2)</f>
        <v>18.1352520996091</v>
      </c>
      <c r="J29" s="710" t="n">
        <f aca="false">ATAN(A29/Pole2)</f>
        <v>1.5156271210825</v>
      </c>
      <c r="K29" s="719" t="n">
        <f aca="false">SQRT(1+(A29/Zero2)^2)</f>
        <v>1.00001569436696</v>
      </c>
      <c r="L29" s="720" t="n">
        <f aca="false">ATAN(A29/Zero2)</f>
        <v>0.00560252830479948</v>
      </c>
      <c r="M29" s="707" t="n">
        <f aca="false">SQRT(1+(A29/pole4)^2)</f>
        <v>1.00000001514929</v>
      </c>
      <c r="N29" s="710" t="n">
        <f aca="false">ATAN(A29/pole4)</f>
        <v>0.000174064877905983</v>
      </c>
      <c r="O29" s="711" t="n">
        <f aca="false">SQRT((1-(V29/pterm2))^2+(A29/pterm1)^2)</f>
        <v>1.00000000099841</v>
      </c>
      <c r="P29" s="712" t="n">
        <f aca="false">IF((ATAN((A29/pterm1)/(1-A29^2/pterm2))&gt;0),ATAN((A29/pterm1)/(1-A29^2/pterm2)),PI()+ATAN((A29/pterm1)/(1-A29^2/pterm2)))</f>
        <v>6.07502939552244E-005</v>
      </c>
      <c r="Q29" s="713" t="n">
        <f aca="false">20*LOG10(((E29*K29*G29)/(C29*I29*O29*M29))*Adc)</f>
        <v>63.9903744912988</v>
      </c>
      <c r="R29" s="714" t="n">
        <f aca="false">((F29+L29+H29)-(D29+J29+P29+N29))*radconv</f>
        <v>-86.9591606663683</v>
      </c>
      <c r="S29" s="694" t="n">
        <f aca="false">IF(R29&gt;0,R29,R29+180)</f>
        <v>93.0408393336317</v>
      </c>
      <c r="U29" s="644" t="n">
        <f aca="false">IF(Q29&lt;0,A29,1000000000)</f>
        <v>1000000000</v>
      </c>
      <c r="V29" s="644" t="n">
        <f aca="false">A29^2</f>
        <v>19.05497104</v>
      </c>
      <c r="X29" s="716" t="n">
        <f aca="false">20*LOG10((K29/(I29*M29))*AEA)</f>
        <v>62.9263385768593</v>
      </c>
      <c r="Y29" s="717" t="n">
        <f aca="false">(L29-(J29+N29))*radconv</f>
        <v>-86.5280094088612</v>
      </c>
      <c r="AA29" s="716" t="n">
        <f aca="false">20*LOG10((E29*G29/(C29*O29))*Acs*Am)</f>
        <v>52.5446612689939</v>
      </c>
      <c r="AB29" s="717" t="n">
        <f aca="false">(F29+H29-(D29+P29))*radconv</f>
        <v>-0.431151257507079</v>
      </c>
      <c r="AD29" s="0" t="n">
        <f aca="false">SUM((Q30&lt;0)*(Q29&gt;0))*A29</f>
        <v>0</v>
      </c>
      <c r="AE29" s="0" t="n">
        <f aca="false">IF(AD29&gt;0,S27,0)</f>
        <v>0</v>
      </c>
    </row>
    <row r="30" customFormat="false" ht="12.75" hidden="false" customHeight="false" outlineLevel="0" collapsed="false">
      <c r="A30" s="718" t="n">
        <v>4.7863</v>
      </c>
      <c r="B30" s="706" t="n">
        <f aca="false">A30/1000</f>
        <v>0.0047863</v>
      </c>
      <c r="C30" s="707" t="n">
        <f aca="false">SQRT(1+(A30/pole1)^2)</f>
        <v>1.00003340394822</v>
      </c>
      <c r="D30" s="708" t="n">
        <f aca="false">ATAN(A30/pole1)</f>
        <v>0.00817349599502521</v>
      </c>
      <c r="E30" s="708" t="n">
        <f aca="false">SQRT(1+(A30/Zero1)^2)</f>
        <v>1.0000000018088</v>
      </c>
      <c r="F30" s="709" t="n">
        <f aca="false">ATAN(A30/Zero1)</f>
        <v>6.01464195302516E-005</v>
      </c>
      <c r="G30" s="708" t="n">
        <f aca="false">IF(VIN_nom&gt;Vout, 1, SQRT(1+(A30/z_RHP)^2))</f>
        <v>1.00000000251603</v>
      </c>
      <c r="H30" s="709" t="n">
        <f aca="false">IF(VIN_nom&gt;Vout, 0, -ATAN(A30/z_RHP))</f>
        <v>-7.09370171154193E-005</v>
      </c>
      <c r="I30" s="707" t="n">
        <f aca="false">SQRT(1+(A30/Pole2)^2)</f>
        <v>19.8796288292183</v>
      </c>
      <c r="J30" s="710" t="n">
        <f aca="false">ATAN(A30/Pole2)</f>
        <v>1.52047233848995</v>
      </c>
      <c r="K30" s="719" t="n">
        <f aca="false">SQRT(1+(A30/Zero2)^2)</f>
        <v>1.00001886838169</v>
      </c>
      <c r="L30" s="720" t="n">
        <f aca="false">ATAN(A30/Zero2)</f>
        <v>0.00614297729415166</v>
      </c>
      <c r="M30" s="707" t="n">
        <f aca="false">SQRT(1+(A30/pole4)^2)</f>
        <v>1.0000000182131</v>
      </c>
      <c r="N30" s="710" t="n">
        <f aca="false">ATAN(A30/pole4)</f>
        <v>0.000190856483876962</v>
      </c>
      <c r="O30" s="711" t="n">
        <f aca="false">SQRT((1-(V30/pterm2))^2+(A30/pterm1)^2)</f>
        <v>1.00000000120033</v>
      </c>
      <c r="P30" s="712" t="n">
        <f aca="false">IF((ATAN((A30/pterm1)/(1-A30^2/pterm2))&gt;0),ATAN((A30/pterm1)/(1-A30^2/pterm2)),PI()+ATAN((A30/pterm1)/(1-A30^2/pterm2)))</f>
        <v>6.66107238924562E-005</v>
      </c>
      <c r="Q30" s="713" t="n">
        <f aca="false">20*LOG10(((E30*K30*G30)/(C30*I30*O30*M30))*Adc)</f>
        <v>63.1926597453818</v>
      </c>
      <c r="R30" s="714" t="n">
        <f aca="false">((F30+L30+H30)-(D30+J30+P30+N30))*radconv</f>
        <v>-87.2483581534075</v>
      </c>
      <c r="S30" s="694" t="n">
        <f aca="false">IF(R30&gt;0,R30,R30+180)</f>
        <v>92.7516418465925</v>
      </c>
      <c r="U30" s="644" t="n">
        <f aca="false">IF(Q30&lt;0,A30,1000000000)</f>
        <v>1000000000</v>
      </c>
      <c r="V30" s="644" t="n">
        <f aca="false">A30^2</f>
        <v>22.90866769</v>
      </c>
      <c r="X30" s="716" t="n">
        <f aca="false">20*LOG10((K30/(I30*M30))*AEA)</f>
        <v>62.1286726320697</v>
      </c>
      <c r="Y30" s="717" t="n">
        <f aca="false">(L30-(J30+N30))*radconv</f>
        <v>-86.7756165594359</v>
      </c>
      <c r="AA30" s="716" t="n">
        <f aca="false">20*LOG10((E30*G30/(C30*O30))*Acs*Am)</f>
        <v>52.5446124678664</v>
      </c>
      <c r="AB30" s="717" t="n">
        <f aca="false">(F30+H30-(D30+P30))*radconv</f>
        <v>-0.472741593971615</v>
      </c>
      <c r="AD30" s="0" t="n">
        <f aca="false">SUM((Q31&lt;0)*(Q30&gt;0))*A30</f>
        <v>0</v>
      </c>
      <c r="AE30" s="0" t="n">
        <f aca="false">IF(AD30&gt;0,S28,0)</f>
        <v>0</v>
      </c>
    </row>
    <row r="31" customFormat="false" ht="12.75" hidden="false" customHeight="false" outlineLevel="0" collapsed="false">
      <c r="A31" s="718" t="n">
        <v>5.2481</v>
      </c>
      <c r="B31" s="706" t="n">
        <f aca="false">A31/1000</f>
        <v>0.0052481</v>
      </c>
      <c r="C31" s="707" t="n">
        <f aca="false">SQRT(1+(A31/pole1)^2)</f>
        <v>1.00004016064744</v>
      </c>
      <c r="D31" s="708" t="n">
        <f aca="false">ATAN(A31/pole1)</f>
        <v>0.00896206487612609</v>
      </c>
      <c r="E31" s="708" t="n">
        <f aca="false">SQRT(1+(A31/Zero1)^2)</f>
        <v>1.00000000217467</v>
      </c>
      <c r="F31" s="709" t="n">
        <f aca="false">ATAN(A31/Zero1)</f>
        <v>6.59495694502475E-005</v>
      </c>
      <c r="G31" s="708" t="n">
        <f aca="false">IF(VIN_nom&gt;Vout, 1, SQRT(1+(A31/z_RHP)^2))</f>
        <v>1.00000000302496</v>
      </c>
      <c r="H31" s="709" t="n">
        <f aca="false">IF(VIN_nom&gt;Vout, 0, -ATAN(A31/z_RHP))</f>
        <v>-7.77812839556902E-005</v>
      </c>
      <c r="I31" s="707" t="n">
        <f aca="false">SQRT(1+(A31/Pole2)^2)</f>
        <v>21.7930488944732</v>
      </c>
      <c r="J31" s="710" t="n">
        <f aca="false">ATAN(A31/Pole2)</f>
        <v>1.52489401815003</v>
      </c>
      <c r="K31" s="719" t="n">
        <f aca="false">SQRT(1+(A31/Zero2)^2)</f>
        <v>1.00002268496927</v>
      </c>
      <c r="L31" s="720" t="n">
        <f aca="false">ATAN(A31/Zero2)</f>
        <v>0.00673565742018903</v>
      </c>
      <c r="M31" s="707" t="n">
        <f aca="false">SQRT(1+(A31/pole4)^2)</f>
        <v>1.00000002189718</v>
      </c>
      <c r="N31" s="710" t="n">
        <f aca="false">ATAN(A31/pole4)</f>
        <v>0.000209271025755723</v>
      </c>
      <c r="O31" s="711" t="n">
        <f aca="false">SQRT((1-(V31/pterm2))^2+(A31/pterm1)^2)</f>
        <v>1.00000000144313</v>
      </c>
      <c r="P31" s="712" t="n">
        <f aca="false">IF((ATAN((A31/pterm1)/(1-A31^2/pterm2))&gt;0),ATAN((A31/pterm1)/(1-A31^2/pterm2)),PI()+ATAN((A31/pterm1)/(1-A31^2/pterm2)))</f>
        <v>7.30375739145922E-005</v>
      </c>
      <c r="Q31" s="713" t="n">
        <f aca="false">20*LOG10(((E31*K31*G31)/(C31*I31*O31*M31))*Adc)</f>
        <v>62.3944397475215</v>
      </c>
      <c r="R31" s="714" t="n">
        <f aca="false">((F31+L31+H31)-(D31+J31+P31+N31))*radconv</f>
        <v>-87.5144082940307</v>
      </c>
      <c r="S31" s="694" t="n">
        <f aca="false">IF(R31&gt;0,R31,R31+180)</f>
        <v>92.4855917059693</v>
      </c>
      <c r="U31" s="644" t="n">
        <f aca="false">IF(Q31&lt;0,A31,1000000000)</f>
        <v>1000000000</v>
      </c>
      <c r="V31" s="644" t="n">
        <f aca="false">A31^2</f>
        <v>27.54255361</v>
      </c>
      <c r="X31" s="716" t="n">
        <f aca="false">20*LOG10((K31/(I31*M31))*AEA)</f>
        <v>61.3305113145051</v>
      </c>
      <c r="Y31" s="717" t="n">
        <f aca="false">(L31-(J31+N31))*radconv</f>
        <v>-86.9960571482772</v>
      </c>
      <c r="AA31" s="716" t="n">
        <f aca="false">20*LOG10((E31*G31/(C31*O31))*Acs*Am)</f>
        <v>52.5445537875709</v>
      </c>
      <c r="AB31" s="717" t="n">
        <f aca="false">(F31+H31-(D31+P31))*radconv</f>
        <v>-0.518351145753509</v>
      </c>
      <c r="AD31" s="0" t="n">
        <f aca="false">SUM((Q32&lt;0)*(Q31&gt;0))*A31</f>
        <v>0</v>
      </c>
      <c r="AE31" s="0" t="n">
        <f aca="false">IF(AD31&gt;0,S29,0)</f>
        <v>0</v>
      </c>
    </row>
    <row r="32" customFormat="false" ht="12.75" hidden="false" customHeight="false" outlineLevel="0" collapsed="false">
      <c r="A32" s="718" t="n">
        <v>5.7544</v>
      </c>
      <c r="B32" s="706" t="n">
        <f aca="false">A32/1000</f>
        <v>0.0057544</v>
      </c>
      <c r="C32" s="707" t="n">
        <f aca="false">SQRT(1+(A32/pole1)^2)</f>
        <v>1.0000482830652</v>
      </c>
      <c r="D32" s="708" t="n">
        <f aca="false">ATAN(A32/pole1)</f>
        <v>0.00982660903511684</v>
      </c>
      <c r="E32" s="708" t="n">
        <f aca="false">SQRT(1+(A32/Zero1)^2)</f>
        <v>1.00000000261451</v>
      </c>
      <c r="F32" s="709" t="n">
        <f aca="false">ATAN(A32/Zero1)</f>
        <v>7.23119228546E-005</v>
      </c>
      <c r="G32" s="708" t="n">
        <f aca="false">IF(VIN_nom&gt;Vout, 1, SQRT(1+(A32/z_RHP)^2))</f>
        <v>1.00000000363677</v>
      </c>
      <c r="H32" s="709" t="n">
        <f aca="false">IF(VIN_nom&gt;Vout, 0, -ATAN(A32/z_RHP))</f>
        <v>-8.52850784497373E-005</v>
      </c>
      <c r="I32" s="707" t="n">
        <f aca="false">SQRT(1+(A32/Pole2)^2)</f>
        <v>23.8912574936928</v>
      </c>
      <c r="J32" s="710" t="n">
        <f aca="false">ATAN(A32/Pole2)</f>
        <v>1.52892778042158</v>
      </c>
      <c r="K32" s="719" t="n">
        <f aca="false">SQRT(1+(A32/Zero2)^2)</f>
        <v>1.00002727301116</v>
      </c>
      <c r="L32" s="720" t="n">
        <f aca="false">ATAN(A32/Zero2)</f>
        <v>0.0073854439715525</v>
      </c>
      <c r="M32" s="707" t="n">
        <f aca="false">SQRT(1+(A32/pole4)^2)</f>
        <v>1.00000002632595</v>
      </c>
      <c r="N32" s="710" t="n">
        <f aca="false">ATAN(A32/pole4)</f>
        <v>0.000229460030687911</v>
      </c>
      <c r="O32" s="711" t="n">
        <f aca="false">SQRT((1-(V32/pterm2))^2+(A32/pterm1)^2)</f>
        <v>1.00000000173501</v>
      </c>
      <c r="P32" s="712" t="n">
        <f aca="false">IF((ATAN((A32/pterm1)/(1-A32^2/pterm2))&gt;0),ATAN((A32/pterm1)/(1-A32^2/pterm2)),PI()+ATAN((A32/pterm1)/(1-A32^2/pterm2)))</f>
        <v>8.00837284516364E-005</v>
      </c>
      <c r="Q32" s="713" t="n">
        <f aca="false">20*LOG10(((E32*K32*G32)/(C32*I32*O32*M32))*Adc)</f>
        <v>61.5959887025828</v>
      </c>
      <c r="R32" s="714" t="n">
        <f aca="false">((F32+L32+H32)-(D32+J32+P32+N32))*radconv</f>
        <v>-87.7594564120139</v>
      </c>
      <c r="S32" s="694" t="n">
        <f aca="false">IF(R32&gt;0,R32,R32+180)</f>
        <v>92.2405435879861</v>
      </c>
      <c r="U32" s="644" t="n">
        <f aca="false">IF(Q32&lt;0,A32,1000000000)</f>
        <v>1000000000</v>
      </c>
      <c r="V32" s="644" t="n">
        <f aca="false">A32^2</f>
        <v>33.11311936</v>
      </c>
      <c r="X32" s="716" t="n">
        <f aca="false">20*LOG10((K32/(I32*M32))*AEA)</f>
        <v>60.5321308102716</v>
      </c>
      <c r="Y32" s="717" t="n">
        <f aca="false">(L32-(J32+N32))*radconv</f>
        <v>-87.1911014200166</v>
      </c>
      <c r="AA32" s="716" t="n">
        <f aca="false">20*LOG10((E32*G32/(C32*O32))*Acs*Am)</f>
        <v>52.5444832468656</v>
      </c>
      <c r="AB32" s="717" t="n">
        <f aca="false">(F32+H32-(D32+P32))*radconv</f>
        <v>-0.568354991997276</v>
      </c>
      <c r="AD32" s="0" t="n">
        <f aca="false">SUM((Q33&lt;0)*(Q32&gt;0))*A32</f>
        <v>0</v>
      </c>
      <c r="AE32" s="0" t="n">
        <f aca="false">IF(AD32&gt;0,S30,0)</f>
        <v>0</v>
      </c>
    </row>
    <row r="33" customFormat="false" ht="12.75" hidden="false" customHeight="false" outlineLevel="0" collapsed="false">
      <c r="A33" s="718" t="n">
        <v>6.3096</v>
      </c>
      <c r="B33" s="706" t="n">
        <f aca="false">A33/1000</f>
        <v>0.0063096</v>
      </c>
      <c r="C33" s="707" t="n">
        <f aca="false">SQRT(1+(A33/pole1)^2)</f>
        <v>1.00005804920461</v>
      </c>
      <c r="D33" s="708" t="n">
        <f aca="false">ATAN(A33/pole1)</f>
        <v>0.0107746365746365</v>
      </c>
      <c r="E33" s="708" t="n">
        <f aca="false">SQRT(1+(A33/Zero1)^2)</f>
        <v>1.00000000314335</v>
      </c>
      <c r="F33" s="709" t="n">
        <f aca="false">ATAN(A33/Zero1)</f>
        <v>7.92887717716049E-005</v>
      </c>
      <c r="G33" s="708" t="n">
        <f aca="false">IF(VIN_nom&gt;Vout, 1, SQRT(1+(A33/z_RHP)^2))</f>
        <v>1.0000000043724</v>
      </c>
      <c r="H33" s="709" t="n">
        <f aca="false">IF(VIN_nom&gt;Vout, 0, -ATAN(A33/z_RHP))</f>
        <v>-9.35136123179761E-005</v>
      </c>
      <c r="I33" s="707" t="n">
        <f aca="false">SQRT(1+(A33/Pole2)^2)</f>
        <v>26.1924893013749</v>
      </c>
      <c r="J33" s="710" t="n">
        <f aca="false">ATAN(A33/Pole2)</f>
        <v>1.53260816201839</v>
      </c>
      <c r="K33" s="719" t="n">
        <f aca="false">SQRT(1+(A33/Zero2)^2)</f>
        <v>1.00003278954977</v>
      </c>
      <c r="L33" s="720" t="n">
        <f aca="false">ATAN(A33/Zero2)</f>
        <v>0.00809798170260724</v>
      </c>
      <c r="M33" s="707" t="n">
        <f aca="false">SQRT(1+(A33/pole4)^2)</f>
        <v>1.00000003165102</v>
      </c>
      <c r="N33" s="710" t="n">
        <f aca="false">ATAN(A33/pole4)</f>
        <v>0.000251598951148459</v>
      </c>
      <c r="O33" s="711" t="n">
        <f aca="false">SQRT((1-(V33/pterm2))^2+(A33/pterm1)^2)</f>
        <v>1.00000000208596</v>
      </c>
      <c r="P33" s="712" t="n">
        <f aca="false">IF((ATAN((A33/pterm1)/(1-A33^2/pterm2))&gt;0),ATAN((A33/pterm1)/(1-A33^2/pterm2)),PI()+ATAN((A33/pterm1)/(1-A33^2/pterm2)))</f>
        <v>8.78104221066251E-005</v>
      </c>
      <c r="Q33" s="713" t="n">
        <f aca="false">20*LOG10(((E33*K33*G33)/(C33*I33*O33*M33))*Adc)</f>
        <v>60.7971964325638</v>
      </c>
      <c r="R33" s="714" t="n">
        <f aca="false">((F33+L33+H33)-(D33+J33+P33+N33))*radconv</f>
        <v>-87.9856022068167</v>
      </c>
      <c r="S33" s="694" t="n">
        <f aca="false">IF(R33&gt;0,R33,R33+180)</f>
        <v>92.0143977931833</v>
      </c>
      <c r="U33" s="644" t="n">
        <f aca="false">IF(Q33&lt;0,A33,1000000000)</f>
        <v>1000000000</v>
      </c>
      <c r="V33" s="644" t="n">
        <f aca="false">A33^2</f>
        <v>39.81105216</v>
      </c>
      <c r="X33" s="716" t="n">
        <f aca="false">20*LOG10((K33/(I33*M33))*AEA)</f>
        <v>59.7334233554172</v>
      </c>
      <c r="Y33" s="717" t="n">
        <f aca="false">(L33-(J33+N33))*radconv</f>
        <v>-87.3624148146791</v>
      </c>
      <c r="AA33" s="716" t="n">
        <f aca="false">20*LOG10((E33*G33/(C33*O33))*Acs*Am)</f>
        <v>52.544398431701</v>
      </c>
      <c r="AB33" s="717" t="n">
        <f aca="false">(F33+H33-(D33+P33))*radconv</f>
        <v>-0.623187392137584</v>
      </c>
      <c r="AD33" s="0" t="n">
        <f aca="false">SUM((Q34&lt;0)*(Q33&gt;0))*A33</f>
        <v>0</v>
      </c>
      <c r="AE33" s="0" t="n">
        <f aca="false">IF(AD33&gt;0,S31,0)</f>
        <v>0</v>
      </c>
    </row>
    <row r="34" customFormat="false" ht="12.75" hidden="false" customHeight="false" outlineLevel="0" collapsed="false">
      <c r="A34" s="718" t="n">
        <v>6.9183</v>
      </c>
      <c r="B34" s="706" t="n">
        <f aca="false">A34/1000</f>
        <v>0.0069183</v>
      </c>
      <c r="C34" s="707" t="n">
        <f aca="false">SQRT(1+(A34/pole1)^2)</f>
        <v>1.00006978930117</v>
      </c>
      <c r="D34" s="708" t="n">
        <f aca="false">ATAN(A34/pole1)</f>
        <v>0.0118139953122916</v>
      </c>
      <c r="E34" s="708" t="n">
        <f aca="false">SQRT(1+(A34/Zero1)^2)</f>
        <v>1.0000000037791</v>
      </c>
      <c r="F34" s="709" t="n">
        <f aca="false">ATAN(A34/Zero1)</f>
        <v>8.69379215029486E-005</v>
      </c>
      <c r="G34" s="708" t="n">
        <f aca="false">IF(VIN_nom&gt;Vout, 1, SQRT(1+(A34/z_RHP)^2))</f>
        <v>1.00000000525672</v>
      </c>
      <c r="H34" s="709" t="n">
        <f aca="false">IF(VIN_nom&gt;Vout, 0, -ATAN(A34/z_RHP))</f>
        <v>-0.00010253506144891</v>
      </c>
      <c r="I34" s="707" t="n">
        <f aca="false">SQRT(1+(A34/Pole2)^2)</f>
        <v>28.7158108655216</v>
      </c>
      <c r="J34" s="710" t="n">
        <f aca="false">ATAN(A34/Pole2)</f>
        <v>1.53596526338514</v>
      </c>
      <c r="K34" s="719" t="n">
        <f aca="false">SQRT(1+(A34/Zero2)^2)</f>
        <v>1.00003942113632</v>
      </c>
      <c r="L34" s="720" t="n">
        <f aca="false">ATAN(A34/Zero2)</f>
        <v>0.0088791712840333</v>
      </c>
      <c r="M34" s="707" t="n">
        <f aca="false">SQRT(1+(A34/pole4)^2)</f>
        <v>1.00000003805246</v>
      </c>
      <c r="N34" s="710" t="n">
        <f aca="false">ATAN(A34/pole4)</f>
        <v>0.000275871214704892</v>
      </c>
      <c r="O34" s="711" t="n">
        <f aca="false">SQRT((1-(V34/pterm2))^2+(A34/pterm1)^2)</f>
        <v>1.00000000250784</v>
      </c>
      <c r="P34" s="712" t="n">
        <f aca="false">IF((ATAN((A34/pterm1)/(1-A34^2/pterm2))&gt;0),ATAN((A34/pterm1)/(1-A34^2/pterm2)),PI()+ATAN((A34/pterm1)/(1-A34^2/pterm2)))</f>
        <v>9.62816728733782E-005</v>
      </c>
      <c r="Q34" s="713" t="n">
        <f aca="false">20*LOG10(((E34*K34*G34)/(C34*I34*O34*M34))*Adc)</f>
        <v>59.9982658383238</v>
      </c>
      <c r="R34" s="714" t="n">
        <f aca="false">((F34+L34+H34)-(D34+J34+P34+N34))*radconv</f>
        <v>-88.1946966419615</v>
      </c>
      <c r="S34" s="694" t="n">
        <f aca="false">IF(R34&gt;0,R34,R34+180)</f>
        <v>91.8053033580385</v>
      </c>
      <c r="U34" s="644" t="n">
        <f aca="false">IF(Q34&lt;0,A34,1000000000)</f>
        <v>1000000000</v>
      </c>
      <c r="V34" s="644" t="n">
        <f aca="false">A34^2</f>
        <v>47.86287489</v>
      </c>
      <c r="X34" s="716" t="n">
        <f aca="false">20*LOG10((K34/(I34*M34))*AEA)</f>
        <v>58.9345947183039</v>
      </c>
      <c r="Y34" s="717" t="n">
        <f aca="false">(L34-(J34+N34))*radconv</f>
        <v>-87.5113943868076</v>
      </c>
      <c r="AA34" s="716" t="n">
        <f aca="false">20*LOG10((E34*G34/(C34*O34))*Acs*Am)</f>
        <v>52.5442964745742</v>
      </c>
      <c r="AB34" s="717" t="n">
        <f aca="false">(F34+H34-(D34+P34))*radconv</f>
        <v>-0.683302255153914</v>
      </c>
      <c r="AD34" s="0" t="n">
        <f aca="false">SUM((Q35&lt;0)*(Q34&gt;0))*A34</f>
        <v>0</v>
      </c>
      <c r="AE34" s="0" t="n">
        <f aca="false">IF(AD34&gt;0,S32,0)</f>
        <v>0</v>
      </c>
    </row>
    <row r="35" customFormat="false" ht="12.75" hidden="false" customHeight="false" outlineLevel="0" collapsed="false">
      <c r="A35" s="718" t="n">
        <v>7.5858</v>
      </c>
      <c r="B35" s="706" t="n">
        <f aca="false">A35/1000</f>
        <v>0.0075858</v>
      </c>
      <c r="C35" s="707" t="n">
        <f aca="false">SQRT(1+(A35/pole1)^2)</f>
        <v>1.00008390537448</v>
      </c>
      <c r="D35" s="708" t="n">
        <f aca="false">ATAN(A35/pole1)</f>
        <v>0.012953725961041</v>
      </c>
      <c r="E35" s="708" t="n">
        <f aca="false">SQRT(1+(A35/Zero1)^2)</f>
        <v>1.00000000454352</v>
      </c>
      <c r="F35" s="709" t="n">
        <f aca="false">ATAN(A35/Zero1)</f>
        <v>9.53259738087363E-005</v>
      </c>
      <c r="G35" s="708" t="n">
        <f aca="false">IF(VIN_nom&gt;Vout, 1, SQRT(1+(A35/z_RHP)^2))</f>
        <v>1.00000000632003</v>
      </c>
      <c r="H35" s="709" t="n">
        <f aca="false">IF(VIN_nom&gt;Vout, 0, -ATAN(A35/z_RHP))</f>
        <v>-0.000112427976321896</v>
      </c>
      <c r="I35" s="707" t="n">
        <f aca="false">SQRT(1+(A35/Pole2)^2)</f>
        <v>31.483193067707</v>
      </c>
      <c r="J35" s="710" t="n">
        <f aca="false">ATAN(A35/Pole2)</f>
        <v>1.5390280045018</v>
      </c>
      <c r="K35" s="719" t="n">
        <f aca="false">SQRT(1+(A35/Zero2)^2)</f>
        <v>1.00004739487727</v>
      </c>
      <c r="L35" s="720" t="n">
        <f aca="false">ATAN(A35/Zero2)</f>
        <v>0.00973581074656181</v>
      </c>
      <c r="M35" s="707" t="n">
        <f aca="false">SQRT(1+(A35/pole4)^2)</f>
        <v>1.00000004574955</v>
      </c>
      <c r="N35" s="710" t="n">
        <f aca="false">ATAN(A35/pole4)</f>
        <v>0.000302488161798403</v>
      </c>
      <c r="O35" s="711" t="n">
        <f aca="false">SQRT((1-(V35/pterm2))^2+(A35/pterm1)^2)</f>
        <v>1.00000000301512</v>
      </c>
      <c r="P35" s="712" t="n">
        <f aca="false">IF((ATAN((A35/pterm1)/(1-A35^2/pterm2))&gt;0),ATAN((A35/pterm1)/(1-A35^2/pterm2)),PI()+ATAN((A35/pterm1)/(1-A35^2/pterm2)))</f>
        <v>0.000105571240614115</v>
      </c>
      <c r="Q35" s="713" t="n">
        <f aca="false">20*LOG10(((E35*K35*G35)/(C35*I35*O35*M35))*Adc)</f>
        <v>59.1990586691931</v>
      </c>
      <c r="R35" s="714" t="n">
        <f aca="false">((F35+L35+H35)-(D35+J35+P35+N35))*radconv</f>
        <v>-88.3885422261278</v>
      </c>
      <c r="S35" s="694" t="n">
        <f aca="false">IF(R35&gt;0,R35,R35+180)</f>
        <v>91.6114577738722</v>
      </c>
      <c r="U35" s="644" t="n">
        <f aca="false">IF(Q35&lt;0,A35,1000000000)</f>
        <v>1000000000</v>
      </c>
      <c r="V35" s="644" t="n">
        <f aca="false">A35^2</f>
        <v>57.54436164</v>
      </c>
      <c r="X35" s="716" t="n">
        <f aca="false">20*LOG10((K35/(I35*M35))*AEA)</f>
        <v>58.1355101389373</v>
      </c>
      <c r="Y35" s="717" t="n">
        <f aca="false">(L35-(J35+N35))*radconv</f>
        <v>-87.6393197396446</v>
      </c>
      <c r="AA35" s="716" t="n">
        <f aca="false">20*LOG10((E35*G35/(C35*O35))*Acs*Am)</f>
        <v>52.5441738848102</v>
      </c>
      <c r="AB35" s="717" t="n">
        <f aca="false">(F35+H35-(D35+P35))*radconv</f>
        <v>-0.74922248648318</v>
      </c>
      <c r="AD35" s="0" t="n">
        <f aca="false">SUM((Q36&lt;0)*(Q35&gt;0))*A35</f>
        <v>0</v>
      </c>
      <c r="AE35" s="0" t="n">
        <f aca="false">IF(AD35&gt;0,S33,0)</f>
        <v>0</v>
      </c>
    </row>
    <row r="36" customFormat="false" ht="12.75" hidden="false" customHeight="false" outlineLevel="0" collapsed="false">
      <c r="A36" s="718" t="n">
        <v>8.3176</v>
      </c>
      <c r="B36" s="706" t="n">
        <f aca="false">A36/1000</f>
        <v>0.0083176</v>
      </c>
      <c r="C36" s="707" t="n">
        <f aca="false">SQRT(1+(A36/pole1)^2)</f>
        <v>1.00010087403213</v>
      </c>
      <c r="D36" s="708" t="n">
        <f aca="false">ATAN(A36/pole1)</f>
        <v>0.0142032076111498</v>
      </c>
      <c r="E36" s="708" t="n">
        <f aca="false">SQRT(1+(A36/Zero1)^2)</f>
        <v>1.00000000546243</v>
      </c>
      <c r="F36" s="709" t="n">
        <f aca="false">ATAN(A36/Zero1)</f>
        <v>0.000104522043721931</v>
      </c>
      <c r="G36" s="708" t="n">
        <f aca="false">IF(VIN_nom&gt;Vout, 1, SQRT(1+(A36/z_RHP)^2))</f>
        <v>1.00000000759822</v>
      </c>
      <c r="H36" s="709" t="n">
        <f aca="false">IF(VIN_nom&gt;Vout, 0, -ATAN(A36/z_RHP))</f>
        <v>-0.000123273871583505</v>
      </c>
      <c r="I36" s="707" t="n">
        <f aca="false">SQRT(1+(A36/Pole2)^2)</f>
        <v>34.5174383853511</v>
      </c>
      <c r="J36" s="710" t="n">
        <f aca="false">ATAN(A36/Pole2)</f>
        <v>1.54182140904896</v>
      </c>
      <c r="K36" s="719" t="n">
        <f aca="false">SQRT(1+(A36/Zero2)^2)</f>
        <v>1.00005698002125</v>
      </c>
      <c r="L36" s="720" t="n">
        <f aca="false">ATAN(A36/Zero2)</f>
        <v>0.0106749534691348</v>
      </c>
      <c r="M36" s="707" t="n">
        <f aca="false">SQRT(1+(A36/pole4)^2)</f>
        <v>1.0000000550022</v>
      </c>
      <c r="N36" s="710" t="n">
        <f aca="false">ATAN(A36/pole4)</f>
        <v>0.000331669107945736</v>
      </c>
      <c r="O36" s="711" t="n">
        <f aca="false">SQRT((1-(V36/pterm2))^2+(A36/pterm1)^2)</f>
        <v>1.00000000362491</v>
      </c>
      <c r="P36" s="712" t="n">
        <f aca="false">IF((ATAN((A36/pterm1)/(1-A36^2/pterm2))&gt;0),ATAN((A36/pterm1)/(1-A36^2/pterm2)),PI()+ATAN((A36/pterm1)/(1-A36^2/pterm2)))</f>
        <v>0.000115755668581611</v>
      </c>
      <c r="Q36" s="713" t="n">
        <f aca="false">20*LOG10(((E36*K36*G36)/(C36*I36*O36*M36))*Adc)</f>
        <v>58.3997987666028</v>
      </c>
      <c r="R36" s="714" t="n">
        <f aca="false">((F36+L36+H36)-(D36+J36+P36+N36))*radconv</f>
        <v>-88.5687236259497</v>
      </c>
      <c r="S36" s="694" t="n">
        <f aca="false">IF(R36&gt;0,R36,R36+180)</f>
        <v>91.4312763740503</v>
      </c>
      <c r="U36" s="644" t="n">
        <f aca="false">IF(Q36&lt;0,A36,1000000000)</f>
        <v>1000000000</v>
      </c>
      <c r="V36" s="644" t="n">
        <f aca="false">A36^2</f>
        <v>69.18246976</v>
      </c>
      <c r="X36" s="716" t="n">
        <f aca="false">20*LOG10((K36/(I36*M36))*AEA)</f>
        <v>57.3363975968317</v>
      </c>
      <c r="Y36" s="717" t="n">
        <f aca="false">(L36-(J36+N36))*radconv</f>
        <v>-87.7472330614849</v>
      </c>
      <c r="AA36" s="716" t="n">
        <f aca="false">20*LOG10((E36*G36/(C36*O36))*Acs*Am)</f>
        <v>52.5440265243256</v>
      </c>
      <c r="AB36" s="717" t="n">
        <f aca="false">(F36+H36-(D36+P36))*radconv</f>
        <v>-0.821490564464727</v>
      </c>
      <c r="AD36" s="0" t="n">
        <f aca="false">SUM((Q37&lt;0)*(Q36&gt;0))*A36</f>
        <v>0</v>
      </c>
      <c r="AE36" s="0" t="n">
        <f aca="false">IF(AD36&gt;0,S34,0)</f>
        <v>0</v>
      </c>
    </row>
    <row r="37" customFormat="false" ht="12.75" hidden="false" customHeight="false" outlineLevel="0" collapsed="false">
      <c r="A37" s="718" t="n">
        <v>9.1201</v>
      </c>
      <c r="B37" s="706" t="n">
        <f aca="false">A37/1000</f>
        <v>0.0091201</v>
      </c>
      <c r="C37" s="707" t="n">
        <f aca="false">SQRT(1+(A37/pole1)^2)</f>
        <v>1.00012127690056</v>
      </c>
      <c r="D37" s="708" t="n">
        <f aca="false">ATAN(A37/pole1)</f>
        <v>0.0155733519249138</v>
      </c>
      <c r="E37" s="708" t="n">
        <f aca="false">SQRT(1+(A37/Zero1)^2)</f>
        <v>1.00000000656733</v>
      </c>
      <c r="F37" s="709" t="n">
        <f aca="false">ATAN(A37/Zero1)</f>
        <v>0.000114606556007287</v>
      </c>
      <c r="G37" s="708" t="n">
        <f aca="false">IF(VIN_nom&gt;Vout, 1, SQRT(1+(A37/z_RHP)^2))</f>
        <v>1.00000000913514</v>
      </c>
      <c r="H37" s="709" t="n">
        <f aca="false">IF(VIN_nom&gt;Vout, 0, -ATAN(A37/z_RHP))</f>
        <v>-0.000135167600639221</v>
      </c>
      <c r="I37" s="707" t="n">
        <f aca="false">SQRT(1+(A37/Pole2)^2)</f>
        <v>37.8450830514815</v>
      </c>
      <c r="J37" s="710" t="n">
        <f aca="false">ATAN(A37/Pole2)</f>
        <v>1.54436973916626</v>
      </c>
      <c r="K37" s="719" t="n">
        <f aca="false">SQRT(1+(A37/Zero2)^2)</f>
        <v>1.00006850515338</v>
      </c>
      <c r="L37" s="720" t="n">
        <f aca="false">ATAN(A37/Zero2)</f>
        <v>0.0117048060905825</v>
      </c>
      <c r="M37" s="707" t="n">
        <f aca="false">SQRT(1+(A37/pole4)^2)</f>
        <v>1.00000006612767</v>
      </c>
      <c r="N37" s="710" t="n">
        <f aca="false">ATAN(A37/pole4)</f>
        <v>0.000363669256629391</v>
      </c>
      <c r="O37" s="711" t="n">
        <f aca="false">SQRT((1-(V37/pterm2))^2+(A37/pterm1)^2)</f>
        <v>1.00000000435813</v>
      </c>
      <c r="P37" s="712" t="n">
        <f aca="false">IF((ATAN((A37/pterm1)/(1-A37^2/pterm2))&gt;0),ATAN((A37/pterm1)/(1-A37^2/pterm2)),PI()+ATAN((A37/pterm1)/(1-A37^2/pterm2)))</f>
        <v>0.00012692402528782</v>
      </c>
      <c r="Q37" s="713" t="n">
        <f aca="false">20*LOG10(((E37*K37*G37)/(C37*I37*O37*M37))*Adc)</f>
        <v>57.6003035020372</v>
      </c>
      <c r="R37" s="714" t="n">
        <f aca="false">((F37+L37+H37)-(D37+J37+P37+N37))*radconv</f>
        <v>-88.7368064980944</v>
      </c>
      <c r="S37" s="694" t="n">
        <f aca="false">IF(R37&gt;0,R37,R37+180)</f>
        <v>91.2631935019056</v>
      </c>
      <c r="U37" s="644" t="n">
        <f aca="false">IF(Q37&lt;0,A37,1000000000)</f>
        <v>1000000000</v>
      </c>
      <c r="V37" s="644" t="n">
        <f aca="false">A37^2</f>
        <v>83.17622401</v>
      </c>
      <c r="X37" s="716" t="n">
        <f aca="false">20*LOG10((K37/(I37*M37))*AEA)</f>
        <v>56.5370795130693</v>
      </c>
      <c r="Y37" s="717" t="n">
        <f aca="false">(L37-(J37+N37))*radconv</f>
        <v>-87.836068886848</v>
      </c>
      <c r="AA37" s="716" t="n">
        <f aca="false">20*LOG10((E37*G37/(C37*O37))*Acs*Am)</f>
        <v>52.5438493435223</v>
      </c>
      <c r="AB37" s="717" t="n">
        <f aca="false">(F37+H37-(D37+P37))*radconv</f>
        <v>-0.900737611246335</v>
      </c>
      <c r="AD37" s="0" t="n">
        <f aca="false">SUM((Q38&lt;0)*(Q37&gt;0))*A37</f>
        <v>0</v>
      </c>
      <c r="AE37" s="0" t="n">
        <f aca="false">IF(AD37&gt;0,S35,0)</f>
        <v>0</v>
      </c>
    </row>
    <row r="38" customFormat="false" ht="12.75" hidden="false" customHeight="false" outlineLevel="0" collapsed="false">
      <c r="A38" s="718" t="n">
        <v>10</v>
      </c>
      <c r="B38" s="706" t="n">
        <f aca="false">A38/1000</f>
        <v>0.01</v>
      </c>
      <c r="C38" s="707" t="n">
        <f aca="false">SQRT(1+(A38/pole1)^2)</f>
        <v>1.00014580538458</v>
      </c>
      <c r="D38" s="708" t="n">
        <f aca="false">ATAN(A38/pole1)</f>
        <v>0.0170755773417571</v>
      </c>
      <c r="E38" s="708" t="n">
        <f aca="false">SQRT(1+(A38/Zero1)^2)</f>
        <v>1.00000000789568</v>
      </c>
      <c r="F38" s="709" t="n">
        <f aca="false">ATAN(A38/Zero1)</f>
        <v>0.000125663705338533</v>
      </c>
      <c r="G38" s="708" t="n">
        <f aca="false">IF(VIN_nom&gt;Vout, 1, SQRT(1+(A38/z_RHP)^2))</f>
        <v>1.00000001098287</v>
      </c>
      <c r="H38" s="709" t="n">
        <f aca="false">IF(VIN_nom&gt;Vout, 0, -ATAN(A38/z_RHP))</f>
        <v>-0.000148208463144832</v>
      </c>
      <c r="I38" s="707" t="n">
        <f aca="false">SQRT(1+(A38/Pole2)^2)</f>
        <v>41.493909354048</v>
      </c>
      <c r="J38" s="710" t="n">
        <f aca="false">ATAN(A38/Pole2)</f>
        <v>1.54669407077897</v>
      </c>
      <c r="K38" s="719" t="n">
        <f aca="false">SQRT(1+(A38/Zero2)^2)</f>
        <v>1.00008236089053</v>
      </c>
      <c r="L38" s="720" t="n">
        <f aca="false">ATAN(A38/Zero2)</f>
        <v>0.0128339579367747</v>
      </c>
      <c r="M38" s="707" t="n">
        <f aca="false">SQRT(1+(A38/pole4)^2)</f>
        <v>1.00000007950309</v>
      </c>
      <c r="N38" s="710" t="n">
        <f aca="false">ATAN(A38/pole4)</f>
        <v>0.000398755773935123</v>
      </c>
      <c r="O38" s="711" t="n">
        <f aca="false">SQRT((1-(V38/pterm2))^2+(A38/pterm1)^2)</f>
        <v>1.00000000523964</v>
      </c>
      <c r="P38" s="712" t="n">
        <f aca="false">IF((ATAN((A38/pterm1)/(1-A38^2/pterm2))&gt;0),ATAN((A38/pterm1)/(1-A38^2/pterm2)),PI()+ATAN((A38/pterm1)/(1-A38^2/pterm2)))</f>
        <v>0.000139169554330397</v>
      </c>
      <c r="Q38" s="713" t="n">
        <f aca="false">20*LOG10(((E38*K38*G38)/(C38*I38*O38*M38))*Adc)</f>
        <v>56.8007128982819</v>
      </c>
      <c r="R38" s="714" t="n">
        <f aca="false">((F38+L38+H38)-(D38+J38+P38+N38))*radconv</f>
        <v>-88.8941820158013</v>
      </c>
      <c r="S38" s="694" t="n">
        <f aca="false">IF(R38&gt;0,R38,R38+180)</f>
        <v>91.1058179841987</v>
      </c>
      <c r="U38" s="644" t="n">
        <f aca="false">IF(Q38&lt;0,A38,1000000000)</f>
        <v>1000000000</v>
      </c>
      <c r="V38" s="644" t="n">
        <f aca="false">A38^2</f>
        <v>100</v>
      </c>
      <c r="X38" s="716" t="n">
        <f aca="false">20*LOG10((K38/(I38*M38))*AEA)</f>
        <v>55.7377019126413</v>
      </c>
      <c r="Y38" s="717" t="n">
        <f aca="false">(L38-(J38+N38))*radconv</f>
        <v>-87.9065579526686</v>
      </c>
      <c r="AA38" s="716" t="n">
        <f aca="false">20*LOG10((E38*G38/(C38*O38))*Acs*Am)</f>
        <v>52.5436363401949</v>
      </c>
      <c r="AB38" s="717" t="n">
        <f aca="false">(F38+H38-(D38+P38))*radconv</f>
        <v>-0.987624063132719</v>
      </c>
      <c r="AD38" s="0" t="n">
        <f aca="false">SUM((Q39&lt;0)*(Q38&gt;0))*A38</f>
        <v>0</v>
      </c>
      <c r="AE38" s="0" t="n">
        <f aca="false">IF(AD38&gt;0,S36,0)</f>
        <v>0</v>
      </c>
    </row>
    <row r="39" customFormat="false" ht="12.75" hidden="false" customHeight="false" outlineLevel="0" collapsed="false">
      <c r="A39" s="718" t="n">
        <v>10.965</v>
      </c>
      <c r="B39" s="706" t="n">
        <f aca="false">A39/1000</f>
        <v>0.010965</v>
      </c>
      <c r="C39" s="707" t="n">
        <f aca="false">SQRT(1+(A39/pole1)^2)</f>
        <v>1.00017530101488</v>
      </c>
      <c r="D39" s="708" t="n">
        <f aca="false">ATAN(A39/pole1)</f>
        <v>0.0187230024304543</v>
      </c>
      <c r="E39" s="708" t="n">
        <f aca="false">SQRT(1+(A39/Zero1)^2)</f>
        <v>1.00000000949308</v>
      </c>
      <c r="F39" s="709" t="n">
        <f aca="false">ATAN(A39/Zero1)</f>
        <v>0.000137790252756964</v>
      </c>
      <c r="G39" s="708" t="n">
        <f aca="false">IF(VIN_nom&gt;Vout, 1, SQRT(1+(A39/z_RHP)^2))</f>
        <v>1.00000001320484</v>
      </c>
      <c r="H39" s="709" t="n">
        <f aca="false">IF(VIN_nom&gt;Vout, 0, -ATAN(A39/z_RHP))</f>
        <v>-0.000162510579597579</v>
      </c>
      <c r="I39" s="707" t="n">
        <f aca="false">SQRT(1+(A39/Pole2)^2)</f>
        <v>45.4958482466219</v>
      </c>
      <c r="J39" s="710" t="n">
        <f aca="false">ATAN(A39/Pole2)</f>
        <v>1.5488145289755</v>
      </c>
      <c r="K39" s="719" t="n">
        <f aca="false">SQRT(1+(A39/Zero2)^2)</f>
        <v>1.00009902268269</v>
      </c>
      <c r="L39" s="720" t="n">
        <f aca="false">ATAN(A39/Zero2)</f>
        <v>0.0140722785742801</v>
      </c>
      <c r="M39" s="707" t="n">
        <f aca="false">SQRT(1+(A39/pole4)^2)</f>
        <v>1.00000009558754</v>
      </c>
      <c r="N39" s="710" t="n">
        <f aca="false">ATAN(A39/pole4)</f>
        <v>0.000437235701431399</v>
      </c>
      <c r="O39" s="711" t="n">
        <f aca="false">SQRT((1-(V39/pterm2))^2+(A39/pterm1)^2)</f>
        <v>1.00000000629968</v>
      </c>
      <c r="P39" s="712" t="n">
        <f aca="false">IF((ATAN((A39/pterm1)/(1-A39^2/pterm2))&gt;0),ATAN((A39/pterm1)/(1-A39^2/pterm2)),PI()+ATAN((A39/pterm1)/(1-A39^2/pterm2)))</f>
        <v>0.000152599416261176</v>
      </c>
      <c r="Q39" s="713" t="n">
        <f aca="false">20*LOG10(((E39*K39*G39)/(C39*I39*O39*M39))*Adc)</f>
        <v>56.0008530818238</v>
      </c>
      <c r="R39" s="714" t="n">
        <f aca="false">((F39+L39+H39)-(D39+J39+P39+N39))*radconv</f>
        <v>-89.0422141424722</v>
      </c>
      <c r="S39" s="694" t="n">
        <f aca="false">IF(R39&gt;0,R39,R39+180)</f>
        <v>90.9577858575279</v>
      </c>
      <c r="U39" s="644" t="n">
        <f aca="false">IF(Q39&lt;0,A39,1000000000)</f>
        <v>1000000000</v>
      </c>
      <c r="V39" s="644" t="n">
        <f aca="false">A39^2</f>
        <v>120.231225</v>
      </c>
      <c r="X39" s="716" t="n">
        <f aca="false">20*LOG10((K39/(I39*M39))*AEA)</f>
        <v>54.9380982268793</v>
      </c>
      <c r="Y39" s="717" t="n">
        <f aca="false">(L39-(J39+N39))*radconv</f>
        <v>-87.9593054492525</v>
      </c>
      <c r="AA39" s="716" t="n">
        <f aca="false">20*LOG10((E39*G39/(C39*O39))*Acs*Am)</f>
        <v>52.5433802094989</v>
      </c>
      <c r="AB39" s="717" t="n">
        <f aca="false">(F39+H39-(D39+P39))*radconv</f>
        <v>-1.08290869321969</v>
      </c>
      <c r="AD39" s="0" t="n">
        <f aca="false">SUM((Q40&lt;0)*(Q39&gt;0))*A39</f>
        <v>0</v>
      </c>
      <c r="AE39" s="0" t="n">
        <f aca="false">IF(AD39&gt;0,S37,0)</f>
        <v>0</v>
      </c>
    </row>
    <row r="40" customFormat="false" ht="12.75" hidden="false" customHeight="false" outlineLevel="0" collapsed="false">
      <c r="A40" s="718" t="n">
        <v>12.023</v>
      </c>
      <c r="B40" s="706" t="n">
        <f aca="false">A40/1000</f>
        <v>0.012023</v>
      </c>
      <c r="C40" s="707" t="n">
        <f aca="false">SQRT(1+(A40/pole1)^2)</f>
        <v>1.00021075852662</v>
      </c>
      <c r="D40" s="708" t="n">
        <f aca="false">ATAN(A40/pole1)</f>
        <v>0.0205290777828875</v>
      </c>
      <c r="E40" s="708" t="n">
        <f aca="false">SQRT(1+(A40/Zero1)^2)</f>
        <v>1.00000001141341</v>
      </c>
      <c r="F40" s="709" t="n">
        <f aca="false">ATAN(A40/Zero1)</f>
        <v>0.0001510854725742</v>
      </c>
      <c r="G40" s="708" t="n">
        <f aca="false">IF(VIN_nom&gt;Vout, 1, SQRT(1+(A40/z_RHP)^2))</f>
        <v>1.00000001587602</v>
      </c>
      <c r="H40" s="709" t="n">
        <f aca="false">IF(VIN_nom&gt;Vout, 0, -ATAN(A40/z_RHP))</f>
        <v>-0.000178191034657755</v>
      </c>
      <c r="I40" s="707" t="n">
        <f aca="false">SQRT(1+(A40/Pole2)^2)</f>
        <v>49.8836617728381</v>
      </c>
      <c r="J40" s="710" t="n">
        <f aca="false">ATAN(A40/Pole2)</f>
        <v>1.5507483400481</v>
      </c>
      <c r="K40" s="719" t="n">
        <f aca="false">SQRT(1+(A40/Zero2)^2)</f>
        <v>1.00011905256614</v>
      </c>
      <c r="L40" s="720" t="n">
        <f aca="false">ATAN(A40/Zero2)</f>
        <v>0.0154298902182893</v>
      </c>
      <c r="M40" s="707" t="n">
        <f aca="false">SQRT(1+(A40/pole4)^2)</f>
        <v>1.00000011492372</v>
      </c>
      <c r="N40" s="710" t="n">
        <f aca="false">ATAN(A40/pole4)</f>
        <v>0.000479424055681196</v>
      </c>
      <c r="O40" s="711" t="n">
        <f aca="false">SQRT((1-(V40/pterm2))^2+(A40/pterm1)^2)</f>
        <v>1.00000000757403</v>
      </c>
      <c r="P40" s="712" t="n">
        <f aca="false">IF((ATAN((A40/pterm1)/(1-A40^2/pterm2))&gt;0),ATAN((A40/pterm1)/(1-A40^2/pterm2)),PI()+ATAN((A40/pterm1)/(1-A40^2/pterm2)))</f>
        <v>0.000167323555021477</v>
      </c>
      <c r="Q40" s="713" t="n">
        <f aca="false">20*LOG10(((E40*K40*G40)/(C40*I40*O40*M40))*Adc)</f>
        <v>55.2009877950758</v>
      </c>
      <c r="R40" s="714" t="n">
        <f aca="false">((F40+L40+H40)-(D40+J40+P40+N40))*radconv</f>
        <v>-89.1821059427892</v>
      </c>
      <c r="S40" s="694" t="n">
        <f aca="false">IF(R40&gt;0,R40,R40+180)</f>
        <v>90.8178940572108</v>
      </c>
      <c r="U40" s="644" t="n">
        <f aca="false">IF(Q40&lt;0,A40,1000000000)</f>
        <v>1000000000</v>
      </c>
      <c r="V40" s="644" t="n">
        <f aca="false">A40^2</f>
        <v>144.552529</v>
      </c>
      <c r="X40" s="716" t="n">
        <f aca="false">20*LOG10((K40/(I40*M40))*AEA)</f>
        <v>54.1385408319147</v>
      </c>
      <c r="Y40" s="717" t="n">
        <f aca="false">(L40-(J40+N40))*radconv</f>
        <v>-87.9947364593527</v>
      </c>
      <c r="AA40" s="716" t="n">
        <f aca="false">20*LOG10((E40*G40/(C40*O40))*Acs*Am)</f>
        <v>52.5430723177155</v>
      </c>
      <c r="AB40" s="717" t="n">
        <f aca="false">(F40+H40-(D40+P40))*radconv</f>
        <v>-1.18736948343658</v>
      </c>
      <c r="AD40" s="0" t="n">
        <f aca="false">SUM((Q41&lt;0)*(Q40&gt;0))*A40</f>
        <v>0</v>
      </c>
      <c r="AE40" s="0" t="n">
        <f aca="false">IF(AD40&gt;0,S38,0)</f>
        <v>0</v>
      </c>
    </row>
    <row r="41" customFormat="false" ht="12.75" hidden="false" customHeight="false" outlineLevel="0" collapsed="false">
      <c r="A41" s="718" t="n">
        <v>13.183</v>
      </c>
      <c r="B41" s="706" t="n">
        <f aca="false">A41/1000</f>
        <v>0.013183</v>
      </c>
      <c r="C41" s="707" t="n">
        <f aca="false">SQRT(1+(A41/pole1)^2)</f>
        <v>1.0002533837206</v>
      </c>
      <c r="D41" s="708" t="n">
        <f aca="false">ATAN(A41/pole1)</f>
        <v>0.0225091194589368</v>
      </c>
      <c r="E41" s="708" t="n">
        <f aca="false">SQRT(1+(A41/Zero1)^2)</f>
        <v>1.00000001372203</v>
      </c>
      <c r="F41" s="709" t="n">
        <f aca="false">ATAN(A41/Zero1)</f>
        <v>0.000165662462104317</v>
      </c>
      <c r="G41" s="708" t="n">
        <f aca="false">IF(VIN_nom&gt;Vout, 1, SQRT(1+(A41/z_RHP)^2))</f>
        <v>1.0000000190873</v>
      </c>
      <c r="H41" s="709" t="n">
        <f aca="false">IF(VIN_nom&gt;Vout, 0, -ATAN(A41/z_RHP))</f>
        <v>-0.000195383215908186</v>
      </c>
      <c r="I41" s="707" t="n">
        <f aca="false">SQRT(1+(A41/Pole2)^2)</f>
        <v>54.6946753520495</v>
      </c>
      <c r="J41" s="710" t="n">
        <f aca="false">ATAN(A41/Pole2)</f>
        <v>1.55251199262131</v>
      </c>
      <c r="K41" s="719" t="n">
        <f aca="false">SQRT(1+(A41/Zero2)^2)</f>
        <v>1.00014313186905</v>
      </c>
      <c r="L41" s="720" t="n">
        <f aca="false">ATAN(A41/Zero2)</f>
        <v>0.0169183213622045</v>
      </c>
      <c r="M41" s="707" t="n">
        <f aca="false">SQRT(1+(A41/pole4)^2)</f>
        <v>1.0000001381696</v>
      </c>
      <c r="N41" s="710" t="n">
        <f aca="false">ATAN(A41/pole4)</f>
        <v>0.000525679716218811</v>
      </c>
      <c r="O41" s="711" t="n">
        <f aca="false">SQRT((1-(V41/pterm2))^2+(A41/pterm1)^2)</f>
        <v>1.00000000910605</v>
      </c>
      <c r="P41" s="712" t="n">
        <f aca="false">IF((ATAN((A41/pterm1)/(1-A41^2/pterm2))&gt;0),ATAN((A41/pterm1)/(1-A41^2/pterm2)),PI()+ATAN((A41/pterm1)/(1-A41^2/pterm2)))</f>
        <v>0.000183467223201424</v>
      </c>
      <c r="Q41" s="713" t="n">
        <f aca="false">20*LOG10(((E41*K41*G41)/(C41*I41*O41*M41))*Adc)</f>
        <v>54.4010921396914</v>
      </c>
      <c r="R41" s="714" t="n">
        <f aca="false">((F41+L41+H41)-(D41+J41+P41+N41))*radconv</f>
        <v>-89.3150480581968</v>
      </c>
      <c r="S41" s="694" t="n">
        <f aca="false">IF(R41&gt;0,R41,R41+180)</f>
        <v>90.6849519418032</v>
      </c>
      <c r="U41" s="644" t="n">
        <f aca="false">IF(Q41&lt;0,A41,1000000000)</f>
        <v>1000000000</v>
      </c>
      <c r="V41" s="644" t="n">
        <f aca="false">A41^2</f>
        <v>173.791489</v>
      </c>
      <c r="X41" s="716" t="n">
        <f aca="false">20*LOG10((K41/(I41*M41))*AEA)</f>
        <v>53.3390152937213</v>
      </c>
      <c r="Y41" s="717" t="n">
        <f aca="false">(L41-(J41+N41))*radconv</f>
        <v>-88.013155739831</v>
      </c>
      <c r="AA41" s="716" t="n">
        <f aca="false">20*LOG10((E41*G41/(C41*O41))*Acs*Am)</f>
        <v>52.5427022005245</v>
      </c>
      <c r="AB41" s="717" t="n">
        <f aca="false">(F41+H41-(D41+P41))*radconv</f>
        <v>-1.30189231836584</v>
      </c>
      <c r="AD41" s="0" t="n">
        <f aca="false">SUM((Q42&lt;0)*(Q41&gt;0))*A41</f>
        <v>0</v>
      </c>
      <c r="AE41" s="0" t="n">
        <f aca="false">IF(AD41&gt;0,S39,0)</f>
        <v>0</v>
      </c>
    </row>
    <row r="42" customFormat="false" ht="12.75" hidden="false" customHeight="false" outlineLevel="0" collapsed="false">
      <c r="A42" s="718" t="n">
        <v>14.454</v>
      </c>
      <c r="B42" s="706" t="n">
        <f aca="false">A42/1000</f>
        <v>0.014454</v>
      </c>
      <c r="C42" s="707" t="n">
        <f aca="false">SQRT(1+(A42/pole1)^2)</f>
        <v>1.00030458968223</v>
      </c>
      <c r="D42" s="708" t="n">
        <f aca="false">ATAN(A42/pole1)</f>
        <v>0.0246784274183768</v>
      </c>
      <c r="E42" s="708" t="n">
        <f aca="false">SQRT(1+(A42/Zero1)^2)</f>
        <v>1.00000001649551</v>
      </c>
      <c r="F42" s="709" t="n">
        <f aca="false">ATAN(A42/Zero1)</f>
        <v>0.000181634318654966</v>
      </c>
      <c r="G42" s="708" t="n">
        <f aca="false">IF(VIN_nom&gt;Vout, 1, SQRT(1+(A42/z_RHP)^2))</f>
        <v>1.00000002294521</v>
      </c>
      <c r="H42" s="709" t="n">
        <f aca="false">IF(VIN_nom&gt;Vout, 0, -ATAN(A42/z_RHP))</f>
        <v>-0.000214220510921154</v>
      </c>
      <c r="I42" s="707" t="n">
        <f aca="false">SQRT(1+(A42/Pole2)^2)</f>
        <v>59.9662156446433</v>
      </c>
      <c r="J42" s="710" t="n">
        <f aca="false">ATAN(A42/Pole2)</f>
        <v>1.55411949729136</v>
      </c>
      <c r="K42" s="719" t="n">
        <f aca="false">SQRT(1+(A42/Zero2)^2)</f>
        <v>1.00017205910443</v>
      </c>
      <c r="L42" s="720" t="n">
        <f aca="false">ATAN(A42/Zero2)</f>
        <v>0.0185490936584057</v>
      </c>
      <c r="M42" s="707" t="n">
        <f aca="false">SQRT(1+(A42/pole4)^2)</f>
        <v>1.00000016609635</v>
      </c>
      <c r="N42" s="710" t="n">
        <f aca="false">ATAN(A42/pole4)</f>
        <v>0.000576361562373145</v>
      </c>
      <c r="O42" s="711" t="n">
        <f aca="false">SQRT((1-(V42/pterm2))^2+(A42/pterm1)^2)</f>
        <v>1.00000001094655</v>
      </c>
      <c r="P42" s="712" t="n">
        <f aca="false">IF((ATAN((A42/pterm1)/(1-A42^2/pterm2))&gt;0),ATAN((A42/pterm1)/(1-A42^2/pterm2)),PI()+ATAN((A42/pterm1)/(1-A42^2/pterm2)))</f>
        <v>0.000201155673388422</v>
      </c>
      <c r="Q42" s="713" t="n">
        <f aca="false">20*LOG10(((E42*K42*G42)/(C42*I42*O42*M42))*Adc)</f>
        <v>53.60166664599</v>
      </c>
      <c r="R42" s="714" t="n">
        <f aca="false">((F42+L42+H42)-(D42+J42+P42+N42))*radconv</f>
        <v>-89.4420886190593</v>
      </c>
      <c r="S42" s="694" t="n">
        <f aca="false">IF(R42&gt;0,R42,R42+180)</f>
        <v>90.5579113809407</v>
      </c>
      <c r="U42" s="644" t="n">
        <f aca="false">IF(Q42&lt;0,A42,1000000000)</f>
        <v>1000000000</v>
      </c>
      <c r="V42" s="644" t="n">
        <f aca="false">A42^2</f>
        <v>208.918116</v>
      </c>
      <c r="X42" s="716" t="n">
        <f aca="false">20*LOG10((K42/(I42*M42))*AEA)</f>
        <v>52.5400344036882</v>
      </c>
      <c r="Y42" s="717" t="n">
        <f aca="false">(L42-(J42+N42))*radconv</f>
        <v>-88.0147264589379</v>
      </c>
      <c r="AA42" s="716" t="n">
        <f aca="false">20*LOG10((E42*G42/(C42*O42))*Acs*Am)</f>
        <v>52.5422575968561</v>
      </c>
      <c r="AB42" s="717" t="n">
        <f aca="false">(F42+H42-(D42+P42))*radconv</f>
        <v>-1.42736216012145</v>
      </c>
      <c r="AD42" s="0" t="n">
        <f aca="false">SUM((Q43&lt;0)*(Q42&gt;0))*A42</f>
        <v>0</v>
      </c>
      <c r="AE42" s="0" t="n">
        <f aca="false">IF(AD42&gt;0,S40,0)</f>
        <v>0</v>
      </c>
    </row>
    <row r="43" customFormat="false" ht="12.75" hidden="false" customHeight="false" outlineLevel="0" collapsed="false">
      <c r="A43" s="718" t="n">
        <v>15.849</v>
      </c>
      <c r="B43" s="706" t="n">
        <f aca="false">A43/1000</f>
        <v>0.015849</v>
      </c>
      <c r="C43" s="707" t="n">
        <f aca="false">SQRT(1+(A43/pole1)^2)</f>
        <v>1.00036620935937</v>
      </c>
      <c r="D43" s="708" t="n">
        <f aca="false">ATAN(A43/pole1)</f>
        <v>0.0270591070267239</v>
      </c>
      <c r="E43" s="708" t="n">
        <f aca="false">SQRT(1+(A43/Zero1)^2)</f>
        <v>1.00000001983323</v>
      </c>
      <c r="F43" s="709" t="n">
        <f aca="false">ATAN(A43/Zero1)</f>
        <v>0.000199164405006018</v>
      </c>
      <c r="G43" s="708" t="n">
        <f aca="false">IF(VIN_nom&gt;Vout, 1, SQRT(1+(A43/z_RHP)^2))</f>
        <v>1.00000002758797</v>
      </c>
      <c r="H43" s="709" t="n">
        <f aca="false">IF(VIN_nom&gt;Vout, 0, -ATAN(A43/z_RHP))</f>
        <v>-0.000234895590637935</v>
      </c>
      <c r="I43" s="707" t="n">
        <f aca="false">SQRT(1+(A43/Pole2)^2)</f>
        <v>65.7522009257399</v>
      </c>
      <c r="J43" s="710" t="n">
        <f aca="false">ATAN(A43/Pole2)</f>
        <v>1.55558712405691</v>
      </c>
      <c r="K43" s="719" t="n">
        <f aca="false">SQRT(1+(A43/Zero2)^2)</f>
        <v>1.00020687010254</v>
      </c>
      <c r="L43" s="720" t="n">
        <f aca="false">ATAN(A43/Zero2)</f>
        <v>0.0203388517933521</v>
      </c>
      <c r="M43" s="707" t="n">
        <f aca="false">SQRT(1+(A43/pole4)^2)</f>
        <v>1.00000019970443</v>
      </c>
      <c r="N43" s="710" t="n">
        <f aca="false">ATAN(A43/pole4)</f>
        <v>0.00063198797546591</v>
      </c>
      <c r="O43" s="711" t="n">
        <f aca="false">SQRT((1-(V43/pterm2))^2+(A43/pterm1)^2)</f>
        <v>1.00000001316149</v>
      </c>
      <c r="P43" s="712" t="n">
        <f aca="false">IF((ATAN((A43/pterm1)/(1-A43^2/pterm2))&gt;0),ATAN((A43/pterm1)/(1-A43^2/pterm2)),PI()+ATAN((A43/pterm1)/(1-A43^2/pterm2)))</f>
        <v>0.000220569825987411</v>
      </c>
      <c r="Q43" s="713" t="n">
        <f aca="false">20*LOG10(((E43*K43*G43)/(C43*I43*O43*M43))*Adc)</f>
        <v>52.8013606217626</v>
      </c>
      <c r="R43" s="714" t="n">
        <f aca="false">((F43+L43+H43)-(D43+J43+P43+N43))*radconv</f>
        <v>-89.5645144477677</v>
      </c>
      <c r="S43" s="694" t="n">
        <f aca="false">IF(R43&gt;0,R43,R43+180)</f>
        <v>90.4354855522323</v>
      </c>
      <c r="U43" s="644" t="n">
        <f aca="false">IF(Q43&lt;0,A43,1000000000)</f>
        <v>1000000000</v>
      </c>
      <c r="V43" s="644" t="n">
        <f aca="false">A43^2</f>
        <v>251.190801</v>
      </c>
      <c r="X43" s="716" t="n">
        <f aca="false">20*LOG10((K43/(I43*M43))*AEA)</f>
        <v>51.7402633716445</v>
      </c>
      <c r="Y43" s="717" t="n">
        <f aca="false">(L43-(J43+N43))*radconv</f>
        <v>-87.9994568497046</v>
      </c>
      <c r="AA43" s="716" t="n">
        <f aca="false">20*LOG10((E43*G43/(C43*O43))*Acs*Am)</f>
        <v>52.5417226046725</v>
      </c>
      <c r="AB43" s="717" t="n">
        <f aca="false">(F43+H43-(D43+P43))*radconv</f>
        <v>-1.56505759806313</v>
      </c>
      <c r="AD43" s="0" t="n">
        <f aca="false">SUM((Q44&lt;0)*(Q43&gt;0))*A43</f>
        <v>0</v>
      </c>
      <c r="AE43" s="0" t="n">
        <f aca="false">IF(AD43&gt;0,S41,0)</f>
        <v>0</v>
      </c>
    </row>
    <row r="44" customFormat="false" ht="12.75" hidden="false" customHeight="false" outlineLevel="0" collapsed="false">
      <c r="A44" s="718" t="n">
        <v>17.378</v>
      </c>
      <c r="B44" s="706" t="n">
        <f aca="false">A44/1000</f>
        <v>0.017378</v>
      </c>
      <c r="C44" s="707" t="n">
        <f aca="false">SQRT(1+(A44/pole1)^2)</f>
        <v>1.00044025998847</v>
      </c>
      <c r="D44" s="708" t="n">
        <f aca="false">ATAN(A44/pole1)</f>
        <v>0.0296681150422353</v>
      </c>
      <c r="E44" s="708" t="n">
        <f aca="false">SQRT(1+(A44/Zero1)^2)</f>
        <v>1.00000002384456</v>
      </c>
      <c r="F44" s="709" t="n">
        <f aca="false">ATAN(A44/Zero1)</f>
        <v>0.000218378384815376</v>
      </c>
      <c r="G44" s="708" t="n">
        <f aca="false">IF(VIN_nom&gt;Vout, 1, SQRT(1+(A44/z_RHP)^2))</f>
        <v>1.00000003316772</v>
      </c>
      <c r="H44" s="709" t="n">
        <f aca="false">IF(VIN_nom&gt;Vout, 0, -ATAN(A44/z_RHP))</f>
        <v>-0.000257556663443853</v>
      </c>
      <c r="I44" s="707" t="n">
        <f aca="false">SQRT(1+(A44/Pole2)^2)</f>
        <v>72.0941079244774</v>
      </c>
      <c r="J44" s="710" t="n">
        <f aca="false">ATAN(A44/Pole2)</f>
        <v>1.55692512292134</v>
      </c>
      <c r="K44" s="719" t="n">
        <f aca="false">SQRT(1+(A44/Zero2)^2)</f>
        <v>1.00024870499136</v>
      </c>
      <c r="L44" s="720" t="n">
        <f aca="false">ATAN(A44/Zero2)</f>
        <v>0.0223003792412349</v>
      </c>
      <c r="M44" s="707" t="n">
        <f aca="false">SQRT(1+(A44/pole4)^2)</f>
        <v>1.00000024009524</v>
      </c>
      <c r="N44" s="710" t="n">
        <f aca="false">ATAN(A44/pole4)</f>
        <v>0.000692957709755415</v>
      </c>
      <c r="O44" s="711" t="n">
        <f aca="false">SQRT((1-(V44/pterm2))^2+(A44/pterm1)^2)</f>
        <v>1.00000001582344</v>
      </c>
      <c r="P44" s="712" t="n">
        <f aca="false">IF((ATAN((A44/pterm1)/(1-A44^2/pterm2))&gt;0),ATAN((A44/pterm1)/(1-A44^2/pterm2)),PI()+ATAN((A44/pterm1)/(1-A44^2/pterm2)))</f>
        <v>0.000241848850532647</v>
      </c>
      <c r="Q44" s="713" t="n">
        <f aca="false">20*LOG10(((E44*K44*G44)/(C44*I44*O44*M44))*Adc)</f>
        <v>52.0012911296169</v>
      </c>
      <c r="R44" s="714" t="n">
        <f aca="false">((F44+L44+H44)-(D44+J44+P44+N44))*radconv</f>
        <v>-89.683184050302</v>
      </c>
      <c r="S44" s="694" t="n">
        <f aca="false">IF(R44&gt;0,R44,R44+180)</f>
        <v>90.316815949698</v>
      </c>
      <c r="U44" s="644" t="n">
        <f aca="false">IF(Q44&lt;0,A44,1000000000)</f>
        <v>1000000000</v>
      </c>
      <c r="V44" s="644" t="n">
        <f aca="false">A44^2</f>
        <v>301.994884</v>
      </c>
      <c r="X44" s="716" t="n">
        <f aca="false">20*LOG10((K44/(I44*M44))*AEA)</f>
        <v>50.9408367556512</v>
      </c>
      <c r="Y44" s="717" t="n">
        <f aca="false">(L44-(J44+N44))*radconv</f>
        <v>-87.967224601883</v>
      </c>
      <c r="AA44" s="716" t="n">
        <f aca="false">20*LOG10((E44*G44/(C44*O44))*Acs*Am)</f>
        <v>52.5410797285201</v>
      </c>
      <c r="AB44" s="717" t="n">
        <f aca="false">(F44+H44-(D44+P44))*radconv</f>
        <v>-1.71595944841905</v>
      </c>
      <c r="AD44" s="0" t="n">
        <f aca="false">SUM((Q45&lt;0)*(Q44&gt;0))*A44</f>
        <v>0</v>
      </c>
      <c r="AE44" s="0" t="n">
        <f aca="false">IF(AD44&gt;0,S42,0)</f>
        <v>0</v>
      </c>
    </row>
    <row r="45" customFormat="false" ht="12.75" hidden="false" customHeight="false" outlineLevel="0" collapsed="false">
      <c r="A45" s="718" t="n">
        <v>19.055</v>
      </c>
      <c r="B45" s="706" t="n">
        <f aca="false">A45/1000</f>
        <v>0.019055</v>
      </c>
      <c r="C45" s="707" t="n">
        <f aca="false">SQRT(1+(A45/pole1)^2)</f>
        <v>1.00052930769353</v>
      </c>
      <c r="D45" s="708" t="n">
        <f aca="false">ATAN(A45/pole1)</f>
        <v>0.0325291969386828</v>
      </c>
      <c r="E45" s="708" t="n">
        <f aca="false">SQRT(1+(A45/Zero1)^2)</f>
        <v>1.00000002866868</v>
      </c>
      <c r="F45" s="709" t="n">
        <f aca="false">ATAN(A45/Zero1)</f>
        <v>0.000239452187206482</v>
      </c>
      <c r="G45" s="708" t="n">
        <f aca="false">IF(VIN_nom&gt;Vout, 1, SQRT(1+(A45/z_RHP)^2))</f>
        <v>1.00000003987805</v>
      </c>
      <c r="H45" s="709" t="n">
        <f aca="false">IF(VIN_nom&gt;Vout, 0, -ATAN(A45/z_RHP))</f>
        <v>-0.000282411221082263</v>
      </c>
      <c r="I45" s="707" t="n">
        <f aca="false">SQRT(1+(A45/Pole2)^2)</f>
        <v>79.0500051013481</v>
      </c>
      <c r="J45" s="710" t="n">
        <f aca="false">ATAN(A45/Pole2)</f>
        <v>1.55814576880966</v>
      </c>
      <c r="K45" s="719" t="n">
        <f aca="false">SQRT(1+(A45/Zero2)^2)</f>
        <v>1.00029901425895</v>
      </c>
      <c r="L45" s="720" t="n">
        <f aca="false">ATAN(A45/Zero2)</f>
        <v>0.0244515754098605</v>
      </c>
      <c r="M45" s="707" t="n">
        <f aca="false">SQRT(1+(A45/pole4)^2)</f>
        <v>1.00000028867014</v>
      </c>
      <c r="N45" s="710" t="n">
        <f aca="false">ATAN(A45/pole4)</f>
        <v>0.000759829021279253</v>
      </c>
      <c r="O45" s="711" t="n">
        <f aca="false">SQRT((1-(V45/pterm2))^2+(A45/pterm1)^2)</f>
        <v>1.00000001902476</v>
      </c>
      <c r="P45" s="712" t="n">
        <f aca="false">IF((ATAN((A45/pterm1)/(1-A45^2/pterm2))&gt;0),ATAN((A45/pterm1)/(1-A45^2/pterm2)),PI()+ATAN((A45/pterm1)/(1-A45^2/pterm2)))</f>
        <v>0.00026518758437309</v>
      </c>
      <c r="Q45" s="713" t="n">
        <f aca="false">20*LOG10(((E45*K45*G45)/(C45*I45*O45*M45))*Adc)</f>
        <v>51.2009119583653</v>
      </c>
      <c r="R45" s="714" t="n">
        <f aca="false">((F45+L45+H45)-(D45+J45+P45+N45))*radconv</f>
        <v>-89.7991806404444</v>
      </c>
      <c r="S45" s="694" t="n">
        <f aca="false">IF(R45&gt;0,R45,R45+180)</f>
        <v>90.2008193595556</v>
      </c>
      <c r="U45" s="644" t="n">
        <f aca="false">IF(Q45&lt;0,A45,1000000000)</f>
        <v>1000000000</v>
      </c>
      <c r="V45" s="644" t="n">
        <f aca="false">A45^2</f>
        <v>363.093025</v>
      </c>
      <c r="X45" s="716" t="n">
        <f aca="false">20*LOG10((K45/(I45*M45))*AEA)</f>
        <v>50.1412305957797</v>
      </c>
      <c r="Y45" s="717" t="n">
        <f aca="false">(L45-(J45+N45))*radconv</f>
        <v>-87.9177394420613</v>
      </c>
      <c r="AA45" s="716" t="n">
        <f aca="false">20*LOG10((E45*G45/(C45*O45))*Acs*Am)</f>
        <v>52.5403067171401</v>
      </c>
      <c r="AB45" s="717" t="n">
        <f aca="false">(F45+H45-(D45+P45))*radconv</f>
        <v>-1.88144119838315</v>
      </c>
      <c r="AD45" s="0" t="n">
        <f aca="false">SUM((Q46&lt;0)*(Q45&gt;0))*A45</f>
        <v>0</v>
      </c>
      <c r="AE45" s="0" t="n">
        <f aca="false">IF(AD45&gt;0,S43,0)</f>
        <v>0</v>
      </c>
    </row>
    <row r="46" customFormat="false" ht="12.75" hidden="false" customHeight="false" outlineLevel="0" collapsed="false">
      <c r="A46" s="718" t="n">
        <v>20.893</v>
      </c>
      <c r="B46" s="706" t="n">
        <f aca="false">A46/1000</f>
        <v>0.020893</v>
      </c>
      <c r="C46" s="707" t="n">
        <f aca="false">SQRT(1+(A46/pole1)^2)</f>
        <v>1.00063630990022</v>
      </c>
      <c r="D46" s="708" t="n">
        <f aca="false">ATAN(A46/pole1)</f>
        <v>0.0356643428300295</v>
      </c>
      <c r="E46" s="708" t="n">
        <f aca="false">SQRT(1+(A46/Zero1)^2)</f>
        <v>1.00000003446604</v>
      </c>
      <c r="F46" s="709" t="n">
        <f aca="false">ATAN(A46/Zero1)</f>
        <v>0.000262549174913114</v>
      </c>
      <c r="G46" s="708" t="n">
        <f aca="false">IF(VIN_nom&gt;Vout, 1, SQRT(1+(A46/z_RHP)^2))</f>
        <v>1.00000004794216</v>
      </c>
      <c r="H46" s="709" t="n">
        <f aca="false">IF(VIN_nom&gt;Vout, 0, -ATAN(A46/z_RHP))</f>
        <v>-0.000309651934418821</v>
      </c>
      <c r="I46" s="707" t="n">
        <f aca="false">SQRT(1+(A46/Pole2)^2)</f>
        <v>86.6738141197149</v>
      </c>
      <c r="J46" s="710" t="n">
        <f aca="false">ATAN(A46/Pole2)</f>
        <v>1.559258560779</v>
      </c>
      <c r="K46" s="719" t="n">
        <f aca="false">SQRT(1+(A46/Zero2)^2)</f>
        <v>1.0003594698542</v>
      </c>
      <c r="L46" s="720" t="n">
        <f aca="false">ATAN(A46/Zero2)</f>
        <v>0.0268090359793579</v>
      </c>
      <c r="M46" s="707" t="n">
        <f aca="false">SQRT(1+(A46/pole4)^2)</f>
        <v>1.00000034704481</v>
      </c>
      <c r="N46" s="710" t="n">
        <f aca="false">ATAN(A46/pole4)</f>
        <v>0.000833120289886372</v>
      </c>
      <c r="O46" s="711" t="n">
        <f aca="false">SQRT((1-(V46/pterm2))^2+(A46/pterm1)^2)</f>
        <v>1.00000002287193</v>
      </c>
      <c r="P46" s="712" t="n">
        <f aca="false">IF((ATAN((A46/pterm1)/(1-A46^2/pterm2))&gt;0),ATAN((A46/pterm1)/(1-A46^2/pterm2)),PI()+ATAN((A46/pterm1)/(1-A46^2/pterm2)))</f>
        <v>0.000290766947894174</v>
      </c>
      <c r="Q46" s="713" t="n">
        <f aca="false">20*LOG10(((E46*K46*G46)/(C46*I46*O46*M46))*Adc)</f>
        <v>50.4007874878738</v>
      </c>
      <c r="R46" s="714" t="n">
        <f aca="false">((F46+L46+H46)-(D46+J46+P46+N46))*radconv</f>
        <v>-89.9133992985539</v>
      </c>
      <c r="S46" s="694" t="n">
        <f aca="false">IF(R46&gt;0,R46,R46+180)</f>
        <v>90.0866007014461</v>
      </c>
      <c r="U46" s="644" t="n">
        <f aca="false">IF(Q46&lt;0,A46,1000000000)</f>
        <v>1000000000</v>
      </c>
      <c r="V46" s="644" t="n">
        <f aca="false">A46^2</f>
        <v>436.517449</v>
      </c>
      <c r="X46" s="716" t="n">
        <f aca="false">20*LOG10((K46/(I46*M46))*AEA)</f>
        <v>49.3420349063118</v>
      </c>
      <c r="Y46" s="717" t="n">
        <f aca="false">(L46-(J46+N46))*radconv</f>
        <v>-87.8506244646692</v>
      </c>
      <c r="AA46" s="716" t="n">
        <f aca="false">20*LOG10((E46*G46/(C46*O46))*Acs*Am)</f>
        <v>52.5393779361164</v>
      </c>
      <c r="AB46" s="717" t="n">
        <f aca="false">(F46+H46-(D46+P46))*radconv</f>
        <v>-2.06277483388474</v>
      </c>
      <c r="AD46" s="0" t="n">
        <f aca="false">SUM((Q47&lt;0)*(Q46&gt;0))*A46</f>
        <v>0</v>
      </c>
      <c r="AE46" s="0" t="n">
        <f aca="false">IF(AD46&gt;0,S44,0)</f>
        <v>0</v>
      </c>
    </row>
    <row r="47" customFormat="false" ht="12.75" hidden="false" customHeight="false" outlineLevel="0" collapsed="false">
      <c r="A47" s="718" t="n">
        <v>22.909</v>
      </c>
      <c r="B47" s="706" t="n">
        <f aca="false">A47/1000</f>
        <v>0.022909</v>
      </c>
      <c r="C47" s="707" t="n">
        <f aca="false">SQRT(1+(A47/pole1)^2)</f>
        <v>1.00076498233273</v>
      </c>
      <c r="D47" s="708" t="n">
        <f aca="false">ATAN(A47/pole1)</f>
        <v>0.0391023013616231</v>
      </c>
      <c r="E47" s="708" t="n">
        <f aca="false">SQRT(1+(A47/Zero1)^2)</f>
        <v>1.00000004143831</v>
      </c>
      <c r="F47" s="709" t="n">
        <f aca="false">ATAN(A47/Zero1)</f>
        <v>0.000287882976122478</v>
      </c>
      <c r="G47" s="708" t="n">
        <f aca="false">IF(VIN_nom&gt;Vout, 1, SQRT(1+(A47/z_RHP)^2))</f>
        <v>1.00000005764057</v>
      </c>
      <c r="H47" s="709" t="n">
        <f aca="false">IF(VIN_nom&gt;Vout, 0, -ATAN(A47/z_RHP))</f>
        <v>-0.000339530757657347</v>
      </c>
      <c r="I47" s="707" t="n">
        <f aca="false">SQRT(1+(A47/Pole2)^2)</f>
        <v>95.0360489805755</v>
      </c>
      <c r="J47" s="710" t="n">
        <f aca="false">ATAN(A47/Pole2)</f>
        <v>1.56027380965682</v>
      </c>
      <c r="K47" s="719" t="n">
        <f aca="false">SQRT(1+(A47/Zero2)^2)</f>
        <v>1.00043217271787</v>
      </c>
      <c r="L47" s="720" t="n">
        <f aca="false">ATAN(A47/Zero2)</f>
        <v>0.0293944597114738</v>
      </c>
      <c r="M47" s="707" t="n">
        <f aca="false">SQRT(1+(A47/pole4)^2)</f>
        <v>1.00000041724985</v>
      </c>
      <c r="N47" s="710" t="n">
        <f aca="false">ATAN(A47/pole4)</f>
        <v>0.000913509396818092</v>
      </c>
      <c r="O47" s="711" t="n">
        <f aca="false">SQRT((1-(V47/pterm2))^2+(A47/pterm1)^2)</f>
        <v>1.00000002749879</v>
      </c>
      <c r="P47" s="712" t="n">
        <f aca="false">IF((ATAN((A47/pterm1)/(1-A47^2/pterm2))&gt;0),ATAN((A47/pterm1)/(1-A47^2/pterm2)),PI()+ATAN((A47/pterm1)/(1-A47^2/pterm2)))</f>
        <v>0.000318823529290913</v>
      </c>
      <c r="Q47" s="713" t="n">
        <f aca="false">20*LOG10(((E47*K47*G47)/(C47*I47*O47*M47))*Adc)</f>
        <v>49.6002920820541</v>
      </c>
      <c r="R47" s="714" t="n">
        <f aca="false">((F47+L47+H47)-(D47+J47+P47+N47))*radconv</f>
        <v>-90.0268893112641</v>
      </c>
      <c r="S47" s="694" t="n">
        <f aca="false">IF(R47&gt;0,R47,R47+180)</f>
        <v>89.9731106887359</v>
      </c>
      <c r="U47" s="644" t="n">
        <f aca="false">IF(Q47&lt;0,A47,1000000000)</f>
        <v>1000000000</v>
      </c>
      <c r="V47" s="644" t="n">
        <f aca="false">A47^2</f>
        <v>524.822281</v>
      </c>
      <c r="X47" s="716" t="n">
        <f aca="false">20*LOG10((K47/(I47*M47))*AEA)</f>
        <v>48.5426562479126</v>
      </c>
      <c r="Y47" s="717" t="n">
        <f aca="false">(L47-(J47+N47))*radconv</f>
        <v>-87.7652660288692</v>
      </c>
      <c r="AA47" s="716" t="n">
        <f aca="false">20*LOG10((E47*G47/(C47*O47))*Acs*Am)</f>
        <v>52.5382611886959</v>
      </c>
      <c r="AB47" s="717" t="n">
        <f aca="false">(F47+H47-(D47+P47))*radconv</f>
        <v>-2.26162328239494</v>
      </c>
      <c r="AD47" s="0" t="n">
        <f aca="false">SUM((Q48&lt;0)*(Q47&gt;0))*A47</f>
        <v>0</v>
      </c>
      <c r="AE47" s="0" t="n">
        <f aca="false">IF(AD47&gt;0,S45,0)</f>
        <v>0</v>
      </c>
    </row>
    <row r="48" customFormat="false" ht="12.75" hidden="false" customHeight="false" outlineLevel="0" collapsed="false">
      <c r="A48" s="718" t="n">
        <v>25.119</v>
      </c>
      <c r="B48" s="706" t="n">
        <f aca="false">A48/1000</f>
        <v>0.025119</v>
      </c>
      <c r="C48" s="707" t="n">
        <f aca="false">SQRT(1+(A48/pole1)^2)</f>
        <v>1.00091962393642</v>
      </c>
      <c r="D48" s="708" t="n">
        <f aca="false">ATAN(A48/pole1)</f>
        <v>0.0428700299094167</v>
      </c>
      <c r="E48" s="708" t="n">
        <f aca="false">SQRT(1+(A48/Zero1)^2)</f>
        <v>1.00000004981893</v>
      </c>
      <c r="F48" s="709" t="n">
        <f aca="false">ATAN(A48/Zero1)</f>
        <v>0.000315654652617682</v>
      </c>
      <c r="G48" s="708" t="n">
        <f aca="false">IF(VIN_nom&gt;Vout, 1, SQRT(1+(A48/z_RHP)^2))</f>
        <v>1.000000069298</v>
      </c>
      <c r="H48" s="709" t="n">
        <f aca="false">IF(VIN_nom&gt;Vout, 0, -ATAN(A48/z_RHP))</f>
        <v>-0.000372284824100279</v>
      </c>
      <c r="I48" s="707" t="n">
        <f aca="false">SQRT(1+(A48/Pole2)^2)</f>
        <v>104.203076645773</v>
      </c>
      <c r="J48" s="710" t="n">
        <f aca="false">ATAN(A48/Pole2)</f>
        <v>1.56119953385851</v>
      </c>
      <c r="K48" s="719" t="n">
        <f aca="false">SQRT(1+(A48/Zero2)^2)</f>
        <v>1.00051955413381</v>
      </c>
      <c r="L48" s="720" t="n">
        <f aca="false">ATAN(A48/Zero2)</f>
        <v>0.0322282263369631</v>
      </c>
      <c r="M48" s="707" t="n">
        <f aca="false">SQRT(1+(A48/pole4)^2)</f>
        <v>1.00000050163589</v>
      </c>
      <c r="N48" s="710" t="n">
        <f aca="false">ATAN(A48/pole4)</f>
        <v>0.00100163434666585</v>
      </c>
      <c r="O48" s="711" t="n">
        <f aca="false">SQRT((1-(V48/pterm2))^2+(A48/pterm1)^2)</f>
        <v>1.00000003306024</v>
      </c>
      <c r="P48" s="712" t="n">
        <f aca="false">IF((ATAN((A48/pterm1)/(1-A48^2/pterm2))&gt;0),ATAN((A48/pterm1)/(1-A48^2/pterm2)),PI()+ATAN((A48/pterm1)/(1-A48^2/pterm2)))</f>
        <v>0.000349579999788684</v>
      </c>
      <c r="Q48" s="713" t="n">
        <f aca="false">20*LOG10(((E48*K48*G48)/(C48*I48*O48*M48))*Adc)</f>
        <v>48.7998646454968</v>
      </c>
      <c r="R48" s="714" t="n">
        <f aca="false">((F48+L48+H48)-(D48+J48+P48+N48))*radconv</f>
        <v>-90.1405383510818</v>
      </c>
      <c r="S48" s="694" t="n">
        <f aca="false">IF(R48&gt;0,R48,R48+180)</f>
        <v>89.8594616489182</v>
      </c>
      <c r="U48" s="644" t="n">
        <f aca="false">IF(Q48&lt;0,A48,1000000000)</f>
        <v>1000000000</v>
      </c>
      <c r="V48" s="644" t="n">
        <f aca="false">A48^2</f>
        <v>630.964161</v>
      </c>
      <c r="X48" s="716" t="n">
        <f aca="false">20*LOG10((K48/(I48*M48))*AEA)</f>
        <v>47.7435707550896</v>
      </c>
      <c r="Y48" s="717" t="n">
        <f aca="false">(L48-(J48+N48))*radconv</f>
        <v>-87.6609924384302</v>
      </c>
      <c r="AA48" s="716" t="n">
        <f aca="false">20*LOG10((E48*G48/(C48*O48))*Acs*Am)</f>
        <v>52.5369192449616</v>
      </c>
      <c r="AB48" s="717" t="n">
        <f aca="false">(F48+H48-(D48+P48))*radconv</f>
        <v>-2.47954591265161</v>
      </c>
      <c r="AD48" s="0" t="n">
        <f aca="false">SUM((Q49&lt;0)*(Q48&gt;0))*A48</f>
        <v>0</v>
      </c>
      <c r="AE48" s="0" t="n">
        <f aca="false">IF(AD48&gt;0,S46,0)</f>
        <v>0</v>
      </c>
    </row>
    <row r="49" customFormat="false" ht="12.75" hidden="false" customHeight="false" outlineLevel="0" collapsed="false">
      <c r="A49" s="718" t="n">
        <v>27.542</v>
      </c>
      <c r="B49" s="706" t="n">
        <f aca="false">A49/1000</f>
        <v>0.027542</v>
      </c>
      <c r="C49" s="707" t="n">
        <f aca="false">SQRT(1+(A49/pole1)^2)</f>
        <v>1.0011054934715</v>
      </c>
      <c r="D49" s="708" t="n">
        <f aca="false">ATAN(A49/pole1)</f>
        <v>0.0469994893902528</v>
      </c>
      <c r="E49" s="708" t="n">
        <f aca="false">SQRT(1+(A49/Zero1)^2)</f>
        <v>1.00000005989363</v>
      </c>
      <c r="F49" s="709" t="n">
        <f aca="false">ATAN(A49/Zero1)</f>
        <v>0.000346102965245624</v>
      </c>
      <c r="G49" s="708" t="n">
        <f aca="false">IF(VIN_nom&gt;Vout, 1, SQRT(1+(A49/z_RHP)^2))</f>
        <v>1.00000008331188</v>
      </c>
      <c r="H49" s="709" t="n">
        <f aca="false">IF(VIN_nom&gt;Vout, 0, -ATAN(A49/z_RHP))</f>
        <v>-0.000408195729510568</v>
      </c>
      <c r="I49" s="707" t="n">
        <f aca="false">SQRT(1+(A49/Pole2)^2)</f>
        <v>114.253708628656</v>
      </c>
      <c r="J49" s="710" t="n">
        <f aca="false">ATAN(A49/Pole2)</f>
        <v>1.56204376392399</v>
      </c>
      <c r="K49" s="719" t="n">
        <f aca="false">SQRT(1+(A49/Zero2)^2)</f>
        <v>1.00062458889621</v>
      </c>
      <c r="L49" s="720" t="n">
        <f aca="false">ATAN(A49/Zero2)</f>
        <v>0.0353345150424993</v>
      </c>
      <c r="M49" s="707" t="n">
        <f aca="false">SQRT(1+(A49/pole4)^2)</f>
        <v>1.00000060307988</v>
      </c>
      <c r="N49" s="710" t="n">
        <f aca="false">ATAN(A49/pole4)</f>
        <v>0.00109825276922571</v>
      </c>
      <c r="O49" s="711" t="n">
        <f aca="false">SQRT((1-(V49/pterm2))^2+(A49/pterm1)^2)</f>
        <v>1.00000003974589</v>
      </c>
      <c r="P49" s="712" t="n">
        <f aca="false">IF((ATAN((A49/pterm1)/(1-A49^2/pterm2))&gt;0),ATAN((A49/pterm1)/(1-A49^2/pterm2)),PI()+ATAN((A49/pterm1)/(1-A49^2/pterm2)))</f>
        <v>0.000383300781458926</v>
      </c>
      <c r="Q49" s="713" t="n">
        <f aca="false">20*LOG10(((E49*K49*G49)/(C49*I49*O49*M49))*Adc)</f>
        <v>47.9993676233288</v>
      </c>
      <c r="R49" s="714" t="n">
        <f aca="false">((F49+L49+H49)-(D49+J49+P49+N49))*radconv</f>
        <v>-90.2553134078679</v>
      </c>
      <c r="S49" s="694" t="n">
        <f aca="false">IF(R49&gt;0,R49,R49+180)</f>
        <v>89.7446865921321</v>
      </c>
      <c r="U49" s="644" t="n">
        <f aca="false">IF(Q49&lt;0,A49,1000000000)</f>
        <v>1000000000</v>
      </c>
      <c r="V49" s="644" t="n">
        <f aca="false">A49^2</f>
        <v>758.561764</v>
      </c>
      <c r="X49" s="716" t="n">
        <f aca="false">20*LOG10((K49/(I49*M49))*AEA)</f>
        <v>46.944686390971</v>
      </c>
      <c r="Y49" s="717" t="n">
        <f aca="false">(L49-(J49+N49))*radconv</f>
        <v>-87.5369218530379</v>
      </c>
      <c r="AA49" s="716" t="n">
        <f aca="false">20*LOG10((E49*G49/(C49*O49))*Acs*Am)</f>
        <v>52.5353065869122</v>
      </c>
      <c r="AB49" s="717" t="n">
        <f aca="false">(F49+H49-(D49+P49))*radconv</f>
        <v>-2.71839155482994</v>
      </c>
      <c r="AD49" s="0" t="n">
        <f aca="false">SUM((Q50&lt;0)*(Q49&gt;0))*A49</f>
        <v>0</v>
      </c>
      <c r="AE49" s="0" t="n">
        <f aca="false">IF(AD49&gt;0,S47,0)</f>
        <v>0</v>
      </c>
    </row>
    <row r="50" customFormat="false" ht="12.75" hidden="false" customHeight="false" outlineLevel="0" collapsed="false">
      <c r="A50" s="718" t="n">
        <v>30.2</v>
      </c>
      <c r="B50" s="706" t="n">
        <f aca="false">A50/1000</f>
        <v>0.0302</v>
      </c>
      <c r="C50" s="707" t="n">
        <f aca="false">SQRT(1+(A50/pole1)^2)</f>
        <v>1.00132901723239</v>
      </c>
      <c r="D50" s="708" t="n">
        <f aca="false">ATAN(A50/pole1)</f>
        <v>0.0515276041373644</v>
      </c>
      <c r="E50" s="708" t="n">
        <f aca="false">SQRT(1+(A50/Zero1)^2)</f>
        <v>1.00000007201179</v>
      </c>
      <c r="F50" s="709" t="n">
        <f aca="false">ATAN(A50/Zero1)</f>
        <v>0.000379504373900807</v>
      </c>
      <c r="G50" s="708" t="n">
        <f aca="false">IF(VIN_nom&gt;Vout, 1, SQRT(1+(A50/z_RHP)^2))</f>
        <v>1.0000001001682</v>
      </c>
      <c r="H50" s="709" t="n">
        <f aca="false">IF(VIN_nom&gt;Vout, 0, -ATAN(A50/z_RHP))</f>
        <v>-0.000447589532085113</v>
      </c>
      <c r="I50" s="707" t="n">
        <f aca="false">SQRT(1+(A50/Pole2)^2)</f>
        <v>125.279201229737</v>
      </c>
      <c r="J50" s="710" t="n">
        <f aca="false">ATAN(A50/Pole2)</f>
        <v>1.56281407108394</v>
      </c>
      <c r="K50" s="719" t="n">
        <f aca="false">SQRT(1+(A50/Zero2)^2)</f>
        <v>1.00075091326388</v>
      </c>
      <c r="L50" s="720" t="n">
        <f aca="false">ATAN(A50/Zero2)</f>
        <v>0.0387412873433275</v>
      </c>
      <c r="M50" s="707" t="n">
        <f aca="false">SQRT(1+(A50/pole4)^2)</f>
        <v>1.00000072509974</v>
      </c>
      <c r="N50" s="710" t="n">
        <f aca="false">ATAN(A50/pole4)</f>
        <v>0.00120424191898108</v>
      </c>
      <c r="O50" s="711" t="n">
        <f aca="false">SQRT((1-(V50/pterm2))^2+(A50/pterm1)^2)</f>
        <v>1.00000004778759</v>
      </c>
      <c r="P50" s="712" t="n">
        <f aca="false">IF((ATAN((A50/pterm1)/(1-A50^2/pterm2))&gt;0),ATAN((A50/pterm1)/(1-A50^2/pterm2)),PI()+ATAN((A50/pterm1)/(1-A50^2/pterm2)))</f>
        <v>0.000420292047212293</v>
      </c>
      <c r="Q50" s="713" t="n">
        <f aca="false">20*LOG10(((E50*K50*G50)/(C50*I50*O50*M50))*Adc)</f>
        <v>47.198350694341</v>
      </c>
      <c r="R50" s="714" t="n">
        <f aca="false">((F50+L50+H50)-(D50+J50+P50+N50))*radconv</f>
        <v>-90.3722324599989</v>
      </c>
      <c r="S50" s="694" t="n">
        <f aca="false">IF(R50&gt;0,R50,R50+180)</f>
        <v>89.6277675400011</v>
      </c>
      <c r="U50" s="644" t="n">
        <f aca="false">IF(Q50&lt;0,A50,1000000000)</f>
        <v>1000000000</v>
      </c>
      <c r="V50" s="644" t="n">
        <f aca="false">A50^2</f>
        <v>912.04</v>
      </c>
      <c r="X50" s="716" t="n">
        <f aca="false">20*LOG10((K50/(I50*M50))*AEA)</f>
        <v>46.1456084224588</v>
      </c>
      <c r="Y50" s="717" t="n">
        <f aca="false">(L50-(J50+N50))*radconv</f>
        <v>-87.391936258422</v>
      </c>
      <c r="AA50" s="716" t="n">
        <f aca="false">20*LOG10((E50*G50/(C50*O50))*Acs*Am)</f>
        <v>52.5333676264366</v>
      </c>
      <c r="AB50" s="717" t="n">
        <f aca="false">(F50+H50-(D50+P50))*radconv</f>
        <v>-2.98029620157693</v>
      </c>
      <c r="AD50" s="0" t="n">
        <f aca="false">SUM((Q51&lt;0)*(Q50&gt;0))*A50</f>
        <v>0</v>
      </c>
      <c r="AE50" s="0" t="n">
        <f aca="false">IF(AD50&gt;0,S48,0)</f>
        <v>0</v>
      </c>
    </row>
    <row r="51" customFormat="false" ht="12.75" hidden="false" customHeight="false" outlineLevel="0" collapsed="false">
      <c r="A51" s="718" t="n">
        <v>33.113</v>
      </c>
      <c r="B51" s="706" t="n">
        <f aca="false">A51/1000</f>
        <v>0.033113</v>
      </c>
      <c r="C51" s="707" t="n">
        <f aca="false">SQRT(1+(A51/pole1)^2)</f>
        <v>1.00159755388287</v>
      </c>
      <c r="D51" s="708" t="n">
        <f aca="false">ATAN(A51/pole1)</f>
        <v>0.0564876971185735</v>
      </c>
      <c r="E51" s="708" t="n">
        <f aca="false">SQRT(1+(A51/Zero1)^2)</f>
        <v>1.00000008657386</v>
      </c>
      <c r="F51" s="709" t="n">
        <f aca="false">ATAN(A51/Zero1)</f>
        <v>0.000416110205661623</v>
      </c>
      <c r="G51" s="708" t="n">
        <f aca="false">IF(VIN_nom&gt;Vout, 1, SQRT(1+(A51/z_RHP)^2))</f>
        <v>1.000000120424</v>
      </c>
      <c r="H51" s="709" t="n">
        <f aca="false">IF(VIN_nom&gt;Vout, 0, -ATAN(A51/z_RHP))</f>
        <v>-0.000490762648205071</v>
      </c>
      <c r="I51" s="707" t="n">
        <f aca="false">SQRT(1+(A51/Pole2)^2)</f>
        <v>137.362515263448</v>
      </c>
      <c r="J51" s="710" t="n">
        <f aca="false">ATAN(A51/Pole2)</f>
        <v>1.5635162560174</v>
      </c>
      <c r="K51" s="719" t="n">
        <f aca="false">SQRT(1+(A51/Zero2)^2)</f>
        <v>1.00090269285107</v>
      </c>
      <c r="L51" s="720" t="n">
        <f aca="false">ATAN(A51/Zero2)</f>
        <v>0.0424738585111012</v>
      </c>
      <c r="M51" s="707" t="n">
        <f aca="false">SQRT(1+(A51/pole4)^2)</f>
        <v>1.00000087172778</v>
      </c>
      <c r="N51" s="710" t="n">
        <f aca="false">ATAN(A51/pole4)</f>
        <v>0.00132039929686281</v>
      </c>
      <c r="O51" s="711" t="n">
        <f aca="false">SQRT((1-(V51/pterm2))^2+(A51/pterm1)^2)</f>
        <v>1.0000000574511</v>
      </c>
      <c r="P51" s="712" t="n">
        <f aca="false">IF((ATAN((A51/pterm1)/(1-A51^2/pterm2))&gt;0),ATAN((A51/pterm1)/(1-A51^2/pterm2)),PI()+ATAN((A51/pterm1)/(1-A51^2/pterm2)))</f>
        <v>0.000460832136016811</v>
      </c>
      <c r="Q51" s="713" t="n">
        <f aca="false">20*LOG10(((E51*K51*G51)/(C51*I51*O51*M51))*Adc)</f>
        <v>46.3975526401521</v>
      </c>
      <c r="R51" s="714" t="n">
        <f aca="false">((F51+L51+H51)-(D51+J51+P51+N51))*radconv</f>
        <v>-90.492150893609</v>
      </c>
      <c r="S51" s="694" t="n">
        <f aca="false">IF(R51&gt;0,R51,R51+180)</f>
        <v>89.507849106391</v>
      </c>
      <c r="U51" s="644" t="n">
        <f aca="false">IF(Q51&lt;0,A51,1000000000)</f>
        <v>1000000000</v>
      </c>
      <c r="V51" s="644" t="n">
        <f aca="false">A51^2</f>
        <v>1096.470769</v>
      </c>
      <c r="X51" s="716" t="n">
        <f aca="false">20*LOG10((K51/(I51*M51))*AEA)</f>
        <v>45.3471392214088</v>
      </c>
      <c r="Y51" s="717" t="n">
        <f aca="false">(L51-(J51+N51))*radconv</f>
        <v>-87.2249632442223</v>
      </c>
      <c r="AA51" s="716" t="n">
        <f aca="false">20*LOG10((E51*G51/(C51*O51))*Acs*Am)</f>
        <v>52.5310387732976</v>
      </c>
      <c r="AB51" s="717" t="n">
        <f aca="false">(F51+H51-(D51+P51))*radconv</f>
        <v>-3.26718764938671</v>
      </c>
      <c r="AD51" s="0" t="n">
        <f aca="false">SUM((Q52&lt;0)*(Q51&gt;0))*A51</f>
        <v>0</v>
      </c>
      <c r="AE51" s="0" t="n">
        <f aca="false">IF(AD51&gt;0,S49,0)</f>
        <v>0</v>
      </c>
    </row>
    <row r="52" customFormat="false" ht="12.75" hidden="false" customHeight="false" outlineLevel="0" collapsed="false">
      <c r="A52" s="718" t="n">
        <v>36.308</v>
      </c>
      <c r="B52" s="706" t="n">
        <f aca="false">A52/1000</f>
        <v>0.036308</v>
      </c>
      <c r="C52" s="707" t="n">
        <f aca="false">SQRT(1+(A52/pole1)^2)</f>
        <v>1.00192040605037</v>
      </c>
      <c r="D52" s="708" t="n">
        <f aca="false">ATAN(A52/pole1)</f>
        <v>0.0619247572272344</v>
      </c>
      <c r="E52" s="708" t="n">
        <f aca="false">SQRT(1+(A52/Zero1)^2)</f>
        <v>1.00000010408649</v>
      </c>
      <c r="F52" s="709" t="n">
        <f aca="false">ATAN(A52/Zero1)</f>
        <v>0.000456259752084483</v>
      </c>
      <c r="G52" s="708" t="n">
        <f aca="false">IF(VIN_nom&gt;Vout, 1, SQRT(1+(A52/z_RHP)^2))</f>
        <v>1.00000014478402</v>
      </c>
      <c r="H52" s="709" t="n">
        <f aca="false">IF(VIN_nom&gt;Vout, 0, -ATAN(A52/z_RHP))</f>
        <v>-0.000538115239985964</v>
      </c>
      <c r="I52" s="707" t="n">
        <f aca="false">SQRT(1+(A52/Pole2)^2)</f>
        <v>150.615648473561</v>
      </c>
      <c r="J52" s="710" t="n">
        <f aca="false">ATAN(A52/Pole2)</f>
        <v>1.56415686165794</v>
      </c>
      <c r="K52" s="719" t="n">
        <f aca="false">SQRT(1+(A52/Zero2)^2)</f>
        <v>1.00108519550975</v>
      </c>
      <c r="L52" s="720" t="n">
        <f aca="false">ATAN(A52/Zero2)</f>
        <v>0.0465664051279104</v>
      </c>
      <c r="M52" s="707" t="n">
        <f aca="false">SQRT(1+(A52/pole4)^2)</f>
        <v>1.00000104806555</v>
      </c>
      <c r="N52" s="710" t="n">
        <f aca="false">ATAN(A52/pole4)</f>
        <v>0.00144780152914626</v>
      </c>
      <c r="O52" s="711" t="n">
        <f aca="false">SQRT((1-(V52/pterm2))^2+(A52/pterm1)^2)</f>
        <v>1.00000006907262</v>
      </c>
      <c r="P52" s="712" t="n">
        <f aca="false">IF((ATAN((A52/pterm1)/(1-A52^2/pterm2))&gt;0),ATAN((A52/pterm1)/(1-A52^2/pterm2)),PI()+ATAN((A52/pterm1)/(1-A52^2/pterm2)))</f>
        <v>0.000505296805479564</v>
      </c>
      <c r="Q52" s="713" t="n">
        <f aca="false">20*LOG10(((E52*K52*G52)/(C52*I52*O52*M52))*Adc)</f>
        <v>45.5962984341213</v>
      </c>
      <c r="R52" s="714" t="n">
        <f aca="false">((F52+L52+H52)-(D52+J52+P52+N52))*radconv</f>
        <v>-90.616149794074</v>
      </c>
      <c r="S52" s="694" t="n">
        <f aca="false">IF(R52&gt;0,R52,R52+180)</f>
        <v>89.383850205926</v>
      </c>
      <c r="U52" s="644" t="n">
        <f aca="false">IF(Q52&lt;0,A52,1000000000)</f>
        <v>1000000000</v>
      </c>
      <c r="V52" s="644" t="n">
        <f aca="false">A52^2</f>
        <v>1318.270864</v>
      </c>
      <c r="X52" s="716" t="n">
        <f aca="false">20*LOG10((K52/(I52*M52))*AEA)</f>
        <v>44.5486840869677</v>
      </c>
      <c r="Y52" s="717" t="n">
        <f aca="false">(L52-(J52+N52))*radconv</f>
        <v>-87.0344812051465</v>
      </c>
      <c r="AA52" s="716" t="n">
        <f aca="false">20*LOG10((E52*G52/(C52*O52))*Acs*Am)</f>
        <v>52.5282397017081</v>
      </c>
      <c r="AB52" s="717" t="n">
        <f aca="false">(F52+H52-(D52+P52))*radconv</f>
        <v>-3.58166858892759</v>
      </c>
      <c r="AD52" s="0" t="n">
        <f aca="false">SUM((Q53&lt;0)*(Q52&gt;0))*A52</f>
        <v>0</v>
      </c>
      <c r="AE52" s="0" t="n">
        <f aca="false">IF(AD52&gt;0,S50,0)</f>
        <v>0</v>
      </c>
    </row>
    <row r="53" customFormat="false" ht="12.75" hidden="false" customHeight="false" outlineLevel="0" collapsed="false">
      <c r="A53" s="718" t="n">
        <v>39.811</v>
      </c>
      <c r="B53" s="706" t="n">
        <f aca="false">A53/1000</f>
        <v>0.039811</v>
      </c>
      <c r="C53" s="707" t="n">
        <f aca="false">SQRT(1+(A53/pole1)^2)</f>
        <v>1.00230839658518</v>
      </c>
      <c r="D53" s="708" t="n">
        <f aca="false">ATAN(A53/pole1)</f>
        <v>0.0678817315017904</v>
      </c>
      <c r="E53" s="708" t="n">
        <f aca="false">SQRT(1+(A53/Zero1)^2)</f>
        <v>1.00000012513992</v>
      </c>
      <c r="F53" s="709" t="n">
        <f aca="false">ATAN(A53/Zero1)</f>
        <v>0.000500279738219956</v>
      </c>
      <c r="G53" s="708" t="n">
        <f aca="false">IF(VIN_nom&gt;Vout, 1, SQRT(1+(A53/z_RHP)^2))</f>
        <v>1.00000017406929</v>
      </c>
      <c r="H53" s="709" t="n">
        <f aca="false">IF(VIN_nom&gt;Vout, 0, -ATAN(A53/z_RHP))</f>
        <v>-0.000590032648475018</v>
      </c>
      <c r="I53" s="707" t="n">
        <f aca="false">SQRT(1+(A53/Pole2)^2)</f>
        <v>165.146451104529</v>
      </c>
      <c r="J53" s="710" t="n">
        <f aca="false">ATAN(A53/Pole2)</f>
        <v>1.56474105824759</v>
      </c>
      <c r="K53" s="719" t="n">
        <f aca="false">SQRT(1+(A53/Zero2)^2)</f>
        <v>1.0013045535269</v>
      </c>
      <c r="L53" s="720" t="n">
        <f aca="false">ATAN(A53/Zero2)</f>
        <v>0.0510516774907294</v>
      </c>
      <c r="M53" s="707" t="n">
        <f aca="false">SQRT(1+(A53/pole4)^2)</f>
        <v>1.00000126005621</v>
      </c>
      <c r="N53" s="710" t="n">
        <f aca="false">ATAN(A53/pole4)</f>
        <v>0.00158748536220604</v>
      </c>
      <c r="O53" s="711" t="n">
        <f aca="false">SQRT((1-(V53/pterm2))^2+(A53/pterm1)^2)</f>
        <v>1.00000008304385</v>
      </c>
      <c r="P53" s="712" t="n">
        <f aca="false">IF((ATAN((A53/pterm1)/(1-A53^2/pterm2))&gt;0),ATAN((A53/pterm1)/(1-A53^2/pterm2)),PI()+ATAN((A53/pterm1)/(1-A53^2/pterm2)))</f>
        <v>0.000554047896194933</v>
      </c>
      <c r="Q53" s="713" t="n">
        <f aca="false">20*LOG10(((E53*K53*G53)/(C53*I53*O53*M53))*Adc)</f>
        <v>44.7948540334762</v>
      </c>
      <c r="R53" s="714" t="n">
        <f aca="false">((F53+L53+H53)-(D53+J53+P53+N53))*radconv</f>
        <v>-90.7451931162735</v>
      </c>
      <c r="S53" s="694" t="n">
        <f aca="false">IF(R53&gt;0,R53,R53+180)</f>
        <v>89.2548068837265</v>
      </c>
      <c r="U53" s="644" t="n">
        <f aca="false">IF(Q53&lt;0,A53,1000000000)</f>
        <v>1000000000</v>
      </c>
      <c r="V53" s="644" t="n">
        <f aca="false">A53^2</f>
        <v>1584.915721</v>
      </c>
      <c r="X53" s="716" t="n">
        <f aca="false">20*LOG10((K53/(I53*M53))*AEA)</f>
        <v>43.7506023028581</v>
      </c>
      <c r="Y53" s="717" t="n">
        <f aca="false">(L53-(J53+N53))*radconv</f>
        <v>-86.8189693216376</v>
      </c>
      <c r="AA53" s="716" t="n">
        <f aca="false">20*LOG10((E53*G53/(C53*O53))*Acs*Am)</f>
        <v>52.5248770851725</v>
      </c>
      <c r="AB53" s="717" t="n">
        <f aca="false">(F53+H53-(D53+P53))*radconv</f>
        <v>-3.9262237946359</v>
      </c>
      <c r="AD53" s="0" t="n">
        <f aca="false">SUM((Q54&lt;0)*(Q53&gt;0))*A53</f>
        <v>0</v>
      </c>
      <c r="AE53" s="0" t="n">
        <f aca="false">IF(AD53&gt;0,S51,0)</f>
        <v>0</v>
      </c>
    </row>
    <row r="54" customFormat="false" ht="12.75" hidden="false" customHeight="false" outlineLevel="0" collapsed="false">
      <c r="A54" s="718" t="n">
        <v>43.652</v>
      </c>
      <c r="B54" s="706" t="n">
        <f aca="false">A54/1000</f>
        <v>0.043652</v>
      </c>
      <c r="C54" s="707" t="n">
        <f aca="false">SQRT(1+(A54/pole1)^2)</f>
        <v>1.00277467052922</v>
      </c>
      <c r="D54" s="708" t="n">
        <f aca="false">ATAN(A54/pole1)</f>
        <v>0.0744079299446275</v>
      </c>
      <c r="E54" s="708" t="n">
        <f aca="false">SQRT(1+(A54/Zero1)^2)</f>
        <v>1.00000015045201</v>
      </c>
      <c r="F54" s="709" t="n">
        <f aca="false">ATAN(A54/Zero1)</f>
        <v>0.000548547154411186</v>
      </c>
      <c r="G54" s="708" t="n">
        <f aca="false">IF(VIN_nom&gt;Vout, 1, SQRT(1+(A54/z_RHP)^2))</f>
        <v>1.00000020927833</v>
      </c>
      <c r="H54" s="709" t="n">
        <f aca="false">IF(VIN_nom&gt;Vout, 0, -ATAN(A54/z_RHP))</f>
        <v>-0.000646959497793735</v>
      </c>
      <c r="I54" s="707" t="n">
        <f aca="false">SQRT(1+(A54/Pole2)^2)</f>
        <v>181.079366222763</v>
      </c>
      <c r="J54" s="710" t="n">
        <f aca="false">ATAN(A54/Pole2)</f>
        <v>1.56527385836671</v>
      </c>
      <c r="K54" s="719" t="n">
        <f aca="false">SQRT(1+(A54/Zero2)^2)</f>
        <v>1.00156821935581</v>
      </c>
      <c r="L54" s="720" t="n">
        <f aca="false">ATAN(A54/Zero2)</f>
        <v>0.0559673595592625</v>
      </c>
      <c r="M54" s="707" t="n">
        <f aca="false">SQRT(1+(A54/pole4)^2)</f>
        <v>1.00000151492797</v>
      </c>
      <c r="N54" s="710" t="n">
        <f aca="false">ATAN(A54/pole4)</f>
        <v>0.00174064703866973</v>
      </c>
      <c r="O54" s="711" t="n">
        <f aca="false">SQRT((1-(V54/pterm2))^2+(A54/pterm1)^2)</f>
        <v>1.00000009984115</v>
      </c>
      <c r="P54" s="712" t="n">
        <f aca="false">IF((ATAN((A54/pterm1)/(1-A54^2/pterm2))&gt;0),ATAN((A54/pterm1)/(1-A54^2/pterm2)),PI()+ATAN((A54/pterm1)/(1-A54^2/pterm2)))</f>
        <v>0.000607502916498804</v>
      </c>
      <c r="Q54" s="713" t="n">
        <f aca="false">20*LOG10(((E54*K54*G54)/(C54*I54*O54*M54))*Adc)</f>
        <v>43.9931049421651</v>
      </c>
      <c r="R54" s="714" t="n">
        <f aca="false">((F54+L54+H54)-(D54+J54+P54+N54))*radconv</f>
        <v>-90.8803305193348</v>
      </c>
      <c r="S54" s="694" t="n">
        <f aca="false">IF(R54&gt;0,R54,R54+180)</f>
        <v>89.1196694806652</v>
      </c>
      <c r="U54" s="644" t="n">
        <f aca="false">IF(Q54&lt;0,A54,1000000000)</f>
        <v>1000000000</v>
      </c>
      <c r="V54" s="644" t="n">
        <f aca="false">A54^2</f>
        <v>1905.497104</v>
      </c>
      <c r="X54" s="716" t="n">
        <f aca="false">20*LOG10((K54/(I54*M54))*AEA)</f>
        <v>42.9528925687317</v>
      </c>
      <c r="Y54" s="717" t="n">
        <f aca="false">(L54-(J54+N54))*radconv</f>
        <v>-86.5766242011998</v>
      </c>
      <c r="AA54" s="716" t="n">
        <f aca="false">20*LOG10((E54*G54/(C54*O54))*Acs*Am)</f>
        <v>52.5208377279878</v>
      </c>
      <c r="AB54" s="717" t="n">
        <f aca="false">(F54+H54-(D54+P54))*radconv</f>
        <v>-4.30370631813504</v>
      </c>
      <c r="AD54" s="0" t="n">
        <f aca="false">SUM((Q55&lt;0)*(Q54&gt;0))*A54</f>
        <v>0</v>
      </c>
      <c r="AE54" s="0" t="n">
        <f aca="false">IF(AD54&gt;0,S52,0)</f>
        <v>0</v>
      </c>
    </row>
    <row r="55" customFormat="false" ht="12.75" hidden="false" customHeight="false" outlineLevel="0" collapsed="false">
      <c r="A55" s="718" t="n">
        <v>47.863</v>
      </c>
      <c r="B55" s="706" t="n">
        <f aca="false">A55/1000</f>
        <v>0.047863</v>
      </c>
      <c r="C55" s="707" t="n">
        <f aca="false">SQRT(1+(A55/pole1)^2)</f>
        <v>1.00333488986767</v>
      </c>
      <c r="D55" s="708" t="n">
        <f aca="false">ATAN(A55/pole1)</f>
        <v>0.0815554812014174</v>
      </c>
      <c r="E55" s="708" t="n">
        <f aca="false">SQRT(1+(A55/Zero1)^2)</f>
        <v>1.00000018087957</v>
      </c>
      <c r="F55" s="709" t="n">
        <f aca="false">ATAN(A55/Zero1)</f>
        <v>0.000601464123499418</v>
      </c>
      <c r="G55" s="708" t="n">
        <f aca="false">IF(VIN_nom&gt;Vout, 1, SQRT(1+(A55/z_RHP)^2))</f>
        <v>1.00000025160299</v>
      </c>
      <c r="H55" s="709" t="n">
        <f aca="false">IF(VIN_nom&gt;Vout, 0, -ATAN(A55/z_RHP))</f>
        <v>-0.000709370053357641</v>
      </c>
      <c r="I55" s="707" t="n">
        <f aca="false">SQRT(1+(A55/Pole2)^2)</f>
        <v>198.547133544528</v>
      </c>
      <c r="J55" s="710" t="n">
        <f aca="false">ATAN(A55/Pole2)</f>
        <v>1.56575971805588</v>
      </c>
      <c r="K55" s="719" t="n">
        <f aca="false">SQRT(1+(A55/Zero2)^2)</f>
        <v>1.00188507920831</v>
      </c>
      <c r="L55" s="720" t="n">
        <f aca="false">ATAN(A55/Zero2)</f>
        <v>0.0613534464284468</v>
      </c>
      <c r="M55" s="707" t="n">
        <f aca="false">SQRT(1+(A55/pole4)^2)</f>
        <v>1.00000182130826</v>
      </c>
      <c r="N55" s="710" t="n">
        <f aca="false">ATAN(A55/pole4)</f>
        <v>0.00190856254455653</v>
      </c>
      <c r="O55" s="711" t="n">
        <f aca="false">SQRT((1-(V55/pterm2))^2+(A55/pterm1)^2)</f>
        <v>1.00000012003312</v>
      </c>
      <c r="P55" s="712" t="n">
        <f aca="false">IF((ATAN((A55/pterm1)/(1-A55^2/pterm2))&gt;0),ATAN((A55/pterm1)/(1-A55^2/pterm2)),PI()+ATAN((A55/pterm1)/(1-A55^2/pterm2)))</f>
        <v>0.000666107208535098</v>
      </c>
      <c r="Q55" s="713" t="n">
        <f aca="false">20*LOG10(((E55*K55*G55)/(C55*I55*O55*M55))*Adc)</f>
        <v>43.1911059057171</v>
      </c>
      <c r="R55" s="714" t="n">
        <f aca="false">((F55+L55+H55)-(D55+J55+P55+N55))*radconv</f>
        <v>-91.0226152751293</v>
      </c>
      <c r="S55" s="694" t="n">
        <f aca="false">IF(R55&gt;0,R55,R55+180)</f>
        <v>88.9773847248707</v>
      </c>
      <c r="U55" s="644" t="n">
        <f aca="false">IF(Q55&lt;0,A55,1000000000)</f>
        <v>1000000000</v>
      </c>
      <c r="V55" s="644" t="n">
        <f aca="false">A55^2</f>
        <v>2290.866769</v>
      </c>
      <c r="X55" s="716" t="n">
        <f aca="false">20*LOG10((K55/(I55*M55))*AEA)</f>
        <v>42.1557442599233</v>
      </c>
      <c r="Y55" s="717" t="n">
        <f aca="false">(L55-(J55+N55))*radconv</f>
        <v>-86.3054827146219</v>
      </c>
      <c r="AA55" s="716" t="n">
        <f aca="false">20*LOG10((E55*G55/(C55*O55))*Acs*Am)</f>
        <v>52.5159870003482</v>
      </c>
      <c r="AB55" s="717" t="n">
        <f aca="false">(F55+H55-(D55+P55))*radconv</f>
        <v>-4.71713256050746</v>
      </c>
      <c r="AD55" s="0" t="n">
        <f aca="false">SUM((Q56&lt;0)*(Q55&gt;0))*A55</f>
        <v>0</v>
      </c>
      <c r="AE55" s="0" t="n">
        <f aca="false">IF(AD55&gt;0,S53,0)</f>
        <v>0</v>
      </c>
    </row>
    <row r="56" customFormat="false" ht="12.75" hidden="false" customHeight="false" outlineLevel="0" collapsed="false">
      <c r="A56" s="718" t="n">
        <v>52.481</v>
      </c>
      <c r="B56" s="706" t="n">
        <f aca="false">A56/1000</f>
        <v>0.052481</v>
      </c>
      <c r="C56" s="707" t="n">
        <f aca="false">SQRT(1+(A56/pole1)^2)</f>
        <v>1.00400811290341</v>
      </c>
      <c r="D56" s="708" t="n">
        <f aca="false">ATAN(A56/pole1)</f>
        <v>0.0893842386397016</v>
      </c>
      <c r="E56" s="708" t="n">
        <f aca="false">SQRT(1+(A56/Zero1)^2)</f>
        <v>1.00000021746726</v>
      </c>
      <c r="F56" s="709" t="n">
        <f aca="false">ATAN(A56/Zero1)</f>
        <v>0.000659495599846132</v>
      </c>
      <c r="G56" s="708" t="n">
        <f aca="false">IF(VIN_nom&gt;Vout, 1, SQRT(1+(A56/z_RHP)^2))</f>
        <v>1.00000030249636</v>
      </c>
      <c r="H56" s="709" t="n">
        <f aca="false">IF(VIN_nom&gt;Vout, 0, -ATAN(A56/z_RHP))</f>
        <v>-0.000777812684268469</v>
      </c>
      <c r="I56" s="707" t="n">
        <f aca="false">SQRT(1+(A56/Pole2)^2)</f>
        <v>217.703233810824</v>
      </c>
      <c r="J56" s="710" t="n">
        <f aca="false">ATAN(A56/Pole2)</f>
        <v>1.56620290161192</v>
      </c>
      <c r="K56" s="719" t="n">
        <f aca="false">SQRT(1+(A56/Zero2)^2)</f>
        <v>1.00226595538076</v>
      </c>
      <c r="L56" s="720" t="n">
        <f aca="false">ATAN(A56/Zero2)</f>
        <v>0.0672560011180145</v>
      </c>
      <c r="M56" s="707" t="n">
        <f aca="false">SQRT(1+(A56/pole4)^2)</f>
        <v>1.00000218971578</v>
      </c>
      <c r="N56" s="710" t="n">
        <f aca="false">ATAN(A56/pole4)</f>
        <v>0.00209270723315106</v>
      </c>
      <c r="O56" s="711" t="n">
        <f aca="false">SQRT((1-(V56/pterm2))^2+(A56/pterm1)^2)</f>
        <v>1.00000014431301</v>
      </c>
      <c r="P56" s="712" t="n">
        <f aca="false">IF((ATAN((A56/pterm1)/(1-A56^2/pterm2))&gt;0),ATAN((A56/pterm1)/(1-A56^2/pterm2)),PI()+ATAN((A56/pterm1)/(1-A56^2/pterm2)))</f>
        <v>0.000730375699084203</v>
      </c>
      <c r="Q56" s="713" t="n">
        <f aca="false">20*LOG10(((E56*K56*G56)/(C56*I56*O56*M56))*Adc)</f>
        <v>42.3885533260996</v>
      </c>
      <c r="R56" s="714" t="n">
        <f aca="false">((F56+L56+H56)-(D56+J56+P56+N56))*radconv</f>
        <v>-91.173200652557</v>
      </c>
      <c r="S56" s="694" t="n">
        <f aca="false">IF(R56&gt;0,R56,R56+180)</f>
        <v>88.826799347443</v>
      </c>
      <c r="U56" s="644" t="n">
        <f aca="false">IF(Q56&lt;0,A56,1000000000)</f>
        <v>1000000000</v>
      </c>
      <c r="V56" s="644" t="n">
        <f aca="false">A56^2</f>
        <v>2754.255361</v>
      </c>
      <c r="X56" s="716" t="n">
        <f aca="false">20*LOG10((K56/(I56*M56))*AEA)</f>
        <v>41.3590172818374</v>
      </c>
      <c r="Y56" s="717" t="n">
        <f aca="false">(L56-(J56+N56))*radconv</f>
        <v>-86.0032345030063</v>
      </c>
      <c r="AA56" s="716" t="n">
        <f aca="false">20*LOG10((E56*G56/(C56*O56))*Acs*Am)</f>
        <v>52.5101613988166</v>
      </c>
      <c r="AB56" s="717" t="n">
        <f aca="false">(F56+H56-(D56+P56))*radconv</f>
        <v>-5.16996614955076</v>
      </c>
      <c r="AD56" s="0" t="n">
        <f aca="false">SUM((Q57&lt;0)*(Q56&gt;0))*A56</f>
        <v>0</v>
      </c>
      <c r="AE56" s="0" t="n">
        <f aca="false">IF(AD56&gt;0,S54,0)</f>
        <v>0</v>
      </c>
    </row>
    <row r="57" customFormat="false" ht="12.75" hidden="false" customHeight="false" outlineLevel="0" collapsed="false">
      <c r="A57" s="718" t="n">
        <v>57.544</v>
      </c>
      <c r="B57" s="706" t="n">
        <f aca="false">A57/1000</f>
        <v>0.057544</v>
      </c>
      <c r="C57" s="707" t="n">
        <f aca="false">SQRT(1+(A57/pole1)^2)</f>
        <v>1.00481682219434</v>
      </c>
      <c r="D57" s="708" t="n">
        <f aca="false">ATAN(A57/pole1)</f>
        <v>0.0979547499825981</v>
      </c>
      <c r="E57" s="708" t="n">
        <f aca="false">SQRT(1+(A57/Zero1)^2)</f>
        <v>1.00000026145068</v>
      </c>
      <c r="F57" s="709" t="n">
        <f aca="false">ATAN(A57/Zero1)</f>
        <v>0.000723119103766416</v>
      </c>
      <c r="G57" s="708" t="n">
        <f aca="false">IF(VIN_nom&gt;Vout, 1, SQRT(1+(A57/z_RHP)^2))</f>
        <v>1.00000036367717</v>
      </c>
      <c r="H57" s="709" t="n">
        <f aca="false">IF(VIN_nom&gt;Vout, 0, -ATAN(A57/z_RHP))</f>
        <v>-0.00085285057979027</v>
      </c>
      <c r="I57" s="707" t="n">
        <f aca="false">SQRT(1+(A57/Pole2)^2)</f>
        <v>238.705296260877</v>
      </c>
      <c r="J57" s="710" t="n">
        <f aca="false">ATAN(A57/Pole2)</f>
        <v>1.56660704846434</v>
      </c>
      <c r="K57" s="719" t="n">
        <f aca="false">SQRT(1+(A57/Zero2)^2)</f>
        <v>1.00272362922893</v>
      </c>
      <c r="L57" s="720" t="n">
        <f aca="false">ATAN(A57/Zero2)</f>
        <v>0.0737219338547781</v>
      </c>
      <c r="M57" s="707" t="n">
        <f aca="false">SQRT(1+(A57/pole4)^2)</f>
        <v>1.00000263259191</v>
      </c>
      <c r="N57" s="710" t="n">
        <f aca="false">ATAN(A57/pole4)</f>
        <v>0.00229459631999402</v>
      </c>
      <c r="O57" s="711" t="n">
        <f aca="false">SQRT((1-(V57/pterm2))^2+(A57/pterm1)^2)</f>
        <v>1.00000017350075</v>
      </c>
      <c r="P57" s="712" t="n">
        <f aca="false">IF((ATAN((A57/pterm1)/(1-A57^2/pterm2))&gt;0),ATAN((A57/pterm1)/(1-A57^2/pterm2)),PI()+ATAN((A57/pterm1)/(1-A57^2/pterm2)))</f>
        <v>0.000800837231705483</v>
      </c>
      <c r="Q57" s="713" t="n">
        <f aca="false">20*LOG10(((E57*K57*G57)/(C57*I57*O57*M57))*Adc)</f>
        <v>41.5855785534318</v>
      </c>
      <c r="R57" s="714" t="n">
        <f aca="false">((F57+L57+H57)-(D57+J57+P57+N57))*radconv</f>
        <v>-91.3331985709793</v>
      </c>
      <c r="S57" s="694" t="n">
        <f aca="false">IF(R57&gt;0,R57,R57+180)</f>
        <v>88.6668014290207</v>
      </c>
      <c r="U57" s="644" t="n">
        <f aca="false">IF(Q57&lt;0,A57,1000000000)</f>
        <v>1000000000</v>
      </c>
      <c r="V57" s="644" t="n">
        <f aca="false">A57^2</f>
        <v>3311.311936</v>
      </c>
      <c r="X57" s="716" t="n">
        <f aca="false">20*LOG10((K57/(I57*M57))*AEA)</f>
        <v>40.5630353506783</v>
      </c>
      <c r="Y57" s="717" t="n">
        <f aca="false">(L57-(J57+N57))*radconv</f>
        <v>-85.6674871477434</v>
      </c>
      <c r="AA57" s="716" t="n">
        <f aca="false">20*LOG10((E57*G57/(C57*O57))*Acs*Am)</f>
        <v>52.5031685573079</v>
      </c>
      <c r="AB57" s="717" t="n">
        <f aca="false">(F57+H57-(D57+P57))*radconv</f>
        <v>-5.6657114232359</v>
      </c>
      <c r="AD57" s="0" t="n">
        <f aca="false">SUM((Q58&lt;0)*(Q57&gt;0))*A57</f>
        <v>0</v>
      </c>
      <c r="AE57" s="0" t="n">
        <f aca="false">IF(AD57&gt;0,S55,0)</f>
        <v>0</v>
      </c>
    </row>
    <row r="58" customFormat="false" ht="12.75" hidden="false" customHeight="false" outlineLevel="0" collapsed="false">
      <c r="A58" s="718" t="n">
        <v>63.096</v>
      </c>
      <c r="B58" s="706" t="n">
        <f aca="false">A58/1000</f>
        <v>0.063096</v>
      </c>
      <c r="C58" s="707" t="n">
        <f aca="false">SQRT(1+(A58/pole1)^2)</f>
        <v>1.00578833652668</v>
      </c>
      <c r="D58" s="708" t="n">
        <f aca="false">ATAN(A58/pole1)</f>
        <v>0.107336415502537</v>
      </c>
      <c r="E58" s="708" t="n">
        <f aca="false">SQRT(1+(A58/Zero1)^2)</f>
        <v>1.00000031433542</v>
      </c>
      <c r="F58" s="709" t="n">
        <f aca="false">ATAN(A58/Zero1)</f>
        <v>0.000792887553222508</v>
      </c>
      <c r="G58" s="708" t="n">
        <f aca="false">IF(VIN_nom&gt;Vout, 1, SQRT(1+(A58/z_RHP)^2))</f>
        <v>1.00000043723969</v>
      </c>
      <c r="H58" s="709" t="n">
        <f aca="false">IF(VIN_nom&gt;Vout, 0, -ATAN(A58/z_RHP))</f>
        <v>-0.000935135853319949</v>
      </c>
      <c r="I58" s="707" t="n">
        <f aca="false">SQRT(1+(A58/Pole2)^2)</f>
        <v>261.735839311822</v>
      </c>
      <c r="J58" s="710" t="n">
        <f aca="false">ATAN(A58/Pole2)</f>
        <v>1.56697567145196</v>
      </c>
      <c r="K58" s="719" t="n">
        <f aca="false">SQRT(1+(A58/Zero2)^2)</f>
        <v>1.00327365034095</v>
      </c>
      <c r="L58" s="720" t="n">
        <f aca="false">ATAN(A58/Zero2)</f>
        <v>0.0808052543156988</v>
      </c>
      <c r="M58" s="707" t="n">
        <f aca="false">SQRT(1+(A58/pole4)^2)</f>
        <v>1.00000316509674</v>
      </c>
      <c r="N58" s="710" t="n">
        <f aca="false">ATAN(A58/pole4)</f>
        <v>0.0025159842556852</v>
      </c>
      <c r="O58" s="711" t="n">
        <f aca="false">SQRT((1-(V58/pterm2))^2+(A58/pterm1)^2)</f>
        <v>1.0000002085955</v>
      </c>
      <c r="P58" s="712" t="n">
        <f aca="false">IF((ATAN((A58/pterm1)/(1-A58^2/pterm2))&gt;0),ATAN((A58/pterm1)/(1-A58^2/pterm2)),PI()+ATAN((A58/pterm1)/(1-A58^2/pterm2)))</f>
        <v>0.000878104151447097</v>
      </c>
      <c r="Q58" s="713" t="n">
        <f aca="false">20*LOG10(((E58*K58*G58)/(C58*I58*O58*M58))*Adc)</f>
        <v>40.781921116938</v>
      </c>
      <c r="R58" s="714" t="n">
        <f aca="false">((F58+L58+H58)-(D58+J58+P58+N58))*radconv</f>
        <v>-91.5038334082825</v>
      </c>
      <c r="S58" s="694" t="n">
        <f aca="false">IF(R58&gt;0,R58,R58+180)</f>
        <v>88.4961665917175</v>
      </c>
      <c r="U58" s="644" t="n">
        <f aca="false">IF(Q58&lt;0,A58,1000000000)</f>
        <v>1000000000</v>
      </c>
      <c r="V58" s="644" t="n">
        <f aca="false">A58^2</f>
        <v>3981.105216</v>
      </c>
      <c r="X58" s="716" t="n">
        <f aca="false">20*LOG10((K58/(I58*M58))*AEA)</f>
        <v>39.7677710780113</v>
      </c>
      <c r="Y58" s="717" t="n">
        <f aca="false">(L58-(J58+N58))*radconv</f>
        <v>-85.2954479157411</v>
      </c>
      <c r="AA58" s="716" t="n">
        <f aca="false">20*LOG10((E58*G58/(C58*O58))*Acs*Am)</f>
        <v>52.4947753934811</v>
      </c>
      <c r="AB58" s="717" t="n">
        <f aca="false">(F58+H58-(D58+P58))*radconv</f>
        <v>-6.2083854925414</v>
      </c>
      <c r="AD58" s="0" t="n">
        <f aca="false">SUM((Q59&lt;0)*(Q58&gt;0))*A58</f>
        <v>0</v>
      </c>
      <c r="AE58" s="0" t="n">
        <f aca="false">IF(AD58&gt;0,S56,0)</f>
        <v>0</v>
      </c>
    </row>
    <row r="59" customFormat="false" ht="12.75" hidden="false" customHeight="false" outlineLevel="0" collapsed="false">
      <c r="A59" s="718" t="n">
        <v>69.183</v>
      </c>
      <c r="B59" s="706" t="n">
        <f aca="false">A59/1000</f>
        <v>0.069183</v>
      </c>
      <c r="C59" s="707" t="n">
        <f aca="false">SQRT(1+(A59/pole1)^2)</f>
        <v>1.00695498771691</v>
      </c>
      <c r="D59" s="708" t="n">
        <f aca="false">ATAN(A59/pole1)</f>
        <v>0.117600303017187</v>
      </c>
      <c r="E59" s="708" t="n">
        <f aca="false">SQRT(1+(A59/Zero1)^2)</f>
        <v>1.00000037791004</v>
      </c>
      <c r="F59" s="709" t="n">
        <f aca="false">ATAN(A59/Zero1)</f>
        <v>0.000869378998188435</v>
      </c>
      <c r="G59" s="708" t="n">
        <f aca="false">IF(VIN_nom&gt;Vout, 1, SQRT(1+(A59/z_RHP)^2))</f>
        <v>1.00000052567181</v>
      </c>
      <c r="H59" s="709" t="n">
        <f aca="false">IF(VIN_nom&gt;Vout, 0, -ATAN(A59/z_RHP))</f>
        <v>-0.00102535025875061</v>
      </c>
      <c r="I59" s="707" t="n">
        <f aca="false">SQRT(1+(A59/Pole2)^2)</f>
        <v>286.985677981395</v>
      </c>
      <c r="J59" s="710" t="n">
        <f aca="false">ATAN(A59/Pole2)</f>
        <v>1.56731182530109</v>
      </c>
      <c r="K59" s="719" t="n">
        <f aca="false">SQRT(1+(A59/Zero2)^2)</f>
        <v>1.00393445137984</v>
      </c>
      <c r="L59" s="720" t="n">
        <f aca="false">ATAN(A59/Zero2)</f>
        <v>0.0885617820410701</v>
      </c>
      <c r="M59" s="707" t="n">
        <f aca="false">SQRT(1+(A59/pole4)^2)</f>
        <v>1.00000380523931</v>
      </c>
      <c r="N59" s="710" t="n">
        <f aca="false">ATAN(A59/pole4)</f>
        <v>0.00275870521867798</v>
      </c>
      <c r="O59" s="711" t="n">
        <f aca="false">SQRT((1-(V59/pterm2))^2+(A59/pterm1)^2)</f>
        <v>1.00000025078413</v>
      </c>
      <c r="P59" s="712" t="n">
        <f aca="false">IF((ATAN((A59/pterm1)/(1-A59^2/pterm2))&gt;0),ATAN((A59/pterm1)/(1-A59^2/pterm2)),PI()+ATAN((A59/pterm1)/(1-A59^2/pterm2)))</f>
        <v>0.000962816636959411</v>
      </c>
      <c r="Q59" s="713" t="n">
        <f aca="false">20*LOG10(((E59*K59*G59)/(C59*I59*O59*M59))*Adc)</f>
        <v>39.9776257082688</v>
      </c>
      <c r="R59" s="714" t="n">
        <f aca="false">((F59+L59+H59)-(D59+J59+P59+N59))*radconv</f>
        <v>-91.6863015613474</v>
      </c>
      <c r="S59" s="694" t="n">
        <f aca="false">IF(R59&gt;0,R59,R59+180)</f>
        <v>88.3136984386526</v>
      </c>
      <c r="U59" s="644" t="n">
        <f aca="false">IF(Q59&lt;0,A59,1000000000)</f>
        <v>1000000000</v>
      </c>
      <c r="V59" s="644" t="n">
        <f aca="false">A59^2</f>
        <v>4786.287489</v>
      </c>
      <c r="X59" s="716" t="n">
        <f aca="false">20*LOG10((K59/(I59*M59))*AEA)</f>
        <v>38.9735439622557</v>
      </c>
      <c r="Y59" s="717" t="n">
        <f aca="false">(L59-(J59+N59))*radconv</f>
        <v>-84.8841986965322</v>
      </c>
      <c r="AA59" s="716" t="n">
        <f aca="false">20*LOG10((E59*G59/(C59*O59))*Acs*Am)</f>
        <v>52.4847071005676</v>
      </c>
      <c r="AB59" s="717" t="n">
        <f aca="false">(F59+H59-(D59+P59))*radconv</f>
        <v>-6.80210286481523</v>
      </c>
      <c r="AD59" s="0" t="n">
        <f aca="false">SUM((Q60&lt;0)*(Q59&gt;0))*A59</f>
        <v>0</v>
      </c>
      <c r="AE59" s="0" t="n">
        <f aca="false">IF(AD59&gt;0,S57,0)</f>
        <v>0</v>
      </c>
    </row>
    <row r="60" customFormat="false" ht="12.75" hidden="false" customHeight="false" outlineLevel="0" collapsed="false">
      <c r="A60" s="718" t="n">
        <v>75.858</v>
      </c>
      <c r="B60" s="706" t="n">
        <f aca="false">A60/1000</f>
        <v>0.075858</v>
      </c>
      <c r="C60" s="707" t="n">
        <f aca="false">SQRT(1+(A60/pole1)^2)</f>
        <v>1.00835597826687</v>
      </c>
      <c r="D60" s="708" t="n">
        <f aca="false">ATAN(A60/pole1)</f>
        <v>0.128827053424077</v>
      </c>
      <c r="E60" s="708" t="n">
        <f aca="false">SQRT(1+(A60/Zero1)^2)</f>
        <v>1.00000045435196</v>
      </c>
      <c r="F60" s="709" t="n">
        <f aca="false">ATAN(A60/Zero1)</f>
        <v>0.000953259452231269</v>
      </c>
      <c r="G60" s="708" t="n">
        <f aca="false">IF(VIN_nom&gt;Vout, 1, SQRT(1+(A60/z_RHP)^2))</f>
        <v>1.0000006320023</v>
      </c>
      <c r="H60" s="709" t="n">
        <f aca="false">IF(VIN_nom&gt;Vout, 0, -ATAN(A60/z_RHP))</f>
        <v>-0.00112427929425789</v>
      </c>
      <c r="I60" s="707" t="n">
        <f aca="false">SQRT(1+(A60/Pole2)^2)</f>
        <v>314.674664652004</v>
      </c>
      <c r="J60" s="710" t="n">
        <f aca="false">ATAN(A60/Pole2)</f>
        <v>1.56761843611764</v>
      </c>
      <c r="K60" s="719" t="n">
        <f aca="false">SQRT(1+(A60/Zero2)^2)</f>
        <v>1.00472842105748</v>
      </c>
      <c r="L60" s="720" t="n">
        <f aca="false">ATAN(A60/Zero2)</f>
        <v>0.0970552861867225</v>
      </c>
      <c r="M60" s="707" t="n">
        <f aca="false">SQRT(1+(A60/pole4)^2)</f>
        <v>1.00000457494422</v>
      </c>
      <c r="N60" s="710" t="n">
        <f aca="false">ATAN(A60/pole4)</f>
        <v>0.00302487248449483</v>
      </c>
      <c r="O60" s="711" t="n">
        <f aca="false">SQRT((1-(V60/pterm2))^2+(A60/pterm1)^2)</f>
        <v>1.00000030151161</v>
      </c>
      <c r="P60" s="712" t="n">
        <f aca="false">IF((ATAN((A60/pterm1)/(1-A60^2/pterm2))&gt;0),ATAN((A60/pterm1)/(1-A60^2/pterm2)),PI()+ATAN((A60/pterm1)/(1-A60^2/pterm2)))</f>
        <v>0.0010557122851573</v>
      </c>
      <c r="Q60" s="713" t="n">
        <f aca="false">20*LOG10(((E60*K60*G60)/(C60*I60*O60*M60))*Adc)</f>
        <v>39.1723792755934</v>
      </c>
      <c r="R60" s="714" t="n">
        <f aca="false">((F60+L60+H60)-(D60+J60+P60+N60))*radconv</f>
        <v>-91.8819075522095</v>
      </c>
      <c r="S60" s="694" t="n">
        <f aca="false">IF(R60&gt;0,R60,R60+180)</f>
        <v>88.1180924477905</v>
      </c>
      <c r="U60" s="644" t="n">
        <f aca="false">IF(Q60&lt;0,A60,1000000000)</f>
        <v>1000000000</v>
      </c>
      <c r="V60" s="644" t="n">
        <f aca="false">A60^2</f>
        <v>5754.436164</v>
      </c>
      <c r="X60" s="716" t="n">
        <f aca="false">20*LOG10((K60/(I60*M60))*AEA)</f>
        <v>38.1803727832351</v>
      </c>
      <c r="Y60" s="717" t="n">
        <f aca="false">(L60-(J60+N60))*radconv</f>
        <v>-84.4303745219082</v>
      </c>
      <c r="AA60" s="716" t="n">
        <f aca="false">20*LOG10((E60*G60/(C60*O60))*Acs*Am)</f>
        <v>52.4726318469127</v>
      </c>
      <c r="AB60" s="717" t="n">
        <f aca="false">(F60+H60-(D60+P60))*radconv</f>
        <v>-7.45153303030133</v>
      </c>
      <c r="AD60" s="0" t="n">
        <f aca="false">SUM((Q61&lt;0)*(Q60&gt;0))*A60</f>
        <v>0</v>
      </c>
      <c r="AE60" s="0" t="n">
        <f aca="false">IF(AD60&gt;0,S58,0)</f>
        <v>0</v>
      </c>
    </row>
    <row r="61" customFormat="false" ht="12.75" hidden="false" customHeight="false" outlineLevel="0" collapsed="false">
      <c r="A61" s="718" t="n">
        <v>83.176</v>
      </c>
      <c r="B61" s="706" t="n">
        <f aca="false">A61/1000</f>
        <v>0.083176</v>
      </c>
      <c r="C61" s="707" t="n">
        <f aca="false">SQRT(1+(A61/pole1)^2)</f>
        <v>1.01003753592824</v>
      </c>
      <c r="D61" s="708" t="n">
        <f aca="false">ATAN(A61/pole1)</f>
        <v>0.141097758608995</v>
      </c>
      <c r="E61" s="708" t="n">
        <f aca="false">SQRT(1+(A61/Zero1)^2)</f>
        <v>1.00000054624274</v>
      </c>
      <c r="F61" s="709" t="n">
        <f aca="false">ATAN(A61/Zero1)</f>
        <v>0.00104522006039636</v>
      </c>
      <c r="G61" s="708" t="n">
        <f aca="false">IF(VIN_nom&gt;Vout, 1, SQRT(1+(A61/z_RHP)^2))</f>
        <v>1.00000075982209</v>
      </c>
      <c r="H61" s="709" t="n">
        <f aca="false">IF(VIN_nom&gt;Vout, 0, -ATAN(A61/z_RHP))</f>
        <v>-0.00123273809763839</v>
      </c>
      <c r="I61" s="707" t="n">
        <f aca="false">SQRT(1+(A61/Pole2)^2)</f>
        <v>345.030948276602</v>
      </c>
      <c r="J61" s="710" t="n">
        <f aca="false">ATAN(A61/Pole2)</f>
        <v>1.5678980320042</v>
      </c>
      <c r="K61" s="719" t="n">
        <f aca="false">SQRT(1+(A61/Zero2)^2)</f>
        <v>1.0056820217759</v>
      </c>
      <c r="L61" s="720" t="n">
        <f aca="false">ATAN(A61/Zero2)</f>
        <v>0.106350807314933</v>
      </c>
      <c r="M61" s="707" t="n">
        <f aca="false">SQRT(1+(A61/pole4)^2)</f>
        <v>1.00000550020514</v>
      </c>
      <c r="N61" s="710" t="n">
        <f aca="false">ATAN(A61/pole4)</f>
        <v>0.00331667903946641</v>
      </c>
      <c r="O61" s="711" t="n">
        <f aca="false">SQRT((1-(V61/pterm2))^2+(A61/pterm1)^2)</f>
        <v>1.00000036249108</v>
      </c>
      <c r="P61" s="712" t="n">
        <f aca="false">IF((ATAN((A61/pterm1)/(1-A61^2/pterm2))&gt;0),ATAN((A61/pterm1)/(1-A61^2/pterm2)),PI()+ATAN((A61/pterm1)/(1-A61^2/pterm2)))</f>
        <v>0.00115755652633205</v>
      </c>
      <c r="Q61" s="713" t="n">
        <f aca="false">20*LOG10(((E61*K61*G61)/(C61*I61*O61*M61))*Adc)</f>
        <v>38.3662143977372</v>
      </c>
      <c r="R61" s="714" t="n">
        <f aca="false">((F61+L61+H61)-(D61+J61+P61+N61))*radconv</f>
        <v>-92.091892512619</v>
      </c>
      <c r="S61" s="694" t="n">
        <f aca="false">IF(R61&gt;0,R61,R61+180)</f>
        <v>87.908107487381</v>
      </c>
      <c r="U61" s="644" t="n">
        <f aca="false">IF(Q61&lt;0,A61,1000000000)</f>
        <v>1000000000</v>
      </c>
      <c r="V61" s="644" t="n">
        <f aca="false">A61^2</f>
        <v>6918.246976</v>
      </c>
      <c r="X61" s="716" t="n">
        <f aca="false">20*LOG10((K61/(I61*M61))*AEA)</f>
        <v>37.3886792521641</v>
      </c>
      <c r="Y61" s="717" t="n">
        <f aca="false">(L61-(J61+N61))*radconv</f>
        <v>-83.930519340619</v>
      </c>
      <c r="AA61" s="716" t="n">
        <f aca="false">20*LOG10((E61*G61/(C61*O61))*Acs*Am)</f>
        <v>52.4581605001275</v>
      </c>
      <c r="AB61" s="717" t="n">
        <f aca="false">(F61+H61-(D61+P61))*radconv</f>
        <v>-8.16137317199999</v>
      </c>
      <c r="AD61" s="0" t="n">
        <f aca="false">SUM((Q62&lt;0)*(Q61&gt;0))*A61</f>
        <v>0</v>
      </c>
      <c r="AE61" s="0" t="n">
        <f aca="false">IF(AD61&gt;0,S59,0)</f>
        <v>0</v>
      </c>
    </row>
    <row r="62" customFormat="false" ht="12.75" hidden="false" customHeight="false" outlineLevel="0" collapsed="false">
      <c r="A62" s="718" t="n">
        <v>91.201</v>
      </c>
      <c r="B62" s="706" t="n">
        <f aca="false">A62/1000</f>
        <v>0.091201</v>
      </c>
      <c r="C62" s="707" t="n">
        <f aca="false">SQRT(1+(A62/pole1)^2)</f>
        <v>1.01205575484777</v>
      </c>
      <c r="D62" s="708" t="n">
        <f aca="false">ATAN(A62/pole1)</f>
        <v>0.154504823414325</v>
      </c>
      <c r="E62" s="708" t="n">
        <f aca="false">SQRT(1+(A62/Zero1)^2)</f>
        <v>1.00000065673292</v>
      </c>
      <c r="F62" s="709" t="n">
        <f aca="false">ATAN(A62/Zero1)</f>
        <v>0.00114606506331817</v>
      </c>
      <c r="G62" s="708" t="n">
        <f aca="false">IF(VIN_nom&gt;Vout, 1, SQRT(1+(A62/z_RHP)^2))</f>
        <v>1.00000091351361</v>
      </c>
      <c r="H62" s="709" t="n">
        <f aca="false">IF(VIN_nom&gt;Vout, 0, -ATAN(A62/z_RHP))</f>
        <v>-0.00135167519144161</v>
      </c>
      <c r="I62" s="707" t="n">
        <f aca="false">SQRT(1+(A62/Pole2)^2)</f>
        <v>378.320011521137</v>
      </c>
      <c r="J62" s="710" t="n">
        <f aca="false">ATAN(A62/Pole2)</f>
        <v>1.56815305883649</v>
      </c>
      <c r="K62" s="719" t="n">
        <f aca="false">SQRT(1+(A62/Zero2)^2)</f>
        <v>1.00682744299658</v>
      </c>
      <c r="L62" s="720" t="n">
        <f aca="false">ATAN(A62/Zero2)</f>
        <v>0.116523156429518</v>
      </c>
      <c r="M62" s="707" t="n">
        <f aca="false">SQRT(1+(A62/pole4)^2)</f>
        <v>1.00000661274513</v>
      </c>
      <c r="N62" s="710" t="n">
        <f aca="false">ATAN(A62/pole4)</f>
        <v>0.00363667669434404</v>
      </c>
      <c r="O62" s="711" t="n">
        <f aca="false">SQRT((1-(V62/pterm2))^2+(A62/pterm1)^2)</f>
        <v>1.00000043581328</v>
      </c>
      <c r="P62" s="712" t="n">
        <f aca="false">IF((ATAN((A62/pterm1)/(1-A62^2/pterm2))&gt;0),ATAN((A62/pterm1)/(1-A62^2/pterm2)),PI()+ATAN((A62/pterm1)/(1-A62^2/pterm2)))</f>
        <v>0.00126924004263499</v>
      </c>
      <c r="Q62" s="713" t="n">
        <f aca="false">20*LOG10(((E62*K62*G62)/(C62*I62*O62*M62))*Adc)</f>
        <v>37.5587298045443</v>
      </c>
      <c r="R62" s="714" t="n">
        <f aca="false">((F62+L62+H62)-(D62+J62+P62+N62))*radconv</f>
        <v>-92.3176101406882</v>
      </c>
      <c r="S62" s="694" t="n">
        <f aca="false">IF(R62&gt;0,R62,R62+180)</f>
        <v>87.6823898593118</v>
      </c>
      <c r="U62" s="644" t="n">
        <f aca="false">IF(Q62&lt;0,A62,1000000000)</f>
        <v>1000000000</v>
      </c>
      <c r="V62" s="644" t="n">
        <f aca="false">A62^2</f>
        <v>8317.622401</v>
      </c>
      <c r="X62" s="716" t="n">
        <f aca="false">20*LOG10((K62/(I62*M62))*AEA)</f>
        <v>36.5985315015445</v>
      </c>
      <c r="Y62" s="717" t="n">
        <f aca="false">(L62-(J62+N62))*radconv</f>
        <v>-83.3806331442228</v>
      </c>
      <c r="AA62" s="716" t="n">
        <f aca="false">20*LOG10((E62*G62/(C62*O62))*Acs*Am)</f>
        <v>52.4408236575542</v>
      </c>
      <c r="AB62" s="717" t="n">
        <f aca="false">(F62+H62-(D62+P62))*radconv</f>
        <v>-8.93697699646546</v>
      </c>
      <c r="AD62" s="0" t="n">
        <f aca="false">SUM((Q63&lt;0)*(Q62&gt;0))*A62</f>
        <v>0</v>
      </c>
      <c r="AE62" s="0" t="n">
        <f aca="false">IF(AD62&gt;0,S60,0)</f>
        <v>0</v>
      </c>
    </row>
    <row r="63" customFormat="false" ht="12.75" hidden="false" customHeight="false" outlineLevel="0" collapsed="false">
      <c r="A63" s="718" t="n">
        <v>100</v>
      </c>
      <c r="B63" s="706" t="n">
        <f aca="false">A63/1000</f>
        <v>0.1</v>
      </c>
      <c r="C63" s="707" t="n">
        <f aca="false">SQRT(1+(A63/pole1)^2)</f>
        <v>1.01447681237047</v>
      </c>
      <c r="D63" s="708" t="n">
        <f aca="false">ATAN(A63/pole1)</f>
        <v>0.169140738071212</v>
      </c>
      <c r="E63" s="708" t="n">
        <f aca="false">SQRT(1+(A63/Zero1)^2)</f>
        <v>1.00000078956804</v>
      </c>
      <c r="F63" s="709" t="n">
        <f aca="false">ATAN(A63/Zero1)</f>
        <v>0.00125663639853339</v>
      </c>
      <c r="G63" s="708" t="n">
        <f aca="false">IF(VIN_nom&gt;Vout, 1, SQRT(1+(A63/z_RHP)^2))</f>
        <v>1.00000109828684</v>
      </c>
      <c r="H63" s="709" t="n">
        <f aca="false">IF(VIN_nom&gt;Vout, 0, -ATAN(A63/z_RHP))</f>
        <v>-0.00148208355713148</v>
      </c>
      <c r="I63" s="707" t="n">
        <f aca="false">SQRT(1+(A63/Pole2)^2)</f>
        <v>414.819781770585</v>
      </c>
      <c r="J63" s="710" t="n">
        <f aca="false">ATAN(A63/Pole2)</f>
        <v>1.5683856390396</v>
      </c>
      <c r="K63" s="719" t="n">
        <f aca="false">SQRT(1+(A63/Zero2)^2)</f>
        <v>1.00820278537464</v>
      </c>
      <c r="L63" s="720" t="n">
        <f aca="false">ATAN(A63/Zero2)</f>
        <v>0.127648765518488</v>
      </c>
      <c r="M63" s="707" t="n">
        <f aca="false">SQRT(1+(A63/pole4)^2)</f>
        <v>1.0000079502776</v>
      </c>
      <c r="N63" s="710" t="n">
        <f aca="false">ATAN(A63/pole4)</f>
        <v>0.00398753681602251</v>
      </c>
      <c r="O63" s="711" t="n">
        <f aca="false">SQRT((1-(V63/pterm2))^2+(A63/pterm1)^2)</f>
        <v>1.00000052396376</v>
      </c>
      <c r="P63" s="712" t="n">
        <f aca="false">IF((ATAN((A63/pterm1)/(1-A63^2/pterm2))&gt;0),ATAN((A63/pterm1)/(1-A63^2/pterm2)),PI()+ATAN((A63/pterm1)/(1-A63^2/pterm2)))</f>
        <v>0.0013916952661487</v>
      </c>
      <c r="Q63" s="713" t="n">
        <f aca="false">20*LOG10(((E63*K63*G63)/(C63*I63*O63*M63))*Adc)</f>
        <v>36.7498205348335</v>
      </c>
      <c r="R63" s="714" t="n">
        <f aca="false">((F63+L63+H63)-(D63+J63+P63+N63))*radconv</f>
        <v>-92.5603172486275</v>
      </c>
      <c r="S63" s="694" t="n">
        <f aca="false">IF(R63&gt;0,R63,R63+180)</f>
        <v>87.4396827513725</v>
      </c>
      <c r="U63" s="644" t="n">
        <f aca="false">IF(Q63&lt;0,A63,1000000000)</f>
        <v>1000000000</v>
      </c>
      <c r="V63" s="644" t="n">
        <f aca="false">A63^2</f>
        <v>10000</v>
      </c>
      <c r="X63" s="716" t="n">
        <f aca="false">20*LOG10((K63/(I63*M63))*AEA)</f>
        <v>35.8103739624601</v>
      </c>
      <c r="Y63" s="717" t="n">
        <f aca="false">(L63-(J63+N63))*radconv</f>
        <v>-82.7766113664303</v>
      </c>
      <c r="AA63" s="716" t="n">
        <f aca="false">20*LOG10((E63*G63/(C63*O63))*Acs*Am)</f>
        <v>52.4200719269277</v>
      </c>
      <c r="AB63" s="717" t="n">
        <f aca="false">(F63+H63-(D63+P63))*radconv</f>
        <v>-9.78370588219721</v>
      </c>
      <c r="AD63" s="0" t="n">
        <f aca="false">SUM((Q64&lt;0)*(Q63&gt;0))*A63</f>
        <v>0</v>
      </c>
      <c r="AE63" s="0" t="n">
        <f aca="false">IF(AD63&gt;0,S61,0)</f>
        <v>0</v>
      </c>
    </row>
    <row r="64" customFormat="false" ht="12.75" hidden="false" customHeight="false" outlineLevel="0" collapsed="false">
      <c r="A64" s="718" t="n">
        <v>109.65</v>
      </c>
      <c r="B64" s="706" t="n">
        <f aca="false">A64/1000</f>
        <v>0.10965</v>
      </c>
      <c r="C64" s="707" t="n">
        <f aca="false">SQRT(1+(A64/pole1)^2)</f>
        <v>1.017380595461</v>
      </c>
      <c r="D64" s="708" t="n">
        <f aca="false">ATAN(A64/pole1)</f>
        <v>0.185108270341157</v>
      </c>
      <c r="E64" s="708" t="n">
        <f aca="false">SQRT(1+(A64/Zero1)^2)</f>
        <v>1.00000094930725</v>
      </c>
      <c r="F64" s="709" t="n">
        <f aca="false">ATAN(A64/Zero1)</f>
        <v>0.00137790166425534</v>
      </c>
      <c r="G64" s="708" t="n">
        <f aca="false">IF(VIN_nom&gt;Vout, 1, SQRT(1+(A64/z_RHP)^2))</f>
        <v>1.00000132048358</v>
      </c>
      <c r="H64" s="709" t="n">
        <f aca="false">IF(VIN_nom&gt;Vout, 0, -ATAN(A64/z_RHP))</f>
        <v>-0.00162510437966627</v>
      </c>
      <c r="I64" s="707" t="n">
        <f aca="false">SQRT(1+(A64/Pole2)^2)</f>
        <v>454.849668316868</v>
      </c>
      <c r="J64" s="710" t="n">
        <f aca="false">ATAN(A64/Pole2)</f>
        <v>1.56859779643367</v>
      </c>
      <c r="K64" s="719" t="n">
        <f aca="false">SQRT(1+(A64/Zero2)^2)</f>
        <v>1.00985420585692</v>
      </c>
      <c r="L64" s="720" t="n">
        <f aca="false">ATAN(A64/Zero2)</f>
        <v>0.139813871883309</v>
      </c>
      <c r="M64" s="707" t="n">
        <f aca="false">SQRT(1+(A64/pole4)^2)</f>
        <v>1.00000955870846</v>
      </c>
      <c r="N64" s="710" t="n">
        <f aca="false">ATAN(A64/pole4)</f>
        <v>0.00437232943040321</v>
      </c>
      <c r="O64" s="711" t="n">
        <f aca="false">SQRT((1-(V64/pterm2))^2+(A64/pterm1)^2)</f>
        <v>1.00000062996804</v>
      </c>
      <c r="P64" s="712" t="n">
        <f aca="false">IF((ATAN((A64/pterm1)/(1-A64^2/pterm2))&gt;0),ATAN((A64/pterm1)/(1-A64^2/pterm2)),PI()+ATAN((A64/pterm1)/(1-A64^2/pterm2)))</f>
        <v>0.00152599379722819</v>
      </c>
      <c r="Q64" s="713" t="n">
        <f aca="false">20*LOG10(((E64*K64*G64)/(C64*I64*O64*M64))*Adc)</f>
        <v>35.9390296977639</v>
      </c>
      <c r="R64" s="714" t="n">
        <f aca="false">((F64+L64+H64)-(D64+J64+P64+N64))*radconv</f>
        <v>-92.8213241618771</v>
      </c>
      <c r="S64" s="694" t="n">
        <f aca="false">IF(R64&gt;0,R64,R64+180)</f>
        <v>87.1786758381229</v>
      </c>
      <c r="U64" s="644" t="n">
        <f aca="false">IF(Q64&lt;0,A64,1000000000)</f>
        <v>1000000000</v>
      </c>
      <c r="V64" s="644" t="n">
        <f aca="false">A64^2</f>
        <v>12023.1225</v>
      </c>
      <c r="X64" s="716" t="n">
        <f aca="false">20*LOG10((K64/(I64*M64))*AEA)</f>
        <v>35.0244072313004</v>
      </c>
      <c r="Y64" s="717" t="n">
        <f aca="false">(L64-(J64+N64))*radconv</f>
        <v>-82.1138048297054</v>
      </c>
      <c r="AA64" s="716" t="n">
        <f aca="false">20*LOG10((E64*G64/(C64*O64))*Acs*Am)</f>
        <v>52.3952478210178</v>
      </c>
      <c r="AB64" s="717" t="n">
        <f aca="false">(F64+H64-(D64+P64))*radconv</f>
        <v>-10.7075193321716</v>
      </c>
      <c r="AD64" s="0" t="n">
        <f aca="false">SUM((Q65&lt;0)*(Q64&gt;0))*A64</f>
        <v>0</v>
      </c>
      <c r="AE64" s="0" t="n">
        <f aca="false">IF(AD64&gt;0,S62,0)</f>
        <v>0</v>
      </c>
    </row>
    <row r="65" customFormat="false" ht="12.75" hidden="false" customHeight="false" outlineLevel="0" collapsed="false">
      <c r="A65" s="718" t="n">
        <v>120.23</v>
      </c>
      <c r="B65" s="706" t="n">
        <f aca="false">A65/1000</f>
        <v>0.12023</v>
      </c>
      <c r="C65" s="707" t="n">
        <f aca="false">SQRT(1+(A65/pole1)^2)</f>
        <v>1.02086049352436</v>
      </c>
      <c r="D65" s="708" t="n">
        <f aca="false">ATAN(A65/pole1)</f>
        <v>0.202505309333049</v>
      </c>
      <c r="E65" s="708" t="n">
        <f aca="false">SQRT(1+(A65/Zero1)^2)</f>
        <v>1.00000114134037</v>
      </c>
      <c r="F65" s="709" t="n">
        <f aca="false">ATAN(A65/Zero1)</f>
        <v>0.00151085358763925</v>
      </c>
      <c r="G65" s="708" t="n">
        <f aca="false">IF(VIN_nom&gt;Vout, 1, SQRT(1+(A65/z_RHP)^2))</f>
        <v>1.00000158760101</v>
      </c>
      <c r="H65" s="709" t="n">
        <f aca="false">IF(VIN_nom&gt;Vout, 0, -ATAN(A65/z_RHP))</f>
        <v>-0.00178190847946427</v>
      </c>
      <c r="I65" s="707" t="n">
        <f aca="false">SQRT(1+(A65/Pole2)^2)</f>
        <v>498.737376969775</v>
      </c>
      <c r="J65" s="710" t="n">
        <f aca="false">ATAN(A65/Pole2)</f>
        <v>1.56879126217326</v>
      </c>
      <c r="K65" s="719" t="n">
        <f aca="false">SQRT(1+(A65/Zero2)^2)</f>
        <v>1.0118359207789</v>
      </c>
      <c r="L65" s="720" t="n">
        <f aca="false">ATAN(A65/Zero2)</f>
        <v>0.153103540040224</v>
      </c>
      <c r="M65" s="707" t="n">
        <f aca="false">SQRT(1+(A65/pole4)^2)</f>
        <v>1.00001149230698</v>
      </c>
      <c r="N65" s="710" t="n">
        <f aca="false">ATAN(A65/pole4)</f>
        <v>0.00479420419316313</v>
      </c>
      <c r="O65" s="711" t="n">
        <f aca="false">SQRT((1-(V65/pterm2))^2+(A65/pterm1)^2)</f>
        <v>1.00000075740285</v>
      </c>
      <c r="P65" s="712" t="n">
        <f aca="false">IF((ATAN((A65/pterm1)/(1-A65^2/pterm2))&gt;0),ATAN((A65/pterm1)/(1-A65^2/pterm2)),PI()+ATAN((A65/pterm1)/(1-A65^2/pterm2)))</f>
        <v>0.00167323506853145</v>
      </c>
      <c r="Q65" s="713" t="n">
        <f aca="false">20*LOG10(((E65*K65*G65)/(C65*I65*O65*M65))*Adc)</f>
        <v>35.1263044391964</v>
      </c>
      <c r="R65" s="714" t="n">
        <f aca="false">((F65+L65+H65)-(D65+J65+P65+N65))*radconv</f>
        <v>-93.1017185221418</v>
      </c>
      <c r="S65" s="694" t="n">
        <f aca="false">IF(R65&gt;0,R65,R65+180)</f>
        <v>86.8982814778582</v>
      </c>
      <c r="U65" s="644" t="n">
        <f aca="false">IF(Q65&lt;0,A65,1000000000)</f>
        <v>1000000000</v>
      </c>
      <c r="V65" s="644" t="n">
        <f aca="false">A65^2</f>
        <v>14455.2529</v>
      </c>
      <c r="X65" s="716" t="n">
        <f aca="false">20*LOG10((K65/(I65*M65))*AEA)</f>
        <v>34.2413380362172</v>
      </c>
      <c r="Y65" s="717" t="n">
        <f aca="false">(L65-(J65+N65))*radconv</f>
        <v>-81.3876193461035</v>
      </c>
      <c r="AA65" s="716" t="n">
        <f aca="false">20*LOG10((E65*G65/(C65*O65))*Acs*Am)</f>
        <v>52.3655917575336</v>
      </c>
      <c r="AB65" s="717" t="n">
        <f aca="false">(F65+H65-(D65+P65))*radconv</f>
        <v>-11.7140991760383</v>
      </c>
      <c r="AD65" s="0" t="n">
        <f aca="false">SUM((Q66&lt;0)*(Q65&gt;0))*A65</f>
        <v>0</v>
      </c>
      <c r="AE65" s="0" t="n">
        <f aca="false">IF(AD65&gt;0,S63,0)</f>
        <v>0</v>
      </c>
    </row>
    <row r="66" customFormat="false" ht="12.75" hidden="false" customHeight="false" outlineLevel="0" collapsed="false">
      <c r="A66" s="718" t="n">
        <v>131.83</v>
      </c>
      <c r="B66" s="706" t="n">
        <f aca="false">A66/1000</f>
        <v>0.13183</v>
      </c>
      <c r="C66" s="707" t="n">
        <f aca="false">SQRT(1+(A66/pole1)^2)</f>
        <v>1.02502837251031</v>
      </c>
      <c r="D66" s="708" t="n">
        <f aca="false">ATAN(A66/pole1)</f>
        <v>0.221437429764631</v>
      </c>
      <c r="E66" s="708" t="n">
        <f aca="false">SQRT(1+(A66/Zero1)^2)</f>
        <v>1.00000137220165</v>
      </c>
      <c r="F66" s="709" t="n">
        <f aca="false">ATAN(A66/Zero1)</f>
        <v>0.00165662312071742</v>
      </c>
      <c r="G66" s="708" t="n">
        <f aca="false">IF(VIN_nom&gt;Vout, 1, SQRT(1+(A66/z_RHP)^2))</f>
        <v>1.00000190872828</v>
      </c>
      <c r="H66" s="709" t="n">
        <f aca="false">IF(VIN_nom&gt;Vout, 0, -ATAN(A66/z_RHP))</f>
        <v>-0.00195382969772427</v>
      </c>
      <c r="I66" s="707" t="n">
        <f aca="false">SQRT(1+(A66/Pole2)^2)</f>
        <v>546.856243620396</v>
      </c>
      <c r="J66" s="710" t="n">
        <f aca="false">ATAN(A66/Pole2)</f>
        <v>1.56896769162983</v>
      </c>
      <c r="K66" s="719" t="n">
        <f aca="false">SQRT(1+(A66/Zero2)^2)</f>
        <v>1.01421320366233</v>
      </c>
      <c r="L66" s="720" t="n">
        <f aca="false">ATAN(A66/Zero2)</f>
        <v>0.167611900224354</v>
      </c>
      <c r="M66" s="707" t="n">
        <f aca="false">SQRT(1+(A66/pole4)^2)</f>
        <v>1.00001381686529</v>
      </c>
      <c r="N66" s="710" t="n">
        <f aca="false">ATAN(A66/pole4)</f>
        <v>0.00525674922523282</v>
      </c>
      <c r="O66" s="711" t="n">
        <f aca="false">SQRT((1-(V66/pterm2))^2+(A66/pterm1)^2)</f>
        <v>1.00000091060438</v>
      </c>
      <c r="P66" s="712" t="n">
        <f aca="false">IF((ATAN((A66/pterm1)/(1-A66^2/pterm2))&gt;0),ATAN((A66/pterm1)/(1-A66^2/pterm2)),PI()+ATAN((A66/pterm1)/(1-A66^2/pterm2)))</f>
        <v>0.00183467159702588</v>
      </c>
      <c r="Q66" s="713" t="n">
        <f aca="false">20*LOG10(((E66*K66*G66)/(C66*I66*O66*M66))*Adc)</f>
        <v>34.3112561042626</v>
      </c>
      <c r="R66" s="714" t="n">
        <f aca="false">((F66+L66+H66)-(D66+J66+P66+N66))*radconv</f>
        <v>-93.402539868588</v>
      </c>
      <c r="S66" s="694" t="n">
        <f aca="false">IF(R66&gt;0,R66,R66+180)</f>
        <v>86.597460131412</v>
      </c>
      <c r="U66" s="644" t="n">
        <f aca="false">IF(Q66&lt;0,A66,1000000000)</f>
        <v>1000000000</v>
      </c>
      <c r="V66" s="644" t="n">
        <f aca="false">A66^2</f>
        <v>17379.1489</v>
      </c>
      <c r="X66" s="716" t="n">
        <f aca="false">20*LOG10((K66/(I66*M66))*AEA)</f>
        <v>33.4616760258194</v>
      </c>
      <c r="Y66" s="717" t="n">
        <f aca="false">(L66-(J66+N66))*radconv</f>
        <v>-80.5929620804048</v>
      </c>
      <c r="AA66" s="716" t="n">
        <f aca="false">20*LOG10((E66*G66/(C66*O66))*Acs*Am)</f>
        <v>52.3302054329976</v>
      </c>
      <c r="AB66" s="717" t="n">
        <f aca="false">(F66+H66-(D66+P66))*radconv</f>
        <v>-12.8095777881832</v>
      </c>
      <c r="AD66" s="0" t="n">
        <f aca="false">SUM((Q67&lt;0)*(Q66&gt;0))*A66</f>
        <v>0</v>
      </c>
      <c r="AE66" s="0" t="n">
        <f aca="false">IF(AD66&gt;0,S64,0)</f>
        <v>0</v>
      </c>
    </row>
    <row r="67" customFormat="false" ht="12.75" hidden="false" customHeight="false" outlineLevel="0" collapsed="false">
      <c r="A67" s="718" t="n">
        <v>144.54</v>
      </c>
      <c r="B67" s="706" t="n">
        <f aca="false">A67/1000</f>
        <v>0.14454</v>
      </c>
      <c r="C67" s="707" t="n">
        <f aca="false">SQRT(1+(A67/pole1)^2)</f>
        <v>1.0300132105624</v>
      </c>
      <c r="D67" s="708" t="n">
        <f aca="false">ATAN(A67/pole1)</f>
        <v>0.241997049346611</v>
      </c>
      <c r="E67" s="708" t="n">
        <f aca="false">SQRT(1+(A67/Zero1)^2)</f>
        <v>1.00000164954996</v>
      </c>
      <c r="F67" s="709" t="n">
        <f aca="false">ATAN(A67/Zero1)</f>
        <v>0.00181634120909373</v>
      </c>
      <c r="G67" s="708" t="n">
        <f aca="false">IF(VIN_nom&gt;Vout, 1, SQRT(1+(A67/z_RHP)^2))</f>
        <v>1.0000022945188</v>
      </c>
      <c r="H67" s="709" t="n">
        <f aca="false">IF(VIN_nom&gt;Vout, 0, -ATAN(A67/z_RHP))</f>
        <v>-0.00214220186509906</v>
      </c>
      <c r="I67" s="707" t="n">
        <f aca="false">SQRT(1+(A67/Pole2)^2)</f>
        <v>599.579604284524</v>
      </c>
      <c r="J67" s="710" t="n">
        <f aca="false">ATAN(A67/Pole2)</f>
        <v>1.56912849077034</v>
      </c>
      <c r="K67" s="719" t="n">
        <f aca="false">SQRT(1+(A67/Zero2)^2)</f>
        <v>1.01706183751036</v>
      </c>
      <c r="L67" s="720" t="n">
        <f aca="false">ATAN(A67/Zero2)</f>
        <v>0.183426983842139</v>
      </c>
      <c r="M67" s="707" t="n">
        <f aca="false">SQRT(1+(A67/pole4)^2)</f>
        <v>1.00001660949827</v>
      </c>
      <c r="N67" s="710" t="n">
        <f aca="false">ATAN(A67/pole4)</f>
        <v>0.00576355244216757</v>
      </c>
      <c r="O67" s="711" t="n">
        <f aca="false">SQRT((1-(V67/pterm2))^2+(A67/pterm1)^2)</f>
        <v>1.00000109465514</v>
      </c>
      <c r="P67" s="712" t="n">
        <f aca="false">IF((ATAN((A67/pterm1)/(1-A67^2/pterm2))&gt;0),ATAN((A67/pterm1)/(1-A67^2/pterm2)),PI()+ATAN((A67/pterm1)/(1-A67^2/pterm2)))</f>
        <v>0.00201155589695816</v>
      </c>
      <c r="Q67" s="713" t="n">
        <f aca="false">20*LOG10(((E67*K67*G67)/(C67*I67*O67*M67))*Adc)</f>
        <v>33.4939862971308</v>
      </c>
      <c r="R67" s="714" t="n">
        <f aca="false">((F67+L67+H67)-(D67+J67+P67+N67))*radconv</f>
        <v>-93.7244090345673</v>
      </c>
      <c r="S67" s="694" t="n">
        <f aca="false">IF(R67&gt;0,R67,R67+180)</f>
        <v>86.2755909654327</v>
      </c>
      <c r="U67" s="644" t="n">
        <f aca="false">IF(Q67&lt;0,A67,1000000000)</f>
        <v>1000000000</v>
      </c>
      <c r="V67" s="644" t="n">
        <f aca="false">A67^2</f>
        <v>20891.8116</v>
      </c>
      <c r="X67" s="716" t="n">
        <f aca="false">20*LOG10((K67/(I67*M67))*AEA)</f>
        <v>32.6865402199076</v>
      </c>
      <c r="Y67" s="717" t="n">
        <f aca="false">(L67-(J67+N67))*radconv</f>
        <v>-79.725075332942</v>
      </c>
      <c r="AA67" s="716" t="n">
        <f aca="false">20*LOG10((E67*G67/(C67*O67))*Acs*Am)</f>
        <v>52.2880714317776</v>
      </c>
      <c r="AB67" s="717" t="n">
        <f aca="false">(F67+H67-(D67+P67))*radconv</f>
        <v>-13.9993337016253</v>
      </c>
      <c r="AD67" s="0" t="n">
        <f aca="false">SUM((Q68&lt;0)*(Q67&gt;0))*A67</f>
        <v>0</v>
      </c>
      <c r="AE67" s="0" t="n">
        <f aca="false">IF(AD67&gt;0,S65,0)</f>
        <v>0</v>
      </c>
    </row>
    <row r="68" customFormat="false" ht="12.75" hidden="false" customHeight="false" outlineLevel="0" collapsed="false">
      <c r="A68" s="718" t="n">
        <v>158.49</v>
      </c>
      <c r="B68" s="706" t="n">
        <f aca="false">A68/1000</f>
        <v>0.15849</v>
      </c>
      <c r="C68" s="707" t="n">
        <f aca="false">SQRT(1+(A68/pole1)^2)</f>
        <v>1.03598034865745</v>
      </c>
      <c r="D68" s="708" t="n">
        <f aca="false">ATAN(A68/pole1)</f>
        <v>0.264324214661144</v>
      </c>
      <c r="E68" s="708" t="n">
        <f aca="false">SQRT(1+(A68/Zero1)^2)</f>
        <v>1.0000019833211</v>
      </c>
      <c r="F68" s="709" t="n">
        <f aca="false">ATAN(A68/Zero1)</f>
        <v>0.00199164144301785</v>
      </c>
      <c r="G68" s="708" t="n">
        <f aca="false">IF(VIN_nom&gt;Vout, 1, SQRT(1+(A68/z_RHP)^2))</f>
        <v>1.00000275879322</v>
      </c>
      <c r="H68" s="709" t="n">
        <f aca="false">IF(VIN_nom&gt;Vout, 0, -ATAN(A68/z_RHP))</f>
        <v>-0.00234895162940047</v>
      </c>
      <c r="I68" s="707" t="n">
        <f aca="false">SQRT(1+(A68/Pole2)^2)</f>
        <v>657.446722296102</v>
      </c>
      <c r="J68" s="710" t="n">
        <f aca="false">ATAN(A68/Pole2)</f>
        <v>1.56927529041023</v>
      </c>
      <c r="K68" s="719" t="n">
        <f aca="false">SQRT(1+(A68/Zero2)^2)</f>
        <v>1.02047944615859</v>
      </c>
      <c r="L68" s="720" t="n">
        <f aca="false">ATAN(A68/Zero2)</f>
        <v>0.200678552306259</v>
      </c>
      <c r="M68" s="707" t="n">
        <f aca="false">SQRT(1+(A68/pole4)^2)</f>
        <v>1.00001997024597</v>
      </c>
      <c r="N68" s="710" t="n">
        <f aca="false">ATAN(A68/pole4)</f>
        <v>0.00631979645752729</v>
      </c>
      <c r="O68" s="711" t="n">
        <f aca="false">SQRT((1-(V68/pterm2))^2+(A68/pterm1)^2)</f>
        <v>1.00000131614863</v>
      </c>
      <c r="P68" s="712" t="n">
        <f aca="false">IF((ATAN((A68/pterm1)/(1-A68^2/pterm2))&gt;0),ATAN((A68/pterm1)/(1-A68^2/pterm2)),PI()+ATAN((A68/pterm1)/(1-A68^2/pterm2)))</f>
        <v>0.00220569715648561</v>
      </c>
      <c r="Q68" s="713" t="n">
        <f aca="false">20*LOG10(((E68*K68*G68)/(C68*I68*O68*M68))*Adc)</f>
        <v>32.6726514545495</v>
      </c>
      <c r="R68" s="714" t="n">
        <f aca="false">((F68+L68+H68)-(D68+J68+P68+N68))*radconv</f>
        <v>-94.0684261474166</v>
      </c>
      <c r="S68" s="694" t="n">
        <f aca="false">IF(R68&gt;0,R68,R68+180)</f>
        <v>85.9315738525834</v>
      </c>
      <c r="U68" s="644" t="n">
        <f aca="false">IF(Q68&lt;0,A68,1000000000)</f>
        <v>1000000000</v>
      </c>
      <c r="V68" s="644" t="n">
        <f aca="false">A68^2</f>
        <v>25119.0801</v>
      </c>
      <c r="X68" s="716" t="n">
        <f aca="false">20*LOG10((K68/(I68*M68))*AEA)</f>
        <v>31.915374821218</v>
      </c>
      <c r="Y68" s="717" t="n">
        <f aca="false">(L68-(J68+N68))*radconv</f>
        <v>-78.7769147031426</v>
      </c>
      <c r="AA68" s="716" t="n">
        <f aca="false">20*LOG10((E68*G68/(C68*O68))*Acs*Am)</f>
        <v>52.2379019878859</v>
      </c>
      <c r="AB68" s="717" t="n">
        <f aca="false">(F68+H68-(D68+P68))*radconv</f>
        <v>-15.291511444274</v>
      </c>
      <c r="AD68" s="0" t="n">
        <f aca="false">SUM((Q69&lt;0)*(Q68&gt;0))*A68</f>
        <v>0</v>
      </c>
      <c r="AE68" s="0" t="n">
        <f aca="false">IF(AD68&gt;0,S66,0)</f>
        <v>0</v>
      </c>
    </row>
    <row r="69" customFormat="false" ht="12.75" hidden="false" customHeight="false" outlineLevel="0" collapsed="false">
      <c r="A69" s="718" t="n">
        <v>173.78</v>
      </c>
      <c r="B69" s="706" t="n">
        <f aca="false">A69/1000</f>
        <v>0.17378</v>
      </c>
      <c r="C69" s="707" t="n">
        <f aca="false">SQRT(1+(A69/pole1)^2)</f>
        <v>1.04310660077451</v>
      </c>
      <c r="D69" s="708" t="n">
        <f aca="false">ATAN(A69/pole1)</f>
        <v>0.28848923427664</v>
      </c>
      <c r="E69" s="708" t="n">
        <f aca="false">SQRT(1+(A69/Zero1)^2)</f>
        <v>1.00000238445318</v>
      </c>
      <c r="F69" s="709" t="n">
        <f aca="false">ATAN(A69/Zero1)</f>
        <v>0.00218378041145351</v>
      </c>
      <c r="G69" s="708" t="n">
        <f aca="false">IF(VIN_nom&gt;Vout, 1, SQRT(1+(A69/z_RHP)^2))</f>
        <v>1.00000331676639</v>
      </c>
      <c r="H69" s="709" t="n">
        <f aca="false">IF(VIN_nom&gt;Vout, 0, -ATAN(A69/z_RHP))</f>
        <v>-0.00257556099636683</v>
      </c>
      <c r="I69" s="707" t="n">
        <f aca="false">SQRT(1+(A69/Pole2)^2)</f>
        <v>720.872415717663</v>
      </c>
      <c r="J69" s="710" t="n">
        <f aca="false">ATAN(A69/Pole2)</f>
        <v>1.5694091183251</v>
      </c>
      <c r="K69" s="719" t="n">
        <f aca="false">SQRT(1+(A69/Zero2)^2)</f>
        <v>1.02457170744119</v>
      </c>
      <c r="L69" s="720" t="n">
        <f aca="false">ATAN(A69/Zero2)</f>
        <v>0.219448835436678</v>
      </c>
      <c r="M69" s="707" t="n">
        <f aca="false">SQRT(1+(A69/pole4)^2)</f>
        <v>1.00002400923884</v>
      </c>
      <c r="N69" s="710" t="n">
        <f aca="false">ATAN(A69/pole4)</f>
        <v>0.00692946729265838</v>
      </c>
      <c r="O69" s="711" t="n">
        <f aca="false">SQRT((1-(V69/pterm2))^2+(A69/pterm1)^2)</f>
        <v>1.00000158234353</v>
      </c>
      <c r="P69" s="712" t="n">
        <f aca="false">IF((ATAN((A69/pterm1)/(1-A69^2/pterm2))&gt;0),ATAN((A69/pterm1)/(1-A69^2/pterm2)),PI()+ATAN((A69/pterm1)/(1-A69^2/pterm2)))</f>
        <v>0.00241848705079829</v>
      </c>
      <c r="Q69" s="713" t="n">
        <f aca="false">20*LOG10(((E69*K69*G69)/(C69*I69*O69*M69))*Adc)</f>
        <v>31.8478839527643</v>
      </c>
      <c r="R69" s="714" t="n">
        <f aca="false">((F69+L69+H69)-(D69+J69+P69+N69))*radconv</f>
        <v>-94.4342880916844</v>
      </c>
      <c r="S69" s="694" t="n">
        <f aca="false">IF(R69&gt;0,R69,R69+180)</f>
        <v>85.5657119083156</v>
      </c>
      <c r="U69" s="644" t="n">
        <f aca="false">IF(Q69&lt;0,A69,1000000000)</f>
        <v>1000000000</v>
      </c>
      <c r="V69" s="644" t="n">
        <f aca="false">A69^2</f>
        <v>30199.4884</v>
      </c>
      <c r="X69" s="716" t="n">
        <f aca="false">20*LOG10((K69/(I69*M69))*AEA)</f>
        <v>31.1501448248964</v>
      </c>
      <c r="Y69" s="717" t="n">
        <f aca="false">(L69-(J69+N69))*radconv</f>
        <v>-77.7440560387722</v>
      </c>
      <c r="AA69" s="716" t="n">
        <f aca="false">20*LOG10((E69*G69/(C69*O69))*Acs*Am)</f>
        <v>52.1783644824223</v>
      </c>
      <c r="AB69" s="717" t="n">
        <f aca="false">(F69+H69-(D69+P69))*radconv</f>
        <v>-16.6902320529122</v>
      </c>
      <c r="AD69" s="0" t="n">
        <f aca="false">SUM((Q70&lt;0)*(Q69&gt;0))*A69</f>
        <v>0</v>
      </c>
      <c r="AE69" s="0" t="n">
        <f aca="false">IF(AD69&gt;0,S67,0)</f>
        <v>0</v>
      </c>
    </row>
    <row r="70" customFormat="false" ht="12.75" hidden="false" customHeight="false" outlineLevel="0" collapsed="false">
      <c r="A70" s="718" t="n">
        <v>190.55</v>
      </c>
      <c r="B70" s="706" t="n">
        <f aca="false">A70/1000</f>
        <v>0.19055</v>
      </c>
      <c r="C70" s="707" t="n">
        <f aca="false">SQRT(1+(A70/pole1)^2)</f>
        <v>1.05161283530063</v>
      </c>
      <c r="D70" s="708" t="n">
        <f aca="false">ATAN(A70/pole1)</f>
        <v>0.314599749917475</v>
      </c>
      <c r="E70" s="708" t="n">
        <f aca="false">SQRT(1+(A70/Zero1)^2)</f>
        <v>1.0000028668635</v>
      </c>
      <c r="F70" s="709" t="n">
        <f aca="false">ATAN(A70/Zero1)</f>
        <v>0.00239451734132753</v>
      </c>
      <c r="G70" s="708" t="n">
        <f aca="false">IF(VIN_nom&gt;Vout, 1, SQRT(1+(A70/z_RHP)^2))</f>
        <v>1.00000398779715</v>
      </c>
      <c r="H70" s="709" t="n">
        <f aca="false">IF(VIN_nom&gt;Vout, 0, -ATAN(A70/z_RHP))</f>
        <v>-0.00282410477793236</v>
      </c>
      <c r="I70" s="707" t="n">
        <f aca="false">SQRT(1+(A70/Pole2)^2)</f>
        <v>790.437429941369</v>
      </c>
      <c r="J70" s="710" t="n">
        <f aca="false">ATAN(A70/Pole2)</f>
        <v>1.56953120418193</v>
      </c>
      <c r="K70" s="719" t="n">
        <f aca="false">SQRT(1+(A70/Zero2)^2)</f>
        <v>1.02947160851656</v>
      </c>
      <c r="L70" s="720" t="n">
        <f aca="false">ATAN(A70/Zero2)</f>
        <v>0.239856388378535</v>
      </c>
      <c r="M70" s="707" t="n">
        <f aca="false">SQRT(1+(A70/pole4)^2)</f>
        <v>1.00002886660155</v>
      </c>
      <c r="N70" s="710" t="n">
        <f aca="false">ATAN(A70/pole4)</f>
        <v>0.00759814545344134</v>
      </c>
      <c r="O70" s="711" t="n">
        <f aca="false">SQRT((1-(V70/pterm2))^2+(A70/pterm1)^2)</f>
        <v>1.00000190247551</v>
      </c>
      <c r="P70" s="712" t="n">
        <f aca="false">IF((ATAN((A70/pterm1)/(1-A70^2/pterm2))&gt;0),ATAN((A70/pterm1)/(1-A70^2/pterm2)),PI()+ATAN((A70/pterm1)/(1-A70^2/pterm2)))</f>
        <v>0.00265187392616851</v>
      </c>
      <c r="Q70" s="713" t="n">
        <f aca="false">20*LOG10(((E70*K70*G70)/(C70*I70*O70*M70))*Adc)</f>
        <v>31.0185638073325</v>
      </c>
      <c r="R70" s="714" t="n">
        <f aca="false">((F70+L70+H70)-(D70+J70+P70+N70))*radconv</f>
        <v>-94.8218894822901</v>
      </c>
      <c r="S70" s="694" t="n">
        <f aca="false">IF(R70&gt;0,R70,R70+180)</f>
        <v>85.1781105177099</v>
      </c>
      <c r="U70" s="644" t="n">
        <f aca="false">IF(Q70&lt;0,A70,1000000000)</f>
        <v>1000000000</v>
      </c>
      <c r="V70" s="644" t="n">
        <f aca="false">A70^2</f>
        <v>36309.3025</v>
      </c>
      <c r="X70" s="716" t="n">
        <f aca="false">20*LOG10((K70/(I70*M70))*AEA)</f>
        <v>30.3913611325924</v>
      </c>
      <c r="Y70" s="717" t="n">
        <f aca="false">(L70-(J70+N70))*radconv</f>
        <v>-76.6200968245295</v>
      </c>
      <c r="AA70" s="716" t="n">
        <f aca="false">20*LOG10((E70*G70/(C70*O70))*Acs*Am)</f>
        <v>52.1078280292945</v>
      </c>
      <c r="AB70" s="717" t="n">
        <f aca="false">(F70+H70-(D70+P70))*radconv</f>
        <v>-18.2017926577606</v>
      </c>
      <c r="AD70" s="0" t="n">
        <f aca="false">SUM((Q71&lt;0)*(Q70&gt;0))*A70</f>
        <v>0</v>
      </c>
      <c r="AE70" s="0" t="n">
        <f aca="false">IF(AD70&gt;0,S68,0)</f>
        <v>0</v>
      </c>
    </row>
    <row r="71" customFormat="false" ht="12.75" hidden="false" customHeight="false" outlineLevel="0" collapsed="false">
      <c r="A71" s="718" t="n">
        <v>208.93</v>
      </c>
      <c r="B71" s="706" t="n">
        <f aca="false">A71/1000</f>
        <v>0.20893</v>
      </c>
      <c r="C71" s="707" t="n">
        <f aca="false">SQRT(1+(A71/pole1)^2)</f>
        <v>1.06174501132443</v>
      </c>
      <c r="D71" s="708" t="n">
        <f aca="false">ATAN(A71/pole1)</f>
        <v>0.342715147354531</v>
      </c>
      <c r="E71" s="708" t="n">
        <f aca="false">SQRT(1+(A71/Zero1)^2)</f>
        <v>1.00000344659768</v>
      </c>
      <c r="F71" s="709" t="n">
        <f aca="false">ATAN(A71/Zero1)</f>
        <v>0.00262548577679657</v>
      </c>
      <c r="G71" s="708" t="n">
        <f aca="false">IF(VIN_nom&gt;Vout, 1, SQRT(1+(A71/z_RHP)^2))</f>
        <v>1.00000479420484</v>
      </c>
      <c r="H71" s="709" t="n">
        <f aca="false">IF(VIN_nom&gt;Vout, 0, -ATAN(A71/z_RHP))</f>
        <v>-0.00309650954629164</v>
      </c>
      <c r="I71" s="707" t="n">
        <f aca="false">SQRT(1+(A71/Pole2)^2)</f>
        <v>866.681028640808</v>
      </c>
      <c r="J71" s="710" t="n">
        <f aca="false">ATAN(A71/Pole2)</f>
        <v>1.56964249950569</v>
      </c>
      <c r="K71" s="719" t="n">
        <f aca="false">SQRT(1+(A71/Zero2)^2)</f>
        <v>1.03532936435563</v>
      </c>
      <c r="L71" s="720" t="n">
        <f aca="false">ATAN(A71/Zero2)</f>
        <v>0.2619910313859</v>
      </c>
      <c r="M71" s="707" t="n">
        <f aca="false">SQRT(1+(A71/pole4)^2)</f>
        <v>1.00003470388475</v>
      </c>
      <c r="N71" s="710" t="n">
        <f aca="false">ATAN(A71/pole4)</f>
        <v>0.00833101208096507</v>
      </c>
      <c r="O71" s="711" t="n">
        <f aca="false">SQRT((1-(V71/pterm2))^2+(A71/pterm1)^2)</f>
        <v>1.00000228719269</v>
      </c>
      <c r="P71" s="712" t="n">
        <f aca="false">IF((ATAN((A71/pterm1)/(1-A71^2/pterm2))&gt;0),ATAN((A71/pterm1)/(1-A71^2/pterm2)),PI()+ATAN((A71/pterm1)/(1-A71^2/pterm2)))</f>
        <v>0.0029076669512453</v>
      </c>
      <c r="Q71" s="713" t="n">
        <f aca="false">20*LOG10(((E71*K71*G71)/(C71*I71*O71*M71))*Adc)</f>
        <v>30.1846820916483</v>
      </c>
      <c r="R71" s="714" t="n">
        <f aca="false">((F71+L71+H71)-(D71+J71+P71+N71))*radconv</f>
        <v>-95.2299583746747</v>
      </c>
      <c r="S71" s="717" t="n">
        <f aca="false">IF(R71&gt;0,R71,R71+180)</f>
        <v>84.7700416253253</v>
      </c>
      <c r="U71" s="644" t="n">
        <f aca="false">IF(Q71&lt;0,A71,1000000000)</f>
        <v>1000000000</v>
      </c>
      <c r="V71" s="644" t="n">
        <f aca="false">A71^2</f>
        <v>43651.7449</v>
      </c>
      <c r="X71" s="716" t="n">
        <f aca="false">20*LOG10((K71/(I71*M71))*AEA)</f>
        <v>29.6407577371968</v>
      </c>
      <c r="Y71" s="717" t="n">
        <f aca="false">(L71-(J71+N71))*radconv</f>
        <v>-75.4002421148188</v>
      </c>
      <c r="AA71" s="716" t="n">
        <f aca="false">20*LOG10((E71*G71/(C71*O71))*Acs*Am)</f>
        <v>52.0245497090059</v>
      </c>
      <c r="AB71" s="717" t="n">
        <f aca="false">(F71+H71-(D71+P71))*radconv</f>
        <v>-19.8297162598559</v>
      </c>
      <c r="AD71" s="0" t="n">
        <f aca="false">SUM((Q72&lt;0)*(Q71&gt;0))*A71</f>
        <v>0</v>
      </c>
      <c r="AE71" s="0" t="n">
        <f aca="false">IF(AD71&gt;0,S69,0)</f>
        <v>0</v>
      </c>
    </row>
    <row r="72" customFormat="false" ht="12.75" hidden="false" customHeight="false" outlineLevel="0" collapsed="false">
      <c r="A72" s="718" t="n">
        <v>229.09</v>
      </c>
      <c r="B72" s="706" t="n">
        <f aca="false">A72/1000</f>
        <v>0.22909</v>
      </c>
      <c r="C72" s="707" t="n">
        <f aca="false">SQRT(1+(A72/pole1)^2)</f>
        <v>1.07380397947841</v>
      </c>
      <c r="D72" s="708" t="n">
        <f aca="false">ATAN(A72/pole1)</f>
        <v>0.372916675853135</v>
      </c>
      <c r="E72" s="708" t="n">
        <f aca="false">SQRT(1+(A72/Zero1)^2)</f>
        <v>1.00000414382204</v>
      </c>
      <c r="F72" s="709" t="n">
        <f aca="false">ATAN(A72/Zero1)</f>
        <v>0.00287882188787137</v>
      </c>
      <c r="G72" s="708" t="n">
        <f aca="false">IF(VIN_nom&gt;Vout, 1, SQRT(1+(A72/z_RHP)^2))</f>
        <v>1.0000057640406</v>
      </c>
      <c r="H72" s="709" t="n">
        <f aca="false">IF(VIN_nom&gt;Vout, 0, -ATAN(A72/z_RHP))</f>
        <v>-0.0033952946599701</v>
      </c>
      <c r="I72" s="707" t="n">
        <f aca="false">SQRT(1+(A72/Pole2)^2)</f>
        <v>950.308402879736</v>
      </c>
      <c r="J72" s="710" t="n">
        <f aca="false">ATAN(A72/Pole2)</f>
        <v>1.56974403663149</v>
      </c>
      <c r="K72" s="719" t="n">
        <f aca="false">SQRT(1+(A72/Zero2)^2)</f>
        <v>1.04233066773432</v>
      </c>
      <c r="L72" s="720" t="n">
        <f aca="false">ATAN(A72/Zero2)</f>
        <v>0.285970113631994</v>
      </c>
      <c r="M72" s="707" t="n">
        <f aca="false">SQRT(1+(A72/pole4)^2)</f>
        <v>1.00004172412367</v>
      </c>
      <c r="N72" s="710" t="n">
        <f aca="false">ATAN(A72/pole4)</f>
        <v>0.00913484241408232</v>
      </c>
      <c r="O72" s="711" t="n">
        <f aca="false">SQRT((1-(V72/pterm2))^2+(A72/pterm1)^2)</f>
        <v>1.00000274987772</v>
      </c>
      <c r="P72" s="712" t="n">
        <f aca="false">IF((ATAN((A72/pterm1)/(1-A72^2/pterm2))&gt;0),ATAN((A72/pterm1)/(1-A72^2/pterm2)),PI()+ATAN((A72/pterm1)/(1-A72^2/pterm2)))</f>
        <v>0.00318823196063491</v>
      </c>
      <c r="Q72" s="713" t="n">
        <f aca="false">20*LOG10(((E72*K72*G72)/(C72*I72*O72*M72))*Adc)</f>
        <v>29.344970073345</v>
      </c>
      <c r="R72" s="714" t="n">
        <f aca="false">((F72+L72+H72)-(D72+J72+P72+N72))*radconv</f>
        <v>-95.6570312449326</v>
      </c>
      <c r="S72" s="717" t="n">
        <f aca="false">IF(R72&gt;0,R72,R72+180)</f>
        <v>84.3429687550674</v>
      </c>
      <c r="U72" s="644" t="n">
        <f aca="false">IF(Q72&lt;0,A72,1000000000)</f>
        <v>1000000000</v>
      </c>
      <c r="V72" s="644" t="n">
        <f aca="false">A72^2</f>
        <v>52482.2281</v>
      </c>
      <c r="X72" s="716" t="n">
        <f aca="false">20*LOG10((K72/(I72*M72))*AEA)</f>
        <v>28.8991308579235</v>
      </c>
      <c r="Y72" s="717" t="n">
        <f aca="false">(L72-(J72+N72))*radconv</f>
        <v>-74.0782156383146</v>
      </c>
      <c r="AA72" s="716" t="n">
        <f aca="false">20*LOG10((E72*G72/(C72*O72))*Acs*Am)</f>
        <v>51.9264645699759</v>
      </c>
      <c r="AB72" s="717" t="n">
        <f aca="false">(F72+H72-(D72+P72))*radconv</f>
        <v>-21.578815606618</v>
      </c>
      <c r="AD72" s="0" t="n">
        <f aca="false">SUM((Q73&lt;0)*(Q72&gt;0))*A72</f>
        <v>0</v>
      </c>
      <c r="AE72" s="0" t="n">
        <f aca="false">IF(AD72&gt;0,S70,0)</f>
        <v>0</v>
      </c>
    </row>
    <row r="73" customFormat="false" ht="12.75" hidden="false" customHeight="false" outlineLevel="0" collapsed="false">
      <c r="A73" s="718" t="n">
        <v>251.19</v>
      </c>
      <c r="B73" s="706" t="n">
        <f aca="false">A73/1000</f>
        <v>0.25119</v>
      </c>
      <c r="C73" s="707" t="n">
        <f aca="false">SQRT(1+(A73/pole1)^2)</f>
        <v>1.08812194082439</v>
      </c>
      <c r="D73" s="708" t="n">
        <f aca="false">ATAN(A73/pole1)</f>
        <v>0.405222650860806</v>
      </c>
      <c r="E73" s="708" t="n">
        <f aca="false">SQRT(1+(A73/Zero1)^2)</f>
        <v>1.00000498188091</v>
      </c>
      <c r="F73" s="709" t="n">
        <f aca="false">ATAN(A73/Zero1)</f>
        <v>0.00315653614735763</v>
      </c>
      <c r="G73" s="708" t="n">
        <f aca="false">IF(VIN_nom&gt;Vout, 1, SQRT(1+(A73/z_RHP)^2))</f>
        <v>1.00000692977614</v>
      </c>
      <c r="H73" s="709" t="n">
        <f aca="false">IF(VIN_nom&gt;Vout, 0, -ATAN(A73/z_RHP))</f>
        <v>-0.00372283121407277</v>
      </c>
      <c r="I73" s="707" t="n">
        <f aca="false">SQRT(1+(A73/Pole2)^2)</f>
        <v>1041.98326197905</v>
      </c>
      <c r="J73" s="710" t="n">
        <f aca="false">ATAN(A73/Pole2)</f>
        <v>1.56983661833316</v>
      </c>
      <c r="K73" s="719" t="n">
        <f aca="false">SQRT(1+(A73/Zero2)^2)</f>
        <v>1.05068445330252</v>
      </c>
      <c r="L73" s="720" t="n">
        <f aca="false">ATAN(A73/Zero2)</f>
        <v>0.311872959122045</v>
      </c>
      <c r="M73" s="707" t="n">
        <f aca="false">SQRT(1+(A73/pole4)^2)</f>
        <v>1.00005016234364</v>
      </c>
      <c r="N73" s="710" t="n">
        <f aca="false">ATAN(A73/pole4)</f>
        <v>0.0100160118658373</v>
      </c>
      <c r="O73" s="711" t="n">
        <f aca="false">SQRT((1-(V73/pterm2))^2+(A73/pterm1)^2)</f>
        <v>1.00000330602227</v>
      </c>
      <c r="P73" s="712" t="n">
        <f aca="false">IF((ATAN((A73/pterm1)/(1-A73^2/pterm2))&gt;0),ATAN((A73/pterm1)/(1-A73^2/pterm2)),PI()+ATAN((A73/pterm1)/(1-A73^2/pterm2)))</f>
        <v>0.00349579560521081</v>
      </c>
      <c r="Q73" s="713" t="n">
        <f aca="false">20*LOG10(((E73*K73*G73)/(C73*I73*O73*M73))*Adc)</f>
        <v>28.4992705306208</v>
      </c>
      <c r="R73" s="714" t="n">
        <f aca="false">((F73+L73+H73)-(D73+J73+P73+N73))*radconv</f>
        <v>-96.1001720798346</v>
      </c>
      <c r="S73" s="717" t="n">
        <f aca="false">IF(R73&gt;0,R73,R73+180)</f>
        <v>83.8998279201654</v>
      </c>
      <c r="U73" s="644" t="n">
        <f aca="false">IF(Q73&lt;0,A73,1000000000)</f>
        <v>1000000000</v>
      </c>
      <c r="V73" s="644" t="n">
        <f aca="false">A73^2</f>
        <v>63096.4161</v>
      </c>
      <c r="X73" s="716" t="n">
        <f aca="false">20*LOG10((K73/(I73*M73))*AEA)</f>
        <v>28.168469908477</v>
      </c>
      <c r="Y73" s="717" t="n">
        <f aca="false">(L73-(J73+N73))*radconv</f>
        <v>-72.6498837441104</v>
      </c>
      <c r="AA73" s="716" t="n">
        <f aca="false">20*LOG10((E73*G73/(C73*O73))*Acs*Am)</f>
        <v>51.8114259766981</v>
      </c>
      <c r="AB73" s="717" t="n">
        <f aca="false">(F73+H73-(D73+P73))*radconv</f>
        <v>-23.4502883357241</v>
      </c>
      <c r="AD73" s="0" t="n">
        <f aca="false">SUM((Q74&lt;0)*(Q73&gt;0))*A73</f>
        <v>0</v>
      </c>
      <c r="AE73" s="0" t="n">
        <f aca="false">IF(AD73&gt;0,S71,0)</f>
        <v>0</v>
      </c>
    </row>
    <row r="74" customFormat="false" ht="12.75" hidden="false" customHeight="false" outlineLevel="0" collapsed="false">
      <c r="A74" s="718" t="n">
        <v>275.42</v>
      </c>
      <c r="B74" s="706" t="n">
        <f aca="false">A74/1000</f>
        <v>0.27542</v>
      </c>
      <c r="C74" s="707" t="n">
        <f aca="false">SQRT(1+(A74/pole1)^2)</f>
        <v>1.10508864164009</v>
      </c>
      <c r="D74" s="708" t="n">
        <f aca="false">ATAN(A74/pole1)</f>
        <v>0.439640370046389</v>
      </c>
      <c r="E74" s="708" t="n">
        <f aca="false">SQRT(1+(A74/Zero1)^2)</f>
        <v>1.00000598934567</v>
      </c>
      <c r="F74" s="709" t="n">
        <f aca="false">ATAN(A74/Zero1)</f>
        <v>0.00346101597117408</v>
      </c>
      <c r="G74" s="708" t="n">
        <f aca="false">IF(VIN_nom&gt;Vout, 1, SQRT(1+(A74/z_RHP)^2))</f>
        <v>1.0000083311539</v>
      </c>
      <c r="H74" s="709" t="n">
        <f aca="false">IF(VIN_nom&gt;Vout, 0, -ATAN(A74/z_RHP))</f>
        <v>-0.00408193485034404</v>
      </c>
      <c r="I74" s="707" t="n">
        <f aca="false">SQRT(1+(A74/Pole2)^2)</f>
        <v>1142.49376083206</v>
      </c>
      <c r="J74" s="710" t="n">
        <f aca="false">ATAN(A74/Pole2)</f>
        <v>1.56992104838028</v>
      </c>
      <c r="K74" s="719" t="n">
        <f aca="false">SQRT(1+(A74/Zero2)^2)</f>
        <v>1.06063980236982</v>
      </c>
      <c r="L74" s="720" t="n">
        <f aca="false">ATAN(A74/Zero2)</f>
        <v>0.339782585810811</v>
      </c>
      <c r="M74" s="707" t="n">
        <f aca="false">SQRT(1+(A74/pole4)^2)</f>
        <v>1.00006030618733</v>
      </c>
      <c r="N74" s="710" t="n">
        <f aca="false">ATAN(A74/pole4)</f>
        <v>0.0109820905833641</v>
      </c>
      <c r="O74" s="711" t="n">
        <f aca="false">SQRT((1-(V74/pterm2))^2+(A74/pterm1)^2)</f>
        <v>1.00000397458684</v>
      </c>
      <c r="P74" s="712" t="n">
        <f aca="false">IF((ATAN((A74/pterm1)/(1-A74^2/pterm2))&gt;0),ATAN((A74/pterm1)/(1-A74^2/pterm2)),PI()+ATAN((A74/pterm1)/(1-A74^2/pterm2)))</f>
        <v>0.00383300202419259</v>
      </c>
      <c r="Q74" s="713" t="n">
        <f aca="false">20*LOG10(((E74*K74*G74)/(C74*I74*O74*M74))*Adc)</f>
        <v>27.6468569934055</v>
      </c>
      <c r="R74" s="714" t="n">
        <f aca="false">((F74+L74+H74)-(D74+J74+P74+N74))*radconv</f>
        <v>-96.5556982502063</v>
      </c>
      <c r="S74" s="717" t="n">
        <f aca="false">IF(R74&gt;0,R74,R74+180)</f>
        <v>83.4443017497937</v>
      </c>
      <c r="U74" s="644" t="n">
        <f aca="false">IF(Q74&lt;0,A74,1000000000)</f>
        <v>1000000000</v>
      </c>
      <c r="V74" s="644" t="n">
        <f aca="false">A74^2</f>
        <v>75856.1764</v>
      </c>
      <c r="X74" s="716" t="n">
        <f aca="false">20*LOG10((K74/(I74*M74))*AEA)</f>
        <v>27.4504322090712</v>
      </c>
      <c r="Y74" s="717" t="n">
        <f aca="false">(L74-(J74+N74))*radconv</f>
        <v>-71.1109696438559</v>
      </c>
      <c r="AA74" s="716" t="n">
        <f aca="false">20*LOG10((E74*G74/(C74*O74))*Acs*Am)</f>
        <v>51.6770501388886</v>
      </c>
      <c r="AB74" s="717" t="n">
        <f aca="false">(F74+H74-(D74+P74))*radconv</f>
        <v>-25.4447286063504</v>
      </c>
      <c r="AD74" s="0" t="n">
        <f aca="false">SUM((Q75&lt;0)*(Q74&gt;0))*A74</f>
        <v>0</v>
      </c>
      <c r="AE74" s="0" t="n">
        <f aca="false">IF(AD74&gt;0,S72,0)</f>
        <v>0</v>
      </c>
    </row>
    <row r="75" customFormat="false" ht="12.75" hidden="false" customHeight="false" outlineLevel="0" collapsed="false">
      <c r="A75" s="718" t="n">
        <v>302</v>
      </c>
      <c r="B75" s="706" t="n">
        <f aca="false">A75/1000</f>
        <v>0.302</v>
      </c>
      <c r="C75" s="707" t="n">
        <f aca="false">SQRT(1+(A75/pole1)^2)</f>
        <v>1.12515780011419</v>
      </c>
      <c r="D75" s="708" t="n">
        <f aca="false">ATAN(A75/pole1)</f>
        <v>0.476154297200678</v>
      </c>
      <c r="E75" s="708" t="n">
        <f aca="false">SQRT(1+(A75/Zero1)^2)</f>
        <v>1.00000720115325</v>
      </c>
      <c r="F75" s="709" t="n">
        <f aca="false">ATAN(A75/Zero1)</f>
        <v>0.00379502570216325</v>
      </c>
      <c r="G75" s="708" t="n">
        <f aca="false">IF(VIN_nom&gt;Vout, 1, SQRT(1+(A75/z_RHP)^2))</f>
        <v>1.00001001677063</v>
      </c>
      <c r="H75" s="709" t="n">
        <f aca="false">IF(VIN_nom&gt;Vout, 0, -ATAN(A75/z_RHP))</f>
        <v>-0.0044758657306091</v>
      </c>
      <c r="I75" s="707" t="n">
        <f aca="false">SQRT(1+(A75/Pole2)^2)</f>
        <v>1252.75249992809</v>
      </c>
      <c r="J75" s="710" t="n">
        <f aca="false">ATAN(A75/Pole2)</f>
        <v>1.56999808443956</v>
      </c>
      <c r="K75" s="719" t="n">
        <f aca="false">SQRT(1+(A75/Zero2)^2)</f>
        <v>1.07249197658989</v>
      </c>
      <c r="L75" s="720" t="n">
        <f aca="false">ATAN(A75/Zero2)</f>
        <v>0.369777151871883</v>
      </c>
      <c r="M75" s="707" t="n">
        <f aca="false">SQRT(1+(A75/pole4)^2)</f>
        <v>1.00007250737141</v>
      </c>
      <c r="N75" s="710" t="n">
        <f aca="false">ATAN(A75/pole4)</f>
        <v>0.0120418429309355</v>
      </c>
      <c r="O75" s="711" t="n">
        <f aca="false">SQRT((1-(V75/pterm2))^2+(A75/pterm1)^2)</f>
        <v>1.00000477875626</v>
      </c>
      <c r="P75" s="712" t="n">
        <f aca="false">IF((ATAN((A75/pterm1)/(1-A75^2/pterm2))&gt;0),ATAN((A75/pterm1)/(1-A75^2/pterm2)),PI()+ATAN((A75/pterm1)/(1-A75^2/pterm2)))</f>
        <v>0.00420291283829385</v>
      </c>
      <c r="Q75" s="713" t="n">
        <f aca="false">20*LOG10(((E75*K75*G75)/(C75*I75*O75*M75))*Adc)</f>
        <v>26.7867366040643</v>
      </c>
      <c r="R75" s="714" t="n">
        <f aca="false">((F75+L75+H75)-(D75+J75+P75+N75))*radconv</f>
        <v>-97.0189908618118</v>
      </c>
      <c r="S75" s="717" t="n">
        <f aca="false">IF(R75&gt;0,R75,R75+180)</f>
        <v>82.9810091381882</v>
      </c>
      <c r="U75" s="644" t="n">
        <f aca="false">IF(Q75&lt;0,A75,1000000000)</f>
        <v>1000000000</v>
      </c>
      <c r="V75" s="644" t="n">
        <f aca="false">A75^2</f>
        <v>91204</v>
      </c>
      <c r="X75" s="716" t="n">
        <f aca="false">20*LOG10((K75/(I75*M75))*AEA)</f>
        <v>26.7466200402314</v>
      </c>
      <c r="Y75" s="717" t="n">
        <f aca="false">(L75-(J75+N75))*radconv</f>
        <v>-69.4575407762524</v>
      </c>
      <c r="AA75" s="716" t="n">
        <f aca="false">20*LOG10((E75*G75/(C75*O75))*Acs*Am)</f>
        <v>51.5207419183873</v>
      </c>
      <c r="AB75" s="717" t="n">
        <f aca="false">(F75+H75-(D75+P75))*radconv</f>
        <v>-27.5614500855594</v>
      </c>
      <c r="AD75" s="0" t="n">
        <f aca="false">SUM((Q76&lt;0)*(Q75&gt;0))*A75</f>
        <v>0</v>
      </c>
      <c r="AE75" s="0" t="n">
        <f aca="false">IF(AD75&gt;0,S73,0)</f>
        <v>0</v>
      </c>
    </row>
    <row r="76" customFormat="false" ht="12.75" hidden="false" customHeight="false" outlineLevel="0" collapsed="false">
      <c r="A76" s="718" t="n">
        <v>331.13</v>
      </c>
      <c r="B76" s="706" t="n">
        <f aca="false">A76/1000</f>
        <v>0.33113</v>
      </c>
      <c r="C76" s="707" t="n">
        <f aca="false">SQRT(1+(A76/pole1)^2)</f>
        <v>1.14881068693487</v>
      </c>
      <c r="D76" s="708" t="n">
        <f aca="false">ATAN(A76/pole1)</f>
        <v>0.514649220395659</v>
      </c>
      <c r="E76" s="708" t="n">
        <f aca="false">SQRT(1+(A76/Zero1)^2)</f>
        <v>1.00000865734869</v>
      </c>
      <c r="F76" s="709" t="n">
        <f aca="false">ATAN(A76/Zero1)</f>
        <v>0.00416107828084787</v>
      </c>
      <c r="G76" s="708" t="n">
        <f aca="false">IF(VIN_nom&gt;Vout, 1, SQRT(1+(A76/z_RHP)^2))</f>
        <v>1.00001204232827</v>
      </c>
      <c r="H76" s="709" t="n">
        <f aca="false">IF(VIN_nom&gt;Vout, 0, -ATAN(A76/z_RHP))</f>
        <v>-0.0049075874768776</v>
      </c>
      <c r="I76" s="707" t="n">
        <f aca="false">SQRT(1+(A76/Pole2)^2)</f>
        <v>1373.58911612974</v>
      </c>
      <c r="J76" s="710" t="n">
        <f aca="false">ATAN(A76/Pole2)</f>
        <v>1.57006830698417</v>
      </c>
      <c r="K76" s="719" t="n">
        <f aca="false">SQRT(1+(A76/Zero2)^2)</f>
        <v>1.08656341538497</v>
      </c>
      <c r="L76" s="720" t="n">
        <f aca="false">ATAN(A76/Zero2)</f>
        <v>0.401865720447754</v>
      </c>
      <c r="M76" s="707" t="n">
        <f aca="false">SQRT(1+(A76/pole4)^2)</f>
        <v>1.00008716901726</v>
      </c>
      <c r="N76" s="710" t="n">
        <f aca="false">ATAN(A76/pole4)</f>
        <v>0.0132032333691306</v>
      </c>
      <c r="O76" s="711" t="n">
        <f aca="false">SQRT((1-(V76/pterm2))^2+(A76/pterm1)^2)</f>
        <v>1.0000057451053</v>
      </c>
      <c r="P76" s="712" t="n">
        <f aca="false">IF((ATAN((A76/pterm1)/(1-A76^2/pterm2))&gt;0),ATAN((A76/pterm1)/(1-A76^2/pterm2)),PI()+ATAN((A76/pterm1)/(1-A76^2/pterm2)))</f>
        <v>0.00460831129741447</v>
      </c>
      <c r="Q76" s="713" t="n">
        <f aca="false">20*LOG10(((E76*K76*G76)/(C76*I76*O76*M76))*Adc)</f>
        <v>25.9193197480419</v>
      </c>
      <c r="R76" s="714" t="n">
        <f aca="false">((F76+L76+H76)-(D76+J76+P76+N76))*radconv</f>
        <v>-97.4836043568658</v>
      </c>
      <c r="S76" s="717" t="n">
        <f aca="false">IF(R76&gt;0,R76,R76+180)</f>
        <v>82.5163956431342</v>
      </c>
      <c r="U76" s="644" t="n">
        <f aca="false">IF(Q76&lt;0,A76,1000000000)</f>
        <v>1000000000</v>
      </c>
      <c r="V76" s="644" t="n">
        <f aca="false">A76^2</f>
        <v>109647.0769</v>
      </c>
      <c r="X76" s="716" t="n">
        <f aca="false">20*LOG10((K76/(I76*M76))*AEA)</f>
        <v>26.0598819705221</v>
      </c>
      <c r="Y76" s="717" t="n">
        <f aca="false">(L76-(J76+N76))*radconv</f>
        <v>-67.6895674501273</v>
      </c>
      <c r="AA76" s="716" t="n">
        <f aca="false">20*LOG10((E76*G76/(C76*O76))*Acs*Am)</f>
        <v>51.3400631320742</v>
      </c>
      <c r="AB76" s="717" t="n">
        <f aca="false">(F76+H76-(D76+P76))*radconv</f>
        <v>-29.7940369067385</v>
      </c>
      <c r="AD76" s="0" t="n">
        <f aca="false">SUM((Q77&lt;0)*(Q76&gt;0))*A76</f>
        <v>0</v>
      </c>
      <c r="AE76" s="0" t="n">
        <f aca="false">IF(AD76&gt;0,S74,0)</f>
        <v>0</v>
      </c>
    </row>
    <row r="77" customFormat="false" ht="12.75" hidden="false" customHeight="false" outlineLevel="0" collapsed="false">
      <c r="A77" s="718" t="n">
        <v>363.08</v>
      </c>
      <c r="B77" s="706" t="n">
        <f aca="false">A77/1000</f>
        <v>0.36308</v>
      </c>
      <c r="C77" s="707" t="n">
        <f aca="false">SQRT(1+(A77/pole1)^2)</f>
        <v>1.1766265363377</v>
      </c>
      <c r="D77" s="708" t="n">
        <f aca="false">ATAN(A77/pole1)</f>
        <v>0.555024855763148</v>
      </c>
      <c r="E77" s="708" t="n">
        <f aca="false">SQRT(1+(A77/Zero1)^2)</f>
        <v>1.00001040859534</v>
      </c>
      <c r="F77" s="709" t="n">
        <f aca="false">ATAN(A77/Zero1)</f>
        <v>0.00456256617752227</v>
      </c>
      <c r="G77" s="708" t="n">
        <f aca="false">IF(VIN_nom&gt;Vout, 1, SQRT(1+(A77/z_RHP)^2))</f>
        <v>1.00001447829856</v>
      </c>
      <c r="H77" s="709" t="n">
        <f aca="false">IF(VIN_nom&gt;Vout, 0, -ATAN(A77/z_RHP))</f>
        <v>-0.00538110097983026</v>
      </c>
      <c r="I77" s="707" t="n">
        <f aca="false">SQRT(1+(A77/Pole2)^2)</f>
        <v>1506.12361926607</v>
      </c>
      <c r="J77" s="710" t="n">
        <f aca="false">ATAN(A77/Pole2)</f>
        <v>1.57013237062245</v>
      </c>
      <c r="K77" s="719" t="n">
        <f aca="false">SQRT(1+(A77/Zero2)^2)</f>
        <v>1.10324832511993</v>
      </c>
      <c r="L77" s="720" t="n">
        <f aca="false">ATAN(A77/Zero2)</f>
        <v>0.436080338899725</v>
      </c>
      <c r="M77" s="707" t="n">
        <f aca="false">SQRT(1+(A77/pole4)^2)</f>
        <v>1.00010480111821</v>
      </c>
      <c r="N77" s="710" t="n">
        <f aca="false">ATAN(A77/pole4)</f>
        <v>0.0144770139394352</v>
      </c>
      <c r="O77" s="711" t="n">
        <f aca="false">SQRT((1-(V77/pterm2))^2+(A77/pterm1)^2)</f>
        <v>1.00000690725545</v>
      </c>
      <c r="P77" s="712" t="n">
        <f aca="false">IF((ATAN((A77/pterm1)/(1-A77^2/pterm2))&gt;0),ATAN((A77/pterm1)/(1-A77^2/pterm2)),PI()+ATAN((A77/pterm1)/(1-A77^2/pterm2)))</f>
        <v>0.00505295478916769</v>
      </c>
      <c r="Q77" s="713" t="n">
        <f aca="false">20*LOG10(((E77*K77*G77)/(C77*I77*O77*M77))*Adc)</f>
        <v>25.0436778572953</v>
      </c>
      <c r="R77" s="714" t="n">
        <f aca="false">((F77+L77+H77)-(D77+J77+P77+N77))*radconv</f>
        <v>-97.9428604096785</v>
      </c>
      <c r="S77" s="717" t="n">
        <f aca="false">IF(R77&gt;0,R77,R77+180)</f>
        <v>82.0571395903216</v>
      </c>
      <c r="U77" s="644" t="n">
        <f aca="false">IF(Q77&lt;0,A77,1000000000)</f>
        <v>1000000000</v>
      </c>
      <c r="V77" s="644" t="n">
        <f aca="false">A77^2</f>
        <v>131827.0864</v>
      </c>
      <c r="X77" s="716" t="n">
        <f aca="false">20*LOG10((K77/(I77*M77))*AEA)</f>
        <v>25.3920172401953</v>
      </c>
      <c r="Y77" s="717" t="n">
        <f aca="false">(L77-(J77+N77))*radconv</f>
        <v>-65.8058670398244</v>
      </c>
      <c r="AA77" s="716" t="n">
        <f aca="false">20*LOG10((E77*G77/(C77*O77))*Acs*Am)</f>
        <v>51.1322859716544</v>
      </c>
      <c r="AB77" s="717" t="n">
        <f aca="false">(F77+H77-(D77+P77))*radconv</f>
        <v>-32.1369933698541</v>
      </c>
      <c r="AD77" s="0" t="n">
        <f aca="false">SUM((Q78&lt;0)*(Q77&gt;0))*A77</f>
        <v>0</v>
      </c>
      <c r="AE77" s="0" t="n">
        <f aca="false">IF(AD77&gt;0,S75,0)</f>
        <v>0</v>
      </c>
    </row>
    <row r="78" customFormat="false" ht="12.75" hidden="false" customHeight="false" outlineLevel="0" collapsed="false">
      <c r="A78" s="718" t="n">
        <v>398.11</v>
      </c>
      <c r="B78" s="706" t="n">
        <f aca="false">A78/1000</f>
        <v>0.39811</v>
      </c>
      <c r="C78" s="707" t="n">
        <f aca="false">SQRT(1+(A78/pole1)^2)</f>
        <v>1.20921966015954</v>
      </c>
      <c r="D78" s="708" t="n">
        <f aca="false">ATAN(A78/pole1)</f>
        <v>0.597082209894324</v>
      </c>
      <c r="E78" s="708" t="n">
        <f aca="false">SQRT(1+(A78/Zero1)^2)</f>
        <v>1.00001251391461</v>
      </c>
      <c r="F78" s="709" t="n">
        <f aca="false">ATAN(A78/Zero1)</f>
        <v>0.00500275606354194</v>
      </c>
      <c r="G78" s="708" t="n">
        <f aca="false">IF(VIN_nom&gt;Vout, 1, SQRT(1+(A78/z_RHP)^2))</f>
        <v>1.00001740677886</v>
      </c>
      <c r="H78" s="709" t="n">
        <f aca="false">IF(VIN_nom&gt;Vout, 0, -ATAN(A78/z_RHP))</f>
        <v>-0.00590025869983474</v>
      </c>
      <c r="I78" s="707" t="n">
        <f aca="false">SQRT(1+(A78/Pole2)^2)</f>
        <v>1651.43453737714</v>
      </c>
      <c r="J78" s="710" t="n">
        <f aca="false">ATAN(A78/Pole2)</f>
        <v>1.57019079261326</v>
      </c>
      <c r="K78" s="719" t="n">
        <f aca="false">SQRT(1+(A78/Zero2)^2)</f>
        <v>1.12297858010323</v>
      </c>
      <c r="L78" s="720" t="n">
        <f aca="false">ATAN(A78/Zero2)</f>
        <v>0.472377713432832</v>
      </c>
      <c r="M78" s="707" t="n">
        <f aca="false">SQRT(1+(A78/pole4)^2)</f>
        <v>1.00012599776274</v>
      </c>
      <c r="N78" s="710" t="n">
        <f aca="false">ATAN(A78/pole4)</f>
        <v>0.0158735336099834</v>
      </c>
      <c r="O78" s="711" t="n">
        <f aca="false">SQRT((1-(V78/pterm2))^2+(A78/pterm1)^2)</f>
        <v>1.000008304375</v>
      </c>
      <c r="P78" s="712" t="n">
        <f aca="false">IF((ATAN((A78/pterm1)/(1-A78^2/pterm2))&gt;0),ATAN((A78/pterm1)/(1-A78^2/pterm2)),PI()+ATAN((A78/pterm1)/(1-A78^2/pterm2)))</f>
        <v>0.00554046147437446</v>
      </c>
      <c r="Q78" s="713" t="n">
        <f aca="false">20*LOG10(((E78*K78*G78)/(C78*I78*O78*M78))*Adc)</f>
        <v>24.1601431776252</v>
      </c>
      <c r="R78" s="714" t="n">
        <f aca="false">((F78+L78+H78)-(D78+J78+P78+N78))*radconv</f>
        <v>-98.3887015470236</v>
      </c>
      <c r="S78" s="717" t="n">
        <f aca="false">IF(R78&gt;0,R78,R78+180)</f>
        <v>81.6112984529764</v>
      </c>
      <c r="U78" s="644" t="n">
        <f aca="false">IF(Q78&lt;0,A78,1000000000)</f>
        <v>1000000000</v>
      </c>
      <c r="V78" s="644" t="n">
        <f aca="false">A78^2</f>
        <v>158491.5721</v>
      </c>
      <c r="X78" s="716" t="n">
        <f aca="false">20*LOG10((K78/(I78*M78))*AEA)</f>
        <v>24.7457821892736</v>
      </c>
      <c r="Y78" s="717" t="n">
        <f aca="false">(L78-(J78+N78))*radconv</f>
        <v>-63.8095426860241</v>
      </c>
      <c r="AA78" s="716" t="n">
        <f aca="false">20*LOG10((E78*G78/(C78*O78))*Acs*Am)</f>
        <v>50.8949863429059</v>
      </c>
      <c r="AB78" s="717" t="n">
        <f aca="false">(F78+H78-(D78+P78))*radconv</f>
        <v>-34.5791588609995</v>
      </c>
      <c r="AD78" s="0" t="n">
        <f aca="false">SUM((Q79&lt;0)*(Q78&gt;0))*A78</f>
        <v>0</v>
      </c>
      <c r="AE78" s="0" t="n">
        <f aca="false">IF(AD78&gt;0,S76,0)</f>
        <v>0</v>
      </c>
    </row>
    <row r="79" customFormat="false" ht="12.75" hidden="false" customHeight="false" outlineLevel="0" collapsed="false">
      <c r="A79" s="718" t="n">
        <v>436.52</v>
      </c>
      <c r="B79" s="706" t="n">
        <f aca="false">A79/1000</f>
        <v>0.43652</v>
      </c>
      <c r="C79" s="707" t="n">
        <f aca="false">SQRT(1+(A79/pole1)^2)</f>
        <v>1.24727863186196</v>
      </c>
      <c r="D79" s="708" t="n">
        <f aca="false">ATAN(A79/pole1)</f>
        <v>0.640586314529777</v>
      </c>
      <c r="E79" s="708" t="n">
        <f aca="false">SQRT(1+(A79/Zero1)^2)</f>
        <v>1.00001504508887</v>
      </c>
      <c r="F79" s="709" t="n">
        <f aca="false">ATAN(A79/Zero1)</f>
        <v>0.00548541707528133</v>
      </c>
      <c r="G79" s="708" t="n">
        <f aca="false">IF(VIN_nom&gt;Vout, 1, SQRT(1+(A79/z_RHP)^2))</f>
        <v>1.00002092761645</v>
      </c>
      <c r="H79" s="709" t="n">
        <f aca="false">IF(VIN_nom&gt;Vout, 0, -ATAN(A79/z_RHP))</f>
        <v>-0.00646950561974286</v>
      </c>
      <c r="I79" s="707" t="n">
        <f aca="false">SQRT(1+(A79/Pole2)^2)</f>
        <v>1810.76632594152</v>
      </c>
      <c r="J79" s="710" t="n">
        <f aca="false">ATAN(A79/Pole2)</f>
        <v>1.57024407439407</v>
      </c>
      <c r="K79" s="719" t="n">
        <f aca="false">SQRT(1+(A79/Zero2)^2)</f>
        <v>1.14625032272911</v>
      </c>
      <c r="L79" s="720" t="n">
        <f aca="false">ATAN(A79/Zero2)</f>
        <v>0.5106852340841</v>
      </c>
      <c r="M79" s="707" t="n">
        <f aca="false">SQRT(1+(A79/pole4)^2)</f>
        <v>1.00015148143835</v>
      </c>
      <c r="N79" s="710" t="n">
        <f aca="false">ATAN(A79/pole4)</f>
        <v>0.0174047303128818</v>
      </c>
      <c r="O79" s="711" t="n">
        <f aca="false">SQRT((1-(V79/pterm2))^2+(A79/pterm1)^2)</f>
        <v>1.00000998410109</v>
      </c>
      <c r="P79" s="712" t="n">
        <f aca="false">IF((ATAN((A79/pterm1)/(1-A79^2/pterm2))&gt;0),ATAN((A79/pterm1)/(1-A79^2/pterm2)),PI()+ATAN((A79/pterm1)/(1-A79^2/pterm2)))</f>
        <v>0.00607500611173811</v>
      </c>
      <c r="Q79" s="713" t="n">
        <f aca="false">20*LOG10(((E79*K79*G79)/(C79*I79*O79*M79))*Adc)</f>
        <v>23.2689332228202</v>
      </c>
      <c r="R79" s="714" t="n">
        <f aca="false">((F79+L79+H79)-(D79+J79+P79+N79))*radconv</f>
        <v>-98.8128159663188</v>
      </c>
      <c r="S79" s="717" t="n">
        <f aca="false">IF(R79&gt;0,R79,R79+180)</f>
        <v>81.1871840336812</v>
      </c>
      <c r="U79" s="644" t="n">
        <f aca="false">IF(Q79&lt;0,A79,1000000000)</f>
        <v>1000000000</v>
      </c>
      <c r="V79" s="644" t="n">
        <f aca="false">A79^2</f>
        <v>190549.7104</v>
      </c>
      <c r="X79" s="716" t="n">
        <f aca="false">20*LOG10((K79/(I79*M79))*AEA)</f>
        <v>24.1236999099447</v>
      </c>
      <c r="Y79" s="717" t="n">
        <f aca="false">(L79-(J79+N79))*radconv</f>
        <v>-61.7054673565378</v>
      </c>
      <c r="AA79" s="716" t="n">
        <f aca="false">20*LOG10((E79*G79/(C79*O79))*Acs*Am)</f>
        <v>50.6258586674299</v>
      </c>
      <c r="AB79" s="717" t="n">
        <f aca="false">(F79+H79-(D79+P79))*radconv</f>
        <v>-37.107348609781</v>
      </c>
      <c r="AD79" s="0" t="n">
        <f aca="false">SUM((Q80&lt;0)*(Q79&gt;0))*A79</f>
        <v>0</v>
      </c>
      <c r="AE79" s="0" t="n">
        <f aca="false">IF(AD79&gt;0,S77,0)</f>
        <v>0</v>
      </c>
    </row>
    <row r="80" customFormat="false" ht="12.75" hidden="false" customHeight="false" outlineLevel="0" collapsed="false">
      <c r="A80" s="718" t="n">
        <v>478.63</v>
      </c>
      <c r="B80" s="706" t="n">
        <f aca="false">A80/1000</f>
        <v>0.47863</v>
      </c>
      <c r="C80" s="707" t="n">
        <f aca="false">SQRT(1+(A80/pole1)^2)</f>
        <v>1.2915456331764</v>
      </c>
      <c r="D80" s="708" t="n">
        <f aca="false">ATAN(A80/pole1)</f>
        <v>0.685241712157263</v>
      </c>
      <c r="E80" s="708" t="n">
        <f aca="false">SQRT(1+(A80/Zero1)^2)</f>
        <v>1.00001808779537</v>
      </c>
      <c r="F80" s="709" t="n">
        <f aca="false">ATAN(A80/Zero1)</f>
        <v>0.00601456943345429</v>
      </c>
      <c r="G80" s="708" t="n">
        <f aca="false">IF(VIN_nom&gt;Vout, 1, SQRT(1+(A80/z_RHP)^2))</f>
        <v>1.00002515998556</v>
      </c>
      <c r="H80" s="709" t="n">
        <f aca="false">IF(VIN_nom&gt;Vout, 0, -ATAN(A80/z_RHP))</f>
        <v>-0.00709358274058082</v>
      </c>
      <c r="I80" s="707" t="n">
        <f aca="false">SQRT(1+(A80/Pole2)^2)</f>
        <v>1985.4464041809</v>
      </c>
      <c r="J80" s="710" t="n">
        <f aca="false">ATAN(A80/Pole2)</f>
        <v>1.57029266170468</v>
      </c>
      <c r="K80" s="719" t="n">
        <f aca="false">SQRT(1+(A80/Zero2)^2)</f>
        <v>1.1736145849573</v>
      </c>
      <c r="L80" s="720" t="n">
        <f aca="false">ATAN(A80/Zero2)</f>
        <v>0.550871867996216</v>
      </c>
      <c r="M80" s="707" t="n">
        <f aca="false">SQRT(1+(A80/pole4)^2)</f>
        <v>1.00018211440878</v>
      </c>
      <c r="N80" s="710" t="n">
        <f aca="false">ATAN(A80/pole4)</f>
        <v>0.019083331733714</v>
      </c>
      <c r="O80" s="711" t="n">
        <f aca="false">SQRT((1-(V80/pterm2))^2+(A80/pterm1)^2)</f>
        <v>1.00001200329242</v>
      </c>
      <c r="P80" s="712" t="n">
        <f aca="false">IF((ATAN((A80/pterm1)/(1-A80^2/pterm2))&gt;0),ATAN((A80/pterm1)/(1-A80^2/pterm2)),PI()+ATAN((A80/pterm1)/(1-A80^2/pterm2)))</f>
        <v>0.0066610416961881</v>
      </c>
      <c r="Q80" s="713" t="n">
        <f aca="false">20*LOG10(((E80*K80*G80)/(C80*I80*O80*M80))*Adc)</f>
        <v>22.3707927493061</v>
      </c>
      <c r="R80" s="714" t="n">
        <f aca="false">((F80+L80+H80)-(D80+J80+P80+N80))*radconv</f>
        <v>-99.2068340459405</v>
      </c>
      <c r="S80" s="717" t="n">
        <f aca="false">IF(R80&gt;0,R80,R80+180)</f>
        <v>80.7931659540595</v>
      </c>
      <c r="U80" s="644" t="n">
        <f aca="false">IF(Q80&lt;0,A80,1000000000)</f>
        <v>1000000000</v>
      </c>
      <c r="V80" s="644" t="n">
        <f aca="false">A80^2</f>
        <v>229086.6769</v>
      </c>
      <c r="X80" s="716" t="n">
        <f aca="false">20*LOG10((K80/(I80*M80))*AEA)</f>
        <v>23.5284392497216</v>
      </c>
      <c r="Y80" s="717" t="n">
        <f aca="false">(L80-(J80+N80))*radconv</f>
        <v>-59.5019034627523</v>
      </c>
      <c r="AA80" s="716" t="n">
        <f aca="false">20*LOG10((E80*G80/(C80*O80))*Acs*Am)</f>
        <v>50.3229788541389</v>
      </c>
      <c r="AB80" s="717" t="n">
        <f aca="false">(F80+H80-(D80+P80))*radconv</f>
        <v>-39.7049305831881</v>
      </c>
      <c r="AD80" s="0" t="n">
        <f aca="false">SUM((Q81&lt;0)*(Q80&gt;0))*A80</f>
        <v>0</v>
      </c>
      <c r="AE80" s="0" t="n">
        <f aca="false">IF(AD80&gt;0,S78,0)</f>
        <v>0</v>
      </c>
    </row>
    <row r="81" customFormat="false" ht="12.75" hidden="false" customHeight="false" outlineLevel="0" collapsed="false">
      <c r="A81" s="718" t="n">
        <v>524.81</v>
      </c>
      <c r="B81" s="706" t="n">
        <f aca="false">A81/1000</f>
        <v>0.52481</v>
      </c>
      <c r="C81" s="707" t="n">
        <f aca="false">SQRT(1+(A81/pole1)^2)</f>
        <v>1.34284365344114</v>
      </c>
      <c r="D81" s="708" t="n">
        <f aca="false">ATAN(A81/pole1)</f>
        <v>0.730728587552078</v>
      </c>
      <c r="E81" s="708" t="n">
        <f aca="false">SQRT(1+(A81/Zero1)^2)</f>
        <v>1.00002174649216</v>
      </c>
      <c r="F81" s="709" t="n">
        <f aca="false">ATAN(A81/Zero1)</f>
        <v>0.00659486134458828</v>
      </c>
      <c r="G81" s="708" t="n">
        <f aca="false">IF(VIN_nom&gt;Vout, 1, SQRT(1+(A81/z_RHP)^2))</f>
        <v>1.00003024918328</v>
      </c>
      <c r="H81" s="709" t="n">
        <f aca="false">IF(VIN_nom&gt;Vout, 0, -ATAN(A81/z_RHP))</f>
        <v>-0.00777797155988801</v>
      </c>
      <c r="I81" s="707" t="n">
        <f aca="false">SQRT(1+(A81/Pole2)^2)</f>
        <v>2177.0096006148</v>
      </c>
      <c r="J81" s="710" t="n">
        <f aca="false">ATAN(A81/Pole2)</f>
        <v>1.57033698107824</v>
      </c>
      <c r="K81" s="719" t="n">
        <f aca="false">SQRT(1+(A81/Zero2)^2)</f>
        <v>1.20569669964338</v>
      </c>
      <c r="L81" s="720" t="n">
        <f aca="false">ATAN(A81/Zero2)</f>
        <v>0.592770697525153</v>
      </c>
      <c r="M81" s="707" t="n">
        <f aca="false">SQRT(1+(A81/pole4)^2)</f>
        <v>1.00021894784842</v>
      </c>
      <c r="N81" s="710" t="n">
        <f aca="false">ATAN(A81/pole4)</f>
        <v>0.0209240487197236</v>
      </c>
      <c r="O81" s="711" t="n">
        <f aca="false">SQRT((1-(V81/pterm2))^2+(A81/pterm1)^2)</f>
        <v>1.0000144312719</v>
      </c>
      <c r="P81" s="712" t="n">
        <f aca="false">IF((ATAN((A81/pterm1)/(1-A81^2/pterm2))&gt;0),ATAN((A81/pterm1)/(1-A81^2/pterm2)),PI()+ATAN((A81/pterm1)/(1-A81^2/pterm2)))</f>
        <v>0.00730371692959956</v>
      </c>
      <c r="Q81" s="713" t="n">
        <f aca="false">20*LOG10(((E81*K81*G81)/(C81*I81*O81*M81))*Adc)</f>
        <v>21.4664218210396</v>
      </c>
      <c r="R81" s="714" t="n">
        <f aca="false">((F81+L81+H81)-(D81+J81+P81+N81))*radconv</f>
        <v>-99.5632054507644</v>
      </c>
      <c r="S81" s="717" t="n">
        <f aca="false">IF(R81&gt;0,R81,R81+180)</f>
        <v>80.4367945492356</v>
      </c>
      <c r="U81" s="644" t="n">
        <f aca="false">IF(Q81&lt;0,A81,1000000000)</f>
        <v>1000000000</v>
      </c>
      <c r="V81" s="644" t="n">
        <f aca="false">A81^2</f>
        <v>275425.5361</v>
      </c>
      <c r="X81" s="716" t="n">
        <f aca="false">20*LOG10((K81/(I81*M81))*AEA)</f>
        <v>22.9623273403827</v>
      </c>
      <c r="Y81" s="717" t="n">
        <f aca="false">(L81-(J81+N81))*radconv</f>
        <v>-57.2092819892183</v>
      </c>
      <c r="AA81" s="716" t="n">
        <f aca="false">20*LOG10((E81*G81/(C81*O81))*Acs*Am)</f>
        <v>49.9847198352113</v>
      </c>
      <c r="AB81" s="717" t="n">
        <f aca="false">(F81+H81-(D81+P81))*radconv</f>
        <v>-42.3539234615461</v>
      </c>
      <c r="AD81" s="0" t="n">
        <f aca="false">SUM((Q82&lt;0)*(Q81&gt;0))*A81</f>
        <v>0</v>
      </c>
      <c r="AE81" s="0" t="n">
        <f aca="false">IF(AD81&gt;0,S79,0)</f>
        <v>0</v>
      </c>
    </row>
    <row r="82" customFormat="false" ht="12.75" hidden="false" customHeight="false" outlineLevel="0" collapsed="false">
      <c r="A82" s="718" t="n">
        <v>575.44</v>
      </c>
      <c r="B82" s="706" t="n">
        <f aca="false">A82/1000</f>
        <v>0.57544</v>
      </c>
      <c r="C82" s="707" t="n">
        <f aca="false">SQRT(1+(A82/pole1)^2)</f>
        <v>1.40202875023061</v>
      </c>
      <c r="D82" s="708" t="n">
        <f aca="false">ATAN(A82/pole1)</f>
        <v>0.776669111331016</v>
      </c>
      <c r="E82" s="708" t="n">
        <f aca="false">SQRT(1+(A82/Zero1)^2)</f>
        <v>1.00002614472925</v>
      </c>
      <c r="F82" s="709" t="n">
        <f aca="false">ATAN(A82/Zero1)</f>
        <v>0.00723106626199409</v>
      </c>
      <c r="G82" s="708" t="n">
        <f aca="false">IF(VIN_nom&gt;Vout, 1, SQRT(1+(A82/z_RHP)^2))</f>
        <v>1.00003636706193</v>
      </c>
      <c r="H82" s="709" t="n">
        <f aca="false">IF(VIN_nom&gt;Vout, 0, -ATAN(A82/z_RHP))</f>
        <v>-0.00852830109973239</v>
      </c>
      <c r="I82" s="707" t="n">
        <f aca="false">SQRT(1+(A82/Pole2)^2)</f>
        <v>2387.03222565162</v>
      </c>
      <c r="J82" s="710" t="n">
        <f aca="false">ATAN(A82/Pole2)</f>
        <v>1.5703773965356</v>
      </c>
      <c r="K82" s="719" t="n">
        <f aca="false">SQRT(1+(A82/Zero2)^2)</f>
        <v>1.24316839623785</v>
      </c>
      <c r="L82" s="720" t="n">
        <f aca="false">ATAN(A82/Zero2)</f>
        <v>0.636137808330893</v>
      </c>
      <c r="M82" s="707" t="n">
        <f aca="false">SQRT(1+(A82/pole4)^2)</f>
        <v>1.00026322489399</v>
      </c>
      <c r="N82" s="710" t="n">
        <f aca="false">ATAN(A82/pole4)</f>
        <v>0.0229419775737488</v>
      </c>
      <c r="O82" s="711" t="n">
        <f aca="false">SQRT((1-(V82/pterm2))^2+(A82/pterm1)^2)</f>
        <v>1.0000173500337</v>
      </c>
      <c r="P82" s="712" t="n">
        <f aca="false">IF((ATAN((A82/pterm1)/(1-A82^2/pterm2))&gt;0),ATAN((A82/pterm1)/(1-A82^2/pterm2)),PI()+ATAN((A82/pterm1)/(1-A82^2/pterm2)))</f>
        <v>0.00800831950692992</v>
      </c>
      <c r="Q82" s="713" t="n">
        <f aca="false">20*LOG10(((E82*K82*G82)/(C82*I82*O82*M82))*Adc)</f>
        <v>20.5573529658039</v>
      </c>
      <c r="R82" s="714" t="n">
        <f aca="false">((F82+L82+H82)-(D82+J82+P82+N82))*radconv</f>
        <v>-99.8754952083761</v>
      </c>
      <c r="S82" s="717" t="n">
        <f aca="false">IF(R82&gt;0,R82,R82+180)</f>
        <v>80.124504791624</v>
      </c>
      <c r="U82" s="644" t="n">
        <f aca="false">IF(Q82&lt;0,A82,1000000000)</f>
        <v>1000000000</v>
      </c>
      <c r="V82" s="644" t="n">
        <f aca="false">A82^2</f>
        <v>331131.1936</v>
      </c>
      <c r="X82" s="716" t="n">
        <f aca="false">20*LOG10((K82/(I82*M82))*AEA)</f>
        <v>22.4278218675437</v>
      </c>
      <c r="Y82" s="717" t="n">
        <f aca="false">(L82-(J82+N82))*radconv</f>
        <v>-54.8424640094957</v>
      </c>
      <c r="AA82" s="716" t="n">
        <f aca="false">20*LOG10((E82*G82/(C82*O82))*Acs*Am)</f>
        <v>49.6101564528146</v>
      </c>
      <c r="AB82" s="717" t="n">
        <f aca="false">(F82+H82-(D82+P82))*radconv</f>
        <v>-45.0330311988803</v>
      </c>
      <c r="AD82" s="0" t="n">
        <f aca="false">SUM((Q83&lt;0)*(Q82&gt;0))*A82</f>
        <v>0</v>
      </c>
      <c r="AE82" s="0" t="n">
        <f aca="false">IF(AD82&gt;0,S80,0)</f>
        <v>0</v>
      </c>
    </row>
    <row r="83" customFormat="false" ht="12.75" hidden="false" customHeight="false" outlineLevel="0" collapsed="false">
      <c r="A83" s="718" t="n">
        <v>630.96</v>
      </c>
      <c r="B83" s="706" t="n">
        <f aca="false">A83/1000</f>
        <v>0.63096</v>
      </c>
      <c r="C83" s="707" t="n">
        <f aca="false">SQRT(1+(A83/pole1)^2)</f>
        <v>1.4700400638454</v>
      </c>
      <c r="D83" s="708" t="n">
        <f aca="false">ATAN(A83/pole1)</f>
        <v>0.822687803577202</v>
      </c>
      <c r="E83" s="708" t="n">
        <f aca="false">SQRT(1+(A83/Zero1)^2)</f>
        <v>1.00003143305276</v>
      </c>
      <c r="F83" s="709" t="n">
        <f aca="false">ATAN(A83/Zero1)</f>
        <v>0.00792871104488836</v>
      </c>
      <c r="G83" s="708" t="n">
        <f aca="false">IF(VIN_nom&gt;Vout, 1, SQRT(1+(A83/z_RHP)^2))</f>
        <v>1.00004372302285</v>
      </c>
      <c r="H83" s="709" t="n">
        <f aca="false">IF(VIN_nom&gt;Vout, 0, -ATAN(A83/z_RHP))</f>
        <v>-0.00935108868754388</v>
      </c>
      <c r="I83" s="707" t="n">
        <f aca="false">SQRT(1+(A83/Pole2)^2)</f>
        <v>2617.33948085196</v>
      </c>
      <c r="J83" s="710" t="n">
        <f aca="false">ATAN(A83/Pole2)</f>
        <v>1.57041425942013</v>
      </c>
      <c r="K83" s="719" t="n">
        <f aca="false">SQRT(1+(A83/Zero2)^2)</f>
        <v>1.28677960305752</v>
      </c>
      <c r="L83" s="720" t="n">
        <f aca="false">ATAN(A83/Zero2)</f>
        <v>0.680697637323269</v>
      </c>
      <c r="M83" s="707" t="n">
        <f aca="false">SQRT(1+(A83/pole4)^2)</f>
        <v>1.00031646010095</v>
      </c>
      <c r="N83" s="710" t="n">
        <f aca="false">ATAN(A83/pole4)</f>
        <v>0.0251545887525738</v>
      </c>
      <c r="O83" s="711" t="n">
        <f aca="false">SQRT((1-(V83/pterm2))^2+(A83/pterm1)^2)</f>
        <v>1.00002085948923</v>
      </c>
      <c r="P83" s="712" t="n">
        <f aca="false">IF((ATAN((A83/pterm1)/(1-A83^2/pterm2))&gt;0),ATAN((A83/pterm1)/(1-A83^2/pterm2)),PI()+ATAN((A83/pterm1)/(1-A83^2/pterm2)))</f>
        <v>0.0087809718965153</v>
      </c>
      <c r="Q83" s="713" t="n">
        <f aca="false">20*LOG10(((E83*K83*G83)/(C83*I83*O83*M83))*Adc)</f>
        <v>19.6449736767884</v>
      </c>
      <c r="R83" s="714" t="n">
        <f aca="false">((F83+L83+H83)-(D83+J83+P83+N83))*radconv</f>
        <v>-100.139407161474</v>
      </c>
      <c r="S83" s="717" t="n">
        <f aca="false">IF(R83&gt;0,R83,R83+180)</f>
        <v>79.8605928385258</v>
      </c>
      <c r="U83" s="644" t="n">
        <f aca="false">IF(Q83&lt;0,A83,1000000000)</f>
        <v>1000000000</v>
      </c>
      <c r="V83" s="644" t="n">
        <f aca="false">A83^2</f>
        <v>398110.5216</v>
      </c>
      <c r="X83" s="716" t="n">
        <f aca="false">20*LOG10((K83/(I83*M83))*AEA)</f>
        <v>21.9268082687237</v>
      </c>
      <c r="Y83" s="717" t="n">
        <f aca="false">(L83-(J83+N83))*radconv</f>
        <v>-52.4182592395923</v>
      </c>
      <c r="AA83" s="716" t="n">
        <f aca="false">20*LOG10((E83*G83/(C83*O83))*Acs*Am)</f>
        <v>49.1987907626191</v>
      </c>
      <c r="AB83" s="717" t="n">
        <f aca="false">(F83+H83-(D83+P83))*radconv</f>
        <v>-47.7211479218819</v>
      </c>
      <c r="AD83" s="0" t="n">
        <f aca="false">SUM((Q84&lt;0)*(Q83&gt;0))*A83</f>
        <v>0</v>
      </c>
      <c r="AE83" s="0" t="n">
        <f aca="false">IF(AD83&gt;0,S81,0)</f>
        <v>0</v>
      </c>
    </row>
    <row r="84" customFormat="false" ht="12.75" hidden="false" customHeight="false" outlineLevel="0" collapsed="false">
      <c r="A84" s="718" t="n">
        <v>691.83</v>
      </c>
      <c r="B84" s="706" t="n">
        <f aca="false">A84/1000</f>
        <v>0.69183</v>
      </c>
      <c r="C84" s="707" t="n">
        <f aca="false">SQRT(1+(A84/pole1)^2)</f>
        <v>1.54784841919226</v>
      </c>
      <c r="D84" s="708" t="n">
        <f aca="false">ATAN(A84/pole1)</f>
        <v>0.868387623769591</v>
      </c>
      <c r="E84" s="708" t="n">
        <f aca="false">SQRT(1+(A84/Zero1)^2)</f>
        <v>1.00003779029711</v>
      </c>
      <c r="F84" s="709" t="n">
        <f aca="false">ATAN(A84/Zero1)</f>
        <v>0.00869357315066566</v>
      </c>
      <c r="G84" s="708" t="n">
        <f aca="false">IF(VIN_nom&gt;Vout, 1, SQRT(1+(A84/z_RHP)^2))</f>
        <v>1.00005256581292</v>
      </c>
      <c r="H84" s="709" t="n">
        <f aca="false">IF(VIN_nom&gt;Vout, 0, -ATAN(A84/z_RHP))</f>
        <v>-0.0102531468714536</v>
      </c>
      <c r="I84" s="707" t="n">
        <f aca="false">SQRT(1+(A84/Pole2)^2)</f>
        <v>2869.83953151462</v>
      </c>
      <c r="J84" s="710" t="n">
        <f aca="false">ATAN(A84/Pole2)</f>
        <v>1.57044787524935</v>
      </c>
      <c r="K84" s="719" t="n">
        <f aca="false">SQRT(1+(A84/Zero2)^2)</f>
        <v>1.33732504154144</v>
      </c>
      <c r="L84" s="720" t="n">
        <f aca="false">ATAN(A84/Zero2)</f>
        <v>0.726112281063201</v>
      </c>
      <c r="M84" s="707" t="n">
        <f aca="false">SQRT(1+(A84/pole4)^2)</f>
        <v>1.00038045228285</v>
      </c>
      <c r="N84" s="710" t="n">
        <f aca="false">ATAN(A84/pole4)</f>
        <v>0.0275801269775012</v>
      </c>
      <c r="O84" s="711" t="n">
        <f aca="false">SQRT((1-(V84/pterm2))^2+(A84/pterm1)^2)</f>
        <v>1.0000250783257</v>
      </c>
      <c r="P84" s="712" t="n">
        <f aca="false">IF((ATAN((A84/pterm1)/(1-A84^2/pterm2))&gt;0),ATAN((A84/pterm1)/(1-A84^2/pterm2)),PI()+ATAN((A84/pterm1)/(1-A84^2/pterm2)))</f>
        <v>0.00962807459712273</v>
      </c>
      <c r="Q84" s="713" t="n">
        <f aca="false">20*LOG10(((E84*K84*G84)/(C84*I84*O84*M84))*Adc)</f>
        <v>18.7312333047648</v>
      </c>
      <c r="R84" s="714" t="n">
        <f aca="false">((F84+L84+H84)-(D84+J84+P84+N84))*radconv</f>
        <v>-100.353041883137</v>
      </c>
      <c r="S84" s="717" t="n">
        <f aca="false">IF(R84&gt;0,R84,R84+180)</f>
        <v>79.6469581168626</v>
      </c>
      <c r="U84" s="644" t="n">
        <f aca="false">IF(Q84&lt;0,A84,1000000000)</f>
        <v>1000000000</v>
      </c>
      <c r="V84" s="644" t="n">
        <f aca="false">A84^2</f>
        <v>478628.7489</v>
      </c>
      <c r="X84" s="716" t="n">
        <f aca="false">20*LOG10((K84/(I84*M84))*AEA)</f>
        <v>21.460957659615</v>
      </c>
      <c r="Y84" s="717" t="n">
        <f aca="false">(L84-(J84+N84))*radconv</f>
        <v>-49.9570909708668</v>
      </c>
      <c r="AA84" s="716" t="n">
        <f aca="false">20*LOG10((E84*G84/(C84*O84))*Acs*Am)</f>
        <v>48.7509009997042</v>
      </c>
      <c r="AB84" s="717" t="n">
        <f aca="false">(F84+H84-(D84+P84))*radconv</f>
        <v>-50.3959509122706</v>
      </c>
      <c r="AD84" s="0" t="n">
        <f aca="false">SUM((Q85&lt;0)*(Q84&gt;0))*A84</f>
        <v>0</v>
      </c>
      <c r="AE84" s="0" t="n">
        <f aca="false">IF(AD84&gt;0,S82,0)</f>
        <v>0</v>
      </c>
    </row>
    <row r="85" customFormat="false" ht="12.75" hidden="false" customHeight="false" outlineLevel="0" collapsed="false">
      <c r="A85" s="718" t="n">
        <v>758.58</v>
      </c>
      <c r="B85" s="706" t="n">
        <f aca="false">A85/1000</f>
        <v>0.75858</v>
      </c>
      <c r="C85" s="707" t="n">
        <f aca="false">SQRT(1+(A85/pole1)^2)</f>
        <v>1.63651394453374</v>
      </c>
      <c r="D85" s="708" t="n">
        <f aca="false">ATAN(A85/pole1)</f>
        <v>0.913403678481904</v>
      </c>
      <c r="E85" s="708" t="n">
        <f aca="false">SQRT(1+(A85/Zero1)^2)</f>
        <v>1.00004543417456</v>
      </c>
      <c r="F85" s="709" t="n">
        <f aca="false">ATAN(A85/Zero1)</f>
        <v>0.00953230868180088</v>
      </c>
      <c r="G85" s="708" t="n">
        <f aca="false">IF(VIN_nom&gt;Vout, 1, SQRT(1+(A85/z_RHP)^2))</f>
        <v>1.00006319825282</v>
      </c>
      <c r="H85" s="709" t="n">
        <f aca="false">IF(VIN_nom&gt;Vout, 0, -ATAN(A85/z_RHP))</f>
        <v>-0.0112423240170669</v>
      </c>
      <c r="I85" s="707" t="n">
        <f aca="false">SQRT(1+(A85/Pole2)^2)</f>
        <v>3146.73091594835</v>
      </c>
      <c r="J85" s="710" t="n">
        <f aca="false">ATAN(A85/Pole2)</f>
        <v>1.57047853666808</v>
      </c>
      <c r="K85" s="719" t="n">
        <f aca="false">SQRT(1+(A85/Zero2)^2)</f>
        <v>1.39567904908867</v>
      </c>
      <c r="L85" s="720" t="n">
        <f aca="false">ATAN(A85/Zero2)</f>
        <v>0.772028466902248</v>
      </c>
      <c r="M85" s="707" t="n">
        <f aca="false">SQRT(1+(A85/pole4)^2)</f>
        <v>1.00045739086485</v>
      </c>
      <c r="N85" s="710" t="n">
        <f aca="false">ATAN(A85/pole4)</f>
        <v>0.0302395963661996</v>
      </c>
      <c r="O85" s="711" t="n">
        <f aca="false">SQRT((1-(V85/pterm2))^2+(A85/pterm1)^2)</f>
        <v>1.00003015103502</v>
      </c>
      <c r="P85" s="712" t="n">
        <f aca="false">IF((ATAN((A85/pterm1)/(1-A85^2/pterm2))&gt;0),ATAN((A85/pterm1)/(1-A85^2/pterm2)),PI()+ATAN((A85/pterm1)/(1-A85^2/pterm2)))</f>
        <v>0.0105570018707361</v>
      </c>
      <c r="Q85" s="713" t="n">
        <f aca="false">20*LOG10(((E85*K85*G85)/(C85*I85*O85*M85))*Adc)</f>
        <v>17.8177861169124</v>
      </c>
      <c r="R85" s="714" t="n">
        <f aca="false">((F85+L85+H85)-(D85+J85+P85+N85))*radconv</f>
        <v>-100.517444592184</v>
      </c>
      <c r="S85" s="717" t="n">
        <f aca="false">IF(R85&gt;0,R85,R85+180)</f>
        <v>79.4825554078155</v>
      </c>
      <c r="U85" s="644" t="n">
        <f aca="false">IF(Q85&lt;0,A85,1000000000)</f>
        <v>1000000000</v>
      </c>
      <c r="V85" s="644" t="n">
        <f aca="false">A85^2</f>
        <v>575443.6164</v>
      </c>
      <c r="X85" s="716" t="n">
        <f aca="false">20*LOG10((K85/(I85*M85))*AEA)</f>
        <v>21.0312214388181</v>
      </c>
      <c r="Y85" s="717" t="n">
        <f aca="false">(L85-(J85+N85))*radconv</f>
        <v>-47.480420449725</v>
      </c>
      <c r="AA85" s="716" t="n">
        <f aca="false">20*LOG10((E85*G85/(C85*O85))*Acs*Am)</f>
        <v>48.2671900326487</v>
      </c>
      <c r="AB85" s="717" t="n">
        <f aca="false">(F85+H85-(D85+P85))*radconv</f>
        <v>-53.0370241424594</v>
      </c>
      <c r="AD85" s="0" t="n">
        <f aca="false">SUM((Q86&lt;0)*(Q85&gt;0))*A85</f>
        <v>0</v>
      </c>
      <c r="AE85" s="0" t="n">
        <f aca="false">IF(AD85&gt;0,S83,0)</f>
        <v>0</v>
      </c>
    </row>
    <row r="86" customFormat="false" ht="12.75" hidden="false" customHeight="false" outlineLevel="0" collapsed="false">
      <c r="A86" s="718" t="n">
        <v>831.76</v>
      </c>
      <c r="B86" s="706" t="n">
        <f aca="false">A86/1000</f>
        <v>0.83176</v>
      </c>
      <c r="C86" s="707" t="n">
        <f aca="false">SQRT(1+(A86/pole1)^2)</f>
        <v>1.73711899373647</v>
      </c>
      <c r="D86" s="708" t="n">
        <f aca="false">ATAN(A86/pole1)</f>
        <v>0.95737815863538</v>
      </c>
      <c r="E86" s="708" t="n">
        <f aca="false">SQRT(1+(A86/Zero1)^2)</f>
        <v>1.00005462279669</v>
      </c>
      <c r="F86" s="709" t="n">
        <f aca="false">ATAN(A86/Zero1)</f>
        <v>0.0104518238057178</v>
      </c>
      <c r="G86" s="708" t="n">
        <f aca="false">IF(VIN_nom&gt;Vout, 1, SQRT(1+(A86/z_RHP)^2))</f>
        <v>1.00007597935141</v>
      </c>
      <c r="H86" s="709" t="n">
        <f aca="false">IF(VIN_nom&gt;Vout, 0, -ATAN(A86/z_RHP))</f>
        <v>-0.012326762836079</v>
      </c>
      <c r="I86" s="707" t="n">
        <f aca="false">SQRT(1+(A86/Pole2)^2)</f>
        <v>3450.29513619706</v>
      </c>
      <c r="J86" s="710" t="n">
        <f aca="false">ATAN(A86/Pole2)</f>
        <v>1.57050649651241</v>
      </c>
      <c r="K86" s="719" t="n">
        <f aca="false">SQRT(1+(A86/Zero2)^2)</f>
        <v>1.4627484036314</v>
      </c>
      <c r="L86" s="720" t="n">
        <f aca="false">ATAN(A86/Zero2)</f>
        <v>0.818051474369754</v>
      </c>
      <c r="M86" s="707" t="n">
        <f aca="false">SQRT(1+(A86/pole4)^2)</f>
        <v>1.00054987084719</v>
      </c>
      <c r="N86" s="710" t="n">
        <f aca="false">ATAN(A86/pole4)</f>
        <v>0.0331547583433789</v>
      </c>
      <c r="O86" s="711" t="n">
        <f aca="false">SQRT((1-(V86/pterm2))^2+(A86/pterm1)^2)</f>
        <v>1.00003624892561</v>
      </c>
      <c r="P86" s="712" t="n">
        <f aca="false">IF((ATAN((A86/pterm1)/(1-A86^2/pterm2))&gt;0),ATAN((A86/pterm1)/(1-A86^2/pterm2)),PI()+ATAN((A86/pterm1)/(1-A86^2/pterm2)))</f>
        <v>0.0115754057840261</v>
      </c>
      <c r="Q86" s="713" t="n">
        <f aca="false">20*LOG10(((E86*K86*G86)/(C86*I86*O86*M86))*Adc)</f>
        <v>16.9066726202898</v>
      </c>
      <c r="R86" s="714" t="n">
        <f aca="false">((F86+L86+H86)-(D86+J86+P86+N86))*radconv</f>
        <v>-100.636500759716</v>
      </c>
      <c r="S86" s="717" t="n">
        <f aca="false">IF(R86&gt;0,R86,R86+180)</f>
        <v>79.3634992402839</v>
      </c>
      <c r="U86" s="644" t="n">
        <f aca="false">IF(Q86&lt;0,A86,1000000000)</f>
        <v>1000000000</v>
      </c>
      <c r="V86" s="644" t="n">
        <f aca="false">A86^2</f>
        <v>691824.6976</v>
      </c>
      <c r="X86" s="716" t="n">
        <f aca="false">20*LOG10((K86/(I86*M86))*AEA)</f>
        <v>20.6381672647871</v>
      </c>
      <c r="Y86" s="717" t="n">
        <f aca="false">(L86-(J86+N86))*radconv</f>
        <v>-45.0121248174825</v>
      </c>
      <c r="AA86" s="716" t="n">
        <f aca="false">20*LOG10((E86*G86/(C86*O86))*Acs*Am)</f>
        <v>47.7491307100571</v>
      </c>
      <c r="AB86" s="717" t="n">
        <f aca="false">(F86+H86-(D86+P86))*radconv</f>
        <v>-55.6243759422337</v>
      </c>
      <c r="AD86" s="0" t="n">
        <f aca="false">SUM((Q87&lt;0)*(Q86&gt;0))*A86</f>
        <v>0</v>
      </c>
      <c r="AE86" s="0" t="n">
        <f aca="false">IF(AD86&gt;0,S84,0)</f>
        <v>0</v>
      </c>
    </row>
    <row r="87" customFormat="false" ht="12.75" hidden="false" customHeight="false" outlineLevel="0" collapsed="false">
      <c r="A87" s="718" t="n">
        <v>912.01</v>
      </c>
      <c r="B87" s="706" t="n">
        <f aca="false">A87/1000</f>
        <v>0.91201</v>
      </c>
      <c r="C87" s="707" t="n">
        <f aca="false">SQRT(1+(A87/pole1)^2)</f>
        <v>1.85086063550146</v>
      </c>
      <c r="D87" s="708" t="n">
        <f aca="false">ATAN(A87/pole1)</f>
        <v>1.00001558261927</v>
      </c>
      <c r="E87" s="708" t="n">
        <f aca="false">SQRT(1+(A87/Zero1)^2)</f>
        <v>1.00006567115762</v>
      </c>
      <c r="F87" s="709" t="n">
        <f aca="false">ATAN(A87/Zero1)</f>
        <v>0.0114601539176214</v>
      </c>
      <c r="G87" s="708" t="n">
        <f aca="false">IF(VIN_nom&gt;Vout, 1, SQRT(1+(A87/z_RHP)^2))</f>
        <v>1.00009134723027</v>
      </c>
      <c r="H87" s="709" t="n">
        <f aca="false">IF(VIN_nom&gt;Vout, 0, -ATAN(A87/z_RHP))</f>
        <v>-0.013515937053137</v>
      </c>
      <c r="I87" s="707" t="n">
        <f aca="false">SQRT(1+(A87/Pole2)^2)</f>
        <v>3783.18703102759</v>
      </c>
      <c r="J87" s="710" t="n">
        <f aca="false">ATAN(A87/Pole2)</f>
        <v>1.57053199938961</v>
      </c>
      <c r="K87" s="719" t="n">
        <f aca="false">SQRT(1+(A87/Zero2)^2)</f>
        <v>1.53952914785778</v>
      </c>
      <c r="L87" s="720" t="n">
        <f aca="false">ATAN(A87/Zero2)</f>
        <v>0.863804886028518</v>
      </c>
      <c r="M87" s="707" t="n">
        <f aca="false">SQRT(1+(A87/pole4)^2)</f>
        <v>1.00066105820042</v>
      </c>
      <c r="N87" s="710" t="n">
        <f aca="false">ATAN(A87/pole4)</f>
        <v>0.0363509075753105</v>
      </c>
      <c r="O87" s="711" t="n">
        <f aca="false">SQRT((1-(V87/pterm2))^2+(A87/pterm1)^2)</f>
        <v>1.00004358106421</v>
      </c>
      <c r="P87" s="712" t="n">
        <f aca="false">IF((ATAN((A87/pterm1)/(1-A87^2/pterm2))&gt;0),ATAN((A87/pterm1)/(1-A87^2/pterm2)),PI()+ATAN((A87/pterm1)/(1-A87^2/pterm2)))</f>
        <v>0.012692190190701</v>
      </c>
      <c r="Q87" s="713" t="n">
        <f aca="false">20*LOG10(((E87*K87*G87)/(C87*I87*O87*M87))*Adc)</f>
        <v>15.999324526971</v>
      </c>
      <c r="R87" s="714" t="n">
        <f aca="false">((F87+L87+H87)-(D87+J87+P87+N87))*radconv</f>
        <v>-100.716903523039</v>
      </c>
      <c r="S87" s="717" t="n">
        <f aca="false">IF(R87&gt;0,R87,R87+180)</f>
        <v>79.2830964769609</v>
      </c>
      <c r="U87" s="644" t="n">
        <f aca="false">IF(Q87&lt;0,A87,1000000000)</f>
        <v>1000000000</v>
      </c>
      <c r="V87" s="644" t="n">
        <f aca="false">A87^2</f>
        <v>831762.2401</v>
      </c>
      <c r="X87" s="716" t="n">
        <f aca="false">20*LOG10((K87/(I87*M87))*AEA)</f>
        <v>20.2815364223759</v>
      </c>
      <c r="Y87" s="717" t="n">
        <f aca="false">(L87-(J87+N87))*radconv</f>
        <v>-42.5752344972387</v>
      </c>
      <c r="AA87" s="716" t="n">
        <f aca="false">20*LOG10((E87*G87/(C87*O87))*Acs*Am)</f>
        <v>47.1984134591495</v>
      </c>
      <c r="AB87" s="717" t="n">
        <f aca="false">(F87+H87-(D87+P87))*radconv</f>
        <v>-58.1416690258004</v>
      </c>
      <c r="AD87" s="0" t="n">
        <f aca="false">SUM((Q88&lt;0)*(Q87&gt;0))*A87</f>
        <v>0</v>
      </c>
      <c r="AE87" s="0" t="n">
        <f aca="false">IF(AD87&gt;0,S85,0)</f>
        <v>0</v>
      </c>
    </row>
    <row r="88" customFormat="false" ht="12.75" hidden="false" customHeight="false" outlineLevel="0" collapsed="false">
      <c r="A88" s="718" t="n">
        <v>1000</v>
      </c>
      <c r="B88" s="706" t="n">
        <f aca="false">A88/1000</f>
        <v>1</v>
      </c>
      <c r="C88" s="707" t="n">
        <f aca="false">SQRT(1+(A88/pole1)^2)</f>
        <v>1.97896950045609</v>
      </c>
      <c r="D88" s="708" t="n">
        <f aca="false">ATAN(A88/pole1)</f>
        <v>1.0410511081544</v>
      </c>
      <c r="E88" s="708" t="n">
        <f aca="false">SQRT(1+(A88/Zero1)^2)</f>
        <v>1.00007895371818</v>
      </c>
      <c r="F88" s="709" t="n">
        <f aca="false">ATAN(A88/Zero1)</f>
        <v>0.0125657091954322</v>
      </c>
      <c r="G88" s="708" t="n">
        <f aca="false">IF(VIN_nom&gt;Vout, 1, SQRT(1+(A88/z_RHP)^2))</f>
        <v>1.00010982271383</v>
      </c>
      <c r="H88" s="709" t="n">
        <f aca="false">IF(VIN_nom&gt;Vout, 0, -ATAN(A88/z_RHP))</f>
        <v>-0.0148197613960286</v>
      </c>
      <c r="I88" s="707" t="n">
        <f aca="false">SQRT(1+(A88/Pole2)^2)</f>
        <v>4148.18588479585</v>
      </c>
      <c r="J88" s="710" t="n">
        <f aca="false">ATAN(A88/Pole2)</f>
        <v>1.57055525755705</v>
      </c>
      <c r="K88" s="719" t="n">
        <f aca="false">SQRT(1+(A88/Zero2)^2)</f>
        <v>1.62704813810725</v>
      </c>
      <c r="L88" s="720" t="n">
        <f aca="false">ATAN(A88/Zero2)</f>
        <v>0.908904901728765</v>
      </c>
      <c r="M88" s="707" t="n">
        <f aca="false">SQRT(1+(A88/pole4)^2)</f>
        <v>1.00079471513444</v>
      </c>
      <c r="N88" s="710" t="n">
        <f aca="false">ATAN(A88/pole4)</f>
        <v>0.0398544647684655</v>
      </c>
      <c r="O88" s="711" t="n">
        <f aca="false">SQRT((1-(V88/pterm2))^2+(A88/pterm1)^2)</f>
        <v>1.00005239599519</v>
      </c>
      <c r="P88" s="712" t="n">
        <f aca="false">IF((ATAN((A88/pterm1)/(1-A88^2/pterm2))&gt;0),ATAN((A88/pterm1)/(1-A88^2/pterm2)),PI()+ATAN((A88/pterm1)/(1-A88^2/pterm2)))</f>
        <v>0.0139166755181969</v>
      </c>
      <c r="Q88" s="713" t="n">
        <f aca="false">20*LOG10(((E88*K88*G88)/(C88*I88*O88*M88))*Adc)</f>
        <v>15.0972978457002</v>
      </c>
      <c r="R88" s="714" t="n">
        <f aca="false">((F88+L88+H88)-(D88+J88+P88+N88))*radconv</f>
        <v>-100.767614848026</v>
      </c>
      <c r="S88" s="717" t="n">
        <f aca="false">IF(R88&gt;0,R88,R88+180)</f>
        <v>79.2323851519739</v>
      </c>
      <c r="U88" s="644" t="n">
        <f aca="false">IF(Q88&lt;0,A88,1000000000)</f>
        <v>1000000000</v>
      </c>
      <c r="V88" s="644" t="n">
        <f aca="false">A88^2</f>
        <v>1000000</v>
      </c>
      <c r="X88" s="716" t="n">
        <f aca="false">20*LOG10((K88/(I88*M88))*AEA)</f>
        <v>19.960618123162</v>
      </c>
      <c r="Y88" s="717" t="n">
        <f aca="false">(L88-(J88+N88))*radconv</f>
        <v>-40.1932655742034</v>
      </c>
      <c r="AA88" s="716" t="n">
        <f aca="false">20*LOG10((E88*G88/(C88*O88))*Acs*Am)</f>
        <v>46.6173050770926</v>
      </c>
      <c r="AB88" s="717" t="n">
        <f aca="false">(F88+H88-(D88+P88))*radconv</f>
        <v>-60.5743492738228</v>
      </c>
      <c r="AD88" s="0" t="n">
        <f aca="false">SUM((Q89&lt;0)*(Q88&gt;0))*A88</f>
        <v>0</v>
      </c>
      <c r="AE88" s="0" t="n">
        <f aca="false">IF(AD88&gt;0,S86,0)</f>
        <v>0</v>
      </c>
    </row>
    <row r="89" customFormat="false" ht="12.75" hidden="false" customHeight="false" outlineLevel="0" collapsed="false">
      <c r="A89" s="718" t="n">
        <v>1096.5</v>
      </c>
      <c r="B89" s="706" t="n">
        <f aca="false">A89/1000</f>
        <v>1.0965</v>
      </c>
      <c r="C89" s="707" t="n">
        <f aca="false">SQRT(1+(A89/pole1)^2)</f>
        <v>2.12281124974845</v>
      </c>
      <c r="D89" s="708" t="n">
        <f aca="false">ATAN(A89/pole1)</f>
        <v>1.08028902005918</v>
      </c>
      <c r="E89" s="708" t="n">
        <f aca="false">SQRT(1+(A89/Zero1)^2)</f>
        <v>1.00009492626448</v>
      </c>
      <c r="F89" s="709" t="n">
        <f aca="false">ATAN(A89/Zero1)</f>
        <v>0.013778153426568</v>
      </c>
      <c r="G89" s="708" t="n">
        <f aca="false">IF(VIN_nom&gt;Vout, 1, SQRT(1+(A89/z_RHP)^2))</f>
        <v>1.00013203972749</v>
      </c>
      <c r="H89" s="709" t="n">
        <f aca="false">IF(VIN_nom&gt;Vout, 0, -ATAN(A89/z_RHP))</f>
        <v>-0.0162496277115049</v>
      </c>
      <c r="I89" s="707" t="n">
        <f aca="false">SQRT(1+(A89/Pole2)^2)</f>
        <v>4548.48580043913</v>
      </c>
      <c r="J89" s="710" t="n">
        <f aca="false">ATAN(A89/Pole2)</f>
        <v>1.57057647340809</v>
      </c>
      <c r="K89" s="719" t="n">
        <f aca="false">SQRT(1+(A89/Zero2)^2)</f>
        <v>1.72642744089974</v>
      </c>
      <c r="L89" s="720" t="n">
        <f aca="false">ATAN(A89/Zero2)</f>
        <v>0.953011529959012</v>
      </c>
      <c r="M89" s="707" t="n">
        <f aca="false">SQRT(1+(A89/pole4)^2)</f>
        <v>1.00095541900212</v>
      </c>
      <c r="N89" s="710" t="n">
        <f aca="false">ATAN(A89/pole4)</f>
        <v>0.0436957419870119</v>
      </c>
      <c r="O89" s="711" t="n">
        <f aca="false">SQRT((1-(V89/pterm2))^2+(A89/pterm1)^2)</f>
        <v>1.00006299625322</v>
      </c>
      <c r="P89" s="712" t="n">
        <f aca="false">IF((ATAN((A89/pterm1)/(1-A89^2/pterm2))&gt;0),ATAN((A89/pterm1)/(1-A89^2/pterm2)),PI()+ATAN((A89/pterm1)/(1-A89^2/pterm2)))</f>
        <v>0.0152595726077045</v>
      </c>
      <c r="Q89" s="713" t="n">
        <f aca="false">20*LOG10(((E89*K89*G89)/(C89*I89*O89*M89))*Adc)</f>
        <v>14.2014831117895</v>
      </c>
      <c r="R89" s="714" t="n">
        <f aca="false">((F89+L89+H89)-(D89+J89+P89+N89))*radconv</f>
        <v>-100.799362205608</v>
      </c>
      <c r="S89" s="717" t="n">
        <f aca="false">IF(R89&gt;0,R89,R89+180)</f>
        <v>79.2006377943923</v>
      </c>
      <c r="U89" s="644" t="n">
        <f aca="false">IF(Q89&lt;0,A89,1000000000)</f>
        <v>1000000000</v>
      </c>
      <c r="V89" s="644" t="n">
        <f aca="false">A89^2</f>
        <v>1202312.25</v>
      </c>
      <c r="X89" s="716" t="n">
        <f aca="false">20*LOG10((K89/(I89*M89))*AEA)</f>
        <v>19.6740093717815</v>
      </c>
      <c r="Y89" s="717" t="n">
        <f aca="false">(L89-(J89+N89))*radconv</f>
        <v>-37.8874464767087</v>
      </c>
      <c r="AA89" s="716" t="n">
        <f aca="false">20*LOG10((E89*G89/(C89*O89))*Acs*Am)</f>
        <v>46.0080990945624</v>
      </c>
      <c r="AB89" s="717" t="n">
        <f aca="false">(F89+H89-(D89+P89))*radconv</f>
        <v>-62.911915728899</v>
      </c>
      <c r="AD89" s="0" t="n">
        <f aca="false">SUM((Q90&lt;0)*(Q89&gt;0))*A89</f>
        <v>0</v>
      </c>
      <c r="AE89" s="0" t="n">
        <f aca="false">IF(AD89&gt;0,S87,0)</f>
        <v>0</v>
      </c>
    </row>
    <row r="90" customFormat="false" ht="12.75" hidden="false" customHeight="false" outlineLevel="0" collapsed="false">
      <c r="A90" s="718" t="n">
        <v>1202.3</v>
      </c>
      <c r="B90" s="706" t="n">
        <f aca="false">A90/1000</f>
        <v>1.2023</v>
      </c>
      <c r="C90" s="707" t="n">
        <f aca="false">SQRT(1+(A90/pole1)^2)</f>
        <v>2.28377203850987</v>
      </c>
      <c r="D90" s="708" t="n">
        <f aca="false">ATAN(A90/pole1)</f>
        <v>1.11756591502409</v>
      </c>
      <c r="E90" s="708" t="n">
        <f aca="false">SQRT(1+(A90/Zero1)^2)</f>
        <v>1.0001141275893</v>
      </c>
      <c r="F90" s="709" t="n">
        <f aca="false">ATAN(A90/Zero1)</f>
        <v>0.0151073979294816</v>
      </c>
      <c r="G90" s="708" t="n">
        <f aca="false">IF(VIN_nom&gt;Vout, 1, SQRT(1+(A90/z_RHP)^2))</f>
        <v>1.00015874762712</v>
      </c>
      <c r="H90" s="709" t="n">
        <f aca="false">IF(VIN_nom&gt;Vout, 0, -ATAN(A90/z_RHP))</f>
        <v>-0.0178172180369597</v>
      </c>
      <c r="I90" s="707" t="n">
        <f aca="false">SQRT(1+(A90/Pole2)^2)</f>
        <v>4987.36384462464</v>
      </c>
      <c r="J90" s="710" t="n">
        <f aca="false">ATAN(A90/Pole2)</f>
        <v>1.57059582006672</v>
      </c>
      <c r="K90" s="719" t="n">
        <f aca="false">SQRT(1+(A90/Zero2)^2)</f>
        <v>1.83880207141734</v>
      </c>
      <c r="L90" s="720" t="n">
        <f aca="false">ATAN(A90/Zero2)</f>
        <v>0.995799268657664</v>
      </c>
      <c r="M90" s="707" t="n">
        <f aca="false">SQRT(1+(A90/pole4)^2)</f>
        <v>1.00114857768658</v>
      </c>
      <c r="N90" s="710" t="n">
        <f aca="false">ATAN(A90/pole4)</f>
        <v>0.0479057283440305</v>
      </c>
      <c r="O90" s="711" t="n">
        <f aca="false">SQRT((1-(V90/pterm2))^2+(A90/pterm1)^2)</f>
        <v>1.00007573948821</v>
      </c>
      <c r="P90" s="712" t="n">
        <f aca="false">IF((ATAN((A90/pterm1)/(1-A90^2/pterm2))&gt;0),ATAN((A90/pterm1)/(1-A90^2/pterm2)),PI()+ATAN((A90/pterm1)/(1-A90^2/pterm2)))</f>
        <v>0.0167318690321026</v>
      </c>
      <c r="Q90" s="713" t="n">
        <f aca="false">20*LOG10(((E90*K90*G90)/(C90*I90*O90*M90))*Adc)</f>
        <v>13.3129166284037</v>
      </c>
      <c r="R90" s="714" t="n">
        <f aca="false">((F90+L90+H90)-(D90+J90+P90+N90))*radconv</f>
        <v>-100.823949631095</v>
      </c>
      <c r="S90" s="717" t="n">
        <f aca="false">IF(R90&gt;0,R90,R90+180)</f>
        <v>79.1760503689053</v>
      </c>
      <c r="U90" s="644" t="n">
        <f aca="false">IF(Q90&lt;0,A90,1000000000)</f>
        <v>1000000000</v>
      </c>
      <c r="V90" s="644" t="n">
        <f aca="false">A90^2</f>
        <v>1445525.29</v>
      </c>
      <c r="X90" s="716" t="n">
        <f aca="false">20*LOG10((K90/(I90*M90))*AEA)</f>
        <v>19.4199822728437</v>
      </c>
      <c r="Y90" s="717" t="n">
        <f aca="false">(L90-(J90+N90))*radconv</f>
        <v>-35.678212563795</v>
      </c>
      <c r="AA90" s="716" t="n">
        <f aca="false">20*LOG10((E90*G90/(C90*O90))*Acs*Am)</f>
        <v>45.3735597101144</v>
      </c>
      <c r="AB90" s="717" t="n">
        <f aca="false">(F90+H90-(D90+P90))*radconv</f>
        <v>-65.1457370672997</v>
      </c>
      <c r="AD90" s="0" t="n">
        <f aca="false">SUM((Q91&lt;0)*(Q90&gt;0))*A90</f>
        <v>0</v>
      </c>
      <c r="AE90" s="0" t="n">
        <f aca="false">IF(AD90&gt;0,S90,0)</f>
        <v>0</v>
      </c>
    </row>
    <row r="91" customFormat="false" ht="12.75" hidden="false" customHeight="false" outlineLevel="0" collapsed="false">
      <c r="A91" s="718" t="n">
        <v>1318.3</v>
      </c>
      <c r="B91" s="706" t="n">
        <f aca="false">A91/1000</f>
        <v>1.3183</v>
      </c>
      <c r="C91" s="707" t="n">
        <f aca="false">SQRT(1+(A91/pole1)^2)</f>
        <v>2.46339530833215</v>
      </c>
      <c r="D91" s="708" t="n">
        <f aca="false">ATAN(A91/pole1)</f>
        <v>1.15278503686985</v>
      </c>
      <c r="E91" s="708" t="n">
        <f aca="false">SQRT(1+(A91/Zero1)^2)</f>
        <v>1.00013721084585</v>
      </c>
      <c r="F91" s="709" t="n">
        <f aca="false">ATAN(A91/Zero1)</f>
        <v>0.0165647311283965</v>
      </c>
      <c r="G91" s="708" t="n">
        <f aca="false">IF(VIN_nom&gt;Vout, 1, SQRT(1+(A91/z_RHP)^2))</f>
        <v>1.00019085479737</v>
      </c>
      <c r="H91" s="709" t="n">
        <f aca="false">IF(VIN_nom&gt;Vout, 0, -ATAN(A91/z_RHP))</f>
        <v>-0.0195358361832147</v>
      </c>
      <c r="I91" s="707" t="n">
        <f aca="false">SQRT(1+(A91/Pole2)^2)</f>
        <v>5468.55338445744</v>
      </c>
      <c r="J91" s="710" t="n">
        <f aca="false">ATAN(A91/Pole2)</f>
        <v>1.5706134630766</v>
      </c>
      <c r="K91" s="719" t="n">
        <f aca="false">SQRT(1+(A91/Zero2)^2)</f>
        <v>1.96541147048175</v>
      </c>
      <c r="L91" s="720" t="n">
        <f aca="false">ATAN(A91/Zero2)</f>
        <v>1.03700682794916</v>
      </c>
      <c r="M91" s="707" t="n">
        <f aca="false">SQRT(1+(A91/pole4)^2)</f>
        <v>1.00138074284936</v>
      </c>
      <c r="N91" s="710" t="n">
        <f aca="false">ATAN(A91/pole4)</f>
        <v>0.0525196346134688</v>
      </c>
      <c r="O91" s="711" t="n">
        <f aca="false">SQRT((1-(V91/pterm2))^2+(A91/pterm1)^2)</f>
        <v>1.00009105928651</v>
      </c>
      <c r="P91" s="712" t="n">
        <f aca="false">IF((ATAN((A91/pterm1)/(1-A91^2/pterm2))&gt;0),ATAN((A91/pterm1)/(1-A91^2/pterm2)),PI()+ATAN((A91/pterm1)/(1-A91^2/pterm2)))</f>
        <v>0.0183460810296106</v>
      </c>
      <c r="Q91" s="713" t="n">
        <f aca="false">20*LOG10(((E91*K91*G91)/(C91*I91*O91*M91))*Adc)</f>
        <v>12.4319636618703</v>
      </c>
      <c r="R91" s="714" t="n">
        <f aca="false">((F91+L91+H91)-(D91+J91+P91+N91))*radconv</f>
        <v>-100.853663725351</v>
      </c>
      <c r="S91" s="717" t="n">
        <f aca="false">IF(R91&gt;0,R91,R91+180)</f>
        <v>79.146336274649</v>
      </c>
      <c r="U91" s="644" t="n">
        <f aca="false">IF(Q91&lt;0,A91,1000000000)</f>
        <v>1000000000</v>
      </c>
      <c r="V91" s="644" t="n">
        <f aca="false">A91^2</f>
        <v>1737914.89</v>
      </c>
      <c r="X91" s="716" t="n">
        <f aca="false">20*LOG10((K91/(I91*M91))*AEA)</f>
        <v>19.196310229435</v>
      </c>
      <c r="Y91" s="717" t="n">
        <f aca="false">(L91-(J91+N91))*radconv</f>
        <v>-33.5825615562744</v>
      </c>
      <c r="AA91" s="716" t="n">
        <f aca="false">20*LOG10((E91*G91/(C91*O91))*Acs*Am)</f>
        <v>44.7162787869897</v>
      </c>
      <c r="AB91" s="717" t="n">
        <f aca="false">(F91+H91-(D91+P91))*radconv</f>
        <v>-67.2711021690766</v>
      </c>
      <c r="AD91" s="0" t="n">
        <f aca="false">SUM((Q92&lt;0)*(Q91&gt;0))*A91</f>
        <v>0</v>
      </c>
      <c r="AE91" s="0" t="n">
        <f aca="false">IF(AD91&gt;0,S91,0)</f>
        <v>0</v>
      </c>
    </row>
    <row r="92" customFormat="false" ht="12.75" hidden="false" customHeight="false" outlineLevel="0" collapsed="false">
      <c r="A92" s="718" t="n">
        <v>1445.4</v>
      </c>
      <c r="B92" s="706" t="n">
        <f aca="false">A92/1000</f>
        <v>1.4454</v>
      </c>
      <c r="C92" s="707" t="n">
        <f aca="false">SQRT(1+(A92/pole1)^2)</f>
        <v>2.66321636246587</v>
      </c>
      <c r="D92" s="708" t="n">
        <f aca="false">ATAN(A92/pole1)</f>
        <v>1.18587542484578</v>
      </c>
      <c r="E92" s="708" t="n">
        <f aca="false">SQRT(1+(A92/Zero1)^2)</f>
        <v>1.00016494152934</v>
      </c>
      <c r="F92" s="709" t="n">
        <f aca="false">ATAN(A92/Zero1)</f>
        <v>0.0181614350263063</v>
      </c>
      <c r="G92" s="708" t="n">
        <f aca="false">IF(VIN_nom&gt;Vout, 1, SQRT(1+(A92/z_RHP)^2))</f>
        <v>1.00022942582541</v>
      </c>
      <c r="H92" s="709" t="n">
        <f aca="false">IF(VIN_nom&gt;Vout, 0, -ATAN(A92/z_RHP))</f>
        <v>-0.0214187754313651</v>
      </c>
      <c r="I92" s="707" t="n">
        <f aca="false">SQRT(1+(A92/Pole2)^2)</f>
        <v>5995.78778705506</v>
      </c>
      <c r="J92" s="710" t="n">
        <f aca="false">ATAN(A92/Pole2)</f>
        <v>1.57062954303934</v>
      </c>
      <c r="K92" s="719" t="n">
        <f aca="false">SQRT(1+(A92/Zero2)^2)</f>
        <v>2.10748146658392</v>
      </c>
      <c r="L92" s="720" t="n">
        <f aca="false">ATAN(A92/Zero2)</f>
        <v>1.07640037521799</v>
      </c>
      <c r="M92" s="707" t="n">
        <f aca="false">SQRT(1+(A92/pole4)^2)</f>
        <v>1.00165958650706</v>
      </c>
      <c r="N92" s="710" t="n">
        <f aca="false">ATAN(A92/pole4)</f>
        <v>0.0575724684774519</v>
      </c>
      <c r="O92" s="711" t="n">
        <f aca="false">SQRT((1-(V92/pterm2))^2+(A92/pterm1)^2)</f>
        <v>1.00010946385001</v>
      </c>
      <c r="P92" s="712" t="n">
        <f aca="false">IF((ATAN((A92/pterm1)/(1-A92^2/pterm2))&gt;0),ATAN((A92/pterm1)/(1-A92^2/pterm2)),PI()+ATAN((A92/pterm1)/(1-A92^2/pterm2)))</f>
        <v>0.0201147221191104</v>
      </c>
      <c r="Q92" s="713" t="n">
        <f aca="false">20*LOG10(((E92*K92*G92)/(C92*I92*O92*M92))*Adc)</f>
        <v>11.5592440755101</v>
      </c>
      <c r="R92" s="714" t="n">
        <f aca="false">((F92+L92+H92)-(D92+J92+P92+N92))*radconv</f>
        <v>-100.900682416728</v>
      </c>
      <c r="S92" s="717" t="n">
        <f aca="false">IF(R92&gt;0,R92,R92+180)</f>
        <v>79.0993175832722</v>
      </c>
      <c r="U92" s="644" t="n">
        <f aca="false">IF(Q92&lt;0,A92,1000000000)</f>
        <v>1000000000</v>
      </c>
      <c r="V92" s="644" t="n">
        <f aca="false">A92^2</f>
        <v>2089181.16</v>
      </c>
      <c r="X92" s="716" t="n">
        <f aca="false">20*LOG10((K92/(I92*M92))*AEA)</f>
        <v>19.0006215135898</v>
      </c>
      <c r="Y92" s="717" t="n">
        <f aca="false">(L92-(J92+N92))*radconv</f>
        <v>-31.6159049244609</v>
      </c>
      <c r="AA92" s="716" t="n">
        <f aca="false">20*LOG10((E92*G92/(C92*O92))*Acs*Am)</f>
        <v>44.0392479164747</v>
      </c>
      <c r="AB92" s="717" t="n">
        <f aca="false">(F92+H92-(D92+P92))*radconv</f>
        <v>-69.284777492267</v>
      </c>
      <c r="AD92" s="0" t="n">
        <f aca="false">SUM((Q93&lt;0)*(Q92&gt;0))*A92</f>
        <v>0</v>
      </c>
      <c r="AE92" s="0" t="n">
        <f aca="false">IF(AD92&gt;0,S92,0)</f>
        <v>0</v>
      </c>
    </row>
    <row r="93" customFormat="false" ht="12.75" hidden="false" customHeight="false" outlineLevel="0" collapsed="false">
      <c r="A93" s="718" t="n">
        <v>1584.9</v>
      </c>
      <c r="B93" s="706" t="n">
        <f aca="false">A93/1000</f>
        <v>1.5849</v>
      </c>
      <c r="C93" s="707" t="n">
        <f aca="false">SQRT(1+(A93/pole1)^2)</f>
        <v>2.88539915443956</v>
      </c>
      <c r="D93" s="708" t="n">
        <f aca="false">ATAN(A93/pole1)</f>
        <v>1.21688166139487</v>
      </c>
      <c r="E93" s="708" t="n">
        <f aca="false">SQRT(1+(A93/Zero1)^2)</f>
        <v>1.0001983126424</v>
      </c>
      <c r="F93" s="709" t="n">
        <f aca="false">ATAN(A93/Zero1)</f>
        <v>0.0199138080080836</v>
      </c>
      <c r="G93" s="708" t="n">
        <f aca="false">IF(VIN_nom&gt;Vout, 1, SQRT(1+(A93/z_RHP)^2))</f>
        <v>1.00027584165834</v>
      </c>
      <c r="H93" s="709" t="n">
        <f aca="false">IF(VIN_nom&gt;Vout, 0, -ATAN(A93/z_RHP))</f>
        <v>-0.0234852407303484</v>
      </c>
      <c r="I93" s="707" t="n">
        <f aca="false">SQRT(1+(A93/Pole2)^2)</f>
        <v>6574.4596938295</v>
      </c>
      <c r="J93" s="710" t="n">
        <f aca="false">ATAN(A93/Pole2)</f>
        <v>1.5706442230403</v>
      </c>
      <c r="K93" s="719" t="n">
        <f aca="false">SQRT(1+(A93/Zero2)^2)</f>
        <v>2.2666781869542</v>
      </c>
      <c r="L93" s="720" t="n">
        <f aca="false">ATAN(A93/Zero2)</f>
        <v>1.1138896266923</v>
      </c>
      <c r="M93" s="707" t="n">
        <f aca="false">SQRT(1+(A93/pole4)^2)</f>
        <v>1.00199505441636</v>
      </c>
      <c r="N93" s="710" t="n">
        <f aca="false">ATAN(A93/pole4)</f>
        <v>0.0631148664726079</v>
      </c>
      <c r="O93" s="711" t="n">
        <f aca="false">SQRT((1-(V93/pterm2))^2+(A93/pterm1)^2)</f>
        <v>1.000131612458</v>
      </c>
      <c r="P93" s="712" t="n">
        <f aca="false">IF((ATAN((A93/pterm1)/(1-A93^2/pterm2))&gt;0),ATAN((A93/pterm1)/(1-A93^2/pterm2)),PI()+ATAN((A93/pterm1)/(1-A93^2/pterm2)))</f>
        <v>0.022055868296164</v>
      </c>
      <c r="Q93" s="713" t="n">
        <f aca="false">20*LOG10(((E93*K93*G93)/(C93*I93*O93*M93))*Adc)</f>
        <v>10.6930928100768</v>
      </c>
      <c r="R93" s="714" t="n">
        <f aca="false">((F93+L93+H93)-(D93+J93+P93+N93))*radconv</f>
        <v>-100.976845786198</v>
      </c>
      <c r="S93" s="717" t="n">
        <f aca="false">IF(R93&gt;0,R93,R93+180)</f>
        <v>79.0231542138018</v>
      </c>
      <c r="U93" s="644" t="n">
        <f aca="false">IF(Q93&lt;0,A93,1000000000)</f>
        <v>1000000000</v>
      </c>
      <c r="V93" s="644" t="n">
        <f aca="false">A93^2</f>
        <v>2511908.01</v>
      </c>
      <c r="X93" s="716" t="n">
        <f aca="false">20*LOG10((K93/(I93*M93))*AEA)</f>
        <v>18.8299587348094</v>
      </c>
      <c r="Y93" s="717" t="n">
        <f aca="false">(L93-(J93+N93))*radconv</f>
        <v>-29.78632615139</v>
      </c>
      <c r="AA93" s="716" t="n">
        <f aca="false">20*LOG10((E93*G93/(C93*O93))*Acs*Am)</f>
        <v>43.3437594298218</v>
      </c>
      <c r="AB93" s="717" t="n">
        <f aca="false">(F93+H93-(D93+P93))*radconv</f>
        <v>-71.1905196348082</v>
      </c>
      <c r="AD93" s="0" t="n">
        <f aca="false">SUM((Q94&lt;0)*(Q93&gt;0))*A93</f>
        <v>0</v>
      </c>
      <c r="AE93" s="0" t="n">
        <f aca="false">IF(AD93&gt;0,S93,0)</f>
        <v>0</v>
      </c>
    </row>
    <row r="94" customFormat="false" ht="12.75" hidden="false" customHeight="false" outlineLevel="0" collapsed="false">
      <c r="A94" s="718" t="n">
        <v>1737.8</v>
      </c>
      <c r="B94" s="706" t="n">
        <f aca="false">A94/1000</f>
        <v>1.7378</v>
      </c>
      <c r="C94" s="707" t="n">
        <f aca="false">SQRT(1+(A94/pole1)^2)</f>
        <v>3.13163504545713</v>
      </c>
      <c r="D94" s="708" t="n">
        <f aca="false">ATAN(A94/pole1)</f>
        <v>1.24578237119362</v>
      </c>
      <c r="E94" s="708" t="n">
        <f aca="false">SQRT(1+(A94/Zero1)^2)</f>
        <v>1.00023841718098</v>
      </c>
      <c r="F94" s="709" t="n">
        <f aca="false">ATAN(A94/Zero1)</f>
        <v>0.0218343683972144</v>
      </c>
      <c r="G94" s="708" t="n">
        <f aca="false">IF(VIN_nom&gt;Vout, 1, SQRT(1+(A94/z_RHP)^2))</f>
        <v>1.00033162220245</v>
      </c>
      <c r="H94" s="709" t="n">
        <f aca="false">IF(VIN_nom&gt;Vout, 0, -ATAN(A94/z_RHP))</f>
        <v>-0.0257499741347126</v>
      </c>
      <c r="I94" s="707" t="n">
        <f aca="false">SQRT(1+(A94/Pole2)^2)</f>
        <v>7208.71729049364</v>
      </c>
      <c r="J94" s="710" t="n">
        <f aca="false">ATAN(A94/Pole2)</f>
        <v>1.57065760585982</v>
      </c>
      <c r="K94" s="719" t="n">
        <f aca="false">SQRT(1+(A94/Zero2)^2)</f>
        <v>2.44432370378714</v>
      </c>
      <c r="L94" s="720" t="n">
        <f aca="false">ATAN(A94/Zero2)</f>
        <v>1.14931661275271</v>
      </c>
      <c r="M94" s="707" t="n">
        <f aca="false">SQRT(1+(A94/pole4)^2)</f>
        <v>1.00239807731874</v>
      </c>
      <c r="N94" s="710" t="n">
        <f aca="false">ATAN(A94/pole4)</f>
        <v>0.069185183280116</v>
      </c>
      <c r="O94" s="711" t="n">
        <f aca="false">SQRT((1-(V94/pterm2))^2+(A94/pterm1)^2)</f>
        <v>1.00015823087662</v>
      </c>
      <c r="P94" s="712" t="n">
        <f aca="false">IF((ATAN((A94/pterm1)/(1-A94^2/pterm2))&gt;0),ATAN((A94/pterm1)/(1-A94^2/pterm2)),PI()+ATAN((A94/pterm1)/(1-A94^2/pterm2)))</f>
        <v>0.0241834161696765</v>
      </c>
      <c r="Q94" s="713" t="n">
        <f aca="false">20*LOG10(((E94*K94*G94)/(C94*I94*O94*M94))*Adc)</f>
        <v>9.83431498529833</v>
      </c>
      <c r="R94" s="714" t="n">
        <f aca="false">((F94+L94+H94)-(D94+J94+P94+N94))*radconv</f>
        <v>-101.093107188115</v>
      </c>
      <c r="S94" s="717" t="n">
        <f aca="false">IF(R94&gt;0,R94,R94+180)</f>
        <v>78.9068928118848</v>
      </c>
      <c r="U94" s="644" t="n">
        <f aca="false">IF(Q94&lt;0,A94,1000000000)</f>
        <v>1000000000</v>
      </c>
      <c r="V94" s="644" t="n">
        <f aca="false">A94^2</f>
        <v>3019948.84</v>
      </c>
      <c r="X94" s="716" t="n">
        <f aca="false">20*LOG10((K94/(I94*M94))*AEA)</f>
        <v>18.6818843436547</v>
      </c>
      <c r="Y94" s="717" t="n">
        <f aca="false">(L94-(J94+N94))*radconv</f>
        <v>-28.1050796797928</v>
      </c>
      <c r="AA94" s="716" t="n">
        <f aca="false">20*LOG10((E94*G94/(C94*O94))*Acs*Am)</f>
        <v>42.633055996198</v>
      </c>
      <c r="AB94" s="717" t="n">
        <f aca="false">(F94+H94-(D94+P94))*radconv</f>
        <v>-72.9880275083225</v>
      </c>
      <c r="AD94" s="0" t="n">
        <f aca="false">SUM((Q95&lt;0)*(Q94&gt;0))*A94</f>
        <v>0</v>
      </c>
      <c r="AE94" s="0" t="n">
        <f aca="false">IF(AD94&gt;0,S94,0)</f>
        <v>0</v>
      </c>
    </row>
    <row r="95" customFormat="false" ht="12.75" hidden="false" customHeight="false" outlineLevel="0" collapsed="false">
      <c r="A95" s="718" t="n">
        <v>1905.5</v>
      </c>
      <c r="B95" s="706" t="n">
        <f aca="false">A95/1000</f>
        <v>1.9055</v>
      </c>
      <c r="C95" s="707" t="n">
        <f aca="false">SQRT(1+(A95/pole1)^2)</f>
        <v>3.40425550405718</v>
      </c>
      <c r="D95" s="708" t="n">
        <f aca="false">ATAN(A95/pole1)</f>
        <v>1.27264878045709</v>
      </c>
      <c r="E95" s="708" t="n">
        <f aca="false">SQRT(1+(A95/Zero1)^2)</f>
        <v>1.00028664567788</v>
      </c>
      <c r="F95" s="709" t="n">
        <f aca="false">ATAN(A95/Zero1)</f>
        <v>0.0239406442338737</v>
      </c>
      <c r="G95" s="708" t="n">
        <f aca="false">IF(VIN_nom&gt;Vout, 1, SQRT(1+(A95/z_RHP)^2))</f>
        <v>1.00039870102891</v>
      </c>
      <c r="H95" s="709" t="n">
        <f aca="false">IF(VIN_nom&gt;Vout, 0, -ATAN(A95/z_RHP))</f>
        <v>-0.0282336184435829</v>
      </c>
      <c r="I95" s="707" t="n">
        <f aca="false">SQRT(1+(A95/Pole2)^2)</f>
        <v>7904.36803705594</v>
      </c>
      <c r="J95" s="710" t="n">
        <f aca="false">ATAN(A95/Pole2)</f>
        <v>1.57066981446678</v>
      </c>
      <c r="K95" s="719" t="n">
        <f aca="false">SQRT(1+(A95/Zero2)^2)</f>
        <v>2.64219213422632</v>
      </c>
      <c r="L95" s="720" t="n">
        <f aca="false">ATAN(A95/Zero2)</f>
        <v>1.18264964566364</v>
      </c>
      <c r="M95" s="707" t="n">
        <f aca="false">SQRT(1+(A95/pole4)^2)</f>
        <v>1.00288254727955</v>
      </c>
      <c r="N95" s="710" t="n">
        <f aca="false">ATAN(A95/pole4)</f>
        <v>0.0758371945237777</v>
      </c>
      <c r="O95" s="711" t="n">
        <f aca="false">SQRT((1-(V95/pterm2))^2+(A95/pterm1)^2)</f>
        <v>1.00019024252667</v>
      </c>
      <c r="P95" s="712" t="n">
        <f aca="false">IF((ATAN((A95/pterm1)/(1-A95^2/pterm2))&gt;0),ATAN((A95/pterm1)/(1-A95^2/pterm2)),PI()+ATAN((A95/pterm1)/(1-A95^2/pterm2)))</f>
        <v>0.026516822000239</v>
      </c>
      <c r="Q95" s="713" t="n">
        <f aca="false">20*LOG10(((E95*K95*G95)/(C95*I95*O95*M95))*Adc)</f>
        <v>8.98175149022868</v>
      </c>
      <c r="R95" s="714" t="n">
        <f aca="false">((F95+L95+H95)-(D95+J95+P95+N95))*radconv</f>
        <v>-101.259744543556</v>
      </c>
      <c r="S95" s="717" t="n">
        <f aca="false">IF(R95&gt;0,R95,R95+180)</f>
        <v>78.7402554564442</v>
      </c>
      <c r="U95" s="644" t="n">
        <f aca="false">IF(Q95&lt;0,A95,1000000000)</f>
        <v>1000000000</v>
      </c>
      <c r="V95" s="644" t="n">
        <f aca="false">A95^2</f>
        <v>3630930.25</v>
      </c>
      <c r="X95" s="716" t="n">
        <f aca="false">20*LOG10((K95/(I95*M95))*AEA)</f>
        <v>18.553617701614</v>
      </c>
      <c r="Y95" s="717" t="n">
        <f aca="false">(L95-(J95+N95))*radconv</f>
        <v>-26.5770692450677</v>
      </c>
      <c r="AA95" s="716" t="n">
        <f aca="false">20*LOG10((E95*G95/(C95*O95))*Acs*Am)</f>
        <v>41.9087591431691</v>
      </c>
      <c r="AB95" s="717" t="n">
        <f aca="false">(F95+H95-(D95+P95))*radconv</f>
        <v>-74.6826752984881</v>
      </c>
      <c r="AD95" s="0" t="n">
        <f aca="false">SUM((Q96&lt;0)*(Q95&gt;0))*A95</f>
        <v>0</v>
      </c>
      <c r="AE95" s="0" t="n">
        <f aca="false">IF(AD95&gt;0,S95,0)</f>
        <v>0</v>
      </c>
    </row>
    <row r="96" customFormat="false" ht="12.75" hidden="false" customHeight="false" outlineLevel="0" collapsed="false">
      <c r="A96" s="718" t="n">
        <v>2089.3</v>
      </c>
      <c r="B96" s="706" t="n">
        <f aca="false">A96/1000</f>
        <v>2.0893</v>
      </c>
      <c r="C96" s="707" t="n">
        <f aca="false">SQRT(1+(A96/pole1)^2)</f>
        <v>3.70543477978381</v>
      </c>
      <c r="D96" s="708" t="n">
        <f aca="false">ATAN(A96/pole1)</f>
        <v>1.29753429477976</v>
      </c>
      <c r="E96" s="708" t="n">
        <f aca="false">SQRT(1+(A96/Zero1)^2)</f>
        <v>1.00034460098716</v>
      </c>
      <c r="F96" s="709" t="n">
        <f aca="false">ATAN(A96/Zero1)</f>
        <v>0.0262488879020411</v>
      </c>
      <c r="G96" s="708" t="n">
        <f aca="false">IF(VIN_nom&gt;Vout, 1, SQRT(1+(A96/z_RHP)^2))</f>
        <v>1.0004793067656</v>
      </c>
      <c r="H96" s="709" t="n">
        <f aca="false">IF(VIN_nom&gt;Vout, 0, -ATAN(A96/z_RHP))</f>
        <v>-0.0309553031987139</v>
      </c>
      <c r="I96" s="707" t="n">
        <f aca="false">SQRT(1+(A96/Pole2)^2)</f>
        <v>8666.80457496238</v>
      </c>
      <c r="J96" s="710" t="n">
        <f aca="false">ATAN(A96/Pole2)</f>
        <v>1.57068094401528</v>
      </c>
      <c r="K96" s="719" t="n">
        <f aca="false">SQRT(1+(A96/Zero2)^2)</f>
        <v>2.86193802688009</v>
      </c>
      <c r="L96" s="720" t="n">
        <f aca="false">ATAN(A96/Zero2)</f>
        <v>1.21385117004162</v>
      </c>
      <c r="M96" s="707" t="n">
        <f aca="false">SQRT(1+(A96/pole4)^2)</f>
        <v>1.00346444749475</v>
      </c>
      <c r="N96" s="710" t="n">
        <f aca="false">ATAN(A96/pole4)</f>
        <v>0.0831200935754323</v>
      </c>
      <c r="O96" s="711" t="n">
        <f aca="false">SQRT((1-(V96/pterm2))^2+(A96/pterm1)^2)</f>
        <v>1.00022871200716</v>
      </c>
      <c r="P96" s="712" t="n">
        <f aca="false">IF((ATAN((A96/pterm1)/(1-A96^2/pterm2))&gt;0),ATAN((A96/pterm1)/(1-A96^2/pterm2)),PI()+ATAN((A96/pterm1)/(1-A96^2/pterm2)))</f>
        <v>0.0290741422929099</v>
      </c>
      <c r="Q96" s="713" t="n">
        <f aca="false">20*LOG10(((E96*K96*G96)/(C96*I96*O96*M96))*Adc)</f>
        <v>8.13532122743209</v>
      </c>
      <c r="R96" s="714" t="n">
        <f aca="false">((F96+L96+H96)-(D96+J96+P96+N96))*radconv</f>
        <v>-101.485992967713</v>
      </c>
      <c r="S96" s="717" t="n">
        <f aca="false">IF(R96&gt;0,R96,R96+180)</f>
        <v>78.514007032287</v>
      </c>
      <c r="U96" s="644" t="n">
        <f aca="false">IF(Q96&lt;0,A96,1000000000)</f>
        <v>1000000000</v>
      </c>
      <c r="V96" s="644" t="n">
        <f aca="false">A96^2</f>
        <v>4365174.49</v>
      </c>
      <c r="X96" s="716" t="n">
        <f aca="false">20*LOG10((K96/(I96*M96))*AEA)</f>
        <v>18.4426589554548</v>
      </c>
      <c r="Y96" s="717" t="n">
        <f aca="false">(L96-(J96+N96))*radconv</f>
        <v>-25.2072706367062</v>
      </c>
      <c r="AA96" s="716" t="n">
        <f aca="false">20*LOG10((E96*G96/(C96*O96))*Acs*Am)</f>
        <v>41.1732876265317</v>
      </c>
      <c r="AB96" s="717" t="n">
        <f aca="false">(F96+H96-(D96+P96))*radconv</f>
        <v>-76.2787223310069</v>
      </c>
      <c r="AD96" s="0" t="n">
        <f aca="false">SUM((Q97&lt;0)*(Q96&gt;0))*A96</f>
        <v>0</v>
      </c>
      <c r="AE96" s="0" t="n">
        <f aca="false">IF(AD96&gt;0,S96,0)</f>
        <v>0</v>
      </c>
    </row>
    <row r="97" customFormat="false" ht="12.75" hidden="false" customHeight="false" outlineLevel="0" collapsed="false">
      <c r="A97" s="718" t="n">
        <v>2290.9</v>
      </c>
      <c r="B97" s="706" t="n">
        <f aca="false">A97/1000</f>
        <v>2.2909</v>
      </c>
      <c r="C97" s="707" t="n">
        <f aca="false">SQRT(1+(A97/pole1)^2)</f>
        <v>4.03800676502232</v>
      </c>
      <c r="D97" s="708" t="n">
        <f aca="false">ATAN(A97/pole1)</f>
        <v>1.32054554684529</v>
      </c>
      <c r="E97" s="708" t="n">
        <f aca="false">SQRT(1+(A97/Zero1)^2)</f>
        <v>1.0004142972415</v>
      </c>
      <c r="F97" s="709" t="n">
        <f aca="false">ATAN(A97/Zero1)</f>
        <v>0.0287803494376938</v>
      </c>
      <c r="G97" s="708" t="n">
        <f aca="false">IF(VIN_nom&gt;Vout, 1, SQRT(1+(A97/z_RHP)^2))</f>
        <v>1.00057623969518</v>
      </c>
      <c r="H97" s="709" t="n">
        <f aca="false">IF(VIN_nom&gt;Vout, 0, -ATAN(A97/z_RHP))</f>
        <v>-0.0339400389223272</v>
      </c>
      <c r="I97" s="707" t="n">
        <f aca="false">SQRT(1+(A97/Pole2)^2)</f>
        <v>9503.07881996058</v>
      </c>
      <c r="J97" s="710" t="n">
        <f aca="false">ATAN(A97/Pole2)</f>
        <v>1.5706910977401</v>
      </c>
      <c r="K97" s="719" t="n">
        <f aca="false">SQRT(1+(A97/Zero2)^2)</f>
        <v>3.10569188586824</v>
      </c>
      <c r="L97" s="720" t="n">
        <f aca="false">ATAN(A97/Zero2)</f>
        <v>1.24296623418899</v>
      </c>
      <c r="M97" s="707" t="n">
        <f aca="false">SQRT(1+(A97/pole4)^2)</f>
        <v>1.00416383066875</v>
      </c>
      <c r="N97" s="710" t="n">
        <f aca="false">ATAN(A97/pole4)</f>
        <v>0.0910981219768862</v>
      </c>
      <c r="O97" s="711" t="n">
        <f aca="false">SQRT((1-(V97/pterm2))^2+(A97/pterm1)^2)</f>
        <v>1.00027497727531</v>
      </c>
      <c r="P97" s="712" t="n">
        <f aca="false">IF((ATAN((A97/pterm1)/(1-A97^2/pterm2))&gt;0),ATAN((A97/pterm1)/(1-A97^2/pterm2)),PI()+ATAN((A97/pterm1)/(1-A97^2/pterm2)))</f>
        <v>0.0318789880879705</v>
      </c>
      <c r="Q97" s="713" t="n">
        <f aca="false">20*LOG10(((E97*K97*G97)/(C97*I97*O97*M97))*Adc)</f>
        <v>7.29361336049226</v>
      </c>
      <c r="R97" s="714" t="n">
        <f aca="false">((F97+L97+H97)-(D97+J97+P97+N97))*radconv</f>
        <v>-101.780635942811</v>
      </c>
      <c r="S97" s="717" t="n">
        <f aca="false">IF(R97&gt;0,R97,R97+180)</f>
        <v>78.2193640571891</v>
      </c>
      <c r="U97" s="644" t="n">
        <f aca="false">IF(Q97&lt;0,A97,1000000000)</f>
        <v>1000000000</v>
      </c>
      <c r="V97" s="644" t="n">
        <f aca="false">A97^2</f>
        <v>5248222.81</v>
      </c>
      <c r="X97" s="716" t="n">
        <f aca="false">20*LOG10((K97/(I97*M97))*AEA)</f>
        <v>18.3464635663032</v>
      </c>
      <c r="Y97" s="717" t="n">
        <f aca="false">(L97-(J97+N97))*radconv</f>
        <v>-23.9967894612433</v>
      </c>
      <c r="AA97" s="716" t="n">
        <f aca="false">20*LOG10((E97*G97/(C97*O97))*Acs*Am)</f>
        <v>40.4277751487435</v>
      </c>
      <c r="AB97" s="717" t="n">
        <f aca="false">(F97+H97-(D97+P97))*radconv</f>
        <v>-77.7838464815677</v>
      </c>
      <c r="AD97" s="0" t="n">
        <f aca="false">SUM((Q98&lt;0)*(Q97&gt;0))*A97</f>
        <v>0</v>
      </c>
      <c r="AE97" s="0" t="n">
        <f aca="false">IF(AD97&gt;0,S97,0)</f>
        <v>0</v>
      </c>
    </row>
    <row r="98" customFormat="false" ht="12.75" hidden="false" customHeight="false" outlineLevel="0" collapsed="false">
      <c r="A98" s="718" t="n">
        <v>2511.9</v>
      </c>
      <c r="B98" s="706" t="n">
        <f aca="false">A98/1000</f>
        <v>2.5119</v>
      </c>
      <c r="C98" s="707" t="n">
        <f aca="false">SQRT(1+(A98/pole1)^2)</f>
        <v>4.40464934022495</v>
      </c>
      <c r="D98" s="708" t="n">
        <f aca="false">ATAN(A98/pole1)</f>
        <v>1.34176646144451</v>
      </c>
      <c r="E98" s="708" t="n">
        <f aca="false">SQRT(1+(A98/Zero1)^2)</f>
        <v>1.00049806529717</v>
      </c>
      <c r="F98" s="709" t="n">
        <f aca="false">ATAN(A98/Zero1)</f>
        <v>0.0315549888540916</v>
      </c>
      <c r="G98" s="708" t="n">
        <f aca="false">IF(VIN_nom&gt;Vout, 1, SQRT(1+(A98/z_RHP)^2))</f>
        <v>1.0006927400709</v>
      </c>
      <c r="H98" s="709" t="n">
        <f aca="false">IF(VIN_nom&gt;Vout, 0, -ATAN(A98/z_RHP))</f>
        <v>-0.0372112993544513</v>
      </c>
      <c r="I98" s="707" t="n">
        <f aca="false">SQRT(1+(A98/Pole2)^2)</f>
        <v>10419.8278692332</v>
      </c>
      <c r="J98" s="710" t="n">
        <f aca="false">ATAN(A98/Pole2)</f>
        <v>1.57070035591955</v>
      </c>
      <c r="K98" s="719" t="n">
        <f aca="false">SQRT(1+(A98/Zero2)^2)</f>
        <v>3.37546767739828</v>
      </c>
      <c r="L98" s="720" t="n">
        <f aca="false">ATAN(A98/Zero2)</f>
        <v>1.27002683374389</v>
      </c>
      <c r="M98" s="707" t="n">
        <f aca="false">SQRT(1+(A98/pole4)^2)</f>
        <v>1.00500384096508</v>
      </c>
      <c r="N98" s="710" t="n">
        <f aca="false">ATAN(A98/pole4)</f>
        <v>0.0998304995372235</v>
      </c>
      <c r="O98" s="711" t="n">
        <f aca="false">SQRT((1-(V98/pterm2))^2+(A98/pterm1)^2)</f>
        <v>1.00033058705695</v>
      </c>
      <c r="P98" s="712" t="n">
        <f aca="false">IF((ATAN((A98/pterm1)/(1-A98^2/pterm2))&gt;0),ATAN((A98/pterm1)/(1-A98^2/pterm2)),PI()+ATAN((A98/pterm1)/(1-A98^2/pterm2)))</f>
        <v>0.0349535645738968</v>
      </c>
      <c r="Q98" s="713" t="n">
        <f aca="false">20*LOG10(((E98*K98*G98)/(C98*I98*O98*M98))*Adc)</f>
        <v>6.45630759296323</v>
      </c>
      <c r="R98" s="714" t="n">
        <f aca="false">((F98+L98+H98)-(D98+J98+P98+N98))*radconv</f>
        <v>-102.151520020171</v>
      </c>
      <c r="S98" s="717" t="n">
        <f aca="false">IF(R98&gt;0,R98,R98+180)</f>
        <v>77.8484799798285</v>
      </c>
      <c r="U98" s="644" t="n">
        <f aca="false">IF(Q98&lt;0,A98,1000000000)</f>
        <v>1000000000</v>
      </c>
      <c r="V98" s="644" t="n">
        <f aca="false">A98^2</f>
        <v>6309641.61</v>
      </c>
      <c r="X98" s="716" t="n">
        <f aca="false">20*LOG10((K98/(I98*M98))*AEA)</f>
        <v>18.2627880806352</v>
      </c>
      <c r="Y98" s="717" t="n">
        <f aca="false">(L98-(J98+N98))*radconv</f>
        <v>-22.9471901483854</v>
      </c>
      <c r="AA98" s="716" t="n">
        <f aca="false">20*LOG10((E98*G98/(C98*O98))*Acs*Am)</f>
        <v>39.6741448668824</v>
      </c>
      <c r="AB98" s="717" t="n">
        <f aca="false">(F98+H98-(D98+P98))*radconv</f>
        <v>-79.204329871786</v>
      </c>
      <c r="AD98" s="0" t="n">
        <f aca="false">SUM((Q99&lt;0)*(Q98&gt;0))*A98</f>
        <v>0</v>
      </c>
      <c r="AE98" s="0" t="n">
        <f aca="false">IF(AD98&gt;0,S98,0)</f>
        <v>0</v>
      </c>
    </row>
    <row r="99" customFormat="false" ht="12.75" hidden="false" customHeight="false" outlineLevel="0" collapsed="false">
      <c r="A99" s="718" t="n">
        <v>2754.2</v>
      </c>
      <c r="B99" s="706" t="n">
        <f aca="false">A99/1000</f>
        <v>2.7542</v>
      </c>
      <c r="C99" s="707" t="n">
        <f aca="false">SQRT(1+(A99/pole1)^2)</f>
        <v>4.80854349966737</v>
      </c>
      <c r="D99" s="708" t="n">
        <f aca="false">ATAN(A99/pole1)</f>
        <v>1.36130417621839</v>
      </c>
      <c r="E99" s="708" t="n">
        <f aca="false">SQRT(1+(A99/Zero1)^2)</f>
        <v>1.00059875710555</v>
      </c>
      <c r="F99" s="709" t="n">
        <f aca="false">ATAN(A99/Zero1)</f>
        <v>0.0345964882532415</v>
      </c>
      <c r="G99" s="708" t="n">
        <f aca="false">IF(VIN_nom&gt;Vout, 1, SQRT(1+(A99/z_RHP)^2))</f>
        <v>1.00083277210581</v>
      </c>
      <c r="H99" s="709" t="n">
        <f aca="false">IF(VIN_nom&gt;Vout, 0, -ATAN(A99/z_RHP))</f>
        <v>-0.0407969261518283</v>
      </c>
      <c r="I99" s="707" t="n">
        <f aca="false">SQRT(1+(A99/Pole2)^2)</f>
        <v>11424.9332756922</v>
      </c>
      <c r="J99" s="710" t="n">
        <f aca="false">ATAN(A99/Pole2)</f>
        <v>1.57070879893131</v>
      </c>
      <c r="K99" s="719" t="n">
        <f aca="false">SQRT(1+(A99/Zero2)^2)</f>
        <v>3.67364655854481</v>
      </c>
      <c r="L99" s="720" t="n">
        <f aca="false">ATAN(A99/Zero2)</f>
        <v>1.29510825149889</v>
      </c>
      <c r="M99" s="707" t="n">
        <f aca="false">SQRT(1+(A99/pole4)^2)</f>
        <v>1.00601272414912</v>
      </c>
      <c r="N99" s="710" t="n">
        <f aca="false">ATAN(A99/pole4)</f>
        <v>0.109386932923117</v>
      </c>
      <c r="O99" s="711" t="n">
        <f aca="false">SQRT((1-(V99/pterm2))^2+(A99/pterm1)^2)</f>
        <v>1.00039743675919</v>
      </c>
      <c r="P99" s="712" t="n">
        <f aca="false">IF((ATAN((A99/pterm1)/(1-A99^2/pterm2))&gt;0),ATAN((A99/pterm1)/(1-A99^2/pterm2)),PI()+ATAN((A99/pterm1)/(1-A99^2/pterm2)))</f>
        <v>0.0383242317433803</v>
      </c>
      <c r="Q99" s="713" t="n">
        <f aca="false">20*LOG10(((E99*K99*G99)/(C99*I99*O99*M99))*Adc)</f>
        <v>5.62246319338728</v>
      </c>
      <c r="R99" s="714" t="n">
        <f aca="false">((F99+L99+H99)-(D99+J99+P99+N99))*radconv</f>
        <v>-102.606217492538</v>
      </c>
      <c r="S99" s="717" t="n">
        <f aca="false">IF(R99&gt;0,R99,R99+180)</f>
        <v>77.3937825074618</v>
      </c>
      <c r="U99" s="644" t="n">
        <f aca="false">IF(Q99&lt;0,A99,1000000000)</f>
        <v>1000000000</v>
      </c>
      <c r="V99" s="644" t="n">
        <f aca="false">A99^2</f>
        <v>7585617.64</v>
      </c>
      <c r="X99" s="716" t="n">
        <f aca="false">20*LOG10((K99/(I99*M99))*AEA)</f>
        <v>18.1894788203097</v>
      </c>
      <c r="Y99" s="717" t="n">
        <f aca="false">(L99-(J99+N99))*radconv</f>
        <v>-22.0581578149528</v>
      </c>
      <c r="AA99" s="716" t="n">
        <f aca="false">20*LOG10((E99*G99/(C99*O99))*Acs*Am)</f>
        <v>38.9136097276319</v>
      </c>
      <c r="AB99" s="717" t="n">
        <f aca="false">(F99+H99-(D99+P99))*radconv</f>
        <v>-80.5480596775854</v>
      </c>
      <c r="AD99" s="0" t="n">
        <f aca="false">SUM((Q100&lt;0)*(Q99&gt;0))*A99</f>
        <v>0</v>
      </c>
      <c r="AE99" s="0" t="n">
        <f aca="false">IF(AD99&gt;0,S99,0)</f>
        <v>0</v>
      </c>
    </row>
    <row r="100" customFormat="false" ht="12.75" hidden="false" customHeight="false" outlineLevel="0" collapsed="false">
      <c r="A100" s="718" t="n">
        <v>3020</v>
      </c>
      <c r="B100" s="706" t="n">
        <f aca="false">A100/1000</f>
        <v>3.02</v>
      </c>
      <c r="C100" s="707" t="n">
        <f aca="false">SQRT(1+(A100/pole1)^2)</f>
        <v>5.25338057975821</v>
      </c>
      <c r="D100" s="708" t="n">
        <f aca="false">ATAN(A100/pole1)</f>
        <v>1.3792739887314</v>
      </c>
      <c r="E100" s="708" t="n">
        <f aca="false">SQRT(1+(A100/Zero1)^2)</f>
        <v>1.00071985881983</v>
      </c>
      <c r="F100" s="709" t="n">
        <f aca="false">ATAN(A100/Zero1)</f>
        <v>0.037932235745597</v>
      </c>
      <c r="G100" s="708" t="n">
        <f aca="false">IF(VIN_nom&gt;Vout, 1, SQRT(1+(A100/z_RHP)^2))</f>
        <v>1.00100118089835</v>
      </c>
      <c r="H100" s="709" t="n">
        <f aca="false">IF(VIN_nom&gt;Vout, 0, -ATAN(A100/z_RHP))</f>
        <v>-0.0447291025776295</v>
      </c>
      <c r="I100" s="707" t="n">
        <f aca="false">SQRT(1+(A100/Pole2)^2)</f>
        <v>12527.521047981</v>
      </c>
      <c r="J100" s="710" t="n">
        <f aca="false">ATAN(A100/Pole2)</f>
        <v>1.57071650254258</v>
      </c>
      <c r="K100" s="719" t="n">
        <f aca="false">SQRT(1+(A100/Zero2)^2)</f>
        <v>4.00298688293732</v>
      </c>
      <c r="L100" s="720" t="n">
        <f aca="false">ATAN(A100/Zero2)</f>
        <v>1.3183087254648</v>
      </c>
      <c r="M100" s="707" t="n">
        <f aca="false">SQRT(1+(A100/pole4)^2)</f>
        <v>1.00722490041442</v>
      </c>
      <c r="N100" s="710" t="n">
        <f aca="false">ATAN(A100/pole4)</f>
        <v>0.11984713263851</v>
      </c>
      <c r="O100" s="711" t="n">
        <f aca="false">SQRT((1-(V100/pterm2))^2+(A100/pterm1)^2)</f>
        <v>1.0004778439334</v>
      </c>
      <c r="P100" s="712" t="n">
        <f aca="false">IF((ATAN((A100/pterm1)/(1-A100^2/pterm2))&gt;0),ATAN((A100/pterm1)/(1-A100^2/pterm2)),PI()+ATAN((A100/pterm1)/(1-A100^2/pterm2)))</f>
        <v>0.0420214975623228</v>
      </c>
      <c r="Q100" s="713" t="n">
        <f aca="false">20*LOG10(((E100*K100*G100)/(C100*I100*O100*M100))*Adc)</f>
        <v>4.79081836666564</v>
      </c>
      <c r="R100" s="714" t="n">
        <f aca="false">((F100+L100+H100)-(D100+J100+P100+N100))*radconv</f>
        <v>-103.152299936647</v>
      </c>
      <c r="S100" s="717" t="n">
        <f aca="false">IF(R100&gt;0,R100,R100+180)</f>
        <v>76.8477000633526</v>
      </c>
      <c r="U100" s="644" t="n">
        <f aca="false">IF(Q100&lt;0,A100,1000000000)</f>
        <v>1000000000</v>
      </c>
      <c r="V100" s="644" t="n">
        <f aca="false">A100^2</f>
        <v>9120400</v>
      </c>
      <c r="X100" s="716" t="n">
        <f aca="false">20*LOG10((K100/(I100*M100))*AEA)</f>
        <v>18.1245257751605</v>
      </c>
      <c r="Y100" s="717" t="n">
        <f aca="false">(L100-(J100+N100))*radconv</f>
        <v>-21.3286352541382</v>
      </c>
      <c r="AA100" s="716" t="n">
        <f aca="false">20*LOG10((E100*G100/(C100*O100))*Acs*Am)</f>
        <v>38.1469179460595</v>
      </c>
      <c r="AB100" s="717" t="n">
        <f aca="false">(F100+H100-(D100+P100))*radconv</f>
        <v>-81.8236646825092</v>
      </c>
      <c r="AD100" s="0" t="n">
        <f aca="false">SUM((Q101&lt;0)*(Q100&gt;0))*A100</f>
        <v>0</v>
      </c>
      <c r="AE100" s="0" t="n">
        <f aca="false">IF(AD100&gt;0,S100,0)</f>
        <v>0</v>
      </c>
    </row>
    <row r="101" customFormat="false" ht="12.75" hidden="false" customHeight="false" outlineLevel="0" collapsed="false">
      <c r="A101" s="718" t="n">
        <v>3311.3</v>
      </c>
      <c r="B101" s="706" t="n">
        <f aca="false">A101/1000</f>
        <v>3.3113</v>
      </c>
      <c r="C101" s="707" t="n">
        <f aca="false">SQRT(1+(A101/pole1)^2)</f>
        <v>5.74252552816067</v>
      </c>
      <c r="D101" s="708" t="n">
        <f aca="false">ATAN(A101/pole1)</f>
        <v>1.39576457055888</v>
      </c>
      <c r="E101" s="708" t="n">
        <f aca="false">SQRT(1+(A101/Zero1)^2)</f>
        <v>1.00086536418862</v>
      </c>
      <c r="F101" s="709" t="n">
        <f aca="false">ATAN(A101/Zero1)</f>
        <v>0.0415870317074161</v>
      </c>
      <c r="G101" s="708" t="n">
        <f aca="false">IF(VIN_nom&gt;Vout, 1, SQRT(1+(A101/z_RHP)^2))</f>
        <v>1.00120351585252</v>
      </c>
      <c r="H101" s="709" t="n">
        <f aca="false">IF(VIN_nom&gt;Vout, 0, -ATAN(A101/z_RHP))</f>
        <v>-0.0490369258590045</v>
      </c>
      <c r="I101" s="707" t="n">
        <f aca="false">SQRT(1+(A101/Pole2)^2)</f>
        <v>13735.8875575992</v>
      </c>
      <c r="J101" s="710" t="n">
        <f aca="false">ATAN(A101/Pole2)</f>
        <v>1.57072352480109</v>
      </c>
      <c r="K101" s="719" t="n">
        <f aca="false">SQRT(1+(A101/Zero2)^2)</f>
        <v>4.36600567627946</v>
      </c>
      <c r="L101" s="720" t="n">
        <f aca="false">ATAN(A101/Zero2)</f>
        <v>1.33970260806115</v>
      </c>
      <c r="M101" s="707" t="n">
        <f aca="false">SQRT(1+(A101/pole4)^2)</f>
        <v>1.00867961380004</v>
      </c>
      <c r="N101" s="710" t="n">
        <f aca="false">ATAN(A101/pole4)</f>
        <v>0.131280581593121</v>
      </c>
      <c r="O101" s="711" t="n">
        <f aca="false">SQRT((1-(V101/pterm2))^2+(A101/pterm1)^2)</f>
        <v>1.00057446472869</v>
      </c>
      <c r="P101" s="712" t="n">
        <f aca="false">IF((ATAN((A101/pterm1)/(1-A101^2/pterm2))&gt;0),ATAN((A101/pterm1)/(1-A101^2/pterm2)),PI()+ATAN((A101/pterm1)/(1-A101^2/pterm2)))</f>
        <v>0.0460730549876377</v>
      </c>
      <c r="Q101" s="713" t="n">
        <f aca="false">20*LOG10(((E101*K101*G101)/(C101*I101*O101*M101))*Adc)</f>
        <v>3.96135159975439</v>
      </c>
      <c r="R101" s="714" t="n">
        <f aca="false">((F101+L101+H101)-(D101+J101+P101+N101))*radconv</f>
        <v>-103.79640506404</v>
      </c>
      <c r="S101" s="717" t="n">
        <f aca="false">IF(R101&gt;0,R101,R101+180)</f>
        <v>76.2035949359605</v>
      </c>
      <c r="U101" s="644" t="n">
        <f aca="false">IF(Q101&lt;0,A101,1000000000)</f>
        <v>1000000000</v>
      </c>
      <c r="V101" s="644" t="n">
        <f aca="false">A101^2</f>
        <v>10964707.69</v>
      </c>
      <c r="X101" s="716" t="n">
        <f aca="false">20*LOG10((K101/(I101*M101))*AEA)</f>
        <v>18.0661608423276</v>
      </c>
      <c r="Y101" s="717" t="n">
        <f aca="false">(L101-(J101+N101))*radconv</f>
        <v>-20.7583467894702</v>
      </c>
      <c r="AA101" s="716" t="n">
        <f aca="false">20*LOG10((E101*G101/(C101*O101))*Acs*Am)</f>
        <v>37.3758161119812</v>
      </c>
      <c r="AB101" s="717" t="n">
        <f aca="false">(F101+H101-(D101+P101))*radconv</f>
        <v>-83.0380582745694</v>
      </c>
      <c r="AD101" s="0" t="n">
        <f aca="false">SUM((Q102&lt;0)*(Q101&gt;0))*A101</f>
        <v>0</v>
      </c>
      <c r="AE101" s="0" t="n">
        <f aca="false">IF(AD101&gt;0,S101,0)</f>
        <v>0</v>
      </c>
    </row>
    <row r="102" customFormat="false" ht="12.75" hidden="false" customHeight="false" outlineLevel="0" collapsed="false">
      <c r="A102" s="718" t="n">
        <v>3630.8</v>
      </c>
      <c r="B102" s="706" t="n">
        <f aca="false">A102/1000</f>
        <v>3.6308</v>
      </c>
      <c r="C102" s="707" t="n">
        <f aca="false">SQRT(1+(A102/pole1)^2)</f>
        <v>6.2805255036029</v>
      </c>
      <c r="D102" s="708" t="n">
        <f aca="false">ATAN(A102/pole1)</f>
        <v>1.41089342766381</v>
      </c>
      <c r="E102" s="708" t="n">
        <f aca="false">SQRT(1+(A102/Zero1)^2)</f>
        <v>1.00104032381449</v>
      </c>
      <c r="F102" s="709" t="n">
        <f aca="false">ATAN(A102/Zero1)</f>
        <v>0.0455943575395431</v>
      </c>
      <c r="G102" s="708" t="n">
        <f aca="false">IF(VIN_nom&gt;Vout, 1, SQRT(1+(A102/z_RHP)^2))</f>
        <v>1.00144679373097</v>
      </c>
      <c r="H102" s="709" t="n">
        <f aca="false">IF(VIN_nom&gt;Vout, 0, -ATAN(A102/z_RHP))</f>
        <v>-0.0537596789129311</v>
      </c>
      <c r="I102" s="707" t="n">
        <f aca="false">SQRT(1+(A102/Pole2)^2)</f>
        <v>15061.2329060775</v>
      </c>
      <c r="J102" s="710" t="n">
        <f aca="false">ATAN(A102/Pole2)</f>
        <v>1.57072993116799</v>
      </c>
      <c r="K102" s="719" t="n">
        <f aca="false">SQRT(1+(A102/Zero2)^2)</f>
        <v>4.76609763727024</v>
      </c>
      <c r="L102" s="720" t="n">
        <f aca="false">ATAN(A102/Zero2)</f>
        <v>1.35941031981063</v>
      </c>
      <c r="M102" s="707" t="n">
        <f aca="false">SQRT(1+(A102/pole4)^2)</f>
        <v>1.01042630704556</v>
      </c>
      <c r="N102" s="710" t="n">
        <f aca="false">ATAN(A102/pole4)</f>
        <v>0.143781194089173</v>
      </c>
      <c r="O102" s="711" t="n">
        <f aca="false">SQRT((1-(V102/pterm2))^2+(A102/pterm1)^2)</f>
        <v>1.00069065934723</v>
      </c>
      <c r="P102" s="712" t="n">
        <f aca="false">IF((ATAN((A102/pterm1)/(1-A102^2/pterm2))&gt;0),ATAN((A102/pterm1)/(1-A102^2/pterm2)),PI()+ATAN((A102/pterm1)/(1-A102^2/pterm2)))</f>
        <v>0.0505162898185293</v>
      </c>
      <c r="Q102" s="713" t="n">
        <f aca="false">20*LOG10(((E102*K102*G102)/(C102*I102*O102*M102))*Adc)</f>
        <v>3.13257932951012</v>
      </c>
      <c r="R102" s="714" t="n">
        <f aca="false">((F102+L102+H102)-(D102+J102+P102+N102))*radconv</f>
        <v>-104.546224977451</v>
      </c>
      <c r="S102" s="717" t="n">
        <f aca="false">IF(R102&gt;0,R102,R102+180)</f>
        <v>75.4537750225489</v>
      </c>
      <c r="U102" s="644" t="n">
        <f aca="false">IF(Q102&lt;0,A102,1000000000)</f>
        <v>1000000000</v>
      </c>
      <c r="V102" s="644" t="n">
        <f aca="false">A102^2</f>
        <v>13182708.64</v>
      </c>
      <c r="X102" s="716" t="n">
        <f aca="false">20*LOG10((K102/(I102*M102))*AEA)</f>
        <v>18.0126296459725</v>
      </c>
      <c r="Y102" s="717" t="n">
        <f aca="false">(L102-(J102+N102))*radconv</f>
        <v>-20.3457774770309</v>
      </c>
      <c r="AA102" s="716" t="n">
        <f aca="false">20*LOG10((E102*G102/(C102*O102))*Acs*Am)</f>
        <v>36.600575038092</v>
      </c>
      <c r="AB102" s="717" t="n">
        <f aca="false">(F102+H102-(D102+P102))*radconv</f>
        <v>-84.2004475004203</v>
      </c>
      <c r="AD102" s="0" t="n">
        <f aca="false">SUM((Q103&lt;0)*(Q102&gt;0))*A102</f>
        <v>0</v>
      </c>
      <c r="AE102" s="0" t="n">
        <f aca="false">IF(AD102&gt;0,S102,0)</f>
        <v>0</v>
      </c>
    </row>
    <row r="103" customFormat="false" ht="12.75" hidden="false" customHeight="false" outlineLevel="0" collapsed="false">
      <c r="A103" s="718" t="n">
        <v>3981.1</v>
      </c>
      <c r="B103" s="706" t="n">
        <f aca="false">A103/1000</f>
        <v>3.9811</v>
      </c>
      <c r="C103" s="707" t="n">
        <f aca="false">SQRT(1+(A103/pole1)^2)</f>
        <v>6.87176968848889</v>
      </c>
      <c r="D103" s="708" t="n">
        <f aca="false">ATAN(A103/pole1)</f>
        <v>1.42475482699249</v>
      </c>
      <c r="E103" s="708" t="n">
        <f aca="false">SQRT(1+(A103/Zero1)^2)</f>
        <v>1.00125061726939</v>
      </c>
      <c r="F103" s="709" t="n">
        <f aca="false">ATAN(A103/Zero1)</f>
        <v>0.0499863039080894</v>
      </c>
      <c r="G103" s="708" t="n">
        <f aca="false">IF(VIN_nom&gt;Vout, 1, SQRT(1+(A103/z_RHP)^2))</f>
        <v>1.00173918066065</v>
      </c>
      <c r="H103" s="709" t="n">
        <f aca="false">IF(VIN_nom&gt;Vout, 0, -ATAN(A103/z_RHP))</f>
        <v>-0.058934943308348</v>
      </c>
      <c r="I103" s="707" t="n">
        <f aca="false">SQRT(1+(A103/Pole2)^2)</f>
        <v>16514.3423763771</v>
      </c>
      <c r="J103" s="710" t="n">
        <f aca="false">ATAN(A103/Pole2)</f>
        <v>1.57073577336941</v>
      </c>
      <c r="K103" s="719" t="n">
        <f aca="false">SQRT(1+(A103/Zero2)^2)</f>
        <v>5.20654291608809</v>
      </c>
      <c r="L103" s="720" t="n">
        <f aca="false">ATAN(A103/Zero2)</f>
        <v>1.37752939261611</v>
      </c>
      <c r="M103" s="707" t="n">
        <f aca="false">SQRT(1+(A103/pole4)^2)</f>
        <v>1.01252216770396</v>
      </c>
      <c r="N103" s="710" t="n">
        <f aca="false">ATAN(A103/pole4)</f>
        <v>0.157434928596304</v>
      </c>
      <c r="O103" s="711" t="n">
        <f aca="false">SQRT((1-(V103/pterm2))^2+(A103/pterm1)^2)</f>
        <v>1.00083034182797</v>
      </c>
      <c r="P103" s="712" t="n">
        <f aca="false">IF((ATAN((A103/pterm1)/(1-A103^2/pterm2))&gt;0),ATAN((A103/pterm1)/(1-A103^2/pterm2)),PI()+ATAN((A103/pterm1)/(1-A103^2/pterm2)))</f>
        <v>0.0553871391407609</v>
      </c>
      <c r="Q103" s="713" t="n">
        <f aca="false">20*LOG10(((E103*K103*G103)/(C103*I103*O103*M103))*Adc)</f>
        <v>2.30399209224178</v>
      </c>
      <c r="R103" s="714" t="n">
        <f aca="false">((F103+L103+H103)-(D103+J103+P103+N103))*radconv</f>
        <v>-105.40887427877</v>
      </c>
      <c r="S103" s="717" t="n">
        <f aca="false">IF(R103&gt;0,R103,R103+180)</f>
        <v>74.5911257212296</v>
      </c>
      <c r="U103" s="644" t="n">
        <f aca="false">IF(Q103&lt;0,A103,1000000000)</f>
        <v>1000000000</v>
      </c>
      <c r="V103" s="644" t="n">
        <f aca="false">A103^2</f>
        <v>15849157.21</v>
      </c>
      <c r="X103" s="716" t="n">
        <f aca="false">20*LOG10((K103/(I103*M103))*AEA)</f>
        <v>17.9623468943737</v>
      </c>
      <c r="Y103" s="717" t="n">
        <f aca="false">(L103-(J103+N103))*radconv</f>
        <v>-20.0902671716294</v>
      </c>
      <c r="AA103" s="716" t="n">
        <f aca="false">20*LOG10((E103*G103/(C103*O103))*Acs*Am)</f>
        <v>35.8222705524225</v>
      </c>
      <c r="AB103" s="717" t="n">
        <f aca="false">(F103+H103-(D103+P103))*radconv</f>
        <v>-85.3186071071409</v>
      </c>
      <c r="AD103" s="0" t="n">
        <f aca="false">SUM((Q104&lt;0)*(Q103&gt;0))*A103</f>
        <v>0</v>
      </c>
      <c r="AE103" s="0" t="n">
        <f aca="false">IF(AD103&gt;0,S103,0)</f>
        <v>0</v>
      </c>
    </row>
    <row r="104" customFormat="false" ht="12.75" hidden="false" customHeight="false" outlineLevel="0" collapsed="false">
      <c r="A104" s="718" t="n">
        <v>4365.2</v>
      </c>
      <c r="B104" s="706" t="n">
        <f aca="false">A104/1000</f>
        <v>4.3652</v>
      </c>
      <c r="C104" s="707" t="n">
        <f aca="false">SQRT(1+(A104/pole1)^2)</f>
        <v>7.52132957328313</v>
      </c>
      <c r="D104" s="708" t="n">
        <f aca="false">ATAN(A104/pole1)</f>
        <v>1.43744625120266</v>
      </c>
      <c r="E104" s="708" t="n">
        <f aca="false">SQRT(1+(A104/Zero1)^2)</f>
        <v>1.00150339011396</v>
      </c>
      <c r="F104" s="709" t="n">
        <f aca="false">ATAN(A104/Zero1)</f>
        <v>0.0547998000406083</v>
      </c>
      <c r="G104" s="708" t="n">
        <f aca="false">IF(VIN_nom&gt;Vout, 1, SQRT(1+(A104/z_RHP)^2))</f>
        <v>1.00209059824239</v>
      </c>
      <c r="H104" s="709" t="n">
        <f aca="false">IF(VIN_nom&gt;Vout, 0, -ATAN(A104/z_RHP))</f>
        <v>-0.0646059217195878</v>
      </c>
      <c r="I104" s="707" t="n">
        <f aca="false">SQRT(1+(A104/Pole2)^2)</f>
        <v>18107.6605257658</v>
      </c>
      <c r="J104" s="710" t="n">
        <f aca="false">ATAN(A104/Pole2)</f>
        <v>1.57074110154926</v>
      </c>
      <c r="K104" s="719" t="n">
        <f aca="false">SQRT(1+(A104/Zero2)^2)</f>
        <v>5.69113171835441</v>
      </c>
      <c r="L104" s="720" t="n">
        <f aca="false">ATAN(A104/Zero2)</f>
        <v>1.39416737696518</v>
      </c>
      <c r="M104" s="707" t="n">
        <f aca="false">SQRT(1+(A104/pole4)^2)</f>
        <v>1.01503624680719</v>
      </c>
      <c r="N104" s="710" t="n">
        <f aca="false">ATAN(A104/pole4)</f>
        <v>0.1723381893541</v>
      </c>
      <c r="O104" s="711" t="n">
        <f aca="false">SQRT((1-(V104/pterm2))^2+(A104/pterm1)^2)</f>
        <v>1.00099827184343</v>
      </c>
      <c r="P104" s="712" t="n">
        <f aca="false">IF((ATAN((A104/pterm1)/(1-A104^2/pterm2))&gt;0),ATAN((A104/pterm1)/(1-A104^2/pterm2)),PI()+ATAN((A104/pterm1)/(1-A104^2/pterm2)))</f>
        <v>0.0607270268384564</v>
      </c>
      <c r="Q104" s="713" t="n">
        <f aca="false">20*LOG10(((E104*K104*G104)/(C104*I104*O104*M104))*Adc)</f>
        <v>1.47467568731508</v>
      </c>
      <c r="R104" s="714" t="n">
        <f aca="false">((F104+L104+H104)-(D104+J104+P104+N104))*radconv</f>
        <v>-106.392035408693</v>
      </c>
      <c r="S104" s="717" t="n">
        <f aca="false">IF(R104&gt;0,R104,R104+180)</f>
        <v>73.6079645913067</v>
      </c>
      <c r="U104" s="644" t="n">
        <f aca="false">IF(Q104&lt;0,A104,1000000000)</f>
        <v>1000000000</v>
      </c>
      <c r="V104" s="644" t="n">
        <f aca="false">A104^2</f>
        <v>19054971.04</v>
      </c>
      <c r="X104" s="716" t="n">
        <f aca="false">20*LOG10((K104/(I104*M104))*AEA)</f>
        <v>17.9137691760718</v>
      </c>
      <c r="Y104" s="717" t="n">
        <f aca="false">(L104-(J104+N104))*radconv</f>
        <v>-19.9911801133329</v>
      </c>
      <c r="AA104" s="716" t="n">
        <f aca="false">20*LOG10((E104*G104/(C104*O104))*Acs*Am)</f>
        <v>35.0415318657977</v>
      </c>
      <c r="AB104" s="717" t="n">
        <f aca="false">(F104+H104-(D104+P104))*radconv</f>
        <v>-86.4008552953604</v>
      </c>
      <c r="AD104" s="0" t="n">
        <f aca="false">SUM((Q105&lt;0)*(Q104&gt;0))*A104</f>
        <v>0</v>
      </c>
      <c r="AE104" s="0" t="n">
        <f aca="false">IF(AD104&gt;0,S104,0)</f>
        <v>0</v>
      </c>
    </row>
    <row r="105" customFormat="false" ht="12.75" hidden="false" customHeight="false" outlineLevel="0" collapsed="false">
      <c r="A105" s="718" t="n">
        <v>4786.3</v>
      </c>
      <c r="B105" s="706" t="n">
        <f aca="false">A105/1000</f>
        <v>4.7863</v>
      </c>
      <c r="C105" s="707" t="n">
        <f aca="false">SQRT(1+(A105/pole1)^2)</f>
        <v>8.2346227756772</v>
      </c>
      <c r="D105" s="708" t="n">
        <f aca="false">ATAN(A105/pole1)</f>
        <v>1.44905737567666</v>
      </c>
      <c r="E105" s="708" t="n">
        <f aca="false">SQRT(1+(A105/Zero1)^2)</f>
        <v>1.00180716297651</v>
      </c>
      <c r="F105" s="709" t="n">
        <f aca="false">ATAN(A105/Zero1)</f>
        <v>0.0600740482260749</v>
      </c>
      <c r="G105" s="708" t="n">
        <f aca="false">IF(VIN_nom&gt;Vout, 1, SQRT(1+(A105/z_RHP)^2))</f>
        <v>1.00251287294185</v>
      </c>
      <c r="H105" s="709" t="n">
        <f aca="false">IF(VIN_nom&gt;Vout, 0, -ATAN(A105/z_RHP))</f>
        <v>-0.070818388744285</v>
      </c>
      <c r="I105" s="707" t="n">
        <f aca="false">SQRT(1+(A105/Pole2)^2)</f>
        <v>19854.4615486668</v>
      </c>
      <c r="J105" s="710" t="n">
        <f aca="false">ATAN(A105/Pole2)</f>
        <v>1.57074596028166</v>
      </c>
      <c r="K105" s="719" t="n">
        <f aca="false">SQRT(1+(A105/Zero2)^2)</f>
        <v>6.22391511851261</v>
      </c>
      <c r="L105" s="720" t="n">
        <f aca="false">ATAN(A105/Zero2)</f>
        <v>1.40942631302199</v>
      </c>
      <c r="M105" s="707" t="n">
        <f aca="false">SQRT(1+(A105/pole4)^2)</f>
        <v>1.01805019440225</v>
      </c>
      <c r="N105" s="710" t="n">
        <f aca="false">ATAN(A105/pole4)</f>
        <v>0.188588460844916</v>
      </c>
      <c r="O105" s="711" t="n">
        <f aca="false">SQRT((1-(V105/pterm2))^2+(A105/pterm1)^2)</f>
        <v>1.00120012943496</v>
      </c>
      <c r="P105" s="712" t="n">
        <f aca="false">IF((ATAN((A105/pterm1)/(1-A105^2/pterm2))&gt;0),ATAN((A105/pterm1)/(1-A105^2/pterm2)),PI()+ATAN((A105/pterm1)/(1-A105^2/pterm2)))</f>
        <v>0.0665800578580914</v>
      </c>
      <c r="Q105" s="713" t="n">
        <f aca="false">20*LOG10(((E105*K105*G105)/(C105*I105*O105*M105))*Adc)</f>
        <v>0.643868372146423</v>
      </c>
      <c r="R105" s="714" t="n">
        <f aca="false">((F105+L105+H105)-(D105+J105+P105+N105))*radconv</f>
        <v>-107.503491513567</v>
      </c>
      <c r="S105" s="717" t="n">
        <f aca="false">IF(R105&gt;0,R105,R105+180)</f>
        <v>72.4965084864333</v>
      </c>
      <c r="U105" s="644" t="n">
        <f aca="false">IF(Q105&lt;0,A105,1000000000)</f>
        <v>1000000000</v>
      </c>
      <c r="V105" s="644" t="n">
        <f aca="false">A105^2</f>
        <v>22908667.69</v>
      </c>
      <c r="X105" s="716" t="n">
        <f aca="false">20*LOG10((K105/(I105*M105))*AEA)</f>
        <v>17.8654014608945</v>
      </c>
      <c r="Y105" s="717" t="n">
        <f aca="false">(L105-(J105+N105))*radconv</f>
        <v>-20.0482578347083</v>
      </c>
      <c r="AA105" s="716" t="n">
        <f aca="false">20*LOG10((E105*G105/(C105*O105))*Acs*Am)</f>
        <v>34.2590922658063</v>
      </c>
      <c r="AB105" s="717" t="n">
        <f aca="false">(F105+H105-(D105+P105))*radconv</f>
        <v>-87.4552336788584</v>
      </c>
      <c r="AD105" s="0" t="n">
        <f aca="false">SUM((Q106&lt;0)*(Q105&gt;0))*A105</f>
        <v>4786.3</v>
      </c>
      <c r="AE105" s="0" t="n">
        <f aca="false">IF(AD105&gt;0,S105,0)</f>
        <v>72.4965084864333</v>
      </c>
    </row>
    <row r="106" customFormat="false" ht="12.75" hidden="false" customHeight="false" outlineLevel="0" collapsed="false">
      <c r="A106" s="718" t="n">
        <v>5248.1</v>
      </c>
      <c r="B106" s="706" t="n">
        <f aca="false">A106/1000</f>
        <v>5.2481</v>
      </c>
      <c r="C106" s="707" t="n">
        <f aca="false">SQRT(1+(A106/pole1)^2)</f>
        <v>9.01792147663272</v>
      </c>
      <c r="D106" s="708" t="n">
        <f aca="false">ATAN(A106/pole1)</f>
        <v>1.45967749859023</v>
      </c>
      <c r="E106" s="708" t="n">
        <f aca="false">SQRT(1+(A106/Zero1)^2)</f>
        <v>1.00217231338891</v>
      </c>
      <c r="F106" s="709" t="n">
        <f aca="false">ATAN(A106/Zero1)</f>
        <v>0.0658542057916426</v>
      </c>
      <c r="G106" s="708" t="n">
        <f aca="false">IF(VIN_nom&gt;Vout, 1, SQRT(1+(A106/z_RHP)^2))</f>
        <v>1.00302040266298</v>
      </c>
      <c r="H106" s="709" t="n">
        <f aca="false">IF(VIN_nom&gt;Vout, 0, -ATAN(A106/z_RHP))</f>
        <v>-0.0776249939876001</v>
      </c>
      <c r="I106" s="707" t="n">
        <f aca="false">SQRT(1+(A106/Pole2)^2)</f>
        <v>21770.0937323867</v>
      </c>
      <c r="J106" s="710" t="n">
        <f aca="false">ATAN(A106/Pole2)</f>
        <v>1.57075039222003</v>
      </c>
      <c r="K106" s="719" t="n">
        <f aca="false">SQRT(1+(A106/Zero2)^2)</f>
        <v>6.80958538775263</v>
      </c>
      <c r="L106" s="720" t="n">
        <f aca="false">ATAN(A106/Zero2)</f>
        <v>1.42341149787734</v>
      </c>
      <c r="M106" s="707" t="n">
        <f aca="false">SQRT(1+(A106/pole4)^2)</f>
        <v>1.02166254874077</v>
      </c>
      <c r="N106" s="710" t="n">
        <f aca="false">ATAN(A106/pole4)</f>
        <v>0.206293910562268</v>
      </c>
      <c r="O106" s="711" t="n">
        <f aca="false">SQRT((1-(V106/pterm2))^2+(A106/pterm1)^2)</f>
        <v>1.00144283844637</v>
      </c>
      <c r="P106" s="712" t="n">
        <f aca="false">IF((ATAN((A106/pterm1)/(1-A106^2/pterm2))&gt;0),ATAN((A106/pterm1)/(1-A106^2/pterm2)),PI()+ATAN((A106/pterm1)/(1-A106^2/pterm2)))</f>
        <v>0.072997155682864</v>
      </c>
      <c r="Q106" s="713" t="n">
        <f aca="false">20*LOG10(((E106*K106*G106)/(C106*I106*O106*M106))*Adc)</f>
        <v>-0.189599431645156</v>
      </c>
      <c r="R106" s="714" t="n">
        <f aca="false">((F106+L106+H106)-(D106+J106+P106+N106))*radconv</f>
        <v>-108.751872884386</v>
      </c>
      <c r="S106" s="717" t="n">
        <f aca="false">IF(R106&gt;0,R106,R106+180)</f>
        <v>71.2481271156139</v>
      </c>
      <c r="U106" s="644" t="n">
        <f aca="false">IF(Q106&lt;0,A106,1000000000)</f>
        <v>5248.1</v>
      </c>
      <c r="V106" s="644" t="n">
        <f aca="false">A106^2</f>
        <v>27542553.61</v>
      </c>
      <c r="X106" s="716" t="n">
        <f aca="false">20*LOG10((K106/(I106*M106))*AEA)</f>
        <v>17.8157322809819</v>
      </c>
      <c r="Y106" s="717" t="n">
        <f aca="false">(L106-(J106+N106))*radconv</f>
        <v>-20.2616672415798</v>
      </c>
      <c r="AA106" s="716" t="n">
        <f aca="false">20*LOG10((E106*G106/(C106*O106))*Acs*Am)</f>
        <v>33.4752936419274</v>
      </c>
      <c r="AB106" s="717" t="n">
        <f aca="false">(F106+H106-(D106+P106))*radconv</f>
        <v>-88.4902056428062</v>
      </c>
      <c r="AD106" s="0" t="n">
        <f aca="false">SUM((Q107&lt;0)*(Q106&gt;0))*A106</f>
        <v>0</v>
      </c>
      <c r="AE106" s="0" t="n">
        <f aca="false">IF(AD106&gt;0,S106,0)</f>
        <v>0</v>
      </c>
    </row>
    <row r="107" customFormat="false" ht="12.75" hidden="false" customHeight="false" outlineLevel="0" collapsed="false">
      <c r="A107" s="718" t="n">
        <v>5370.3</v>
      </c>
      <c r="B107" s="706" t="n">
        <f aca="false">A107/1000</f>
        <v>5.3703</v>
      </c>
      <c r="C107" s="707" t="n">
        <f aca="false">SQRT(1+(A107/pole1)^2)</f>
        <v>9.22534731251206</v>
      </c>
      <c r="D107" s="708" t="n">
        <f aca="false">ATAN(A107/pole1)</f>
        <v>1.46218591767248</v>
      </c>
      <c r="E107" s="708" t="n">
        <f aca="false">SQRT(1+(A107/Zero1)^2)</f>
        <v>1.0022745380005</v>
      </c>
      <c r="F107" s="709" t="n">
        <f aca="false">ATAN(A107/Zero1)</f>
        <v>0.0673830109539451</v>
      </c>
      <c r="G107" s="708" t="n">
        <f aca="false">IF(VIN_nom&gt;Vout, 1, SQRT(1+(A107/z_RHP)^2))</f>
        <v>1.00316247377577</v>
      </c>
      <c r="H107" s="709" t="n">
        <f aca="false">IF(VIN_nom&gt;Vout, 0, -ATAN(A107/z_RHP))</f>
        <v>-0.0794249562609782</v>
      </c>
      <c r="I107" s="707" t="n">
        <f aca="false">SQRT(1+(A107/Pole2)^2)</f>
        <v>22277.0020322568</v>
      </c>
      <c r="J107" s="710" t="n">
        <f aca="false">ATAN(A107/Pole2)</f>
        <v>1.57075143745122</v>
      </c>
      <c r="K107" s="719" t="n">
        <f aca="false">SQRT(1+(A107/Zero2)^2)</f>
        <v>6.96476267233418</v>
      </c>
      <c r="L107" s="720" t="n">
        <f aca="false">ATAN(A107/Zero2)</f>
        <v>1.4267184618381</v>
      </c>
      <c r="M107" s="707" t="n">
        <f aca="false">SQRT(1+(A107/pole4)^2)</f>
        <v>1.02267178391977</v>
      </c>
      <c r="N107" s="710" t="n">
        <f aca="false">ATAN(A107/pole4)</f>
        <v>0.21095766892265</v>
      </c>
      <c r="O107" s="711" t="n">
        <f aca="false">SQRT((1-(V107/pterm2))^2+(A107/pterm1)^2)</f>
        <v>1.00151079823071</v>
      </c>
      <c r="P107" s="712" t="n">
        <f aca="false">IF((ATAN((A107/pterm1)/(1-A107^2/pterm2))&gt;0),ATAN((A107/pterm1)/(1-A107^2/pterm2)),PI()+ATAN((A107/pterm1)/(1-A107^2/pterm2)))</f>
        <v>0.074694920441824</v>
      </c>
      <c r="Q107" s="713" t="n">
        <f aca="false">20*LOG10(((E107*K107*G107)/(C107*I107*O107*M107))*Adc)</f>
        <v>-0.398390085489096</v>
      </c>
      <c r="R107" s="714" t="n">
        <f aca="false">((F107+L107+H107)-(D107+J107+P107+N107))*radconv</f>
        <v>-109.086204104876</v>
      </c>
      <c r="S107" s="717" t="n">
        <f aca="false">IF(R107&gt;0,R107,R107+180)</f>
        <v>70.9137958951237</v>
      </c>
      <c r="U107" s="644" t="n">
        <f aca="false">IF(Q107&lt;0,A107,1000000000)</f>
        <v>5370.3</v>
      </c>
      <c r="V107" s="644" t="n">
        <f aca="false">A107^2</f>
        <v>28840122.09</v>
      </c>
      <c r="X107" s="716" t="n">
        <f aca="false">20*LOG10((K107/(I107*M107))*AEA)</f>
        <v>17.8029404135507</v>
      </c>
      <c r="Y107" s="717" t="n">
        <f aca="false">(L107-(J107+N107))*radconv</f>
        <v>-20.3394657217698</v>
      </c>
      <c r="AA107" s="716" t="n">
        <f aca="false">20*LOG10((E107*G107/(C107*O107))*Acs*Am)</f>
        <v>33.2792948555146</v>
      </c>
      <c r="AB107" s="717" t="n">
        <f aca="false">(F107+H107-(D107+P107))*radconv</f>
        <v>-88.7467383831065</v>
      </c>
      <c r="AD107" s="0" t="n">
        <f aca="false">SUM((Q108&lt;0)*(Q107&gt;0))*A107</f>
        <v>0</v>
      </c>
      <c r="AE107" s="0" t="n">
        <f aca="false">IF(AD107&gt;0,S107,0)</f>
        <v>0</v>
      </c>
    </row>
    <row r="108" customFormat="false" ht="12.75" hidden="false" customHeight="false" outlineLevel="0" collapsed="false">
      <c r="A108" s="718" t="n">
        <v>5432.85</v>
      </c>
      <c r="B108" s="706" t="n">
        <f aca="false">A108/1000</f>
        <v>5.43285</v>
      </c>
      <c r="C108" s="707" t="n">
        <f aca="false">SQRT(1+(A108/pole1)^2)</f>
        <v>9.33154320843152</v>
      </c>
      <c r="D108" s="708" t="n">
        <f aca="false">ATAN(A108/pole1)</f>
        <v>1.46342673782416</v>
      </c>
      <c r="E108" s="708" t="n">
        <f aca="false">SQRT(1+(A108/Zero1)^2)</f>
        <v>1.00232776956388</v>
      </c>
      <c r="F108" s="709" t="n">
        <f aca="false">ATAN(A108/Zero1)</f>
        <v>0.0681654324282949</v>
      </c>
      <c r="G108" s="708" t="n">
        <f aca="false">IF(VIN_nom&gt;Vout, 1, SQRT(1+(A108/z_RHP)^2))</f>
        <v>1.00323645243357</v>
      </c>
      <c r="H108" s="709" t="n">
        <f aca="false">IF(VIN_nom&gt;Vout, 0, -ATAN(A108/z_RHP))</f>
        <v>-0.0803460965987346</v>
      </c>
      <c r="I108" s="707" t="n">
        <f aca="false">SQRT(1+(A108/Pole2)^2)</f>
        <v>22536.4710515529</v>
      </c>
      <c r="J108" s="710" t="n">
        <f aca="false">ATAN(A108/Pole2)</f>
        <v>1.57075195427544</v>
      </c>
      <c r="K108" s="719" t="n">
        <f aca="false">SQRT(1+(A108/Zero2)^2)</f>
        <v>7.04422110630448</v>
      </c>
      <c r="L108" s="720" t="n">
        <f aca="false">ATAN(A108/Zero2)</f>
        <v>1.42835479850864</v>
      </c>
      <c r="M108" s="707" t="n">
        <f aca="false">SQRT(1+(A108/pole4)^2)</f>
        <v>1.02319697091791</v>
      </c>
      <c r="N108" s="710" t="n">
        <f aca="false">ATAN(A108/pole4)</f>
        <v>0.213341300957367</v>
      </c>
      <c r="O108" s="711" t="n">
        <f aca="false">SQRT((1-(V108/pterm2))^2+(A108/pterm1)^2)</f>
        <v>1.00154618925669</v>
      </c>
      <c r="P108" s="712" t="n">
        <f aca="false">IF((ATAN((A108/pterm1)/(1-A108^2/pterm2))&gt;0),ATAN((A108/pterm1)/(1-A108^2/pterm2)),PI()+ATAN((A108/pterm1)/(1-A108^2/pterm2)))</f>
        <v>0.0755638964325352</v>
      </c>
      <c r="Q108" s="713" t="n">
        <f aca="false">20*LOG10(((E108*K108*G108)/(C108*I108*O108*M108))*Adc)</f>
        <v>-0.503519759486726</v>
      </c>
      <c r="R108" s="714" t="n">
        <f aca="false">((F108+L108+H108)-(D108+J108+P108+N108))*radconv</f>
        <v>-109.25788100734</v>
      </c>
      <c r="S108" s="717" t="n">
        <f aca="false">IF(R108&gt;0,R108,R108+180)</f>
        <v>70.74211899266</v>
      </c>
      <c r="U108" s="644" t="n">
        <f aca="false">IF(Q108&lt;0,A108,1000000000)</f>
        <v>5432.85</v>
      </c>
      <c r="V108" s="644" t="n">
        <f aca="false">A108^2</f>
        <v>29515859.1225</v>
      </c>
      <c r="X108" s="716" t="n">
        <f aca="false">20*LOG10((K108/(I108*M108))*AEA)</f>
        <v>17.7964307707587</v>
      </c>
      <c r="Y108" s="717" t="n">
        <f aca="false">(L108-(J108+N108))*radconv</f>
        <v>-20.3823122040822</v>
      </c>
      <c r="AA108" s="716" t="n">
        <f aca="false">20*LOG10((E108*G108/(C108*O108))*Acs*Am)</f>
        <v>33.1806748243089</v>
      </c>
      <c r="AB108" s="717" t="n">
        <f aca="false">(F108+H108-(D108+P108))*radconv</f>
        <v>-88.8755688032579</v>
      </c>
      <c r="AD108" s="0" t="n">
        <f aca="false">SUM((Q109&lt;0)*(Q108&gt;0))*A108</f>
        <v>0</v>
      </c>
      <c r="AE108" s="0" t="n">
        <f aca="false">IF(AD108&gt;0,S108,0)</f>
        <v>0</v>
      </c>
    </row>
    <row r="109" customFormat="false" ht="12.75" hidden="false" customHeight="false" outlineLevel="0" collapsed="false">
      <c r="A109" s="718" t="n">
        <v>5495.4</v>
      </c>
      <c r="B109" s="706" t="n">
        <f aca="false">A109/1000</f>
        <v>5.4954</v>
      </c>
      <c r="C109" s="707" t="n">
        <f aca="false">SQRT(1+(A109/pole1)^2)</f>
        <v>9.43775314817977</v>
      </c>
      <c r="D109" s="708" t="n">
        <f aca="false">ATAN(A109/pole1)</f>
        <v>1.46463963209477</v>
      </c>
      <c r="E109" s="708" t="n">
        <f aca="false">SQRT(1+(A109/Zero1)^2)</f>
        <v>1.00238161467026</v>
      </c>
      <c r="F109" s="709" t="n">
        <f aca="false">ATAN(A109/Zero1)</f>
        <v>0.0689477703225972</v>
      </c>
      <c r="G109" s="708" t="n">
        <f aca="false">IF(VIN_nom&gt;Vout, 1, SQRT(1+(A109/z_RHP)^2))</f>
        <v>1.00331128221107</v>
      </c>
      <c r="H109" s="709" t="n">
        <f aca="false">IF(VIN_nom&gt;Vout, 0, -ATAN(A109/z_RHP))</f>
        <v>-0.081267100315391</v>
      </c>
      <c r="I109" s="707" t="n">
        <f aca="false">SQRT(1+(A109/Pole2)^2)</f>
        <v>22795.9400708549</v>
      </c>
      <c r="J109" s="710" t="n">
        <f aca="false">ATAN(A109/Pole2)</f>
        <v>1.57075245933441</v>
      </c>
      <c r="K109" s="719" t="n">
        <f aca="false">SQRT(1+(A109/Zero2)^2)</f>
        <v>7.12369798106785</v>
      </c>
      <c r="L109" s="720" t="n">
        <f aca="false">ATAN(A109/Zero2)</f>
        <v>1.42995462718866</v>
      </c>
      <c r="M109" s="707" t="n">
        <f aca="false">SQRT(1+(A109/pole4)^2)</f>
        <v>1.02372796543192</v>
      </c>
      <c r="N109" s="710" t="n">
        <f aca="false">ATAN(A109/pole4)</f>
        <v>0.215722473791074</v>
      </c>
      <c r="O109" s="711" t="n">
        <f aca="false">SQRT((1-(V109/pterm2))^2+(A109/pterm1)^2)</f>
        <v>1.00158198975308</v>
      </c>
      <c r="P109" s="712" t="n">
        <f aca="false">IF((ATAN((A109/pterm1)/(1-A109^2/pterm2))&gt;0),ATAN((A109/pterm1)/(1-A109^2/pterm2)),PI()+ATAN((A109/pterm1)/(1-A109^2/pterm2)))</f>
        <v>0.0764328368702206</v>
      </c>
      <c r="Q109" s="713" t="n">
        <f aca="false">20*LOG10(((E109*K109*G109)/(C109*I109*O109*M109))*Adc)</f>
        <v>-0.607506586712535</v>
      </c>
      <c r="R109" s="714" t="n">
        <f aca="false">((F109+L109+H109)-(D109+J109+P109+N109))*radconv</f>
        <v>-109.429902976451</v>
      </c>
      <c r="S109" s="717" t="n">
        <f aca="false">IF(R109&gt;0,R109,R109+180)</f>
        <v>70.5700970235494</v>
      </c>
      <c r="U109" s="644" t="n">
        <f aca="false">IF(Q109&lt;0,A109,1000000000)</f>
        <v>5495.4</v>
      </c>
      <c r="V109" s="644" t="n">
        <f aca="false">A109^2</f>
        <v>30199421.16</v>
      </c>
      <c r="X109" s="716" t="n">
        <f aca="false">20*LOG10((K109/(I109*M109))*AEA)</f>
        <v>17.7899428308656</v>
      </c>
      <c r="Y109" s="717" t="n">
        <f aca="false">(L109-(J109+N109))*radconv</f>
        <v>-20.4271088642343</v>
      </c>
      <c r="AA109" s="716" t="n">
        <f aca="false">20*LOG10((E109*G109/(C109*O109))*Acs*Am)</f>
        <v>33.0831759369763</v>
      </c>
      <c r="AB109" s="717" t="n">
        <f aca="false">(F109+H109-(D109+P109))*radconv</f>
        <v>-89.0027941122163</v>
      </c>
      <c r="AD109" s="0" t="n">
        <f aca="false">SUM((Q110&lt;0)*(Q109&gt;0))*A109</f>
        <v>0</v>
      </c>
      <c r="AE109" s="0" t="n">
        <f aca="false">IF(AD109&gt;0,S109,0)</f>
        <v>0</v>
      </c>
    </row>
    <row r="110" customFormat="false" ht="12.75" hidden="false" customHeight="false" outlineLevel="0" collapsed="false">
      <c r="A110" s="718" t="n">
        <v>5559.4</v>
      </c>
      <c r="B110" s="706" t="n">
        <f aca="false">A110/1000</f>
        <v>5.5594</v>
      </c>
      <c r="C110" s="707" t="n">
        <f aca="false">SQRT(1+(A110/pole1)^2)</f>
        <v>9.54643923587355</v>
      </c>
      <c r="D110" s="708" t="n">
        <f aca="false">ATAN(A110/pole1)</f>
        <v>1.46585270712491</v>
      </c>
      <c r="E110" s="708" t="n">
        <f aca="false">SQRT(1+(A110/Zero1)^2)</f>
        <v>1.00243734292349</v>
      </c>
      <c r="F110" s="709" t="n">
        <f aca="false">ATAN(A110/Zero1)</f>
        <v>0.0697481564539501</v>
      </c>
      <c r="G110" s="708" t="n">
        <f aca="false">IF(VIN_nom&gt;Vout, 1, SQRT(1+(A110/z_RHP)^2))</f>
        <v>1.00338872739672</v>
      </c>
      <c r="H110" s="709" t="n">
        <f aca="false">IF(VIN_nom&gt;Vout, 0, -ATAN(A110/z_RHP))</f>
        <v>-0.0822093112320347</v>
      </c>
      <c r="I110" s="707" t="n">
        <f aca="false">SQRT(1+(A110/Pole2)^2)</f>
        <v>23061.4239595151</v>
      </c>
      <c r="J110" s="710" t="n">
        <f aca="false">ATAN(A110/Pole2)</f>
        <v>1.57075296433809</v>
      </c>
      <c r="K110" s="719" t="n">
        <f aca="false">SQRT(1+(A110/Zero2)^2)</f>
        <v>7.2050356958767</v>
      </c>
      <c r="L110" s="720" t="n">
        <f aca="false">ATAN(A110/Zero2)</f>
        <v>1.4315550066924</v>
      </c>
      <c r="M110" s="707" t="n">
        <f aca="false">SQRT(1+(A110/pole4)^2)</f>
        <v>1.02427727076624</v>
      </c>
      <c r="N110" s="710" t="n">
        <f aca="false">ATAN(A110/pole4)</f>
        <v>0.218156276149467</v>
      </c>
      <c r="O110" s="711" t="n">
        <f aca="false">SQRT((1-(V110/pterm2))^2+(A110/pterm1)^2)</f>
        <v>1.00161904396288</v>
      </c>
      <c r="P110" s="712" t="n">
        <f aca="false">IF((ATAN((A110/pterm1)/(1-A110^2/pterm2))&gt;0),ATAN((A110/pterm1)/(1-A110^2/pterm2)),PI()+ATAN((A110/pterm1)/(1-A110^2/pterm2)))</f>
        <v>0.0773218833893193</v>
      </c>
      <c r="Q110" s="713" t="n">
        <f aca="false">20*LOG10(((E110*K110*G110)/(C110*I110*O110*M110))*Adc)</f>
        <v>-0.71274944845968</v>
      </c>
      <c r="R110" s="714" t="n">
        <f aca="false">((F110+L110+H110)-(D110+J110+P110+N110))*radconv</f>
        <v>-109.606252177775</v>
      </c>
      <c r="S110" s="717" t="n">
        <f aca="false">IF(R110&gt;0,R110,R110+180)</f>
        <v>70.3937478222251</v>
      </c>
      <c r="U110" s="644" t="n">
        <f aca="false">IF(Q110&lt;0,A110,1000000000)</f>
        <v>5559.4</v>
      </c>
      <c r="V110" s="644" t="n">
        <f aca="false">A110^2</f>
        <v>30906928.36</v>
      </c>
      <c r="X110" s="716" t="n">
        <f aca="false">20*LOG10((K110/(I110*M110))*AEA)</f>
        <v>17.783323957801</v>
      </c>
      <c r="Y110" s="717" t="n">
        <f aca="false">(L110-(J110+N110))*radconv</f>
        <v>-20.4748894109896</v>
      </c>
      <c r="AA110" s="716" t="n">
        <f aca="false">20*LOG10((E110*G110/(C110*O110))*Acs*Am)</f>
        <v>32.9845519482937</v>
      </c>
      <c r="AB110" s="717" t="n">
        <f aca="false">(F110+H110-(D110+P110))*radconv</f>
        <v>-89.1313627667853</v>
      </c>
      <c r="AD110" s="0" t="n">
        <f aca="false">SUM((Q111&lt;0)*(Q110&gt;0))*A110</f>
        <v>0</v>
      </c>
      <c r="AE110" s="0" t="n">
        <f aca="false">IF(AD110&gt;0,S110,0)</f>
        <v>0</v>
      </c>
    </row>
    <row r="111" customFormat="false" ht="12.75" hidden="false" customHeight="false" outlineLevel="0" collapsed="false">
      <c r="A111" s="718" t="n">
        <v>5623.4</v>
      </c>
      <c r="B111" s="706" t="n">
        <f aca="false">A111/1000</f>
        <v>5.6234</v>
      </c>
      <c r="C111" s="707" t="n">
        <f aca="false">SQRT(1+(A111/pole1)^2)</f>
        <v>9.65513905535489</v>
      </c>
      <c r="D111" s="708" t="n">
        <f aca="false">ATAN(A111/pole1)</f>
        <v>1.46703846970109</v>
      </c>
      <c r="E111" s="708" t="n">
        <f aca="false">SQRT(1+(A111/Zero1)^2)</f>
        <v>1.00249371328444</v>
      </c>
      <c r="F111" s="709" t="n">
        <f aca="false">ATAN(A111/Zero1)</f>
        <v>0.0705484530862926</v>
      </c>
      <c r="G111" s="708" t="n">
        <f aca="false">IF(VIN_nom&gt;Vout, 1, SQRT(1+(A111/z_RHP)^2))</f>
        <v>1.0034670632142</v>
      </c>
      <c r="H111" s="709" t="n">
        <f aca="false">IF(VIN_nom&gt;Vout, 0, -ATAN(A111/z_RHP))</f>
        <v>-0.0831513758772057</v>
      </c>
      <c r="I111" s="707" t="n">
        <f aca="false">SQRT(1+(A111/Pole2)^2)</f>
        <v>23326.9078481811</v>
      </c>
      <c r="J111" s="710" t="n">
        <f aca="false">ATAN(A111/Pole2)</f>
        <v>1.57075345784686</v>
      </c>
      <c r="K111" s="719" t="n">
        <f aca="false">SQRT(1+(A111/Zero2)^2)</f>
        <v>7.28639145230601</v>
      </c>
      <c r="L111" s="720" t="n">
        <f aca="false">ATAN(A111/Zero2)</f>
        <v>1.43311965225111</v>
      </c>
      <c r="M111" s="707" t="n">
        <f aca="false">SQRT(1+(A111/pole4)^2)</f>
        <v>1.0248326367734</v>
      </c>
      <c r="N111" s="710" t="n">
        <f aca="false">ATAN(A111/pole4)</f>
        <v>0.220587455097051</v>
      </c>
      <c r="O111" s="711" t="n">
        <f aca="false">SQRT((1-(V111/pterm2))^2+(A111/pterm1)^2)</f>
        <v>1.00165652682126</v>
      </c>
      <c r="P111" s="712" t="n">
        <f aca="false">IF((ATAN((A111/pterm1)/(1-A111^2/pterm2))&gt;0),ATAN((A111/pterm1)/(1-A111^2/pterm2)),PI()+ATAN((A111/pterm1)/(1-A111^2/pterm2)))</f>
        <v>0.0782108918285659</v>
      </c>
      <c r="Q111" s="713" t="n">
        <f aca="false">20*LOG10(((E111*K111*G111)/(C111*I111*O111*M111))*Adc)</f>
        <v>-0.816852441423823</v>
      </c>
      <c r="R111" s="714" t="n">
        <f aca="false">((F111+L111+H111)-(D111+J111+P111+N111))*radconv</f>
        <v>-109.782927491381</v>
      </c>
      <c r="S111" s="717" t="n">
        <f aca="false">IF(R111&gt;0,R111,R111+180)</f>
        <v>70.2170725086188</v>
      </c>
      <c r="U111" s="644" t="n">
        <f aca="false">IF(Q111&lt;0,A111,1000000000)</f>
        <v>5623.4</v>
      </c>
      <c r="V111" s="644" t="n">
        <f aca="false">A111^2</f>
        <v>31622627.56</v>
      </c>
      <c r="X111" s="716" t="n">
        <f aca="false">20*LOG10((K111/(I111*M111))*AEA)</f>
        <v>17.7767218979328</v>
      </c>
      <c r="Y111" s="717" t="n">
        <f aca="false">(L111-(J111+N111))*radconv</f>
        <v>-20.524566393006</v>
      </c>
      <c r="AA111" s="716" t="n">
        <f aca="false">20*LOG10((E111*G111/(C111*O111))*Acs*Am)</f>
        <v>32.8870510151977</v>
      </c>
      <c r="AB111" s="717" t="n">
        <f aca="false">(F111+H111-(D111+P111))*radconv</f>
        <v>-89.2583610983752</v>
      </c>
      <c r="AD111" s="0" t="n">
        <f aca="false">SUM((Q112&lt;0)*(Q111&gt;0))*A111</f>
        <v>0</v>
      </c>
      <c r="AE111" s="0" t="n">
        <f aca="false">IF(AD111&gt;0,S111,0)</f>
        <v>0</v>
      </c>
    </row>
    <row r="112" customFormat="false" ht="12.75" hidden="false" customHeight="false" outlineLevel="0" collapsed="false">
      <c r="A112" s="718" t="n">
        <v>5688.9</v>
      </c>
      <c r="B112" s="706" t="n">
        <f aca="false">A112/1000</f>
        <v>5.6889</v>
      </c>
      <c r="C112" s="707" t="n">
        <f aca="false">SQRT(1+(A112/pole1)^2)</f>
        <v>9.76640026671458</v>
      </c>
      <c r="D112" s="708" t="n">
        <f aca="false">ATAN(A112/pole1)</f>
        <v>1.46822469165832</v>
      </c>
      <c r="E112" s="708" t="n">
        <f aca="false">SQRT(1+(A112/Zero1)^2)</f>
        <v>1.00255206957089</v>
      </c>
      <c r="F112" s="709" t="n">
        <f aca="false">ATAN(A112/Zero1)</f>
        <v>0.0713674129470093</v>
      </c>
      <c r="G112" s="708" t="n">
        <f aca="false">IF(VIN_nom&gt;Vout, 1, SQRT(1+(A112/z_RHP)^2))</f>
        <v>1.00354815699749</v>
      </c>
      <c r="H112" s="709" t="n">
        <f aca="false">IF(VIN_nom&gt;Vout, 0, -ATAN(A112/z_RHP))</f>
        <v>-0.0841153669995442</v>
      </c>
      <c r="I112" s="707" t="n">
        <f aca="false">SQRT(1+(A112/Pole2)^2)</f>
        <v>23598.6140154934</v>
      </c>
      <c r="J112" s="710" t="n">
        <f aca="false">ATAN(A112/Pole2)</f>
        <v>1.5707539514249</v>
      </c>
      <c r="K112" s="719" t="n">
        <f aca="false">SQRT(1+(A112/Zero2)^2)</f>
        <v>7.3696720416254</v>
      </c>
      <c r="L112" s="720" t="n">
        <f aca="false">ATAN(A112/Zero2)</f>
        <v>1.43468519623273</v>
      </c>
      <c r="M112" s="707" t="n">
        <f aca="false">SQRT(1+(A112/pole4)^2)</f>
        <v>1.02540728430262</v>
      </c>
      <c r="N112" s="710" t="n">
        <f aca="false">ATAN(A112/pole4)</f>
        <v>0.223072872923998</v>
      </c>
      <c r="O112" s="711" t="n">
        <f aca="false">SQRT((1-(V112/pterm2))^2+(A112/pterm1)^2)</f>
        <v>1.00169533200609</v>
      </c>
      <c r="P112" s="712" t="n">
        <f aca="false">IF((ATAN((A112/pterm1)/(1-A112^2/pterm2))&gt;0),ATAN((A112/pterm1)/(1-A112^2/pterm2)),PI()+ATAN((A112/pterm1)/(1-A112^2/pterm2)))</f>
        <v>0.0791206965207321</v>
      </c>
      <c r="Q112" s="713" t="n">
        <f aca="false">20*LOG10(((E112*K112*G112)/(C112*I112*O112*M112))*Adc)</f>
        <v>-0.922243389371081</v>
      </c>
      <c r="R112" s="714" t="n">
        <f aca="false">((F112+L112+H112)-(D112+J112+P112+N112))*radconv</f>
        <v>-109.964063820495</v>
      </c>
      <c r="S112" s="717" t="n">
        <f aca="false">IF(R112&gt;0,R112,R112+180)</f>
        <v>70.0359361795052</v>
      </c>
      <c r="U112" s="644" t="n">
        <f aca="false">IF(Q112&lt;0,A112,1000000000)</f>
        <v>5688.9</v>
      </c>
      <c r="V112" s="644" t="n">
        <f aca="false">A112^2</f>
        <v>32363583.21</v>
      </c>
      <c r="X112" s="716" t="n">
        <f aca="false">20*LOG10((K112/(I112*M112))*AEA)</f>
        <v>17.7699796633162</v>
      </c>
      <c r="Y112" s="717" t="n">
        <f aca="false">(L112-(J112+N112))*radconv</f>
        <v>-20.5772995620266</v>
      </c>
      <c r="AA112" s="716" t="n">
        <f aca="false">20*LOG10((E112*G112/(C112*O112))*Acs*Am)</f>
        <v>32.7884023018671</v>
      </c>
      <c r="AB112" s="717" t="n">
        <f aca="false">(F112+H112-(D112+P112))*radconv</f>
        <v>-89.3867642584682</v>
      </c>
      <c r="AD112" s="0" t="n">
        <f aca="false">SUM((Q113&lt;0)*(Q112&gt;0))*A112</f>
        <v>0</v>
      </c>
      <c r="AE112" s="0" t="n">
        <f aca="false">IF(AD112&gt;0,S112,0)</f>
        <v>0</v>
      </c>
    </row>
    <row r="113" customFormat="false" ht="12.75" hidden="false" customHeight="false" outlineLevel="0" collapsed="false">
      <c r="A113" s="718" t="n">
        <v>5754.4</v>
      </c>
      <c r="B113" s="706" t="n">
        <f aca="false">A113/1000</f>
        <v>5.7544</v>
      </c>
      <c r="C113" s="707" t="n">
        <f aca="false">SQRT(1+(A113/pole1)^2)</f>
        <v>9.87767491099604</v>
      </c>
      <c r="D113" s="708" t="n">
        <f aca="false">ATAN(A113/pole1)</f>
        <v>1.46938418900271</v>
      </c>
      <c r="E113" s="708" t="n">
        <f aca="false">SQRT(1+(A113/Zero1)^2)</f>
        <v>1.00261109818571</v>
      </c>
      <c r="F113" s="709" t="n">
        <f aca="false">ATAN(A113/Zero1)</f>
        <v>0.0721862769245424</v>
      </c>
      <c r="G113" s="708" t="n">
        <f aca="false">IF(VIN_nom&gt;Vout, 1, SQRT(1+(A113/z_RHP)^2))</f>
        <v>1.00363018320567</v>
      </c>
      <c r="H113" s="709" t="n">
        <f aca="false">IF(VIN_nom&gt;Vout, 0, -ATAN(A113/z_RHP))</f>
        <v>-0.0850792014443783</v>
      </c>
      <c r="I113" s="707" t="n">
        <f aca="false">SQRT(1+(A113/Pole2)^2)</f>
        <v>23870.3201828113</v>
      </c>
      <c r="J113" s="710" t="n">
        <f aca="false">ATAN(A113/Pole2)</f>
        <v>1.57075443376654</v>
      </c>
      <c r="K113" s="719" t="n">
        <f aca="false">SQRT(1+(A113/Zero2)^2)</f>
        <v>7.45297028978768</v>
      </c>
      <c r="L113" s="720" t="n">
        <f aca="false">ATAN(A113/Zero2)</f>
        <v>1.43621574923862</v>
      </c>
      <c r="M113" s="707" t="n">
        <f aca="false">SQRT(1+(A113/pole4)^2)</f>
        <v>1.02598825896374</v>
      </c>
      <c r="N113" s="710" t="n">
        <f aca="false">ATAN(A113/pole4)</f>
        <v>0.225555491294059</v>
      </c>
      <c r="O113" s="711" t="n">
        <f aca="false">SQRT((1-(V113/pterm2))^2+(A113/pterm1)^2)</f>
        <v>1.00173458613921</v>
      </c>
      <c r="P113" s="712" t="n">
        <f aca="false">IF((ATAN((A113/pterm1)/(1-A113^2/pterm2))&gt;0),ATAN((A113/pterm1)/(1-A113^2/pterm2)),PI()+ATAN((A113/pterm1)/(1-A113^2/pterm2)))</f>
        <v>0.0800304604065854</v>
      </c>
      <c r="Q113" s="713" t="n">
        <f aca="false">20*LOG10(((E113*K113*G113)/(C113*I113*O113*M113))*Adc)</f>
        <v>-1.02649686841699</v>
      </c>
      <c r="R113" s="714" t="n">
        <f aca="false">((F113+L113+H113)-(D113+J113+P113+N113))*radconv</f>
        <v>-110.145506915163</v>
      </c>
      <c r="S113" s="717" t="n">
        <f aca="false">IF(R113&gt;0,R113,R113+180)</f>
        <v>69.8544930848373</v>
      </c>
      <c r="U113" s="644" t="n">
        <f aca="false">IF(Q113&lt;0,A113,1000000000)</f>
        <v>5754.4</v>
      </c>
      <c r="V113" s="644" t="n">
        <f aca="false">A113^2</f>
        <v>33113119.36</v>
      </c>
      <c r="X113" s="716" t="n">
        <f aca="false">20*LOG10((K113/(I113*M113))*AEA)</f>
        <v>17.763249425609</v>
      </c>
      <c r="Y113" s="717" t="n">
        <f aca="false">(L113-(J113+N113))*radconv</f>
        <v>-20.6318765254164</v>
      </c>
      <c r="AA113" s="716" t="n">
        <f aca="false">20*LOG10((E113*G113/(C113*O113))*Acs*Am)</f>
        <v>32.6908790605284</v>
      </c>
      <c r="AB113" s="717" t="n">
        <f aca="false">(F113+H113-(D113+P113))*radconv</f>
        <v>-89.5136303897462</v>
      </c>
      <c r="AD113" s="0" t="n">
        <f aca="false">SUM((Q114&lt;0)*(Q113&gt;0))*A113</f>
        <v>0</v>
      </c>
      <c r="AE113" s="0" t="n">
        <f aca="false">IF(AD113&gt;0,S113,0)</f>
        <v>0</v>
      </c>
    </row>
    <row r="114" customFormat="false" ht="12.75" hidden="false" customHeight="false" outlineLevel="0" collapsed="false">
      <c r="A114" s="718" t="n">
        <v>5821.4</v>
      </c>
      <c r="B114" s="706" t="n">
        <f aca="false">A114/1000</f>
        <v>5.8214</v>
      </c>
      <c r="C114" s="707" t="n">
        <f aca="false">SQRT(1+(A114/pole1)^2)</f>
        <v>9.99151125957088</v>
      </c>
      <c r="D114" s="708" t="n">
        <f aca="false">ATAN(A114/pole1)</f>
        <v>1.47054351773223</v>
      </c>
      <c r="E114" s="708" t="n">
        <f aca="false">SQRT(1+(A114/Zero1)^2)</f>
        <v>1.002672174077</v>
      </c>
      <c r="F114" s="709" t="n">
        <f aca="false">ATAN(A114/Zero1)</f>
        <v>0.0730237931831425</v>
      </c>
      <c r="G114" s="708" t="n">
        <f aca="false">IF(VIN_nom&gt;Vout, 1, SQRT(1+(A114/z_RHP)^2))</f>
        <v>1.00371505233757</v>
      </c>
      <c r="H114" s="709" t="n">
        <f aca="false">IF(VIN_nom&gt;Vout, 0, -ATAN(A114/z_RHP))</f>
        <v>-0.0860649445065099</v>
      </c>
      <c r="I114" s="707" t="n">
        <f aca="false">SQRT(1+(A114/Pole2)^2)</f>
        <v>24148.2486287758</v>
      </c>
      <c r="J114" s="710" t="n">
        <f aca="false">ATAN(A114/Pole2)</f>
        <v>1.57075491592425</v>
      </c>
      <c r="K114" s="719" t="n">
        <f aca="false">SQRT(1+(A114/Zero2)^2)</f>
        <v>7.53819379120841</v>
      </c>
      <c r="L114" s="720" t="n">
        <f aca="false">ATAN(A114/Zero2)</f>
        <v>1.43774635287574</v>
      </c>
      <c r="M114" s="707" t="n">
        <f aca="false">SQRT(1+(A114/pole4)^2)</f>
        <v>1.0265890733239</v>
      </c>
      <c r="N114" s="710" t="n">
        <f aca="false">ATAN(A114/pole4)</f>
        <v>0.228092040244196</v>
      </c>
      <c r="O114" s="711" t="n">
        <f aca="false">SQRT((1-(V114/pterm2))^2+(A114/pterm1)^2)</f>
        <v>1.00177520369451</v>
      </c>
      <c r="P114" s="712" t="n">
        <f aca="false">IF((ATAN((A114/pterm1)/(1-A114^2/pterm2))&gt;0),ATAN((A114/pterm1)/(1-A114^2/pterm2)),PI()+ATAN((A114/pterm1)/(1-A114^2/pterm2)))</f>
        <v>0.0809610158759774</v>
      </c>
      <c r="Q114" s="713" t="n">
        <f aca="false">20*LOG10(((E114*K114*G114)/(C114*I114*O114*M114))*Adc)</f>
        <v>-1.13198920425478</v>
      </c>
      <c r="R114" s="714" t="n">
        <f aca="false">((F114+L114+H114)-(D114+J114+P114+N114))*radconv</f>
        <v>-110.331405276356</v>
      </c>
      <c r="S114" s="717" t="n">
        <f aca="false">IF(R114&gt;0,R114,R114+180)</f>
        <v>69.6685947236444</v>
      </c>
      <c r="U114" s="644" t="n">
        <f aca="false">IF(Q114&lt;0,A114,1000000000)</f>
        <v>5821.4</v>
      </c>
      <c r="V114" s="644" t="n">
        <f aca="false">A114^2</f>
        <v>33888697.96</v>
      </c>
      <c r="X114" s="716" t="n">
        <f aca="false">20*LOG10((K114/(I114*M114))*AEA)</f>
        <v>17.7563747709374</v>
      </c>
      <c r="Y114" s="717" t="n">
        <f aca="false">(L114-(J114+N114))*radconv</f>
        <v>-20.689540571941</v>
      </c>
      <c r="AA114" s="716" t="n">
        <f aca="false">20*LOG10((E114*G114/(C114*O114))*Acs*Am)</f>
        <v>32.5922613793622</v>
      </c>
      <c r="AB114" s="717" t="n">
        <f aca="false">(F114+H114-(D114+P114))*radconv</f>
        <v>-89.6418647044145</v>
      </c>
      <c r="AD114" s="0" t="n">
        <f aca="false">SUM((Q115&lt;0)*(Q114&gt;0))*A114</f>
        <v>0</v>
      </c>
      <c r="AE114" s="0" t="n">
        <f aca="false">IF(AD114&gt;0,S114,0)</f>
        <v>0</v>
      </c>
    </row>
    <row r="115" customFormat="false" ht="12.75" hidden="false" customHeight="false" outlineLevel="0" collapsed="false">
      <c r="A115" s="718" t="n">
        <v>5888.4</v>
      </c>
      <c r="B115" s="706" t="n">
        <f aca="false">A115/1000</f>
        <v>5.8884</v>
      </c>
      <c r="C115" s="707" t="n">
        <f aca="false">SQRT(1+(A115/pole1)^2)</f>
        <v>10.1053607346027</v>
      </c>
      <c r="D115" s="708" t="n">
        <f aca="false">ATAN(A115/pole1)</f>
        <v>1.47167672539217</v>
      </c>
      <c r="E115" s="708" t="n">
        <f aca="false">SQRT(1+(A115/Zero1)^2)</f>
        <v>1.00273395319016</v>
      </c>
      <c r="F115" s="709" t="n">
        <f aca="false">ATAN(A115/Zero1)</f>
        <v>0.0738612068291927</v>
      </c>
      <c r="G115" s="708" t="n">
        <f aca="false">IF(VIN_nom&gt;Vout, 1, SQRT(1+(A115/z_RHP)^2))</f>
        <v>1.00380089660326</v>
      </c>
      <c r="H115" s="709" t="n">
        <f aca="false">IF(VIN_nom&gt;Vout, 0, -ATAN(A115/z_RHP))</f>
        <v>-0.0870505199262313</v>
      </c>
      <c r="I115" s="707" t="n">
        <f aca="false">SQRT(1+(A115/Pole2)^2)</f>
        <v>24426.1770747457</v>
      </c>
      <c r="J115" s="710" t="n">
        <f aca="false">ATAN(A115/Pole2)</f>
        <v>1.57075538710969</v>
      </c>
      <c r="K115" s="719" t="n">
        <f aca="false">SQRT(1+(A115/Zero2)^2)</f>
        <v>7.62343455784054</v>
      </c>
      <c r="L115" s="720" t="n">
        <f aca="false">ATAN(A115/Zero2)</f>
        <v>1.43924273133212</v>
      </c>
      <c r="M115" s="707" t="n">
        <f aca="false">SQRT(1+(A115/pole4)^2)</f>
        <v>1.02719648508929</v>
      </c>
      <c r="N115" s="710" t="n">
        <f aca="false">ATAN(A115/pole4)</f>
        <v>0.230625605606173</v>
      </c>
      <c r="O115" s="711" t="n">
        <f aca="false">SQRT((1-(V115/pterm2))^2+(A115/pterm1)^2)</f>
        <v>1.00181629096471</v>
      </c>
      <c r="P115" s="712" t="n">
        <f aca="false">IF((ATAN((A115/pterm1)/(1-A115^2/pterm2))&gt;0),ATAN((A115/pterm1)/(1-A115^2/pterm2)),PI()+ATAN((A115/pterm1)/(1-A115^2/pterm2)))</f>
        <v>0.081891527663792</v>
      </c>
      <c r="Q115" s="713" t="n">
        <f aca="false">20*LOG10(((E115*K115*G115)/(C115*I115*O115*M115))*Adc)</f>
        <v>-1.23634764887076</v>
      </c>
      <c r="R115" s="714" t="n">
        <f aca="false">((F115+L115+H115)-(D115+J115+P115+N115))*radconv</f>
        <v>-110.517590164534</v>
      </c>
      <c r="S115" s="717" t="n">
        <f aca="false">IF(R115&gt;0,R115,R115+180)</f>
        <v>69.4824098354658</v>
      </c>
      <c r="U115" s="644" t="n">
        <f aca="false">IF(Q115&lt;0,A115,1000000000)</f>
        <v>5888.4</v>
      </c>
      <c r="V115" s="644" t="n">
        <f aca="false">A115^2</f>
        <v>34673254.56</v>
      </c>
      <c r="X115" s="716" t="n">
        <f aca="false">20*LOG10((K115/(I115*M115))*AEA)</f>
        <v>17.7495073471778</v>
      </c>
      <c r="Y115" s="717" t="n">
        <f aca="false">(L115-(J115+N115))*radconv</f>
        <v>-20.7489940012032</v>
      </c>
      <c r="AA115" s="716" t="n">
        <f aca="false">20*LOG10((E115*G115/(C115*O115))*Acs*Am)</f>
        <v>32.4947703585058</v>
      </c>
      <c r="AB115" s="717" t="n">
        <f aca="false">(F115+H115-(D115+P115))*radconv</f>
        <v>-89.7685961633311</v>
      </c>
      <c r="AD115" s="0" t="n">
        <f aca="false">SUM((Q116&lt;0)*(Q115&gt;0))*A115</f>
        <v>0</v>
      </c>
      <c r="AE115" s="0" t="n">
        <f aca="false">IF(AD115&gt;0,S115,0)</f>
        <v>0</v>
      </c>
    </row>
    <row r="116" customFormat="false" ht="12.75" hidden="false" customHeight="false" outlineLevel="0" collapsed="false">
      <c r="A116" s="718" t="n">
        <v>5957</v>
      </c>
      <c r="B116" s="706" t="n">
        <f aca="false">A116/1000</f>
        <v>5.957</v>
      </c>
      <c r="C116" s="707" t="n">
        <f aca="false">SQRT(1+(A116/pole1)^2)</f>
        <v>10.221942145418</v>
      </c>
      <c r="D116" s="708" t="n">
        <f aca="false">ATAN(A116/pole1)</f>
        <v>1.47281083904374</v>
      </c>
      <c r="E116" s="708" t="n">
        <f aca="false">SQRT(1+(A116/Zero1)^2)</f>
        <v>1.00279793610212</v>
      </c>
      <c r="F116" s="709" t="n">
        <f aca="false">ATAN(A116/Zero1)</f>
        <v>0.0747185108889174</v>
      </c>
      <c r="G116" s="708" t="n">
        <f aca="false">IF(VIN_nom&gt;Vout, 1, SQRT(1+(A116/z_RHP)^2))</f>
        <v>1.003889800962</v>
      </c>
      <c r="H116" s="709" t="n">
        <f aca="false">IF(VIN_nom&gt;Vout, 0, -ATAN(A116/z_RHP))</f>
        <v>-0.0880594558256316</v>
      </c>
      <c r="I116" s="707" t="n">
        <f aca="false">SQRT(1+(A116/Pole2)^2)</f>
        <v>24710.7426179383</v>
      </c>
      <c r="J116" s="710" t="n">
        <f aca="false">ATAN(A116/Pole2)</f>
        <v>1.57075585856552</v>
      </c>
      <c r="K116" s="719" t="n">
        <f aca="false">SQRT(1+(A116/Zero2)^2)</f>
        <v>7.71072821547062</v>
      </c>
      <c r="L116" s="720" t="n">
        <f aca="false">ATAN(A116/Zero2)</f>
        <v>1.44074056180793</v>
      </c>
      <c r="M116" s="707" t="n">
        <f aca="false">SQRT(1+(A116/pole4)^2)</f>
        <v>1.02782522560553</v>
      </c>
      <c r="N116" s="710" t="n">
        <f aca="false">ATAN(A116/pole4)</f>
        <v>0.233216554295576</v>
      </c>
      <c r="O116" s="711" t="n">
        <f aca="false">SQRT((1-(V116/pterm2))^2+(A116/pterm1)^2)</f>
        <v>1.00185884608106</v>
      </c>
      <c r="P116" s="712" t="n">
        <f aca="false">IF((ATAN((A116/pterm1)/(1-A116^2/pterm2))&gt;0),ATAN((A116/pterm1)/(1-A116^2/pterm2)),PI()+ATAN((A116/pterm1)/(1-A116^2/pterm2)))</f>
        <v>0.0828442148500443</v>
      </c>
      <c r="Q116" s="713" t="n">
        <f aca="false">20*LOG10(((E116*K116*G116)/(C116*I116*O116*M116))*Adc)</f>
        <v>-1.34205156727246</v>
      </c>
      <c r="R116" s="714" t="n">
        <f aca="false">((F116+L116+H116)-(D116+J116+P116+N116))*radconv</f>
        <v>-110.708500982474</v>
      </c>
      <c r="S116" s="717" t="n">
        <f aca="false">IF(R116&gt;0,R116,R116+180)</f>
        <v>69.2914990175257</v>
      </c>
      <c r="U116" s="644" t="n">
        <f aca="false">IF(Q116&lt;0,A116,1000000000)</f>
        <v>5957</v>
      </c>
      <c r="V116" s="644" t="n">
        <f aca="false">A116^2</f>
        <v>35485849</v>
      </c>
      <c r="X116" s="716" t="n">
        <f aca="false">20*LOG10((K116/(I116*M116))*AEA)</f>
        <v>17.7424808548216</v>
      </c>
      <c r="Y116" s="717" t="n">
        <f aca="false">(L116-(J116+N116))*radconv</f>
        <v>-20.8116520738516</v>
      </c>
      <c r="AA116" s="716" t="n">
        <f aca="false">20*LOG10((E116*G116/(C116*O116))*Acs*Am)</f>
        <v>32.3960929324603</v>
      </c>
      <c r="AB116" s="717" t="n">
        <f aca="false">(F116+H116-(D116+P116))*radconv</f>
        <v>-89.8968489086227</v>
      </c>
      <c r="AD116" s="0" t="n">
        <f aca="false">SUM((Q117&lt;0)*(Q116&gt;0))*A116</f>
        <v>0</v>
      </c>
      <c r="AE116" s="0" t="n">
        <f aca="false">IF(AD116&gt;0,S116,0)</f>
        <v>0</v>
      </c>
    </row>
    <row r="117" customFormat="false" ht="12.75" hidden="false" customHeight="false" outlineLevel="0" collapsed="false">
      <c r="A117" s="718" t="n">
        <v>6025.6</v>
      </c>
      <c r="B117" s="706" t="n">
        <f aca="false">A117/1000</f>
        <v>6.0256</v>
      </c>
      <c r="C117" s="707" t="n">
        <f aca="false">SQRT(1+(A117/pole1)^2)</f>
        <v>10.3385364073113</v>
      </c>
      <c r="D117" s="708" t="n">
        <f aca="false">ATAN(A117/pole1)</f>
        <v>1.47391937385003</v>
      </c>
      <c r="E117" s="708" t="n">
        <f aca="false">SQRT(1+(A117/Zero1)^2)</f>
        <v>1.00286265594636</v>
      </c>
      <c r="F117" s="709" t="n">
        <f aca="false">ATAN(A117/Zero1)</f>
        <v>0.0755757049261763</v>
      </c>
      <c r="G117" s="708" t="n">
        <f aca="false">IF(VIN_nom&gt;Vout, 1, SQRT(1+(A117/z_RHP)^2))</f>
        <v>1.00397972705043</v>
      </c>
      <c r="H117" s="709" t="n">
        <f aca="false">IF(VIN_nom&gt;Vout, 0, -ATAN(A117/z_RHP))</f>
        <v>-0.0890682120117226</v>
      </c>
      <c r="I117" s="707" t="n">
        <f aca="false">SQRT(1+(A117/Pole2)^2)</f>
        <v>24995.3081611362</v>
      </c>
      <c r="J117" s="710" t="n">
        <f aca="false">ATAN(A117/Pole2)</f>
        <v>1.57075631928653</v>
      </c>
      <c r="K117" s="719" t="n">
        <f aca="false">SQRT(1+(A117/Zero2)^2)</f>
        <v>7.79803878476684</v>
      </c>
      <c r="L117" s="720" t="n">
        <f aca="false">ATAN(A117/Zero2)</f>
        <v>1.44220485465608</v>
      </c>
      <c r="M117" s="707" t="n">
        <f aca="false">SQRT(1+(A117/pole4)^2)</f>
        <v>1.02846085746477</v>
      </c>
      <c r="N117" s="710" t="n">
        <f aca="false">ATAN(A117/pole4)</f>
        <v>0.235804317709387</v>
      </c>
      <c r="O117" s="711" t="n">
        <f aca="false">SQRT((1-(V117/pterm2))^2+(A117/pterm1)^2)</f>
        <v>1.00190189357992</v>
      </c>
      <c r="P117" s="712" t="n">
        <f aca="false">IF((ATAN((A117/pterm1)/(1-A117^2/pterm2))&gt;0),ATAN((A117/pterm1)/(1-A117^2/pterm2)),PI()+ATAN((A117/pterm1)/(1-A117^2/pterm2)))</f>
        <v>0.0837968551876092</v>
      </c>
      <c r="Q117" s="713" t="n">
        <f aca="false">20*LOG10(((E117*K117*G117)/(C117*I117*O117*M117))*Adc)</f>
        <v>-1.44662300031501</v>
      </c>
      <c r="R117" s="714" t="n">
        <f aca="false">((F117+L117+H117)-(D117+J117+P117+N117))*radconv</f>
        <v>-110.899678009925</v>
      </c>
      <c r="S117" s="717" t="n">
        <f aca="false">IF(R117&gt;0,R117,R117+180)</f>
        <v>69.1003219900753</v>
      </c>
      <c r="U117" s="644" t="n">
        <f aca="false">IF(Q117&lt;0,A117,1000000000)</f>
        <v>6025.6</v>
      </c>
      <c r="V117" s="644" t="n">
        <f aca="false">A117^2</f>
        <v>36307855.36</v>
      </c>
      <c r="X117" s="716" t="n">
        <f aca="false">20*LOG10((K117/(I117*M117))*AEA)</f>
        <v>17.7354568937721</v>
      </c>
      <c r="Y117" s="717" t="n">
        <f aca="false">(L117-(J117+N117))*radconv</f>
        <v>-20.8760485931147</v>
      </c>
      <c r="AA117" s="716" t="n">
        <f aca="false">20*LOG10((E117*G117/(C117*O117))*Acs*Am)</f>
        <v>32.2985454604673</v>
      </c>
      <c r="AB117" s="717" t="n">
        <f aca="false">(F117+H117-(D117+P117))*radconv</f>
        <v>-90.02362941681</v>
      </c>
      <c r="AD117" s="0" t="n">
        <f aca="false">SUM((Q118&lt;0)*(Q117&gt;0))*A117</f>
        <v>0</v>
      </c>
      <c r="AE117" s="0" t="n">
        <f aca="false">IF(AD117&gt;0,S117,0)</f>
        <v>0</v>
      </c>
    </row>
    <row r="118" customFormat="false" ht="12.75" hidden="false" customHeight="false" outlineLevel="0" collapsed="false">
      <c r="A118" s="718" t="n">
        <v>6095.8</v>
      </c>
      <c r="B118" s="706" t="n">
        <f aca="false">A118/1000</f>
        <v>6.0958</v>
      </c>
      <c r="C118" s="707" t="n">
        <f aca="false">SQRT(1+(A118/pole1)^2)</f>
        <v>10.4578629246298</v>
      </c>
      <c r="D118" s="708" t="n">
        <f aca="false">ATAN(A118/pole1)</f>
        <v>1.4750281727945</v>
      </c>
      <c r="E118" s="708" t="n">
        <f aca="false">SQRT(1+(A118/Zero1)^2)</f>
        <v>1.0029296480571</v>
      </c>
      <c r="F118" s="709" t="n">
        <f aca="false">ATAN(A118/Zero1)</f>
        <v>0.0764527766338066</v>
      </c>
      <c r="G118" s="708" t="n">
        <f aca="false">IF(VIN_nom&gt;Vout, 1, SQRT(1+(A118/z_RHP)^2))</f>
        <v>1.00407280800714</v>
      </c>
      <c r="H118" s="709" t="n">
        <f aca="false">IF(VIN_nom&gt;Vout, 0, -ATAN(A118/z_RHP))</f>
        <v>-0.0901003078981271</v>
      </c>
      <c r="I118" s="707" t="n">
        <f aca="false">SQRT(1+(A118/Pole2)^2)</f>
        <v>25286.510801557</v>
      </c>
      <c r="J118" s="710" t="n">
        <f aca="false">ATAN(A118/Pole2)</f>
        <v>1.57075678001804</v>
      </c>
      <c r="K118" s="719" t="n">
        <f aca="false">SQRT(1+(A118/Zero2)^2)</f>
        <v>7.88740267416923</v>
      </c>
      <c r="L118" s="720" t="n">
        <f aca="false">ATAN(A118/Zero2)</f>
        <v>1.44366973556797</v>
      </c>
      <c r="M118" s="707" t="n">
        <f aca="false">SQRT(1+(A118/pole4)^2)</f>
        <v>1.02911843554776</v>
      </c>
      <c r="N118" s="710" t="n">
        <f aca="false">ATAN(A118/pole4)</f>
        <v>0.238449109575139</v>
      </c>
      <c r="O118" s="711" t="n">
        <f aca="false">SQRT((1-(V118/pterm2))^2+(A118/pterm1)^2)</f>
        <v>1.00194645482624</v>
      </c>
      <c r="P118" s="712" t="n">
        <f aca="false">IF((ATAN((A118/pterm1)/(1-A118^2/pterm2))&gt;0),ATAN((A118/pterm1)/(1-A118^2/pterm2)),PI()+ATAN((A118/pterm1)/(1-A118^2/pterm2)))</f>
        <v>0.084771665484315</v>
      </c>
      <c r="Q118" s="713" t="n">
        <f aca="false">20*LOG10(((E118*K118*G118)/(C118*I118*O118*M118))*Adc)</f>
        <v>-1.55248912021152</v>
      </c>
      <c r="R118" s="714" t="n">
        <f aca="false">((F118+L118+H118)-(D118+J118+P118+N118))*radconv</f>
        <v>-111.095572572817</v>
      </c>
      <c r="S118" s="717" t="n">
        <f aca="false">IF(R118&gt;0,R118,R118+180)</f>
        <v>68.9044274271835</v>
      </c>
      <c r="U118" s="644" t="n">
        <f aca="false">IF(Q118&lt;0,A118,1000000000)</f>
        <v>6095.8</v>
      </c>
      <c r="V118" s="644" t="n">
        <f aca="false">A118^2</f>
        <v>37158777.64</v>
      </c>
      <c r="X118" s="716" t="n">
        <f aca="false">20*LOG10((K118/(I118*M118))*AEA)</f>
        <v>17.7282693020524</v>
      </c>
      <c r="Y118" s="717" t="n">
        <f aca="false">(L118-(J118+N118))*radconv</f>
        <v>-20.9436789090198</v>
      </c>
      <c r="AA118" s="716" t="n">
        <f aca="false">20*LOG10((E118*G118/(C118*O118))*Acs*Am)</f>
        <v>32.1998669322905</v>
      </c>
      <c r="AB118" s="717" t="n">
        <f aca="false">(F118+H118-(D118+P118))*radconv</f>
        <v>-90.1518936637967</v>
      </c>
      <c r="AD118" s="0" t="n">
        <f aca="false">SUM((Q119&lt;0)*(Q118&gt;0))*A118</f>
        <v>0</v>
      </c>
      <c r="AE118" s="0" t="n">
        <f aca="false">IF(AD118&gt;0,S118,0)</f>
        <v>0</v>
      </c>
    </row>
    <row r="119" customFormat="false" ht="12.75" hidden="false" customHeight="false" outlineLevel="0" collapsed="false">
      <c r="A119" s="718" t="n">
        <v>6166</v>
      </c>
      <c r="B119" s="706" t="n">
        <f aca="false">A119/1000</f>
        <v>6.166</v>
      </c>
      <c r="C119" s="707" t="n">
        <f aca="false">SQRT(1+(A119/pole1)^2)</f>
        <v>10.577202009105</v>
      </c>
      <c r="D119" s="708" t="n">
        <f aca="false">ATAN(A119/pole1)</f>
        <v>1.47611195262032</v>
      </c>
      <c r="E119" s="708" t="n">
        <f aca="false">SQRT(1+(A119/Zero1)^2)</f>
        <v>1.00299741157287</v>
      </c>
      <c r="F119" s="709" t="n">
        <f aca="false">ATAN(A119/Zero1)</f>
        <v>0.0773297305042656</v>
      </c>
      <c r="G119" s="708" t="n">
        <f aca="false">IF(VIN_nom&gt;Vout, 1, SQRT(1+(A119/z_RHP)^2))</f>
        <v>1.00416695832527</v>
      </c>
      <c r="H119" s="709" t="n">
        <f aca="false">IF(VIN_nom&gt;Vout, 0, -ATAN(A119/z_RHP))</f>
        <v>-0.0911322113457191</v>
      </c>
      <c r="I119" s="707" t="n">
        <f aca="false">SQRT(1+(A119/Pole2)^2)</f>
        <v>25577.713441983</v>
      </c>
      <c r="J119" s="710" t="n">
        <f aca="false">ATAN(A119/Pole2)</f>
        <v>1.57075723025867</v>
      </c>
      <c r="K119" s="719" t="n">
        <f aca="false">SQRT(1+(A119/Zero2)^2)</f>
        <v>7.97678310970928</v>
      </c>
      <c r="L119" s="720" t="n">
        <f aca="false">ATAN(A119/Zero2)</f>
        <v>1.4451017913012</v>
      </c>
      <c r="M119" s="707" t="n">
        <f aca="false">SQRT(1+(A119/pole4)^2)</f>
        <v>1.02978320301318</v>
      </c>
      <c r="N119" s="710" t="n">
        <f aca="false">ATAN(A119/pole4)</f>
        <v>0.241090505253344</v>
      </c>
      <c r="O119" s="711" t="n">
        <f aca="false">SQRT((1-(V119/pterm2))^2+(A119/pterm1)^2)</f>
        <v>1.00199153165347</v>
      </c>
      <c r="P119" s="712" t="n">
        <f aca="false">IF((ATAN((A119/pterm1)/(1-A119^2/pterm2))&gt;0),ATAN((A119/pterm1)/(1-A119^2/pterm2)),PI()+ATAN((A119/pterm1)/(1-A119^2/pterm2)))</f>
        <v>0.0857464255904486</v>
      </c>
      <c r="Q119" s="713" t="n">
        <f aca="false">20*LOG10(((E119*K119*G119)/(C119*I119*O119*M119))*Adc)</f>
        <v>-1.65722540687052</v>
      </c>
      <c r="R119" s="714" t="n">
        <f aca="false">((F119+L119+H119)-(D119+J119+P119+N119))*radconv</f>
        <v>-111.291712051639</v>
      </c>
      <c r="S119" s="717" t="n">
        <f aca="false">IF(R119&gt;0,R119,R119+180)</f>
        <v>68.7082879483609</v>
      </c>
      <c r="U119" s="644" t="n">
        <f aca="false">IF(Q119&lt;0,A119,1000000000)</f>
        <v>6166</v>
      </c>
      <c r="V119" s="644" t="n">
        <f aca="false">A119^2</f>
        <v>38019556</v>
      </c>
      <c r="X119" s="716" t="n">
        <f aca="false">20*LOG10((K119/(I119*M119))*AEA)</f>
        <v>17.7210795823525</v>
      </c>
      <c r="Y119" s="717" t="n">
        <f aca="false">(L119-(J119+N119))*radconv</f>
        <v>-21.0129947808309</v>
      </c>
      <c r="AA119" s="716" t="n">
        <f aca="false">20*LOG10((E119*G119/(C119*O119))*Acs*Am)</f>
        <v>32.1023203653313</v>
      </c>
      <c r="AB119" s="717" t="n">
        <f aca="false">(F119+H119-(D119+P119))*radconv</f>
        <v>-90.2787172708082</v>
      </c>
      <c r="AD119" s="0" t="n">
        <f aca="false">SUM((Q120&lt;0)*(Q119&gt;0))*A119</f>
        <v>0</v>
      </c>
      <c r="AE119" s="0" t="n">
        <f aca="false">IF(AD119&gt;0,S119,0)</f>
        <v>0</v>
      </c>
    </row>
    <row r="120" customFormat="false" ht="12.75" hidden="false" customHeight="false" outlineLevel="0" collapsed="false">
      <c r="A120" s="718" t="n">
        <v>6237.8</v>
      </c>
      <c r="B120" s="706" t="n">
        <f aca="false">A120/1000</f>
        <v>6.2378</v>
      </c>
      <c r="C120" s="707" t="n">
        <f aca="false">SQRT(1+(A120/pole1)^2)</f>
        <v>10.6992736344696</v>
      </c>
      <c r="D120" s="708" t="n">
        <f aca="false">ATAN(A120/pole1)</f>
        <v>1.47719542300488</v>
      </c>
      <c r="E120" s="708" t="n">
        <f aca="false">SQRT(1+(A120/Zero1)^2)</f>
        <v>1.00306751737147</v>
      </c>
      <c r="F120" s="709" t="n">
        <f aca="false">ATAN(A120/Zero1)</f>
        <v>0.0782265486500664</v>
      </c>
      <c r="G120" s="708" t="n">
        <f aca="false">IF(VIN_nom&gt;Vout, 1, SQRT(1+(A120/z_RHP)^2))</f>
        <v>1.00426436040462</v>
      </c>
      <c r="H120" s="709" t="n">
        <f aca="false">IF(VIN_nom&gt;Vout, 0, -ATAN(A120/z_RHP))</f>
        <v>-0.0921874326584942</v>
      </c>
      <c r="I120" s="707" t="n">
        <f aca="false">SQRT(1+(A120/Pole2)^2)</f>
        <v>25875.553179632</v>
      </c>
      <c r="J120" s="710" t="n">
        <f aca="false">ATAN(A120/Pole2)</f>
        <v>1.57075768027811</v>
      </c>
      <c r="K120" s="719" t="n">
        <f aca="false">SQRT(1+(A120/Zero2)^2)</f>
        <v>8.06821724912471</v>
      </c>
      <c r="L120" s="720" t="n">
        <f aca="false">ATAN(A120/Zero2)</f>
        <v>1.4465336616045</v>
      </c>
      <c r="M120" s="707" t="n">
        <f aca="false">SQRT(1+(A120/pole4)^2)</f>
        <v>1.03047054441107</v>
      </c>
      <c r="N120" s="710" t="n">
        <f aca="false">ATAN(A120/pole4)</f>
        <v>0.243788558976169</v>
      </c>
      <c r="O120" s="711" t="n">
        <f aca="false">SQRT((1-(V120/pterm2))^2+(A120/pterm1)^2)</f>
        <v>1.00203816919406</v>
      </c>
      <c r="P120" s="712" t="n">
        <f aca="false">IF((ATAN((A120/pterm1)/(1-A120^2/pterm2))&gt;0),ATAN((A120/pterm1)/(1-A120^2/pterm2)),PI()+ATAN((A120/pterm1)/(1-A120^2/pterm2)))</f>
        <v>0.0867433499357019</v>
      </c>
      <c r="Q120" s="713" t="n">
        <f aca="false">20*LOG10(((E120*K120*G120)/(C120*I120*O120*M120))*Adc)</f>
        <v>-1.76320811784089</v>
      </c>
      <c r="R120" s="714" t="n">
        <f aca="false">((F120+L120+H120)-(D120+J120+P120+N120))*radconv</f>
        <v>-111.49255847278</v>
      </c>
      <c r="S120" s="717" t="n">
        <f aca="false">IF(R120&gt;0,R120,R120+180)</f>
        <v>68.5074415272197</v>
      </c>
      <c r="U120" s="644" t="n">
        <f aca="false">IF(Q120&lt;0,A120,1000000000)</f>
        <v>6237.8</v>
      </c>
      <c r="V120" s="644" t="n">
        <f aca="false">A120^2</f>
        <v>38910148.84</v>
      </c>
      <c r="X120" s="716" t="n">
        <f aca="false">20*LOG10((K120/(I120*M120))*AEA)</f>
        <v>17.7137215018162</v>
      </c>
      <c r="Y120" s="717" t="n">
        <f aca="false">(L120-(J120+N120))*radconv</f>
        <v>-21.0855675311567</v>
      </c>
      <c r="AA120" s="716" t="n">
        <f aca="false">20*LOG10((E120*G120/(C120*O120))*Acs*Am)</f>
        <v>32.0036957348973</v>
      </c>
      <c r="AB120" s="717" t="n">
        <f aca="false">(F120+H120-(D120+P120))*radconv</f>
        <v>-90.4069909416235</v>
      </c>
      <c r="AD120" s="0" t="n">
        <f aca="false">SUM((Q121&lt;0)*(Q120&gt;0))*A120</f>
        <v>0</v>
      </c>
      <c r="AE120" s="0" t="n">
        <f aca="false">IF(AD120&gt;0,S120,0)</f>
        <v>0</v>
      </c>
    </row>
    <row r="121" customFormat="false" ht="12.75" hidden="false" customHeight="false" outlineLevel="0" collapsed="false">
      <c r="A121" s="718" t="n">
        <v>6309.6</v>
      </c>
      <c r="B121" s="706" t="n">
        <f aca="false">A121/1000</f>
        <v>6.3096</v>
      </c>
      <c r="C121" s="707" t="n">
        <f aca="false">SQRT(1+(A121/pole1)^2)</f>
        <v>10.8213575364211</v>
      </c>
      <c r="D121" s="708" t="n">
        <f aca="false">ATAN(A121/pole1)</f>
        <v>1.47825444771502</v>
      </c>
      <c r="E121" s="708" t="n">
        <f aca="false">SQRT(1+(A121/Zero1)^2)</f>
        <v>1.00313842980687</v>
      </c>
      <c r="F121" s="709" t="n">
        <f aca="false">ATAN(A121/Zero1)</f>
        <v>0.0791232407237907</v>
      </c>
      <c r="G121" s="708" t="n">
        <f aca="false">IF(VIN_nom&gt;Vout, 1, SQRT(1+(A121/z_RHP)^2))</f>
        <v>1.00436288050671</v>
      </c>
      <c r="H121" s="709" t="n">
        <f aca="false">IF(VIN_nom&gt;Vout, 0, -ATAN(A121/z_RHP))</f>
        <v>-0.0932424481280007</v>
      </c>
      <c r="I121" s="707" t="n">
        <f aca="false">SQRT(1+(A121/Pole2)^2)</f>
        <v>26173.392917286</v>
      </c>
      <c r="J121" s="710" t="n">
        <f aca="false">ATAN(A121/Pole2)</f>
        <v>1.57075812005558</v>
      </c>
      <c r="K121" s="719" t="n">
        <f aca="false">SQRT(1+(A121/Zero2)^2)</f>
        <v>8.15966755967961</v>
      </c>
      <c r="L121" s="720" t="n">
        <f aca="false">ATAN(A121/Zero2)</f>
        <v>1.44793343905795</v>
      </c>
      <c r="M121" s="707" t="n">
        <f aca="false">SQRT(1+(A121/pole4)^2)</f>
        <v>1.03116537708092</v>
      </c>
      <c r="N121" s="710" t="n">
        <f aca="false">ATAN(A121/pole4)</f>
        <v>0.246482996219037</v>
      </c>
      <c r="O121" s="711" t="n">
        <f aca="false">SQRT((1-(V121/pterm2))^2+(A121/pterm1)^2)</f>
        <v>1.00208534604435</v>
      </c>
      <c r="P121" s="712" t="n">
        <f aca="false">IF((ATAN((A121/pterm1)/(1-A121^2/pterm2))&gt;0),ATAN((A121/pterm1)/(1-A121^2/pterm2)),PI()+ATAN((A121/pterm1)/(1-A121^2/pterm2)))</f>
        <v>0.0877402205668574</v>
      </c>
      <c r="Q121" s="713" t="n">
        <f aca="false">20*LOG10(((E121*K121*G121)/(C121*I121*O121*M121))*Adc)</f>
        <v>-1.86806480161864</v>
      </c>
      <c r="R121" s="714" t="n">
        <f aca="false">((F121+L121+H121)-(D121+J121+P121+N121))*radconv</f>
        <v>-111.693627600795</v>
      </c>
      <c r="S121" s="717" t="n">
        <f aca="false">IF(R121&gt;0,R121,R121+180)</f>
        <v>68.306372399205</v>
      </c>
      <c r="U121" s="644" t="n">
        <f aca="false">IF(Q121&lt;0,A121,1000000000)</f>
        <v>6309.6</v>
      </c>
      <c r="V121" s="644" t="n">
        <f aca="false">A121^2</f>
        <v>39811052.16</v>
      </c>
      <c r="X121" s="716" t="n">
        <f aca="false">20*LOG10((K121/(I121*M121))*AEA)</f>
        <v>17.7063566873155</v>
      </c>
      <c r="Y121" s="717" t="n">
        <f aca="false">(L121-(J121+N121))*radconv</f>
        <v>-21.1597712704731</v>
      </c>
      <c r="AA121" s="716" t="n">
        <f aca="false">20*LOG10((E121*G121/(C121*O121))*Acs*Am)</f>
        <v>31.9062038656203</v>
      </c>
      <c r="AB121" s="717" t="n">
        <f aca="false">(F121+H121-(D121+P121))*radconv</f>
        <v>-90.5338563303219</v>
      </c>
      <c r="AD121" s="0" t="n">
        <f aca="false">SUM((Q122&lt;0)*(Q121&gt;0))*A121</f>
        <v>0</v>
      </c>
      <c r="AE121" s="0" t="n">
        <f aca="false">IF(AD121&gt;0,S121,0)</f>
        <v>0</v>
      </c>
    </row>
    <row r="122" customFormat="false" ht="12.75" hidden="false" customHeight="false" outlineLevel="0" collapsed="false">
      <c r="A122" s="718" t="n">
        <v>6383.05</v>
      </c>
      <c r="B122" s="706" t="n">
        <f aca="false">A122/1000</f>
        <v>6.38305</v>
      </c>
      <c r="C122" s="707" t="n">
        <f aca="false">SQRT(1+(A122/pole1)^2)</f>
        <v>10.946259262376</v>
      </c>
      <c r="D122" s="708" t="n">
        <f aca="false">ATAN(A122/pole1)</f>
        <v>1.47931336494282</v>
      </c>
      <c r="E122" s="708" t="n">
        <f aca="false">SQRT(1+(A122/Zero1)^2)</f>
        <v>1.0032118063224</v>
      </c>
      <c r="F122" s="709" t="n">
        <f aca="false">ATAN(A122/Zero1)</f>
        <v>0.0800404073043426</v>
      </c>
      <c r="G122" s="708" t="n">
        <f aca="false">IF(VIN_nom&gt;Vout, 1, SQRT(1+(A122/z_RHP)^2))</f>
        <v>1.00446482116414</v>
      </c>
      <c r="H122" s="709" t="n">
        <f aca="false">IF(VIN_nom&gt;Vout, 0, -ATAN(A122/z_RHP))</f>
        <v>-0.094321493003533</v>
      </c>
      <c r="I122" s="707" t="n">
        <f aca="false">SQRT(1+(A122/Pole2)^2)</f>
        <v>26478.0771614512</v>
      </c>
      <c r="J122" s="710" t="n">
        <f aca="false">ATAN(A122/Pole2)</f>
        <v>1.57075855970199</v>
      </c>
      <c r="K122" s="719" t="n">
        <f aca="false">SQRT(1+(A122/Zero2)^2)</f>
        <v>8.25323561657629</v>
      </c>
      <c r="L122" s="720" t="n">
        <f aca="false">ATAN(A122/Zero2)</f>
        <v>1.44933328321824</v>
      </c>
      <c r="M122" s="707" t="n">
        <f aca="false">SQRT(1+(A122/pole4)^2)</f>
        <v>1.03188391305411</v>
      </c>
      <c r="N122" s="710" t="n">
        <f aca="false">ATAN(A122/pole4)</f>
        <v>0.249235577751509</v>
      </c>
      <c r="O122" s="711" t="n">
        <f aca="false">SQRT((1-(V122/pterm2))^2+(A122/pterm1)^2)</f>
        <v>1.00213416506268</v>
      </c>
      <c r="P122" s="712" t="n">
        <f aca="false">IF((ATAN((A122/pterm1)/(1-A122^2/pterm2))&gt;0),ATAN((A122/pterm1)/(1-A122^2/pterm2)),PI()+ATAN((A122/pterm1)/(1-A122^2/pterm2)))</f>
        <v>0.0887599435677745</v>
      </c>
      <c r="Q122" s="713" t="n">
        <f aca="false">20*LOG10(((E122*K122*G122)/(C122*I122*O122*M122))*Adc)</f>
        <v>-1.97419393383621</v>
      </c>
      <c r="R122" s="714" t="n">
        <f aca="false">((F122+L122+H122)-(D122+J122+P122+N122))*radconv</f>
        <v>-111.899531188459</v>
      </c>
      <c r="S122" s="717" t="n">
        <f aca="false">IF(R122&gt;0,R122,R122+180)</f>
        <v>68.1004688115411</v>
      </c>
      <c r="U122" s="644" t="n">
        <f aca="false">IF(Q122&lt;0,A122,1000000000)</f>
        <v>6383.05</v>
      </c>
      <c r="V122" s="644" t="n">
        <f aca="false">A122^2</f>
        <v>40743327.3025</v>
      </c>
      <c r="X122" s="716" t="n">
        <f aca="false">20*LOG10((K122/(I122*M122))*AEA)</f>
        <v>17.6988134993657</v>
      </c>
      <c r="Y122" s="717" t="n">
        <f aca="false">(L122-(J122+N122))*radconv</f>
        <v>-21.2373026026612</v>
      </c>
      <c r="AA122" s="716" t="n">
        <f aca="false">20*LOG10((E122*G122/(C122*O122))*Acs*Am)</f>
        <v>31.8076179213525</v>
      </c>
      <c r="AB122" s="717" t="n">
        <f aca="false">(F122+H122-(D122+P122))*radconv</f>
        <v>-90.6622285857977</v>
      </c>
      <c r="AD122" s="0" t="n">
        <f aca="false">SUM((Q123&lt;0)*(Q122&gt;0))*A122</f>
        <v>0</v>
      </c>
      <c r="AE122" s="0" t="n">
        <f aca="false">IF(AD122&gt;0,S122,0)</f>
        <v>0</v>
      </c>
    </row>
    <row r="123" customFormat="false" ht="12.75" hidden="false" customHeight="false" outlineLevel="0" collapsed="false">
      <c r="A123" s="718" t="n">
        <v>6456.5</v>
      </c>
      <c r="B123" s="706" t="n">
        <f aca="false">A123/1000</f>
        <v>6.4565</v>
      </c>
      <c r="C123" s="707" t="n">
        <f aca="false">SQRT(1+(A123/pole1)^2)</f>
        <v>11.0711729854802</v>
      </c>
      <c r="D123" s="708" t="n">
        <f aca="false">ATAN(A123/pole1)</f>
        <v>1.48034838822744</v>
      </c>
      <c r="E123" s="708" t="n">
        <f aca="false">SQRT(1+(A123/Zero1)^2)</f>
        <v>1.00328602661037</v>
      </c>
      <c r="F123" s="709" t="n">
        <f aca="false">ATAN(A123/Zero1)</f>
        <v>0.0809574389573764</v>
      </c>
      <c r="G123" s="708" t="n">
        <f aca="false">IF(VIN_nom&gt;Vout, 1, SQRT(1+(A123/z_RHP)^2))</f>
        <v>1.00456793111982</v>
      </c>
      <c r="H123" s="709" t="n">
        <f aca="false">IF(VIN_nom&gt;Vout, 0, -ATAN(A123/z_RHP))</f>
        <v>-0.0954003176262658</v>
      </c>
      <c r="I123" s="707" t="n">
        <f aca="false">SQRT(1+(A123/Pole2)^2)</f>
        <v>26782.7614056214</v>
      </c>
      <c r="J123" s="710" t="n">
        <f aca="false">ATAN(A123/Pole2)</f>
        <v>1.57075898934544</v>
      </c>
      <c r="K123" s="719" t="n">
        <f aca="false">SQRT(1+(A123/Zero2)^2)</f>
        <v>8.34681948360177</v>
      </c>
      <c r="L123" s="720" t="n">
        <f aca="false">ATAN(A123/Zero2)</f>
        <v>1.45070174013052</v>
      </c>
      <c r="M123" s="707" t="n">
        <f aca="false">SQRT(1+(A123/pole4)^2)</f>
        <v>1.03261025639226</v>
      </c>
      <c r="N123" s="710" t="n">
        <f aca="false">ATAN(A123/pole4)</f>
        <v>0.251984307726138</v>
      </c>
      <c r="O123" s="711" t="n">
        <f aca="false">SQRT((1-(V123/pterm2))^2+(A123/pterm1)^2)</f>
        <v>1.00218354841751</v>
      </c>
      <c r="P123" s="712" t="n">
        <f aca="false">IF((ATAN((A123/pterm1)/(1-A123^2/pterm2))&gt;0),ATAN((A123/pterm1)/(1-A123^2/pterm2)),PI()+ATAN((A123/pterm1)/(1-A123^2/pterm2)))</f>
        <v>0.0897796090637124</v>
      </c>
      <c r="Q123" s="713" t="n">
        <f aca="false">20*LOG10(((E123*K123*G123)/(C123*I123*O123*M123))*Adc)</f>
        <v>-2.07920039961138</v>
      </c>
      <c r="R123" s="714" t="n">
        <f aca="false">((F123+L123+H123)-(D123+J123+P123+N123))*radconv</f>
        <v>-112.105634676157</v>
      </c>
      <c r="S123" s="717" t="n">
        <f aca="false">IF(R123&gt;0,R123,R123+180)</f>
        <v>67.8943653238432</v>
      </c>
      <c r="U123" s="644" t="n">
        <f aca="false">IF(Q123&lt;0,A123,1000000000)</f>
        <v>6456.5</v>
      </c>
      <c r="V123" s="644" t="n">
        <f aca="false">A123^2</f>
        <v>41686392.25</v>
      </c>
      <c r="X123" s="716" t="n">
        <f aca="false">20*LOG10((K123/(I123*M123))*AEA)</f>
        <v>17.6912590195326</v>
      </c>
      <c r="Y123" s="717" t="n">
        <f aca="false">(L123-(J123+N123))*radconv</f>
        <v>-21.3164110405565</v>
      </c>
      <c r="AA123" s="716" t="n">
        <f aca="false">20*LOG10((E123*G123/(C123*O123))*Acs*Am)</f>
        <v>31.7101659354104</v>
      </c>
      <c r="AB123" s="717" t="n">
        <f aca="false">(F123+H123-(D123+P123))*radconv</f>
        <v>-90.7892236356003</v>
      </c>
      <c r="AD123" s="0" t="n">
        <f aca="false">SUM((Q124&lt;0)*(Q123&gt;0))*A123</f>
        <v>0</v>
      </c>
      <c r="AE123" s="0" t="n">
        <f aca="false">IF(AD123&gt;0,S123,0)</f>
        <v>0</v>
      </c>
    </row>
    <row r="124" customFormat="false" ht="12.75" hidden="false" customHeight="false" outlineLevel="0" collapsed="false">
      <c r="A124" s="718" t="n">
        <v>6531.7</v>
      </c>
      <c r="B124" s="706" t="n">
        <f aca="false">A124/1000</f>
        <v>6.5317</v>
      </c>
      <c r="C124" s="707" t="n">
        <f aca="false">SQRT(1+(A124/pole1)^2)</f>
        <v>11.1990748795532</v>
      </c>
      <c r="D124" s="708" t="n">
        <f aca="false">ATAN(A124/pole1)</f>
        <v>1.48138414967614</v>
      </c>
      <c r="E124" s="708" t="n">
        <f aca="false">SQRT(1+(A124/Zero1)^2)</f>
        <v>1.00336288922263</v>
      </c>
      <c r="F124" s="709" t="n">
        <f aca="false">ATAN(A124/Zero1)</f>
        <v>0.0818961781935399</v>
      </c>
      <c r="G124" s="708" t="n">
        <f aca="false">IF(VIN_nom&gt;Vout, 1, SQRT(1+(A124/z_RHP)^2))</f>
        <v>1.00467470878889</v>
      </c>
      <c r="H124" s="709" t="n">
        <f aca="false">IF(VIN_nom&gt;Vout, 0, -ATAN(A124/z_RHP))</f>
        <v>-0.0965046152971801</v>
      </c>
      <c r="I124" s="707" t="n">
        <f aca="false">SQRT(1+(A124/Pole2)^2)</f>
        <v>27094.7049748789</v>
      </c>
      <c r="J124" s="710" t="n">
        <f aca="false">ATAN(A124/Pole2)</f>
        <v>1.57075941921457</v>
      </c>
      <c r="K124" s="719" t="n">
        <f aca="false">SQRT(1+(A124/Zero2)^2)</f>
        <v>8.44264888537621</v>
      </c>
      <c r="L124" s="720" t="n">
        <f aca="false">ATAN(A124/Zero2)</f>
        <v>1.45207136831329</v>
      </c>
      <c r="M124" s="707" t="n">
        <f aca="false">SQRT(1+(A124/pole4)^2)</f>
        <v>1.03336197680435</v>
      </c>
      <c r="N124" s="710" t="n">
        <f aca="false">ATAN(A124/pole4)</f>
        <v>0.254794503058802</v>
      </c>
      <c r="O124" s="711" t="n">
        <f aca="false">SQRT((1-(V124/pterm2))^2+(A124/pterm1)^2)</f>
        <v>1.00223469300789</v>
      </c>
      <c r="P124" s="712" t="n">
        <f aca="false">IF((ATAN((A124/pterm1)/(1-A124^2/pterm2))&gt;0),ATAN((A124/pterm1)/(1-A124^2/pterm2)),PI()+ATAN((A124/pterm1)/(1-A124^2/pterm2)))</f>
        <v>0.0908235085770581</v>
      </c>
      <c r="Q124" s="713" t="n">
        <f aca="false">20*LOG10(((E124*K124*G124)/(C124*I124*O124*M124))*Adc)</f>
        <v>-2.18557349455649</v>
      </c>
      <c r="R124" s="714" t="n">
        <f aca="false">((F124+L124+H124)-(D124+J124+P124+N124))*radconv</f>
        <v>-112.316839319396</v>
      </c>
      <c r="S124" s="717" t="n">
        <f aca="false">IF(R124&gt;0,R124,R124+180)</f>
        <v>67.6831606806041</v>
      </c>
      <c r="U124" s="644" t="n">
        <f aca="false">IF(Q124&lt;0,A124,1000000000)</f>
        <v>6531.7</v>
      </c>
      <c r="V124" s="644" t="n">
        <f aca="false">A124^2</f>
        <v>42663104.89</v>
      </c>
      <c r="X124" s="716" t="n">
        <f aca="false">20*LOG10((K124/(I124*M124))*AEA)</f>
        <v>17.6835108176796</v>
      </c>
      <c r="Y124" s="717" t="n">
        <f aca="false">(L124-(J124+N124))*radconv</f>
        <v>-21.3989740881316</v>
      </c>
      <c r="AA124" s="716" t="n">
        <f aca="false">20*LOG10((E124*G124/(C124*O124))*Acs*Am)</f>
        <v>31.6115410423183</v>
      </c>
      <c r="AB124" s="717" t="n">
        <f aca="false">(F124+H124-(D124+P124))*radconv</f>
        <v>-90.9178652312643</v>
      </c>
      <c r="AD124" s="0" t="n">
        <f aca="false">SUM((Q125&lt;0)*(Q124&gt;0))*A124</f>
        <v>0</v>
      </c>
      <c r="AE124" s="0" t="n">
        <f aca="false">IF(AD124&gt;0,S124,0)</f>
        <v>0</v>
      </c>
    </row>
    <row r="125" customFormat="false" ht="12.75" hidden="false" customHeight="false" outlineLevel="0" collapsed="false">
      <c r="A125" s="718" t="n">
        <v>6606.9</v>
      </c>
      <c r="B125" s="706" t="n">
        <f aca="false">A125/1000</f>
        <v>6.6069</v>
      </c>
      <c r="C125" s="707" t="n">
        <f aca="false">SQRT(1+(A125/pole1)^2)</f>
        <v>11.3269885166785</v>
      </c>
      <c r="D125" s="708" t="n">
        <f aca="false">ATAN(A125/pole1)</f>
        <v>1.48239651885633</v>
      </c>
      <c r="E125" s="708" t="n">
        <f aca="false">SQRT(1+(A125/Zero1)^2)</f>
        <v>1.00344063589382</v>
      </c>
      <c r="F125" s="709" t="n">
        <f aca="false">ATAN(A125/Zero1)</f>
        <v>0.0828347727895144</v>
      </c>
      <c r="G125" s="708" t="n">
        <f aca="false">IF(VIN_nom&gt;Vout, 1, SQRT(1+(A125/z_RHP)^2))</f>
        <v>1.00478271137071</v>
      </c>
      <c r="H125" s="709" t="n">
        <f aca="false">IF(VIN_nom&gt;Vout, 0, -ATAN(A125/z_RHP))</f>
        <v>-0.0976086769156379</v>
      </c>
      <c r="I125" s="707" t="n">
        <f aca="false">SQRT(1+(A125/Pole2)^2)</f>
        <v>27406.6485441413</v>
      </c>
      <c r="J125" s="710" t="n">
        <f aca="false">ATAN(A125/Pole2)</f>
        <v>1.57075983929813</v>
      </c>
      <c r="K125" s="719" t="n">
        <f aca="false">SQRT(1+(A125/Zero2)^2)</f>
        <v>8.53849376904778</v>
      </c>
      <c r="L125" s="720" t="n">
        <f aca="false">ATAN(A125/Zero2)</f>
        <v>1.45341025071478</v>
      </c>
      <c r="M125" s="707" t="n">
        <f aca="false">SQRT(1+(A125/pole4)^2)</f>
        <v>1.03412184597857</v>
      </c>
      <c r="N125" s="710" t="n">
        <f aca="false">ATAN(A125/pole4)</f>
        <v>0.257600590680972</v>
      </c>
      <c r="O125" s="711" t="n">
        <f aca="false">SQRT((1-(V125/pterm2))^2+(A125/pterm1)^2)</f>
        <v>1.00228642909697</v>
      </c>
      <c r="P125" s="712" t="n">
        <f aca="false">IF((ATAN((A125/pterm1)/(1-A125^2/pterm2))&gt;0),ATAN((A125/pterm1)/(1-A125^2/pterm2)),PI()+ATAN((A125/pterm1)/(1-A125^2/pterm2)))</f>
        <v>0.0918673464258228</v>
      </c>
      <c r="Q125" s="713" t="n">
        <f aca="false">20*LOG10(((E125*K125*G125)/(C125*I125*O125*M125))*Adc)</f>
        <v>-2.29082543235082</v>
      </c>
      <c r="R125" s="714" t="n">
        <f aca="false">((F125+L125+H125)-(D125+J125+P125+N125))*radconv</f>
        <v>-112.528220602078</v>
      </c>
      <c r="S125" s="717" t="n">
        <f aca="false">IF(R125&gt;0,R125,R125+180)</f>
        <v>67.4717793979223</v>
      </c>
      <c r="U125" s="644" t="n">
        <f aca="false">IF(Q125&lt;0,A125,1000000000)</f>
        <v>6606.9</v>
      </c>
      <c r="V125" s="644" t="n">
        <f aca="false">A125^2</f>
        <v>43651127.61</v>
      </c>
      <c r="X125" s="716" t="n">
        <f aca="false">20*LOG10((K125/(I125*M125))*AEA)</f>
        <v>17.6757467828279</v>
      </c>
      <c r="Y125" s="717" t="n">
        <f aca="false">(L125-(J125+N125))*radconv</f>
        <v>-21.483062824067</v>
      </c>
      <c r="AA125" s="716" t="n">
        <f aca="false">20*LOG10((E125*G125/(C125*O125))*Acs*Am)</f>
        <v>31.5140531393756</v>
      </c>
      <c r="AB125" s="717" t="n">
        <f aca="false">(F125+H125-(D125+P125))*radconv</f>
        <v>-91.0451577780107</v>
      </c>
      <c r="AD125" s="0" t="n">
        <f aca="false">SUM((Q126&lt;0)*(Q125&gt;0))*A125</f>
        <v>0</v>
      </c>
      <c r="AE125" s="0" t="n">
        <f aca="false">IF(AD125&gt;0,S125,0)</f>
        <v>0</v>
      </c>
    </row>
    <row r="126" customFormat="false" ht="12.75" hidden="false" customHeight="false" outlineLevel="0" collapsed="false">
      <c r="A126" s="718" t="n">
        <v>6683.85</v>
      </c>
      <c r="B126" s="706" t="n">
        <f aca="false">A126/1000</f>
        <v>6.68385</v>
      </c>
      <c r="C126" s="707" t="n">
        <f aca="false">SQRT(1+(A126/pole1)^2)</f>
        <v>11.4578906132947</v>
      </c>
      <c r="D126" s="708" t="n">
        <f aca="false">ATAN(A126/pole1)</f>
        <v>1.48340904716819</v>
      </c>
      <c r="E126" s="708" t="n">
        <f aca="false">SQRT(1+(A126/Zero1)^2)</f>
        <v>1.00352110677302</v>
      </c>
      <c r="F126" s="709" t="n">
        <f aca="false">ATAN(A126/Zero1)</f>
        <v>0.0837950582617459</v>
      </c>
      <c r="G126" s="708" t="n">
        <f aca="false">IF(VIN_nom&gt;Vout, 1, SQRT(1+(A126/z_RHP)^2))</f>
        <v>1.00489449490082</v>
      </c>
      <c r="H126" s="709" t="n">
        <f aca="false">IF(VIN_nom&gt;Vout, 0, -ATAN(A126/z_RHP))</f>
        <v>-0.0987381843731437</v>
      </c>
      <c r="I126" s="707" t="n">
        <f aca="false">SQRT(1+(A126/Pole2)^2)</f>
        <v>27725.8514384911</v>
      </c>
      <c r="J126" s="710" t="n">
        <f aca="false">ATAN(A126/Pole2)</f>
        <v>1.57076025937232</v>
      </c>
      <c r="K126" s="719" t="n">
        <f aca="false">SQRT(1+(A126/Zero2)^2)</f>
        <v>8.63658457432777</v>
      </c>
      <c r="L126" s="720" t="n">
        <f aca="false">ATAN(A126/Zero2)</f>
        <v>1.4547495261856</v>
      </c>
      <c r="M126" s="707" t="n">
        <f aca="false">SQRT(1+(A126/pole4)^2)</f>
        <v>1.03490781496916</v>
      </c>
      <c r="N126" s="710" t="n">
        <f aca="false">ATAN(A126/pole4)</f>
        <v>0.260467690726301</v>
      </c>
      <c r="O126" s="711" t="n">
        <f aca="false">SQRT((1-(V126/pterm2))^2+(A126/pterm1)^2)</f>
        <v>1.00233998143052</v>
      </c>
      <c r="P126" s="712" t="n">
        <f aca="false">IF((ATAN((A126/pterm1)/(1-A126^2/pterm2))&gt;0),ATAN((A126/pterm1)/(1-A126^2/pterm2)),PI()+ATAN((A126/pterm1)/(1-A126^2/pterm2)))</f>
        <v>0.0929354111486958</v>
      </c>
      <c r="Q126" s="713" t="n">
        <f aca="false">20*LOG10(((E126*K126*G126)/(C126*I126*O126*M126))*Adc)</f>
        <v>-2.39739395161963</v>
      </c>
      <c r="R126" s="714" t="n">
        <f aca="false">((F126+L126+H126)-(D126+J126+P126+N126))*radconv</f>
        <v>-112.744687476091</v>
      </c>
      <c r="S126" s="717" t="n">
        <f aca="false">IF(R126&gt;0,R126,R126+180)</f>
        <v>67.2553125239089</v>
      </c>
      <c r="U126" s="644" t="n">
        <f aca="false">IF(Q126&lt;0,A126,1000000000)</f>
        <v>6683.85</v>
      </c>
      <c r="V126" s="644" t="n">
        <f aca="false">A126^2</f>
        <v>44673850.8225</v>
      </c>
      <c r="X126" s="716" t="n">
        <f aca="false">20*LOG10((K126/(I126*M126))*AEA)</f>
        <v>17.6677837704349</v>
      </c>
      <c r="Y126" s="717" t="n">
        <f aca="false">(L126-(J126+N126))*radconv</f>
        <v>-21.5706247926012</v>
      </c>
      <c r="AA126" s="716" t="n">
        <f aca="false">20*LOG10((E126*G126/(C126*O126))*Acs*Am)</f>
        <v>31.4154476324998</v>
      </c>
      <c r="AB126" s="717" t="n">
        <f aca="false">(F126+H126-(D126+P126))*radconv</f>
        <v>-91.1740626834898</v>
      </c>
      <c r="AD126" s="0" t="n">
        <f aca="false">SUM((Q127&lt;0)*(Q126&gt;0))*A126</f>
        <v>0</v>
      </c>
      <c r="AE126" s="0" t="n">
        <f aca="false">IF(AD126&gt;0,S126,0)</f>
        <v>0</v>
      </c>
    </row>
    <row r="127" customFormat="false" ht="12.75" hidden="false" customHeight="false" outlineLevel="0" collapsed="false">
      <c r="A127" s="718" t="n">
        <v>6760.8</v>
      </c>
      <c r="B127" s="706" t="n">
        <f aca="false">A127/1000</f>
        <v>6.7608</v>
      </c>
      <c r="C127" s="707" t="n">
        <f aca="false">SQRT(1+(A127/pole1)^2)</f>
        <v>11.588804191316</v>
      </c>
      <c r="D127" s="708" t="n">
        <f aca="false">ATAN(A127/pole1)</f>
        <v>1.48439870030965</v>
      </c>
      <c r="E127" s="708" t="n">
        <f aca="false">SQRT(1+(A127/Zero1)^2)</f>
        <v>1.00360250289848</v>
      </c>
      <c r="F127" s="709" t="n">
        <f aca="false">ATAN(A127/Zero1)</f>
        <v>0.0847551888533545</v>
      </c>
      <c r="G127" s="708" t="n">
        <f aca="false">IF(VIN_nom&gt;Vout, 1, SQRT(1+(A127/z_RHP)^2))</f>
        <v>1.00500756017621</v>
      </c>
      <c r="H127" s="709" t="n">
        <f aca="false">IF(VIN_nom&gt;Vout, 0, -ATAN(A127/z_RHP))</f>
        <v>-0.0998674391275648</v>
      </c>
      <c r="I127" s="707" t="n">
        <f aca="false">SQRT(1+(A127/Pole2)^2)</f>
        <v>28045.0543328458</v>
      </c>
      <c r="J127" s="710" t="n">
        <f aca="false">ATAN(A127/Pole2)</f>
        <v>1.57076066988412</v>
      </c>
      <c r="K127" s="719" t="n">
        <f aca="false">SQRT(1+(A127/Zero2)^2)</f>
        <v>8.73469052274698</v>
      </c>
      <c r="L127" s="720" t="n">
        <f aca="false">ATAN(A127/Zero2)</f>
        <v>1.45605871911933</v>
      </c>
      <c r="M127" s="707" t="n">
        <f aca="false">SQRT(1+(A127/pole4)^2)</f>
        <v>1.03570227822124</v>
      </c>
      <c r="N127" s="710" t="n">
        <f aca="false">ATAN(A127/pole4)</f>
        <v>0.263330415701845</v>
      </c>
      <c r="O127" s="711" t="n">
        <f aca="false">SQRT((1-(V127/pterm2))^2+(A127/pterm1)^2)</f>
        <v>1.00239415305856</v>
      </c>
      <c r="P127" s="712" t="n">
        <f aca="false">IF((ATAN((A127/pterm1)/(1-A127^2/pterm2))&gt;0),ATAN((A127/pterm1)/(1-A127^2/pterm2)),PI()+ATAN((A127/pterm1)/(1-A127^2/pterm2)))</f>
        <v>0.0940034098185859</v>
      </c>
      <c r="Q127" s="713" t="n">
        <f aca="false">20*LOG10(((E127*K127*G127)/(C127*I127*O127*M127))*Adc)</f>
        <v>-2.50284404934418</v>
      </c>
      <c r="R127" s="714" t="n">
        <f aca="false">((F127+L127+H127)-(D127+J127+P127+N127))*radconv</f>
        <v>-112.961306691507</v>
      </c>
      <c r="S127" s="717" t="n">
        <f aca="false">IF(R127&gt;0,R127,R127+180)</f>
        <v>67.0386933084929</v>
      </c>
      <c r="U127" s="644" t="n">
        <f aca="false">IF(Q127&lt;0,A127,1000000000)</f>
        <v>6760.8</v>
      </c>
      <c r="V127" s="644" t="n">
        <f aca="false">A127^2</f>
        <v>45708416.64</v>
      </c>
      <c r="X127" s="716" t="n">
        <f aca="false">20*LOG10((K127/(I127*M127))*AEA)</f>
        <v>17.6598004303739</v>
      </c>
      <c r="Y127" s="717" t="n">
        <f aca="false">(L127-(J127+N127))*radconv</f>
        <v>-21.6596591426305</v>
      </c>
      <c r="AA127" s="716" t="n">
        <f aca="false">20*LOG10((E127*G127/(C127*O127))*Acs*Am)</f>
        <v>31.3179808748363</v>
      </c>
      <c r="AB127" s="717" t="n">
        <f aca="false">(F127+H127-(D127+P127))*radconv</f>
        <v>-91.3016475488765</v>
      </c>
      <c r="AD127" s="0" t="n">
        <f aca="false">SUM((Q128&lt;0)*(Q127&gt;0))*A127</f>
        <v>0</v>
      </c>
      <c r="AE127" s="385" t="n">
        <f aca="false">IF(AD127&gt;0,S127,0)</f>
        <v>0</v>
      </c>
    </row>
    <row r="128" customFormat="false" ht="12.75" hidden="false" customHeight="false" outlineLevel="0" collapsed="false">
      <c r="A128" s="718" t="n">
        <v>6839.55</v>
      </c>
      <c r="B128" s="706" t="n">
        <f aca="false">A128/1000</f>
        <v>6.83955</v>
      </c>
      <c r="C128" s="707" t="n">
        <f aca="false">SQRT(1+(A128/pole1)^2)</f>
        <v>11.7227915612972</v>
      </c>
      <c r="D128" s="708" t="n">
        <f aca="false">ATAN(A128/pole1)</f>
        <v>1.48538861683591</v>
      </c>
      <c r="E128" s="708" t="n">
        <f aca="false">SQRT(1+(A128/Zero1)^2)</f>
        <v>1.00368676075617</v>
      </c>
      <c r="F128" s="709" t="n">
        <f aca="false">ATAN(A128/Zero1)</f>
        <v>0.085737616475158</v>
      </c>
      <c r="G128" s="708" t="n">
        <f aca="false">IF(VIN_nom&gt;Vout, 1, SQRT(1+(A128/z_RHP)^2))</f>
        <v>1.00512459687147</v>
      </c>
      <c r="H128" s="709" t="n">
        <f aca="false">IF(VIN_nom&gt;Vout, 0, -ATAN(A128/z_RHP))</f>
        <v>-0.101022844643218</v>
      </c>
      <c r="I128" s="707" t="n">
        <f aca="false">SQRT(1+(A128/Pole2)^2)</f>
        <v>28371.7239615761</v>
      </c>
      <c r="J128" s="710" t="n">
        <f aca="false">ATAN(A128/Pole2)</f>
        <v>1.57076108043477</v>
      </c>
      <c r="K128" s="719" t="n">
        <f aca="false">SQRT(1+(A128/Zero2)^2)</f>
        <v>8.83510649940897</v>
      </c>
      <c r="L128" s="720" t="n">
        <f aca="false">ATAN(A128/Zero2)</f>
        <v>1.45736843119657</v>
      </c>
      <c r="M128" s="707" t="n">
        <f aca="false">SQRT(1+(A128/pole4)^2)</f>
        <v>1.03652409965735</v>
      </c>
      <c r="N128" s="710" t="n">
        <f aca="false">ATAN(A128/pole4)</f>
        <v>0.266255536823526</v>
      </c>
      <c r="O128" s="711" t="n">
        <f aca="false">SQRT((1-(V128/pterm2))^2+(A128/pterm1)^2)</f>
        <v>1.00245023302356</v>
      </c>
      <c r="P128" s="712" t="n">
        <f aca="false">IF((ATAN((A128/pterm1)/(1-A128^2/pterm2))&gt;0),ATAN((A128/pterm1)/(1-A128^2/pterm2)),PI()+ATAN((A128/pterm1)/(1-A128^2/pterm2)))</f>
        <v>0.0950963217416683</v>
      </c>
      <c r="Q128" s="713" t="n">
        <f aca="false">20*LOG10(((E128*K128*G128)/(C128*I128*O128*M128))*Adc)</f>
        <v>-2.60963061551937</v>
      </c>
      <c r="R128" s="714" t="n">
        <f aca="false">((F128+L128+H128)-(D128+J128+P128+N128))*radconv</f>
        <v>-113.183134517878</v>
      </c>
      <c r="S128" s="717" t="n">
        <f aca="false">IF(R128&gt;0,R128,R128+180)</f>
        <v>66.8168654821223</v>
      </c>
      <c r="U128" s="644" t="n">
        <f aca="false">IF(Q128&lt;0,A128,1000000000)</f>
        <v>6839.55</v>
      </c>
      <c r="V128" s="644" t="n">
        <f aca="false">A128^2</f>
        <v>46779444.2025</v>
      </c>
      <c r="X128" s="716" t="n">
        <f aca="false">20*LOG10((K128/(I128*M128))*AEA)</f>
        <v>17.6516075128987</v>
      </c>
      <c r="Y128" s="717" t="n">
        <f aca="false">(L128-(J128+N128))*radconv</f>
        <v>-21.7522387859897</v>
      </c>
      <c r="AA128" s="716" t="n">
        <f aca="false">20*LOG10((E128*G128/(C128*O128))*Acs*Am)</f>
        <v>31.2193872261363</v>
      </c>
      <c r="AB128" s="717" t="n">
        <f aca="false">(F128+H128-(D128+P128))*radconv</f>
        <v>-91.430895731888</v>
      </c>
      <c r="AD128" s="0" t="n">
        <f aca="false">SUM((Q129&lt;0)*(Q128&gt;0))*A128</f>
        <v>0</v>
      </c>
      <c r="AE128" s="0" t="n">
        <f aca="false">IF(AD128&gt;0,S128,0)</f>
        <v>0</v>
      </c>
    </row>
    <row r="129" customFormat="false" ht="12.75" hidden="false" customHeight="false" outlineLevel="0" collapsed="false">
      <c r="A129" s="718" t="n">
        <v>6918.3</v>
      </c>
      <c r="B129" s="706" t="n">
        <f aca="false">A129/1000</f>
        <v>6.9183</v>
      </c>
      <c r="C129" s="707" t="n">
        <f aca="false">SQRT(1+(A129/pole1)^2)</f>
        <v>11.8567901592125</v>
      </c>
      <c r="D129" s="708" t="n">
        <f aca="false">ATAN(A129/pole1)</f>
        <v>1.48635615936225</v>
      </c>
      <c r="E129" s="708" t="n">
        <f aca="false">SQRT(1+(A129/Zero1)^2)</f>
        <v>1.00377198717305</v>
      </c>
      <c r="F129" s="709" t="n">
        <f aca="false">ATAN(A129/Zero1)</f>
        <v>0.0867198782165738</v>
      </c>
      <c r="G129" s="708" t="n">
        <f aca="false">IF(VIN_nom&gt;Vout, 1, SQRT(1+(A129/z_RHP)^2))</f>
        <v>1.00524297505629</v>
      </c>
      <c r="H129" s="709" t="n">
        <f aca="false">IF(VIN_nom&gt;Vout, 0, -ATAN(A129/z_RHP))</f>
        <v>-0.10217797957775</v>
      </c>
      <c r="I129" s="707" t="n">
        <f aca="false">SQRT(1+(A129/Pole2)^2)</f>
        <v>28698.3935903111</v>
      </c>
      <c r="J129" s="710" t="n">
        <f aca="false">ATAN(A129/Pole2)</f>
        <v>1.57076148163895</v>
      </c>
      <c r="K129" s="719" t="n">
        <f aca="false">SQRT(1+(A129/Zero2)^2)</f>
        <v>8.9355372906939</v>
      </c>
      <c r="L129" s="720" t="n">
        <f aca="false">ATAN(A129/Zero2)</f>
        <v>1.45864870446398</v>
      </c>
      <c r="M129" s="707" t="n">
        <f aca="false">SQRT(1+(A129/pole4)^2)</f>
        <v>1.03735477584289</v>
      </c>
      <c r="N129" s="710" t="n">
        <f aca="false">ATAN(A129/pole4)</f>
        <v>0.269175998238072</v>
      </c>
      <c r="O129" s="711" t="n">
        <f aca="false">SQRT((1-(V129/pterm2))^2+(A129/pterm1)^2)</f>
        <v>1.00250696153514</v>
      </c>
      <c r="P129" s="712" t="n">
        <f aca="false">IF((ATAN((A129/pterm1)/(1-A129^2/pterm2))&gt;0),ATAN((A129/pterm1)/(1-A129^2/pterm2)),PI()+ATAN((A129/pterm1)/(1-A129^2/pterm2)))</f>
        <v>0.096189162895292</v>
      </c>
      <c r="Q129" s="713" t="n">
        <f aca="false">20*LOG10(((E129*K129*G129)/(C129*I129*O129*M129))*Adc)</f>
        <v>-2.71530122998836</v>
      </c>
      <c r="R129" s="714" t="n">
        <f aca="false">((F129+L129+H129)-(D129+J129+P129+N129))*radconv</f>
        <v>-113.405089557271</v>
      </c>
      <c r="S129" s="717" t="n">
        <f aca="false">IF(R129&gt;0,R129,R129+180)</f>
        <v>66.5949104427288</v>
      </c>
      <c r="U129" s="644" t="n">
        <f aca="false">IF(Q129&lt;0,A129,1000000000)</f>
        <v>6918.3</v>
      </c>
      <c r="V129" s="644" t="n">
        <f aca="false">A129^2</f>
        <v>47862874.89</v>
      </c>
      <c r="X129" s="716" t="n">
        <f aca="false">20*LOG10((K129/(I129*M129))*AEA)</f>
        <v>17.6433897995781</v>
      </c>
      <c r="Y129" s="717" t="n">
        <f aca="false">(L129-(J129+N129))*radconv</f>
        <v>-21.8462376318415</v>
      </c>
      <c r="AA129" s="716" t="n">
        <f aca="false">20*LOG10((E129*G129/(C129*O129))*Acs*Am)</f>
        <v>31.1219343249879</v>
      </c>
      <c r="AB129" s="717" t="n">
        <f aca="false">(F129+H129-(D129+P129))*radconv</f>
        <v>-91.5588519254298</v>
      </c>
      <c r="AD129" s="0" t="n">
        <f aca="false">SUM((Q130&lt;0)*(Q129&gt;0))*A129</f>
        <v>0</v>
      </c>
      <c r="AE129" s="0" t="n">
        <f aca="false">IF(AD129&gt;0,S129,0)</f>
        <v>0</v>
      </c>
    </row>
    <row r="130" customFormat="false" ht="12.75" hidden="false" customHeight="false" outlineLevel="0" collapsed="false">
      <c r="A130" s="718" t="n">
        <v>6998.9</v>
      </c>
      <c r="B130" s="706" t="n">
        <f aca="false">A130/1000</f>
        <v>6.9989</v>
      </c>
      <c r="C130" s="707" t="n">
        <f aca="false">SQRT(1+(A130/pole1)^2)</f>
        <v>11.9939478946431</v>
      </c>
      <c r="D130" s="708" t="n">
        <f aca="false">ATAN(A130/pole1)</f>
        <v>1.48732404362212</v>
      </c>
      <c r="E130" s="708" t="n">
        <f aca="false">SQRT(1+(A130/Zero1)^2)</f>
        <v>1.00386021843349</v>
      </c>
      <c r="F130" s="709" t="n">
        <f aca="false">ATAN(A130/Zero1)</f>
        <v>0.0877250416079417</v>
      </c>
      <c r="G130" s="708" t="n">
        <f aca="false">IF(VIN_nom&gt;Vout, 1, SQRT(1+(A130/z_RHP)^2))</f>
        <v>1.00536552282564</v>
      </c>
      <c r="H130" s="709" t="n">
        <f aca="false">IF(VIN_nom&gt;Vout, 0, -ATAN(A130/z_RHP))</f>
        <v>-0.103359967708153</v>
      </c>
      <c r="I130" s="707" t="n">
        <f aca="false">SQRT(1+(A130/Pole2)^2)</f>
        <v>29032.7373627099</v>
      </c>
      <c r="J130" s="710" t="n">
        <f aca="false">ATAN(A130/Pole2)</f>
        <v>1.57076188291908</v>
      </c>
      <c r="K130" s="719" t="n">
        <f aca="false">SQRT(1+(A130/Zero2)^2)</f>
        <v>9.03834223386668</v>
      </c>
      <c r="L130" s="720" t="n">
        <f aca="false">ATAN(A130/Zero2)</f>
        <v>1.45992958953531</v>
      </c>
      <c r="M130" s="707" t="n">
        <f aca="false">SQRT(1+(A130/pole4)^2)</f>
        <v>1.0382141133608</v>
      </c>
      <c r="N130" s="710" t="n">
        <f aca="false">ATAN(A130/pole4)</f>
        <v>0.272160201872896</v>
      </c>
      <c r="O130" s="711" t="n">
        <f aca="false">SQRT((1-(V130/pterm2))^2+(A130/pterm1)^2)</f>
        <v>1.00256569426361</v>
      </c>
      <c r="P130" s="712" t="n">
        <f aca="false">IF((ATAN((A130/pterm1)/(1-A130^2/pterm2))&gt;0),ATAN((A130/pterm1)/(1-A130^2/pterm2)),PI()+ATAN((A130/pterm1)/(1-A130^2/pterm2)))</f>
        <v>0.0973076030211551</v>
      </c>
      <c r="Q130" s="713" t="n">
        <f aca="false">20*LOG10(((E130*K130*G130)/(C130*I130*O130*M130))*Adc)</f>
        <v>-2.82232639825049</v>
      </c>
      <c r="R130" s="714" t="n">
        <f aca="false">((F130+L130+H130)-(D130+J130+P130+N130))*radconv</f>
        <v>-113.632374407302</v>
      </c>
      <c r="S130" s="717" t="n">
        <f aca="false">IF(R130&gt;0,R130,R130+180)</f>
        <v>66.3676255926983</v>
      </c>
      <c r="U130" s="644" t="n">
        <f aca="false">IF(Q130&lt;0,A130,1000000000)</f>
        <v>6998.9</v>
      </c>
      <c r="V130" s="644" t="n">
        <f aca="false">A130^2</f>
        <v>48984601.21</v>
      </c>
      <c r="X130" s="716" t="n">
        <f aca="false">20*LOG10((K130/(I130*M130))*AEA)</f>
        <v>17.6349516926112</v>
      </c>
      <c r="Y130" s="717" t="n">
        <f aca="false">(L130-(J130+N130))*radconv</f>
        <v>-21.9438535884657</v>
      </c>
      <c r="AA130" s="716" t="n">
        <f aca="false">20*LOG10((E130*G130/(C130*O130))*Acs*Am)</f>
        <v>31.0233472636927</v>
      </c>
      <c r="AB130" s="717" t="n">
        <f aca="false">(F130+H130-(D130+P130))*radconv</f>
        <v>-91.688520818836</v>
      </c>
      <c r="AD130" s="0" t="n">
        <f aca="false">SUM((Q131&lt;0)*(Q130&gt;0))*A130</f>
        <v>0</v>
      </c>
      <c r="AE130" s="0" t="n">
        <f aca="false">IF(AD130&gt;0,S130,0)</f>
        <v>0</v>
      </c>
    </row>
    <row r="131" customFormat="false" ht="12.75" hidden="false" customHeight="false" outlineLevel="0" collapsed="false">
      <c r="A131" s="718" t="n">
        <v>7079.5</v>
      </c>
      <c r="B131" s="706" t="n">
        <f aca="false">A131/1000</f>
        <v>7.0795</v>
      </c>
      <c r="C131" s="707" t="n">
        <f aca="false">SQRT(1+(A131/pole1)^2)</f>
        <v>12.1311166119244</v>
      </c>
      <c r="D131" s="708" t="n">
        <f aca="false">ATAN(A131/pole1)</f>
        <v>1.48827004066878</v>
      </c>
      <c r="E131" s="708" t="n">
        <f aca="false">SQRT(1+(A131/Zero1)^2)</f>
        <v>1.00394946376868</v>
      </c>
      <c r="F131" s="709" t="n">
        <f aca="false">ATAN(A131/Zero1)</f>
        <v>0.088730027308058</v>
      </c>
      <c r="G131" s="708" t="n">
        <f aca="false">IF(VIN_nom&gt;Vout, 1, SQRT(1+(A131/z_RHP)^2))</f>
        <v>1.00548947484356</v>
      </c>
      <c r="H131" s="709" t="n">
        <f aca="false">IF(VIN_nom&gt;Vout, 0, -ATAN(A131/z_RHP))</f>
        <v>-0.104541666069279</v>
      </c>
      <c r="I131" s="707" t="n">
        <f aca="false">SQRT(1+(A131/Pole2)^2)</f>
        <v>29367.0811351133</v>
      </c>
      <c r="J131" s="710" t="n">
        <f aca="false">ATAN(A131/Pole2)</f>
        <v>1.57076227506209</v>
      </c>
      <c r="K131" s="719" t="n">
        <f aca="false">SQRT(1+(A131/Zero2)^2)</f>
        <v>9.14116167238847</v>
      </c>
      <c r="L131" s="720" t="n">
        <f aca="false">ATAN(A131/Zero2)</f>
        <v>1.4611816619295</v>
      </c>
      <c r="M131" s="707" t="n">
        <f aca="false">SQRT(1+(A131/pole4)^2)</f>
        <v>1.03908268132394</v>
      </c>
      <c r="N131" s="710" t="n">
        <f aca="false">ATAN(A131/pole4)</f>
        <v>0.275139443018036</v>
      </c>
      <c r="O131" s="711" t="n">
        <f aca="false">SQRT((1-(V131/pterm2))^2+(A131/pterm1)^2)</f>
        <v>1.0026251063026</v>
      </c>
      <c r="P131" s="712" t="n">
        <f aca="false">IF((ATAN((A131/pterm1)/(1-A131^2/pterm2))&gt;0),ATAN((A131/pterm1)/(1-A131^2/pterm2)),PI()+ATAN((A131/pterm1)/(1-A131^2/pterm2)))</f>
        <v>0.0984259673102812</v>
      </c>
      <c r="Q131" s="713" t="n">
        <f aca="false">20*LOG10(((E131*K131*G131)/(C131*I131*O131*M131))*Adc)</f>
        <v>-2.92823786944845</v>
      </c>
      <c r="R131" s="714" t="n">
        <f aca="false">((F131+L131+H131)-(D131+J131+P131+N131))*radconv</f>
        <v>-113.85976043723</v>
      </c>
      <c r="S131" s="717" t="n">
        <f aca="false">IF(R131&gt;0,R131,R131+180)</f>
        <v>66.1402395627699</v>
      </c>
      <c r="U131" s="644" t="n">
        <f aca="false">IF(Q131&lt;0,A131,1000000000)</f>
        <v>7079.5</v>
      </c>
      <c r="V131" s="644" t="n">
        <f aca="false">A131^2</f>
        <v>50119320.25</v>
      </c>
      <c r="X131" s="716" t="n">
        <f aca="false">20*LOG10((K131/(I131*M131))*AEA)</f>
        <v>17.6264843435395</v>
      </c>
      <c r="Y131" s="717" t="n">
        <f aca="false">(L131-(J131+N131))*radconv</f>
        <v>-22.0428355366545</v>
      </c>
      <c r="AA131" s="716" t="n">
        <f aca="false">20*LOG10((E131*G131/(C131*O131))*Acs*Am)</f>
        <v>30.9259031415665</v>
      </c>
      <c r="AB131" s="717" t="n">
        <f aca="false">(F131+H131-(D131+P131))*radconv</f>
        <v>-91.8169249005757</v>
      </c>
      <c r="AD131" s="0" t="n">
        <f aca="false">SUM((Q132&lt;0)*(Q131&gt;0))*A131</f>
        <v>0</v>
      </c>
      <c r="AE131" s="0" t="n">
        <f aca="false">IF(AD131&gt;0,S131,0)</f>
        <v>0</v>
      </c>
    </row>
    <row r="132" customFormat="false" ht="12.75" hidden="false" customHeight="false" outlineLevel="0" collapsed="false">
      <c r="A132" s="718" t="n">
        <v>7161.95</v>
      </c>
      <c r="B132" s="706" t="n">
        <f aca="false">A132/1000</f>
        <v>7.16195</v>
      </c>
      <c r="C132" s="707" t="n">
        <f aca="false">SQRT(1+(A132/pole1)^2)</f>
        <v>12.2714447215794</v>
      </c>
      <c r="D132" s="708" t="n">
        <f aca="false">ATAN(A132/pole1)</f>
        <v>1.48921586800355</v>
      </c>
      <c r="E132" s="708" t="n">
        <f aca="false">SQRT(1+(A132/Zero1)^2)</f>
        <v>1.00404180651278</v>
      </c>
      <c r="F132" s="709" t="n">
        <f aca="false">ATAN(A132/Zero1)</f>
        <v>0.0897578943751136</v>
      </c>
      <c r="G132" s="708" t="n">
        <f aca="false">IF(VIN_nom&gt;Vout, 1, SQRT(1+(A132/z_RHP)^2))</f>
        <v>1.00561772433831</v>
      </c>
      <c r="H132" s="709" t="n">
        <f aca="false">IF(VIN_nom&gt;Vout, 0, -ATAN(A132/z_RHP))</f>
        <v>-0.105750184629222</v>
      </c>
      <c r="I132" s="707" t="n">
        <f aca="false">SQRT(1+(A132/Pole2)^2)</f>
        <v>29709.0990511806</v>
      </c>
      <c r="J132" s="710" t="n">
        <f aca="false">ATAN(A132/Pole2)</f>
        <v>1.57076266707339</v>
      </c>
      <c r="K132" s="719" t="n">
        <f aca="false">SQRT(1+(A132/Zero2)^2)</f>
        <v>9.24635560449212</v>
      </c>
      <c r="L132" s="720" t="n">
        <f aca="false">ATAN(A132/Zero2)</f>
        <v>1.46243365881429</v>
      </c>
      <c r="M132" s="707" t="n">
        <f aca="false">SQRT(1+(A132/pole4)^2)</f>
        <v>1.03998071196057</v>
      </c>
      <c r="N132" s="710" t="n">
        <f aca="false">ATAN(A132/pole4)</f>
        <v>0.278181889493176</v>
      </c>
      <c r="O132" s="711" t="n">
        <f aca="false">SQRT((1-(V132/pterm2))^2+(A132/pterm1)^2)</f>
        <v>1.00268658486002</v>
      </c>
      <c r="P132" s="712" t="n">
        <f aca="false">IF((ATAN((A132/pterm1)/(1-A132^2/pterm2))&gt;0),ATAN((A132/pterm1)/(1-A132^2/pterm2)),PI()+ATAN((A132/pterm1)/(1-A132^2/pterm2)))</f>
        <v>0.0995699218859556</v>
      </c>
      <c r="Q132" s="713" t="n">
        <f aca="false">20*LOG10(((E132*K132*G132)/(C132*I132*O132*M132))*Adc)</f>
        <v>-3.03545561582407</v>
      </c>
      <c r="R132" s="714" t="n">
        <f aca="false">((F132+L132+H132)-(D132+J132+P132+N132))*radconv</f>
        <v>-114.092454354723</v>
      </c>
      <c r="S132" s="717" t="n">
        <f aca="false">IF(R132&gt;0,R132,R132+180)</f>
        <v>65.9075456452766</v>
      </c>
      <c r="U132" s="644" t="n">
        <f aca="false">IF(Q132&lt;0,A132,1000000000)</f>
        <v>7161.95</v>
      </c>
      <c r="V132" s="644" t="n">
        <f aca="false">A132^2</f>
        <v>51293527.8025</v>
      </c>
      <c r="X132" s="716" t="n">
        <f aca="false">20*LOG10((K132/(I132*M132))*AEA)</f>
        <v>17.6177908416525</v>
      </c>
      <c r="Y132" s="717" t="n">
        <f aca="false">(L132-(J132+N132))*radconv</f>
        <v>-22.1454432023229</v>
      </c>
      <c r="AA132" s="716" t="n">
        <f aca="false">20*LOG10((E132*G132/(C132*O132))*Acs*Am)</f>
        <v>30.8273788970778</v>
      </c>
      <c r="AB132" s="717" t="n">
        <f aca="false">(F132+H132-(D132+P132))*radconv</f>
        <v>-91.9470111524006</v>
      </c>
      <c r="AD132" s="0" t="n">
        <f aca="false">SUM((Q133&lt;0)*(Q132&gt;0))*A132</f>
        <v>0</v>
      </c>
      <c r="AE132" s="0" t="n">
        <f aca="false">IF(AD132&gt;0,S132,0)</f>
        <v>0</v>
      </c>
    </row>
    <row r="133" customFormat="false" ht="12.75" hidden="false" customHeight="false" outlineLevel="0" collapsed="false">
      <c r="A133" s="718" t="n">
        <v>7244.4</v>
      </c>
      <c r="B133" s="706" t="n">
        <f aca="false">A133/1000</f>
        <v>7.2444</v>
      </c>
      <c r="C133" s="707" t="n">
        <f aca="false">SQRT(1+(A133/pole1)^2)</f>
        <v>12.4117835608992</v>
      </c>
      <c r="D133" s="708" t="n">
        <f aca="false">ATAN(A133/pole1)</f>
        <v>1.49014030739294</v>
      </c>
      <c r="E133" s="708" t="n">
        <f aca="false">SQRT(1+(A133/Zero1)^2)</f>
        <v>1.00413520984204</v>
      </c>
      <c r="F133" s="709" t="n">
        <f aca="false">ATAN(A133/Zero1)</f>
        <v>0.090785571306083</v>
      </c>
      <c r="G133" s="708" t="n">
        <f aca="false">IF(VIN_nom&gt;Vout, 1, SQRT(1+(A133/z_RHP)^2))</f>
        <v>1.00574744217913</v>
      </c>
      <c r="H133" s="709" t="n">
        <f aca="false">IF(VIN_nom&gt;Vout, 0, -ATAN(A133/z_RHP))</f>
        <v>-0.106958393212275</v>
      </c>
      <c r="I133" s="707" t="n">
        <f aca="false">SQRT(1+(A133/Pole2)^2)</f>
        <v>30051.1169672524</v>
      </c>
      <c r="J133" s="710" t="n">
        <f aca="false">ATAN(A133/Pole2)</f>
        <v>1.57076305016158</v>
      </c>
      <c r="K133" s="719" t="n">
        <f aca="false">SQRT(1+(A133/Zero2)^2)</f>
        <v>9.35156370413794</v>
      </c>
      <c r="L133" s="720" t="n">
        <f aca="false">ATAN(A133/Zero2)</f>
        <v>1.4636574868463</v>
      </c>
      <c r="M133" s="707" t="n">
        <f aca="false">SQRT(1+(A133/pole4)^2)</f>
        <v>1.0408883524958</v>
      </c>
      <c r="N133" s="710" t="n">
        <f aca="false">ATAN(A133/pole4)</f>
        <v>0.281219058096981</v>
      </c>
      <c r="O133" s="711" t="n">
        <f aca="false">SQRT((1-(V133/pterm2))^2+(A133/pterm1)^2)</f>
        <v>1.00274877419851</v>
      </c>
      <c r="P133" s="712" t="n">
        <f aca="false">IF((ATAN((A133/pterm1)/(1-A133^2/pterm2))&gt;0),ATAN((A133/pterm1)/(1-A133^2/pterm2)),PI()+ATAN((A133/pterm1)/(1-A133^2/pterm2)))</f>
        <v>0.100713795281736</v>
      </c>
      <c r="Q133" s="713" t="n">
        <f aca="false">20*LOG10(((E133*K133*G133)/(C133*I133*O133*M133))*Adc)</f>
        <v>-3.14156308124086</v>
      </c>
      <c r="R133" s="714" t="n">
        <f aca="false">((F133+L133+H133)-(D133+J133+P133+N133))*radconv</f>
        <v>-114.325222360946</v>
      </c>
      <c r="S133" s="717" t="n">
        <f aca="false">IF(R133&gt;0,R133,R133+180)</f>
        <v>65.6747776390542</v>
      </c>
      <c r="U133" s="644" t="n">
        <f aca="false">IF(Q133&lt;0,A133,1000000000)</f>
        <v>7244.4</v>
      </c>
      <c r="V133" s="644" t="n">
        <f aca="false">A133^2</f>
        <v>52481331.36</v>
      </c>
      <c r="X133" s="716" t="n">
        <f aca="false">20*LOG10((K133/(I133*M133))*AEA)</f>
        <v>17.6090637117033</v>
      </c>
      <c r="Y133" s="717" t="n">
        <f aca="false">(L133-(J133+N133))*radconv</f>
        <v>-22.2493619133617</v>
      </c>
      <c r="AA133" s="716" t="n">
        <f aca="false">20*LOG10((E133*G133/(C133*O133))*Acs*Am)</f>
        <v>30.7299985616102</v>
      </c>
      <c r="AB133" s="717" t="n">
        <f aca="false">(F133+H133-(D133+P133))*radconv</f>
        <v>-92.075860447584</v>
      </c>
      <c r="AD133" s="0" t="n">
        <f aca="false">SUM((Q134&lt;0)*(Q133&gt;0))*A133</f>
        <v>0</v>
      </c>
      <c r="AE133" s="0" t="n">
        <f aca="false">IF(AD133&gt;0,S133,0)</f>
        <v>0</v>
      </c>
    </row>
    <row r="134" customFormat="false" ht="12.75" hidden="false" customHeight="false" outlineLevel="0" collapsed="false">
      <c r="A134" s="718" t="n">
        <v>7328.75</v>
      </c>
      <c r="B134" s="706" t="n">
        <f aca="false">A134/1000</f>
        <v>7.32875</v>
      </c>
      <c r="C134" s="707" t="n">
        <f aca="false">SQRT(1+(A134/pole1)^2)</f>
        <v>12.5553671344308</v>
      </c>
      <c r="D134" s="708" t="n">
        <f aca="false">ATAN(A134/pole1)</f>
        <v>1.49106466314441</v>
      </c>
      <c r="E134" s="708" t="n">
        <f aca="false">SQRT(1+(A134/Zero1)^2)</f>
        <v>1.00423186280153</v>
      </c>
      <c r="F134" s="709" t="n">
        <f aca="false">ATAN(A134/Zero1)</f>
        <v>0.091836731334156</v>
      </c>
      <c r="G134" s="708" t="n">
        <f aca="false">IF(VIN_nom&gt;Vout, 1, SQRT(1+(A134/z_RHP)^2))</f>
        <v>1.00588166817178</v>
      </c>
      <c r="H134" s="709" t="n">
        <f aca="false">IF(VIN_nom&gt;Vout, 0, -ATAN(A134/z_RHP))</f>
        <v>-0.108194119752741</v>
      </c>
      <c r="I134" s="707" t="n">
        <f aca="false">SQRT(1+(A134/Pole2)^2)</f>
        <v>30401.0164362763</v>
      </c>
      <c r="J134" s="710" t="n">
        <f aca="false">ATAN(A134/Pole2)</f>
        <v>1.57076343315786</v>
      </c>
      <c r="K134" s="719" t="n">
        <f aca="false">SQRT(1+(A134/Zero2)^2)</f>
        <v>9.45921041563396</v>
      </c>
      <c r="L134" s="720" t="n">
        <f aca="false">ATAN(A134/Zero2)</f>
        <v>1.46488134343199</v>
      </c>
      <c r="M134" s="707" t="n">
        <f aca="false">SQRT(1+(A134/pole4)^2)</f>
        <v>1.04182682738119</v>
      </c>
      <c r="N134" s="710" t="n">
        <f aca="false">ATAN(A134/pole4)</f>
        <v>0.284320710357758</v>
      </c>
      <c r="O134" s="711" t="n">
        <f aca="false">SQRT((1-(V134/pterm2))^2+(A134/pterm1)^2)</f>
        <v>1.00281313214541</v>
      </c>
      <c r="P134" s="712" t="n">
        <f aca="false">IF((ATAN((A134/pterm1)/(1-A134^2/pterm2))&gt;0),ATAN((A134/pterm1)/(1-A134^2/pterm2)),PI()+ATAN((A134/pterm1)/(1-A134^2/pterm2)))</f>
        <v>0.101883943436547</v>
      </c>
      <c r="Q134" s="713" t="n">
        <f aca="false">20*LOG10(((E134*K134*G134)/(C134*I134*O134*M134))*Adc)</f>
        <v>-3.24899430994147</v>
      </c>
      <c r="R134" s="714" t="n">
        <f aca="false">((F134+L134+H134)-(D134+J134+P134+N134))*radconv</f>
        <v>-114.563415188462</v>
      </c>
      <c r="S134" s="717" t="n">
        <f aca="false">IF(R134&gt;0,R134,R134+180)</f>
        <v>65.436584811538</v>
      </c>
      <c r="U134" s="644" t="n">
        <f aca="false">IF(Q134&lt;0,A134,1000000000)</f>
        <v>7328.75</v>
      </c>
      <c r="V134" s="644" t="n">
        <f aca="false">A134^2</f>
        <v>53710576.5625</v>
      </c>
      <c r="X134" s="716" t="n">
        <f aca="false">20*LOG10((K134/(I134*M134))*AEA)</f>
        <v>17.6000992445233</v>
      </c>
      <c r="Y134" s="717" t="n">
        <f aca="false">(L134-(J134+N134))*radconv</f>
        <v>-22.3569736245256</v>
      </c>
      <c r="AA134" s="716" t="n">
        <f aca="false">20*LOG10((E134*G134/(C134*O134))*Acs*Am)</f>
        <v>30.6315318000896</v>
      </c>
      <c r="AB134" s="717" t="n">
        <f aca="false">(F134+H134-(D134+P134))*radconv</f>
        <v>-92.2064415639364</v>
      </c>
      <c r="AD134" s="0" t="n">
        <f aca="false">SUM((Q135&lt;0)*(Q134&gt;0))*A134</f>
        <v>0</v>
      </c>
      <c r="AE134" s="0" t="n">
        <f aca="false">IF(AD134&gt;0,S134,0)</f>
        <v>0</v>
      </c>
    </row>
    <row r="135" customFormat="false" ht="12.75" hidden="false" customHeight="false" outlineLevel="0" collapsed="false">
      <c r="A135" s="718" t="n">
        <v>7413.1</v>
      </c>
      <c r="B135" s="706" t="n">
        <f aca="false">A135/1000</f>
        <v>7.4131</v>
      </c>
      <c r="C135" s="707" t="n">
        <f aca="false">SQRT(1+(A135/pole1)^2)</f>
        <v>12.6989611930932</v>
      </c>
      <c r="D135" s="708" t="n">
        <f aca="false">ATAN(A135/pole1)</f>
        <v>1.49196811526723</v>
      </c>
      <c r="E135" s="708" t="n">
        <f aca="false">SQRT(1+(A135/Zero1)^2)</f>
        <v>1.00432962516009</v>
      </c>
      <c r="F135" s="709" t="n">
        <f aca="false">ATAN(A135/Zero1)</f>
        <v>0.0928876878815377</v>
      </c>
      <c r="G135" s="708" t="n">
        <f aca="false">IF(VIN_nom&gt;Vout, 1, SQRT(1+(A135/z_RHP)^2))</f>
        <v>1.00601742975468</v>
      </c>
      <c r="H135" s="709" t="n">
        <f aca="false">IF(VIN_nom&gt;Vout, 0, -ATAN(A135/z_RHP))</f>
        <v>-0.109429514657816</v>
      </c>
      <c r="I135" s="707" t="n">
        <f aca="false">SQRT(1+(A135/Pole2)^2)</f>
        <v>30750.9159053046</v>
      </c>
      <c r="J135" s="710" t="n">
        <f aca="false">ATAN(A135/Pole2)</f>
        <v>1.57076380743829</v>
      </c>
      <c r="K135" s="719" t="n">
        <f aca="false">SQRT(1+(A135/Zero2)^2)</f>
        <v>9.56687097651612</v>
      </c>
      <c r="L135" s="720" t="n">
        <f aca="false">ATAN(A135/Zero2)</f>
        <v>1.46607765649263</v>
      </c>
      <c r="M135" s="707" t="n">
        <f aca="false">SQRT(1+(A135/pole4)^2)</f>
        <v>1.04277530680126</v>
      </c>
      <c r="N135" s="710" t="n">
        <f aca="false">ATAN(A135/pole4)</f>
        <v>0.287416750004995</v>
      </c>
      <c r="O135" s="711" t="n">
        <f aca="false">SQRT((1-(V135/pterm2))^2+(A135/pterm1)^2)</f>
        <v>1.00287823393132</v>
      </c>
      <c r="P135" s="712" t="n">
        <f aca="false">IF((ATAN((A135/pterm1)/(1-A135^2/pterm2))&gt;0),ATAN((A135/pterm1)/(1-A135^2/pterm2)),PI()+ATAN((A135/pterm1)/(1-A135^2/pterm2)))</f>
        <v>0.103054004678235</v>
      </c>
      <c r="Q135" s="713" t="n">
        <f aca="false">20*LOG10(((E135*K135*G135)/(C135*I135*O135*M135))*Adc)</f>
        <v>-3.35531844733584</v>
      </c>
      <c r="R135" s="714" t="n">
        <f aca="false">((F135+L135+H135)-(D135+J135+P135+N135))*radconv</f>
        <v>-114.801654053091</v>
      </c>
      <c r="S135" s="717" t="n">
        <f aca="false">IF(R135&gt;0,R135,R135+180)</f>
        <v>65.1983459469095</v>
      </c>
      <c r="U135" s="644" t="n">
        <f aca="false">IF(Q135&lt;0,A135,1000000000)</f>
        <v>7413.1</v>
      </c>
      <c r="V135" s="644" t="n">
        <f aca="false">A135^2</f>
        <v>54954051.61</v>
      </c>
      <c r="X135" s="716" t="n">
        <f aca="false">20*LOG10((K135/(I135*M135))*AEA)</f>
        <v>17.5910967898595</v>
      </c>
      <c r="Y135" s="717" t="n">
        <f aca="false">(L135-(J135+N135))*radconv</f>
        <v>-22.46584138498</v>
      </c>
      <c r="AA135" s="716" t="n">
        <f aca="false">20*LOG10((E135*G135/(C135*O135))*Acs*Am)</f>
        <v>30.5342101173591</v>
      </c>
      <c r="AB135" s="717" t="n">
        <f aca="false">(F135+H135-(D135+P135))*radconv</f>
        <v>-92.3358126681105</v>
      </c>
      <c r="AD135" s="0" t="n">
        <f aca="false">SUM((Q136&lt;0)*(Q135&gt;0))*A135</f>
        <v>0</v>
      </c>
      <c r="AE135" s="0" t="n">
        <f aca="false">IF(AD135&gt;0,S135,0)</f>
        <v>0</v>
      </c>
    </row>
    <row r="136" customFormat="false" ht="12.75" hidden="false" customHeight="false" outlineLevel="0" collapsed="false">
      <c r="A136" s="718" t="n">
        <v>7499.45</v>
      </c>
      <c r="B136" s="706" t="n">
        <f aca="false">A136/1000</f>
        <v>7.49945</v>
      </c>
      <c r="C136" s="707" t="n">
        <f aca="false">SQRT(1+(A136/pole1)^2)</f>
        <v>12.8459704654792</v>
      </c>
      <c r="D136" s="708" t="n">
        <f aca="false">ATAN(A136/pole1)</f>
        <v>1.49287206627876</v>
      </c>
      <c r="E136" s="708" t="n">
        <f aca="false">SQRT(1+(A136/Zero1)^2)</f>
        <v>1.00443085436513</v>
      </c>
      <c r="F136" s="709" t="n">
        <f aca="false">ATAN(A136/Zero1)</f>
        <v>0.0939633502386056</v>
      </c>
      <c r="G136" s="708" t="n">
        <f aca="false">IF(VIN_nom&gt;Vout, 1, SQRT(1+(A136/z_RHP)^2))</f>
        <v>1.00615800033156</v>
      </c>
      <c r="H136" s="709" t="n">
        <f aca="false">IF(VIN_nom&gt;Vout, 0, -ATAN(A136/z_RHP))</f>
        <v>-0.110693854357262</v>
      </c>
      <c r="I136" s="707" t="n">
        <f aca="false">SQRT(1+(A136/Pole2)^2)</f>
        <v>31109.1117458614</v>
      </c>
      <c r="J136" s="710" t="n">
        <f aca="false">ATAN(A136/Pole2)</f>
        <v>1.57076418187194</v>
      </c>
      <c r="K136" s="719" t="n">
        <f aca="false">SQRT(1+(A136/Zero2)^2)</f>
        <v>9.67709811105047</v>
      </c>
      <c r="L136" s="720" t="n">
        <f aca="false">ATAN(A136/Zero2)</f>
        <v>1.46727476038067</v>
      </c>
      <c r="M136" s="707" t="n">
        <f aca="false">SQRT(1+(A136/pole4)^2)</f>
        <v>1.04375661005242</v>
      </c>
      <c r="N136" s="710" t="n">
        <f aca="false">ATAN(A136/pole4)</f>
        <v>0.290580339295756</v>
      </c>
      <c r="O136" s="711" t="n">
        <f aca="false">SQRT((1-(V136/pterm2))^2+(A136/pterm1)^2)</f>
        <v>1.00294564978949</v>
      </c>
      <c r="P136" s="712" t="n">
        <f aca="false">IF((ATAN((A136/pterm1)/(1-A136^2/pterm2))&gt;0),ATAN((A136/pterm1)/(1-A136^2/pterm2)),PI()+ATAN((A136/pterm1)/(1-A136^2/pterm2)))</f>
        <v>0.104251717868346</v>
      </c>
      <c r="Q136" s="713" t="n">
        <f aca="false">20*LOG10(((E136*K136*G136)/(C136*I136*O136*M136))*Adc)</f>
        <v>-3.46304432354066</v>
      </c>
      <c r="R136" s="714" t="n">
        <f aca="false">((F136+L136+H136)-(D136+J136+P136+N136))*radconv</f>
        <v>-115.045573725003</v>
      </c>
      <c r="S136" s="717" t="n">
        <f aca="false">IF(R136&gt;0,R136,R136+180)</f>
        <v>64.9544262749968</v>
      </c>
      <c r="U136" s="644" t="n">
        <f aca="false">IF(Q136&lt;0,A136,1000000000)</f>
        <v>7499.45</v>
      </c>
      <c r="V136" s="644" t="n">
        <f aca="false">A136^2</f>
        <v>56241750.3025</v>
      </c>
      <c r="X136" s="716" t="n">
        <f aca="false">20*LOG10((K136/(I136*M136))*AEA)</f>
        <v>17.5818402195727</v>
      </c>
      <c r="Y136" s="717" t="n">
        <f aca="false">(L136-(J136+N136))*radconv</f>
        <v>-22.5785341526265</v>
      </c>
      <c r="AA136" s="716" t="n">
        <f aca="false">20*LOG10((E136*G136/(C136*O136))*Acs*Am)</f>
        <v>30.435740811441</v>
      </c>
      <c r="AB136" s="717" t="n">
        <f aca="false">(F136+H136-(D136+P136))*radconv</f>
        <v>-92.4670395723767</v>
      </c>
      <c r="AD136" s="0" t="n">
        <f aca="false">SUM((Q137&lt;0)*(Q136&gt;0))*A136</f>
        <v>0</v>
      </c>
      <c r="AE136" s="0" t="n">
        <f aca="false">IF(AD136&gt;0,S136,0)</f>
        <v>0</v>
      </c>
    </row>
    <row r="137" customFormat="false" ht="12.75" hidden="false" customHeight="false" outlineLevel="0" collapsed="false">
      <c r="A137" s="718" t="n">
        <v>7585.8</v>
      </c>
      <c r="B137" s="706" t="n">
        <f aca="false">A137/1000</f>
        <v>7.5858</v>
      </c>
      <c r="C137" s="707" t="n">
        <f aca="false">SQRT(1+(A137/pole1)^2)</f>
        <v>12.992989997123</v>
      </c>
      <c r="D137" s="708" t="n">
        <f aca="false">ATAN(A137/pole1)</f>
        <v>1.4937555610516</v>
      </c>
      <c r="E137" s="708" t="n">
        <f aca="false">SQRT(1+(A137/Zero1)^2)</f>
        <v>1.00453324551138</v>
      </c>
      <c r="F137" s="709" t="n">
        <f aca="false">ATAN(A137/Zero1)</f>
        <v>0.0950387945572637</v>
      </c>
      <c r="G137" s="708" t="n">
        <f aca="false">IF(VIN_nom&gt;Vout, 1, SQRT(1+(A137/z_RHP)^2))</f>
        <v>1.00630017885636</v>
      </c>
      <c r="H137" s="709" t="n">
        <f aca="false">IF(VIN_nom&gt;Vout, 0, -ATAN(A137/z_RHP))</f>
        <v>-0.111957838803761</v>
      </c>
      <c r="I137" s="707" t="n">
        <f aca="false">SQRT(1+(A137/Pole2)^2)</f>
        <v>31467.3075864224</v>
      </c>
      <c r="J137" s="710" t="n">
        <f aca="false">ATAN(A137/Pole2)</f>
        <v>1.57076454778116</v>
      </c>
      <c r="K137" s="719" t="n">
        <f aca="false">SQRT(1+(A137/Zero2)^2)</f>
        <v>9.78733880104827</v>
      </c>
      <c r="L137" s="720" t="n">
        <f aca="false">ATAN(A137/Zero2)</f>
        <v>1.46844489851049</v>
      </c>
      <c r="M137" s="707" t="n">
        <f aca="false">SQRT(1+(A137/pole4)^2)</f>
        <v>1.04474833984533</v>
      </c>
      <c r="N137" s="710" t="n">
        <f aca="false">ATAN(A137/pole4)</f>
        <v>0.293737954050129</v>
      </c>
      <c r="O137" s="711" t="n">
        <f aca="false">SQRT((1-(V137/pterm2))^2+(A137/pterm1)^2)</f>
        <v>1.00301384509283</v>
      </c>
      <c r="P137" s="712" t="n">
        <f aca="false">IF((ATAN((A137/pterm1)/(1-A137^2/pterm2))&gt;0),ATAN((A137/pterm1)/(1-A137^2/pterm2)),PI()+ATAN((A137/pterm1)/(1-A137^2/pterm2)))</f>
        <v>0.105449337887257</v>
      </c>
      <c r="Q137" s="713" t="n">
        <f aca="false">20*LOG10(((E137*K137*G137)/(C137*I137*O137*M137))*Adc)</f>
        <v>-3.56966484964175</v>
      </c>
      <c r="R137" s="714" t="n">
        <f aca="false">((F137+L137+H137)-(D137+J137+P137+N137))*radconv</f>
        <v>-115.289510360647</v>
      </c>
      <c r="S137" s="717" t="n">
        <f aca="false">IF(R137&gt;0,R137,R137+180)</f>
        <v>64.7104896393531</v>
      </c>
      <c r="U137" s="644" t="n">
        <f aca="false">IF(Q137&lt;0,A137,1000000000)</f>
        <v>7585.8</v>
      </c>
      <c r="V137" s="644" t="n">
        <f aca="false">A137^2</f>
        <v>57544361.64</v>
      </c>
      <c r="X137" s="716" t="n">
        <f aca="false">20*LOG10((K137/(I137*M137))*AEA)</f>
        <v>17.572541277133</v>
      </c>
      <c r="Y137" s="717" t="n">
        <f aca="false">(L137-(J137+N137))*radconv</f>
        <v>-22.692429140278</v>
      </c>
      <c r="AA137" s="716" t="n">
        <f aca="false">20*LOG10((E137*G137/(C137*O137))*Acs*Am)</f>
        <v>30.3384192277796</v>
      </c>
      <c r="AB137" s="717" t="n">
        <f aca="false">(F137+H137-(D137+P137))*radconv</f>
        <v>-92.5970812203689</v>
      </c>
      <c r="AD137" s="0" t="n">
        <f aca="false">SUM((Q138&lt;0)*(Q137&gt;0))*A137</f>
        <v>0</v>
      </c>
      <c r="AE137" s="0" t="n">
        <f aca="false">IF(AD137&gt;0,S137,0)</f>
        <v>0</v>
      </c>
    </row>
    <row r="138" customFormat="false" ht="12.75" hidden="false" customHeight="false" outlineLevel="0" collapsed="false">
      <c r="A138" s="718" t="n">
        <v>7674.15</v>
      </c>
      <c r="B138" s="706" t="n">
        <f aca="false">A138/1000</f>
        <v>7.67415</v>
      </c>
      <c r="C138" s="707" t="n">
        <f aca="false">SQRT(1+(A138/pole1)^2)</f>
        <v>13.1434249886303</v>
      </c>
      <c r="D138" s="708" t="n">
        <f aca="false">ATAN(A138/pole1)</f>
        <v>1.49463906107345</v>
      </c>
      <c r="E138" s="708" t="n">
        <f aca="false">SQRT(1+(A138/Zero1)^2)</f>
        <v>1.00463921044632</v>
      </c>
      <c r="F138" s="709" t="n">
        <f aca="false">ATAN(A138/Zero1)</f>
        <v>0.0961389196384888</v>
      </c>
      <c r="G138" s="708" t="n">
        <f aca="false">IF(VIN_nom&gt;Vout, 1, SQRT(1+(A138/z_RHP)^2))</f>
        <v>1.00644731398871</v>
      </c>
      <c r="H138" s="709" t="n">
        <f aca="false">IF(VIN_nom&gt;Vout, 0, -ATAN(A138/z_RHP))</f>
        <v>-0.113250727346443</v>
      </c>
      <c r="I138" s="707" t="n">
        <f aca="false">SQRT(1+(A138/Pole2)^2)</f>
        <v>31833.7997985119</v>
      </c>
      <c r="J138" s="710" t="n">
        <f aca="false">ATAN(A138/Pole2)</f>
        <v>1.57076491364263</v>
      </c>
      <c r="K138" s="719" t="n">
        <f aca="false">SQRT(1+(A138/Zero2)^2)</f>
        <v>9.90014639424489</v>
      </c>
      <c r="L138" s="720" t="n">
        <f aca="false">ATAN(A138/Zero2)</f>
        <v>1.46961516527402</v>
      </c>
      <c r="M138" s="707" t="n">
        <f aca="false">SQRT(1+(A138/pole4)^2)</f>
        <v>1.0457738002794</v>
      </c>
      <c r="N138" s="710" t="n">
        <f aca="false">ATAN(A138/pole4)</f>
        <v>0.296962472506873</v>
      </c>
      <c r="O138" s="711" t="n">
        <f aca="false">SQRT((1-(V138/pterm2))^2+(A138/pterm1)^2)</f>
        <v>1.00308442659307</v>
      </c>
      <c r="P138" s="712" t="n">
        <f aca="false">IF((ATAN((A138/pterm1)/(1-A138^2/pterm2))&gt;0),ATAN((A138/pterm1)/(1-A138^2/pterm2)),PI()+ATAN((A138/pterm1)/(1-A138^2/pterm2)))</f>
        <v>0.106674599110567</v>
      </c>
      <c r="Q138" s="713" t="n">
        <f aca="false">20*LOG10(((E138*K138*G138)/(C138*I138*O138*M138))*Adc)</f>
        <v>-3.67763825400849</v>
      </c>
      <c r="R138" s="714" t="n">
        <f aca="false">((F138+L138+H138)-(D138+J138+P138+N138))*radconv</f>
        <v>-115.539098927463</v>
      </c>
      <c r="S138" s="717" t="n">
        <f aca="false">IF(R138&gt;0,R138,R138+180)</f>
        <v>64.4609010725366</v>
      </c>
      <c r="U138" s="644" t="n">
        <f aca="false">IF(Q138&lt;0,A138,1000000000)</f>
        <v>7674.15</v>
      </c>
      <c r="V138" s="644" t="n">
        <f aca="false">A138^2</f>
        <v>58892578.2225</v>
      </c>
      <c r="X138" s="716" t="n">
        <f aca="false">20*LOG10((K138/(I138*M138))*AEA)</f>
        <v>17.5629819050241</v>
      </c>
      <c r="Y138" s="717" t="n">
        <f aca="false">(L138-(J138+N138))*radconv</f>
        <v>-22.8101500548099</v>
      </c>
      <c r="AA138" s="716" t="n">
        <f aca="false">20*LOG10((E138*G138/(C138*O138))*Acs*Am)</f>
        <v>30.2400051955218</v>
      </c>
      <c r="AB138" s="717" t="n">
        <f aca="false">(F138+H138-(D138+P138))*radconv</f>
        <v>-92.7289488726535</v>
      </c>
      <c r="AD138" s="0" t="n">
        <f aca="false">SUM((Q139&lt;0)*(Q138&gt;0))*A138</f>
        <v>0</v>
      </c>
      <c r="AE138" s="0" t="n">
        <f aca="false">IF(AD138&gt;0,S138,0)</f>
        <v>0</v>
      </c>
    </row>
    <row r="139" customFormat="false" ht="12.75" hidden="false" customHeight="false" outlineLevel="0" collapsed="false">
      <c r="A139" s="718" t="n">
        <v>7762.5</v>
      </c>
      <c r="B139" s="706" t="n">
        <f aca="false">A139/1000</f>
        <v>7.7625</v>
      </c>
      <c r="C139" s="707" t="n">
        <f aca="false">SQRT(1+(A139/pole1)^2)</f>
        <v>13.2938700073334</v>
      </c>
      <c r="D139" s="708" t="n">
        <f aca="false">ATAN(A139/pole1)</f>
        <v>1.49550256484422</v>
      </c>
      <c r="E139" s="708" t="n">
        <f aca="false">SQRT(1+(A139/Zero1)^2)</f>
        <v>1.00474639101385</v>
      </c>
      <c r="F139" s="709" t="n">
        <f aca="false">ATAN(A139/Zero1)</f>
        <v>0.0972388113406146</v>
      </c>
      <c r="G139" s="708" t="n">
        <f aca="false">IF(VIN_nom&gt;Vout, 1, SQRT(1+(A139/z_RHP)^2))</f>
        <v>1.00659613096545</v>
      </c>
      <c r="H139" s="709" t="n">
        <f aca="false">IF(VIN_nom&gt;Vout, 0, -ATAN(A139/z_RHP))</f>
        <v>-0.114543235763182</v>
      </c>
      <c r="I139" s="707" t="n">
        <f aca="false">SQRT(1+(A139/Pole2)^2)</f>
        <v>32200.2920106056</v>
      </c>
      <c r="J139" s="710" t="n">
        <f aca="false">ATAN(A139/Pole2)</f>
        <v>1.5707652711759</v>
      </c>
      <c r="K139" s="719" t="n">
        <f aca="false">SQRT(1+(A139/Zero2)^2)</f>
        <v>10.0129672404179</v>
      </c>
      <c r="L139" s="720" t="n">
        <f aca="false">ATAN(A139/Zero2)</f>
        <v>1.47075906167463</v>
      </c>
      <c r="M139" s="707" t="n">
        <f aca="false">SQRT(1+(A139/pole4)^2)</f>
        <v>1.04681011279748</v>
      </c>
      <c r="N139" s="710" t="n">
        <f aca="false">ATAN(A139/pole4)</f>
        <v>0.300180640004803</v>
      </c>
      <c r="O139" s="711" t="n">
        <f aca="false">SQRT((1-(V139/pterm2))^2+(A139/pterm1)^2)</f>
        <v>1.00315582396875</v>
      </c>
      <c r="P139" s="712" t="n">
        <f aca="false">IF((ATAN((A139/pterm1)/(1-A139^2/pterm2))&gt;0),ATAN((A139/pterm1)/(1-A139^2/pterm2)),PI()+ATAN((A139/pterm1)/(1-A139^2/pterm2)))</f>
        <v>0.107899760562515</v>
      </c>
      <c r="Q139" s="713" t="n">
        <f aca="false">20*LOG10(((E139*K139*G139)/(C139*I139*O139*M139))*Adc)</f>
        <v>-3.78450922969313</v>
      </c>
      <c r="R139" s="714" t="n">
        <f aca="false">((F139+L139+H139)-(D139+J139+P139+N139))*radconv</f>
        <v>-115.788674219227</v>
      </c>
      <c r="S139" s="717" t="n">
        <f aca="false">IF(R139&gt;0,R139,R139+180)</f>
        <v>64.2113257807732</v>
      </c>
      <c r="U139" s="644" t="n">
        <f aca="false">IF(Q139&lt;0,A139,1000000000)</f>
        <v>7762.5</v>
      </c>
      <c r="V139" s="644" t="n">
        <f aca="false">A139^2</f>
        <v>60256406.25</v>
      </c>
      <c r="X139" s="716" t="n">
        <f aca="false">20*LOG10((K139/(I139*M139))*AEA)</f>
        <v>17.553375844586</v>
      </c>
      <c r="Y139" s="717" t="n">
        <f aca="false">(L139-(J139+N139))*radconv</f>
        <v>-22.9290175195354</v>
      </c>
      <c r="AA139" s="716" t="n">
        <f aca="false">20*LOG10((E139*G139/(C139*O139))*Acs*Am)</f>
        <v>30.1427402802753</v>
      </c>
      <c r="AB139" s="717" t="n">
        <f aca="false">(F139+H139-(D139+P139))*radconv</f>
        <v>-92.8596566996914</v>
      </c>
      <c r="AD139" s="0" t="n">
        <f aca="false">SUM((Q140&lt;0)*(Q139&gt;0))*A139</f>
        <v>0</v>
      </c>
      <c r="AE139" s="0" t="n">
        <f aca="false">IF(AD139&gt;0,S139,0)</f>
        <v>0</v>
      </c>
    </row>
    <row r="140" customFormat="false" ht="12.75" hidden="false" customHeight="false" outlineLevel="0" collapsed="false">
      <c r="A140" s="718" t="n">
        <v>7852.9</v>
      </c>
      <c r="B140" s="706" t="n">
        <f aca="false">A140/1000</f>
        <v>7.8529</v>
      </c>
      <c r="C140" s="707" t="n">
        <f aca="false">SQRT(1+(A140/pole1)^2)</f>
        <v>13.4478158551216</v>
      </c>
      <c r="D140" s="708" t="n">
        <f aca="false">ATAN(A140/pole1)</f>
        <v>1.49636610574511</v>
      </c>
      <c r="E140" s="708" t="n">
        <f aca="false">SQRT(1+(A140/Zero1)^2)</f>
        <v>1.00485731637408</v>
      </c>
      <c r="F140" s="709" t="n">
        <f aca="false">ATAN(A140/Zero1)</f>
        <v>0.0983639797539022</v>
      </c>
      <c r="G140" s="708" t="n">
        <f aca="false">IF(VIN_nom&gt;Vout, 1, SQRT(1+(A140/z_RHP)^2))</f>
        <v>1.006750141023</v>
      </c>
      <c r="H140" s="709" t="n">
        <f aca="false">IF(VIN_nom&gt;Vout, 0, -ATAN(A140/z_RHP))</f>
        <v>-0.115865336685339</v>
      </c>
      <c r="I140" s="707" t="n">
        <f aca="false">SQRT(1+(A140/Pole2)^2)</f>
        <v>32575.2880035161</v>
      </c>
      <c r="J140" s="710" t="n">
        <f aca="false">ATAN(A140/Pole2)</f>
        <v>1.57076562867797</v>
      </c>
      <c r="K140" s="719" t="n">
        <f aca="false">SQRT(1+(A140/Zero2)^2)</f>
        <v>10.1284191436305</v>
      </c>
      <c r="L140" s="720" t="n">
        <f aca="false">ATAN(A140/Zero2)</f>
        <v>1.47190312093632</v>
      </c>
      <c r="M140" s="707" t="n">
        <f aca="false">SQRT(1+(A140/pole4)^2)</f>
        <v>1.0478816701738</v>
      </c>
      <c r="N140" s="710" t="n">
        <f aca="false">ATAN(A140/pole4)</f>
        <v>0.303466855708443</v>
      </c>
      <c r="O140" s="711" t="n">
        <f aca="false">SQRT((1-(V140/pterm2))^2+(A140/pterm1)^2)</f>
        <v>1.00322972243071</v>
      </c>
      <c r="P140" s="712" t="n">
        <f aca="false">IF((ATAN((A140/pterm1)/(1-A140^2/pterm2))&gt;0),ATAN((A140/pterm1)/(1-A140^2/pterm2)),PI()+ATAN((A140/pterm1)/(1-A140^2/pterm2)))</f>
        <v>0.109153245194678</v>
      </c>
      <c r="Q140" s="713" t="n">
        <f aca="false">20*LOG10(((E140*K140*G140)/(C140*I140*O140*M140))*Adc)</f>
        <v>-3.89274620652695</v>
      </c>
      <c r="R140" s="714" t="n">
        <f aca="false">((F140+L140+H140)-(D140+J140+P140+N140))*radconv</f>
        <v>-116.044011255831</v>
      </c>
      <c r="S140" s="717" t="n">
        <f aca="false">IF(R140&gt;0,R140,R140+180)</f>
        <v>63.9559887441686</v>
      </c>
      <c r="U140" s="644" t="n">
        <f aca="false">IF(Q140&lt;0,A140,1000000000)</f>
        <v>7852.9</v>
      </c>
      <c r="V140" s="644" t="n">
        <f aca="false">A140^2</f>
        <v>61668038.41</v>
      </c>
      <c r="X140" s="716" t="n">
        <f aca="false">20*LOG10((K140/(I140*M140))*AEA)</f>
        <v>17.5434974868462</v>
      </c>
      <c r="Y140" s="717" t="n">
        <f aca="false">(L140-(J140+N140))*radconv</f>
        <v>-23.0517745262157</v>
      </c>
      <c r="AA140" s="716" t="n">
        <f aca="false">20*LOG10((E140*G140/(C140*O140))*Acs*Am)</f>
        <v>30.0443816611812</v>
      </c>
      <c r="AB140" s="717" t="n">
        <f aca="false">(F140+H140-(D140+P140))*radconv</f>
        <v>-92.9922367296157</v>
      </c>
      <c r="AD140" s="0" t="n">
        <f aca="false">SUM((Q141&lt;0)*(Q140&gt;0))*A140</f>
        <v>0</v>
      </c>
      <c r="AE140" s="0" t="n">
        <f aca="false">IF(AD140&gt;0,S140,0)</f>
        <v>0</v>
      </c>
    </row>
    <row r="141" customFormat="false" ht="12.75" hidden="false" customHeight="false" outlineLevel="0" collapsed="false">
      <c r="A141" s="718" t="n">
        <v>7943.3</v>
      </c>
      <c r="B141" s="706" t="n">
        <f aca="false">A141/1000</f>
        <v>7.9433</v>
      </c>
      <c r="C141" s="707" t="n">
        <f aca="false">SQRT(1+(A141/pole1)^2)</f>
        <v>13.6017715039836</v>
      </c>
      <c r="D141" s="708" t="n">
        <f aca="false">ATAN(A141/pole1)</f>
        <v>1.49721009878052</v>
      </c>
      <c r="E141" s="708" t="n">
        <f aca="false">SQRT(1+(A141/Zero1)^2)</f>
        <v>1.00496951360587</v>
      </c>
      <c r="F141" s="709" t="n">
        <f aca="false">ATAN(A141/Zero1)</f>
        <v>0.0994888983580211</v>
      </c>
      <c r="G141" s="708" t="n">
        <f aca="false">IF(VIN_nom&gt;Vout, 1, SQRT(1+(A141/z_RHP)^2))</f>
        <v>1.00690591029021</v>
      </c>
      <c r="H141" s="709" t="n">
        <f aca="false">IF(VIN_nom&gt;Vout, 0, -ATAN(A141/z_RHP))</f>
        <v>-0.117187030856711</v>
      </c>
      <c r="I141" s="707" t="n">
        <f aca="false">SQRT(1+(A141/Pole2)^2)</f>
        <v>32950.2839964306</v>
      </c>
      <c r="J141" s="710" t="n">
        <f aca="false">ATAN(A141/Pole2)</f>
        <v>1.57076597804281</v>
      </c>
      <c r="K141" s="719" t="n">
        <f aca="false">SQRT(1+(A141/Zero2)^2)</f>
        <v>10.2438840048163</v>
      </c>
      <c r="L141" s="720" t="n">
        <f aca="false">ATAN(A141/Zero2)</f>
        <v>1.47302139090029</v>
      </c>
      <c r="M141" s="707" t="n">
        <f aca="false">SQRT(1+(A141/pole4)^2)</f>
        <v>1.0489645206569</v>
      </c>
      <c r="N141" s="710" t="n">
        <f aca="false">ATAN(A141/pole4)</f>
        <v>0.306746322018555</v>
      </c>
      <c r="O141" s="711" t="n">
        <f aca="false">SQRT((1-(V141/pterm2))^2+(A141/pterm1)^2)</f>
        <v>1.003304474966</v>
      </c>
      <c r="P141" s="712" t="n">
        <f aca="false">IF((ATAN((A141/pterm1)/(1-A141^2/pterm2))&gt;0),ATAN((A141/pterm1)/(1-A141^2/pterm2)),PI()+ATAN((A141/pterm1)/(1-A141^2/pterm2)))</f>
        <v>0.110406622981247</v>
      </c>
      <c r="Q141" s="713" t="n">
        <f aca="false">20*LOG10(((E141*K141*G141)/(C141*I141*O141*M141))*Adc)</f>
        <v>-3.99988356139524</v>
      </c>
      <c r="R141" s="714" t="n">
        <f aca="false">((F141+L141+H141)-(D141+J141+P141+N141))*radconv</f>
        <v>-116.299303608276</v>
      </c>
      <c r="S141" s="717" t="n">
        <f aca="false">IF(R141&gt;0,R141,R141+180)</f>
        <v>63.7006963917245</v>
      </c>
      <c r="U141" s="644" t="n">
        <f aca="false">IF(Q141&lt;0,A141,1000000000)</f>
        <v>7943.3</v>
      </c>
      <c r="V141" s="644" t="n">
        <f aca="false">A141^2</f>
        <v>63096014.89</v>
      </c>
      <c r="X141" s="716" t="n">
        <f aca="false">20*LOG10((K141/(I141*M141))*AEA)</f>
        <v>17.5335681491648</v>
      </c>
      <c r="Y141" s="717" t="n">
        <f aca="false">(L141-(J141+N141))*radconv</f>
        <v>-23.1756219728213</v>
      </c>
      <c r="AA141" s="716" t="n">
        <f aca="false">20*LOG10((E141*G141/(C141*O141))*Acs*Am)</f>
        <v>29.9471736439944</v>
      </c>
      <c r="AB141" s="717" t="n">
        <f aca="false">(F141+H141-(D141+P141))*radconv</f>
        <v>-93.1236816354542</v>
      </c>
      <c r="AD141" s="0" t="n">
        <f aca="false">SUM((Q142&lt;0)*(Q141&gt;0))*A141</f>
        <v>0</v>
      </c>
      <c r="AE141" s="0" t="n">
        <f aca="false">IF(AD141&gt;0,S141,0)</f>
        <v>0</v>
      </c>
    </row>
    <row r="142" customFormat="false" ht="12.75" hidden="false" customHeight="false" outlineLevel="0" collapsed="false">
      <c r="A142" s="718" t="n">
        <v>8035.8</v>
      </c>
      <c r="B142" s="706" t="n">
        <f aca="false">A142/1000</f>
        <v>8.0358</v>
      </c>
      <c r="C142" s="707" t="n">
        <f aca="false">SQRT(1+(A142/pole1)^2)</f>
        <v>13.7593133582429</v>
      </c>
      <c r="D142" s="708" t="n">
        <f aca="false">ATAN(A142/pole1)</f>
        <v>1.49805414680394</v>
      </c>
      <c r="E142" s="708" t="n">
        <f aca="false">SQRT(1+(A142/Zero1)^2)</f>
        <v>1.00508563327823</v>
      </c>
      <c r="F142" s="709" t="n">
        <f aca="false">ATAN(A142/Zero1)</f>
        <v>0.100639687457618</v>
      </c>
      <c r="G142" s="708" t="n">
        <f aca="false">IF(VIN_nom&gt;Vout, 1, SQRT(1+(A142/z_RHP)^2))</f>
        <v>1.00706711822389</v>
      </c>
      <c r="H142" s="709" t="n">
        <f aca="false">IF(VIN_nom&gt;Vout, 0, -ATAN(A142/z_RHP))</f>
        <v>-0.118539002448062</v>
      </c>
      <c r="I142" s="707" t="n">
        <f aca="false">SQRT(1+(A142/Pole2)^2)</f>
        <v>33333.9911794501</v>
      </c>
      <c r="J142" s="710" t="n">
        <f aca="false">ATAN(A142/Pole2)</f>
        <v>1.57076632738694</v>
      </c>
      <c r="K142" s="719" t="n">
        <f aca="false">SQRT(1+(A142/Zero2)^2)</f>
        <v>10.3620440860799</v>
      </c>
      <c r="L142" s="720" t="n">
        <f aca="false">ATAN(A142/Zero2)</f>
        <v>1.47413983991741</v>
      </c>
      <c r="M142" s="707" t="n">
        <f aca="false">SQRT(1+(A142/pole4)^2)</f>
        <v>1.05008417907071</v>
      </c>
      <c r="N142" s="710" t="n">
        <f aca="false">ATAN(A142/pole4)</f>
        <v>0.310094932540451</v>
      </c>
      <c r="O142" s="711" t="n">
        <f aca="false">SQRT((1-(V142/pterm2))^2+(A142/pterm1)^2)</f>
        <v>1.00338184801803</v>
      </c>
      <c r="P142" s="712" t="n">
        <f aca="false">IF((ATAN((A142/pterm1)/(1-A142^2/pterm2))&gt;0),ATAN((A142/pterm1)/(1-A142^2/pterm2)),PI()+ATAN((A142/pterm1)/(1-A142^2/pterm2)))</f>
        <v>0.111689004987301</v>
      </c>
      <c r="Q142" s="713" t="n">
        <f aca="false">20*LOG10(((E142*K142*G142)/(C142*I142*O142*M142))*Adc)</f>
        <v>-4.10839876422533</v>
      </c>
      <c r="R142" s="714" t="n">
        <f aca="false">((F142+L142+H142)-(D142+J142+P142+N142))*radconv</f>
        <v>-116.560464840182</v>
      </c>
      <c r="S142" s="717" t="n">
        <f aca="false">IF(R142&gt;0,R142,R142+180)</f>
        <v>63.439535159818</v>
      </c>
      <c r="U142" s="644" t="n">
        <f aca="false">IF(Q142&lt;0,A142,1000000000)</f>
        <v>8035.8</v>
      </c>
      <c r="V142" s="644" t="n">
        <f aca="false">A142^2</f>
        <v>64574081.64</v>
      </c>
      <c r="X142" s="716" t="n">
        <f aca="false">20*LOG10((K142/(I142*M142))*AEA)</f>
        <v>17.5233544169983</v>
      </c>
      <c r="Y142" s="717" t="n">
        <f aca="false">(L142-(J142+N142))*radconv</f>
        <v>-23.3034208307676</v>
      </c>
      <c r="AA142" s="716" t="n">
        <f aca="false">20*LOG10((E142*G142/(C142*O142))*Acs*Am)</f>
        <v>29.8488721733308</v>
      </c>
      <c r="AB142" s="717" t="n">
        <f aca="false">(F142+H142-(D142+P142))*radconv</f>
        <v>-93.2570440094143</v>
      </c>
      <c r="AD142" s="0" t="n">
        <f aca="false">SUM((Q143&lt;0)*(Q142&gt;0))*A142</f>
        <v>0</v>
      </c>
      <c r="AE142" s="0" t="n">
        <f aca="false">IF(AD142&gt;0,S142,0)</f>
        <v>0</v>
      </c>
    </row>
    <row r="143" customFormat="false" ht="12.75" hidden="false" customHeight="false" outlineLevel="0" collapsed="false">
      <c r="A143" s="718" t="n">
        <v>8128.3</v>
      </c>
      <c r="B143" s="706" t="n">
        <f aca="false">A143/1000</f>
        <v>8.1283</v>
      </c>
      <c r="C143" s="707" t="n">
        <f aca="false">SQRT(1+(A143/pole1)^2)</f>
        <v>13.9168647929379</v>
      </c>
      <c r="D143" s="708" t="n">
        <f aca="false">ATAN(A143/pole1)</f>
        <v>1.49887908463747</v>
      </c>
      <c r="E143" s="708" t="n">
        <f aca="false">SQRT(1+(A143/Zero1)^2)</f>
        <v>1.00520308369258</v>
      </c>
      <c r="F143" s="709" t="n">
        <f aca="false">ATAN(A143/Zero1)</f>
        <v>0.101790209158485</v>
      </c>
      <c r="G143" s="708" t="n">
        <f aca="false">IF(VIN_nom&gt;Vout, 1, SQRT(1+(A143/z_RHP)^2))</f>
        <v>1.00723016631105</v>
      </c>
      <c r="H143" s="709" t="n">
        <f aca="false">IF(VIN_nom&gt;Vout, 0, -ATAN(A143/z_RHP))</f>
        <v>-0.119890538801062</v>
      </c>
      <c r="I143" s="707" t="n">
        <f aca="false">SQRT(1+(A143/Pole2)^2)</f>
        <v>33717.6983624736</v>
      </c>
      <c r="J143" s="710" t="n">
        <f aca="false">ATAN(A143/Pole2)</f>
        <v>1.57076666878001</v>
      </c>
      <c r="K143" s="719" t="n">
        <f aca="false">SQRT(1+(A143/Zero2)^2)</f>
        <v>10.4802168372212</v>
      </c>
      <c r="L143" s="720" t="n">
        <f aca="false">ATAN(A143/Zero2)</f>
        <v>1.47523306747827</v>
      </c>
      <c r="M143" s="707" t="n">
        <f aca="false">SQRT(1+(A143/pole4)^2)</f>
        <v>1.0512155871207</v>
      </c>
      <c r="N143" s="710" t="n">
        <f aca="false">ATAN(A143/pole4)</f>
        <v>0.313436372342066</v>
      </c>
      <c r="O143" s="711" t="n">
        <f aca="false">SQRT((1-(V143/pterm2))^2+(A143/pterm1)^2)</f>
        <v>1.00346011517167</v>
      </c>
      <c r="P143" s="712" t="n">
        <f aca="false">IF((ATAN((A143/pterm1)/(1-A143^2/pterm2))&gt;0),ATAN((A143/pterm1)/(1-A143^2/pterm2)),PI()+ATAN((A143/pterm1)/(1-A143^2/pterm2)))</f>
        <v>0.112971272568236</v>
      </c>
      <c r="Q143" s="713" t="n">
        <f aca="false">20*LOG10(((E143*K143*G143)/(C143*I143*O143*M143))*Adc)</f>
        <v>-4.21581706713894</v>
      </c>
      <c r="R143" s="714" t="n">
        <f aca="false">((F143+L143+H143)-(D143+J143+P143+N143))*radconv</f>
        <v>-116.821548741711</v>
      </c>
      <c r="S143" s="717" t="n">
        <f aca="false">IF(R143&gt;0,R143,R143+180)</f>
        <v>63.1784512582893</v>
      </c>
      <c r="U143" s="644" t="n">
        <f aca="false">IF(Q143&lt;0,A143,1000000000)</f>
        <v>8128.3</v>
      </c>
      <c r="V143" s="644" t="n">
        <f aca="false">A143^2</f>
        <v>66069260.89</v>
      </c>
      <c r="X143" s="716" t="n">
        <f aca="false">20*LOG10((K143/(I143*M143))*AEA)</f>
        <v>17.513085439321</v>
      </c>
      <c r="Y143" s="717" t="n">
        <f aca="false">(L143-(J143+N143))*radconv</f>
        <v>-23.4322534641417</v>
      </c>
      <c r="AA143" s="716" t="n">
        <f aca="false">20*LOG10((E143*G143/(C143*O143))*Acs*Am)</f>
        <v>29.7517228480945</v>
      </c>
      <c r="AB143" s="717" t="n">
        <f aca="false">(F143+H143-(D143+P143))*radconv</f>
        <v>-93.389295277569</v>
      </c>
      <c r="AD143" s="0" t="n">
        <f aca="false">SUM((Q144&lt;0)*(Q143&gt;0))*A143</f>
        <v>0</v>
      </c>
      <c r="AE143" s="0" t="n">
        <f aca="false">IF(AD143&gt;0,S143,0)</f>
        <v>0</v>
      </c>
    </row>
    <row r="144" customFormat="false" ht="12.75" hidden="false" customHeight="false" outlineLevel="0" collapsed="false">
      <c r="A144" s="718" t="n">
        <v>8222.95</v>
      </c>
      <c r="B144" s="706" t="n">
        <f aca="false">A144/1000</f>
        <v>8.22295</v>
      </c>
      <c r="C144" s="707" t="n">
        <f aca="false">SQRT(1+(A144/pole1)^2)</f>
        <v>14.0780878154651</v>
      </c>
      <c r="D144" s="708" t="n">
        <f aca="false">ATAN(A144/pole1)</f>
        <v>1.49970408321355</v>
      </c>
      <c r="E144" s="708" t="n">
        <f aca="false">SQRT(1+(A144/Zero1)^2)</f>
        <v>1.00532464104649</v>
      </c>
      <c r="F144" s="709" t="n">
        <f aca="false">ATAN(A144/Zero1)</f>
        <v>0.102967192842335</v>
      </c>
      <c r="G144" s="708" t="n">
        <f aca="false">IF(VIN_nom&gt;Vout, 1, SQRT(1+(A144/z_RHP)^2))</f>
        <v>1.00739890803968</v>
      </c>
      <c r="H144" s="709" t="n">
        <f aca="false">IF(VIN_nom&gt;Vout, 0, -ATAN(A144/z_RHP))</f>
        <v>-0.121273033782945</v>
      </c>
      <c r="I144" s="707" t="n">
        <f aca="false">SQRT(1+(A144/Pole2)^2)</f>
        <v>34110.3241448902</v>
      </c>
      <c r="J144" s="710" t="n">
        <f aca="false">ATAN(A144/Pole2)</f>
        <v>1.57076701015763</v>
      </c>
      <c r="K144" s="719" t="n">
        <f aca="false">SQRT(1+(A144/Zero2)^2)</f>
        <v>10.601148979411</v>
      </c>
      <c r="L144" s="720" t="n">
        <f aca="false">ATAN(A144/Zero2)</f>
        <v>1.47632647474404</v>
      </c>
      <c r="M144" s="707" t="n">
        <f aca="false">SQRT(1+(A144/pole4)^2)</f>
        <v>1.05238541568923</v>
      </c>
      <c r="N144" s="710" t="n">
        <f aca="false">ATAN(A144/pole4)</f>
        <v>0.316848001800192</v>
      </c>
      <c r="O144" s="711" t="n">
        <f aca="false">SQRT((1-(V144/pterm2))^2+(A144/pterm1)^2)</f>
        <v>1.00354112696303</v>
      </c>
      <c r="P144" s="712" t="n">
        <f aca="false">IF((ATAN((A144/pterm1)/(1-A144^2/pterm2))&gt;0),ATAN((A144/pterm1)/(1-A144^2/pterm2)),PI()+ATAN((A144/pterm1)/(1-A144^2/pterm2)))</f>
        <v>0.114283224412895</v>
      </c>
      <c r="Q144" s="713" t="n">
        <f aca="false">20*LOG10(((E144*K144*G144)/(C144*I144*O144*M144))*Adc)</f>
        <v>-4.32462387485816</v>
      </c>
      <c r="R144" s="714" t="n">
        <f aca="false">((F144+L144+H144)-(D144+J144+P144+N144))*radconv</f>
        <v>-117.088605819265</v>
      </c>
      <c r="S144" s="717" t="n">
        <f aca="false">IF(R144&gt;0,R144,R144+180)</f>
        <v>62.9113941807352</v>
      </c>
      <c r="U144" s="644" t="n">
        <f aca="false">IF(Q144&lt;0,A144,1000000000)</f>
        <v>8222.95</v>
      </c>
      <c r="V144" s="644" t="n">
        <f aca="false">A144^2</f>
        <v>67616906.7025</v>
      </c>
      <c r="X144" s="716" t="n">
        <f aca="false">20*LOG10((K144/(I144*M144))*AEA)</f>
        <v>17.5025197411865</v>
      </c>
      <c r="Y144" s="717" t="n">
        <f aca="false">(L144-(J144+N144))*radconv</f>
        <v>-23.5650973713856</v>
      </c>
      <c r="AA144" s="716" t="n">
        <f aca="false">20*LOG10((E144*G144/(C144*O144))*Acs*Am)</f>
        <v>29.6534817385097</v>
      </c>
      <c r="AB144" s="717" t="n">
        <f aca="false">(F144+H144-(D144+P144))*radconv</f>
        <v>-93.5235084478793</v>
      </c>
      <c r="AD144" s="0" t="n">
        <f aca="false">SUM((Q145&lt;0)*(Q144&gt;0))*A144</f>
        <v>0</v>
      </c>
      <c r="AE144" s="0" t="n">
        <f aca="false">IF(AD144&gt;0,S144,0)</f>
        <v>0</v>
      </c>
    </row>
    <row r="145" customFormat="false" ht="12.75" hidden="false" customHeight="false" outlineLevel="0" collapsed="false">
      <c r="A145" s="718" t="n">
        <v>8270.275</v>
      </c>
      <c r="B145" s="706" t="n">
        <f aca="false">A145/1000</f>
        <v>8.270275</v>
      </c>
      <c r="C145" s="707" t="n">
        <f aca="false">SQRT(1+(A145/pole1)^2)</f>
        <v>14.1587028585548</v>
      </c>
      <c r="D145" s="708" t="n">
        <f aca="false">ATAN(A145/pole1)</f>
        <v>1.50010953676267</v>
      </c>
      <c r="E145" s="708" t="n">
        <f aca="false">SQRT(1+(A145/Zero1)^2)</f>
        <v>1.00538594187858</v>
      </c>
      <c r="F145" s="709" t="n">
        <f aca="false">ATAN(A145/Zero1)</f>
        <v>0.10355557754829</v>
      </c>
      <c r="G145" s="708" t="n">
        <f aca="false">IF(VIN_nom&gt;Vout, 1, SQRT(1+(A145/z_RHP)^2))</f>
        <v>1.00748400075992</v>
      </c>
      <c r="H145" s="709" t="n">
        <f aca="false">IF(VIN_nom&gt;Vout, 0, -ATAN(A145/z_RHP))</f>
        <v>-0.121964106949733</v>
      </c>
      <c r="I145" s="707" t="n">
        <f aca="false">SQRT(1+(A145/Pole2)^2)</f>
        <v>34306.6370361</v>
      </c>
      <c r="J145" s="710" t="n">
        <f aca="false">ATAN(A145/Pole2)</f>
        <v>1.57076717791624</v>
      </c>
      <c r="K145" s="719" t="n">
        <f aca="false">SQRT(1+(A145/Zero2)^2)</f>
        <v>10.6616197224243</v>
      </c>
      <c r="L145" s="720" t="n">
        <f aca="false">ATAN(A145/Zero2)</f>
        <v>1.47686387636797</v>
      </c>
      <c r="M145" s="707" t="n">
        <f aca="false">SQRT(1+(A145/pole4)^2)</f>
        <v>1.05297491565714</v>
      </c>
      <c r="N145" s="710" t="n">
        <f aca="false">ATAN(A145/pole4)</f>
        <v>0.318550963944363</v>
      </c>
      <c r="O145" s="711" t="n">
        <f aca="false">SQRT((1-(V145/pterm2))^2+(A145/pterm1)^2)</f>
        <v>1.00358198387186</v>
      </c>
      <c r="P145" s="712" t="n">
        <f aca="false">IF((ATAN((A145/pterm1)/(1-A145^2/pterm2))&gt;0),ATAN((A145/pterm1)/(1-A145^2/pterm2)),PI()+ATAN((A145/pterm1)/(1-A145^2/pterm2)))</f>
        <v>0.114939154468063</v>
      </c>
      <c r="Q145" s="713" t="n">
        <f aca="false">20*LOG10(((E145*K145*G145)/(C145*I145*O145*M145))*Adc)</f>
        <v>-4.37861529344584</v>
      </c>
      <c r="R145" s="714" t="n">
        <f aca="false">((F145+L145+H145)-(D145+J145+P145+N145))*radconv</f>
        <v>-117.222093546236</v>
      </c>
      <c r="S145" s="717" t="n">
        <f aca="false">IF(R145&gt;0,R145,R145+180)</f>
        <v>62.7779064537644</v>
      </c>
      <c r="U145" s="644" t="n">
        <f aca="false">IF(Q145&lt;0,A145,1000000000)</f>
        <v>8270.275</v>
      </c>
      <c r="V145" s="644" t="n">
        <f aca="false">A145^2</f>
        <v>68397448.575625</v>
      </c>
      <c r="X145" s="716" t="n">
        <f aca="false">20*LOG10((K145/(I145*M145))*AEA)</f>
        <v>17.4972146320528</v>
      </c>
      <c r="Y145" s="717" t="n">
        <f aca="false">(L145-(J145+N145))*radconv</f>
        <v>-23.6318886818996</v>
      </c>
      <c r="AA145" s="716" t="n">
        <f aca="false">20*LOG10((E145*G145/(C145*O145))*Acs*Am)</f>
        <v>29.6047954290558</v>
      </c>
      <c r="AB145" s="717" t="n">
        <f aca="false">(F145+H145-(D145+P145))*radconv</f>
        <v>-93.590204864336</v>
      </c>
      <c r="AD145" s="0" t="n">
        <f aca="false">SUM((Q146&lt;0)*(Q145&gt;0))*A145</f>
        <v>0</v>
      </c>
      <c r="AE145" s="0" t="n">
        <f aca="false">IF(AD145&gt;0,S145,0)</f>
        <v>0</v>
      </c>
    </row>
    <row r="146" customFormat="false" ht="12.75" hidden="false" customHeight="false" outlineLevel="0" collapsed="false">
      <c r="A146" s="718" t="n">
        <v>8317.6</v>
      </c>
      <c r="B146" s="706" t="n">
        <f aca="false">A146/1000</f>
        <v>8.3176</v>
      </c>
      <c r="C146" s="707" t="n">
        <f aca="false">SQRT(1+(A146/pole1)^2)</f>
        <v>14.2393202028749</v>
      </c>
      <c r="D146" s="708" t="n">
        <f aca="false">ATAN(A146/pole1)</f>
        <v>1.50051039934493</v>
      </c>
      <c r="E146" s="708" t="n">
        <f aca="false">SQRT(1+(A146/Zero1)^2)</f>
        <v>1.00544759072931</v>
      </c>
      <c r="F146" s="709" t="n">
        <f aca="false">ATAN(A146/Zero1)</f>
        <v>0.104143890304478</v>
      </c>
      <c r="G146" s="708" t="n">
        <f aca="false">IF(VIN_nom&gt;Vout, 1, SQRT(1+(A146/z_RHP)^2))</f>
        <v>1.0075695745551</v>
      </c>
      <c r="H146" s="709" t="n">
        <f aca="false">IF(VIN_nom&gt;Vout, 0, -ATAN(A146/z_RHP))</f>
        <v>-0.122655063059525</v>
      </c>
      <c r="I146" s="707" t="n">
        <f aca="false">SQRT(1+(A146/Pole2)^2)</f>
        <v>34502.9499273107</v>
      </c>
      <c r="J146" s="710" t="n">
        <f aca="false">ATAN(A146/Pole2)</f>
        <v>1.57076734376584</v>
      </c>
      <c r="K146" s="719" t="n">
        <f aca="false">SQRT(1+(A146/Zero2)^2)</f>
        <v>10.7220935097873</v>
      </c>
      <c r="L146" s="720" t="n">
        <f aca="false">ATAN(A146/Zero2)</f>
        <v>1.4773952161353</v>
      </c>
      <c r="M146" s="707" t="n">
        <f aca="false">SQRT(1+(A146/pole4)^2)</f>
        <v>1.05356746591418</v>
      </c>
      <c r="N146" s="710" t="n">
        <f aca="false">ATAN(A146/pole4)</f>
        <v>0.320252015447979</v>
      </c>
      <c r="O146" s="711" t="n">
        <f aca="false">SQRT((1-(V146/pterm2))^2+(A146/pterm1)^2)</f>
        <v>1.00362307477889</v>
      </c>
      <c r="P146" s="712" t="n">
        <f aca="false">IF((ATAN((A146/pterm1)/(1-A146^2/pterm2))&gt;0),ATAN((A146/pterm1)/(1-A146^2/pterm2)),PI()+ATAN((A146/pterm1)/(1-A146^2/pterm2)))</f>
        <v>0.11559505371461</v>
      </c>
      <c r="Q146" s="713" t="n">
        <f aca="false">20*LOG10(((E146*K146*G146)/(C146*I146*O146*M146))*Adc)</f>
        <v>-4.43233644633174</v>
      </c>
      <c r="R146" s="714" t="n">
        <f aca="false">((F146+L146+H146)-(D146+J146+P146+N146))*radconv</f>
        <v>-117.355551618304</v>
      </c>
      <c r="S146" s="717" t="n">
        <f aca="false">IF(R146&gt;0,R146,R146+180)</f>
        <v>62.6444483816961</v>
      </c>
      <c r="U146" s="644" t="n">
        <f aca="false">IF(Q146&lt;0,A146,1000000000)</f>
        <v>8317.6</v>
      </c>
      <c r="V146" s="644" t="n">
        <f aca="false">A146^2</f>
        <v>69182469.76</v>
      </c>
      <c r="X146" s="716" t="n">
        <f aca="false">20*LOG10((K146/(I146*M146))*AEA)</f>
        <v>17.4918945606075</v>
      </c>
      <c r="Y146" s="717" t="n">
        <f aca="false">(L146-(J146+N146))*radconv</f>
        <v>-23.6989177301944</v>
      </c>
      <c r="AA146" s="716" t="n">
        <f aca="false">20*LOG10((E146*G146/(C146*O146))*Acs*Am)</f>
        <v>29.5563943476152</v>
      </c>
      <c r="AB146" s="717" t="n">
        <f aca="false">(F146+H146-(D146+P146))*radconv</f>
        <v>-93.6566338881095</v>
      </c>
      <c r="AD146" s="0" t="n">
        <f aca="false">SUM((Q147&lt;0)*(Q146&gt;0))*A146</f>
        <v>0</v>
      </c>
      <c r="AE146" s="0" t="n">
        <f aca="false">IF(AD146&gt;0,S146,0)</f>
        <v>0</v>
      </c>
    </row>
    <row r="147" customFormat="false" ht="12.75" hidden="false" customHeight="false" outlineLevel="0" collapsed="false">
      <c r="A147" s="718" t="n">
        <v>8366.05</v>
      </c>
      <c r="B147" s="706" t="n">
        <f aca="false">A147/1000</f>
        <v>8.36605</v>
      </c>
      <c r="C147" s="707" t="n">
        <f aca="false">SQRT(1+(A147/pole1)^2)</f>
        <v>14.3218563092007</v>
      </c>
      <c r="D147" s="708" t="n">
        <f aca="false">ATAN(A147/pole1)</f>
        <v>1.50091611599804</v>
      </c>
      <c r="E147" s="708" t="n">
        <f aca="false">SQRT(1+(A147/Zero1)^2)</f>
        <v>1.0055110655433</v>
      </c>
      <c r="F147" s="709" t="n">
        <f aca="false">ATAN(A147/Zero1)</f>
        <v>0.10474611336141</v>
      </c>
      <c r="G147" s="708" t="n">
        <f aca="false">IF(VIN_nom&gt;Vout, 1, SQRT(1+(A147/z_RHP)^2))</f>
        <v>1.00765768082955</v>
      </c>
      <c r="H147" s="709" t="n">
        <f aca="false">IF(VIN_nom&gt;Vout, 0, -ATAN(A147/z_RHP))</f>
        <v>-0.123362322511716</v>
      </c>
      <c r="I147" s="707" t="n">
        <f aca="false">SQRT(1+(A147/Pole2)^2)</f>
        <v>34703.9295275053</v>
      </c>
      <c r="J147" s="710" t="n">
        <f aca="false">ATAN(A147/Pole2)</f>
        <v>1.5707675116142</v>
      </c>
      <c r="K147" s="719" t="n">
        <f aca="false">SQRT(1+(A147/Zero2)^2)</f>
        <v>10.7840079676604</v>
      </c>
      <c r="L147" s="720" t="n">
        <f aca="false">ATAN(A147/Zero2)</f>
        <v>1.4779330132508</v>
      </c>
      <c r="M147" s="707" t="n">
        <f aca="false">SQRT(1+(A147/pole4)^2)</f>
        <v>1.05417725669828</v>
      </c>
      <c r="N147" s="710" t="n">
        <f aca="false">ATAN(A147/pole4)</f>
        <v>0.321991517777057</v>
      </c>
      <c r="O147" s="711" t="n">
        <f aca="false">SQRT((1-(V147/pterm2))^2+(A147/pterm1)^2)</f>
        <v>1.00366538489018</v>
      </c>
      <c r="P147" s="712" t="n">
        <f aca="false">IF((ATAN((A147/pterm1)/(1-A147^2/pterm2))&gt;0),ATAN((A147/pterm1)/(1-A147^2/pterm2)),PI()+ATAN((A147/pterm1)/(1-A147^2/pterm2)))</f>
        <v>0.116266512764506</v>
      </c>
      <c r="Q147" s="713" t="n">
        <f aca="false">20*LOG10(((E147*K147*G147)/(C147*I147*O147*M147))*Adc)</f>
        <v>-4.48705803034746</v>
      </c>
      <c r="R147" s="714" t="n">
        <f aca="false">((F147+L147+H147)-(D147+J147+P147+N147))*radconv</f>
        <v>-117.492149636139</v>
      </c>
      <c r="S147" s="717" t="n">
        <f aca="false">IF(R147&gt;0,R147,R147+180)</f>
        <v>62.5078503638608</v>
      </c>
      <c r="U147" s="644" t="n">
        <f aca="false">IF(Q147&lt;0,A147,1000000000)</f>
        <v>8366.05</v>
      </c>
      <c r="V147" s="644" t="n">
        <f aca="false">A147^2</f>
        <v>69990792.6025</v>
      </c>
      <c r="X147" s="716" t="n">
        <f aca="false">20*LOG10((K147/(I147*M147))*AEA)</f>
        <v>17.4864324322846</v>
      </c>
      <c r="Y147" s="717" t="n">
        <f aca="false">(L147-(J147+N147))*radconv</f>
        <v>-23.7677799842328</v>
      </c>
      <c r="AA147" s="716" t="n">
        <f aca="false">20*LOG10((E147*G147/(C147*O147))*Acs*Am)</f>
        <v>29.5071348919224</v>
      </c>
      <c r="AB147" s="717" t="n">
        <f aca="false">(F147+H147-(D147+P147))*radconv</f>
        <v>-93.7243696519065</v>
      </c>
      <c r="AD147" s="0" t="n">
        <f aca="false">SUM((Q148&lt;0)*(Q147&gt;0))*A147</f>
        <v>0</v>
      </c>
      <c r="AE147" s="0" t="n">
        <f aca="false">IF(AD147&gt;0,S147,0)</f>
        <v>0</v>
      </c>
    </row>
    <row r="148" customFormat="false" ht="12.75" hidden="false" customHeight="false" outlineLevel="0" collapsed="false">
      <c r="A148" s="721" t="n">
        <v>8414.5</v>
      </c>
      <c r="B148" s="706" t="n">
        <f aca="false">A148/1000</f>
        <v>8.4145</v>
      </c>
      <c r="C148" s="707" t="n">
        <f aca="false">SQRT(1+(A148/pole1)^2)</f>
        <v>14.4043947459735</v>
      </c>
      <c r="D148" s="708" t="n">
        <f aca="false">ATAN(A148/pole1)</f>
        <v>1.501317183133</v>
      </c>
      <c r="E148" s="708" t="n">
        <f aca="false">SQRT(1+(A148/Zero1)^2)</f>
        <v>1.0055749049825</v>
      </c>
      <c r="F148" s="709" t="n">
        <f aca="false">ATAN(A148/Zero1)</f>
        <v>0.105348260171822</v>
      </c>
      <c r="G148" s="708" t="n">
        <f aca="false">IF(VIN_nom&gt;Vout, 1, SQRT(1+(A148/z_RHP)^2))</f>
        <v>1.00774629106214</v>
      </c>
      <c r="H148" s="709" t="n">
        <f aca="false">IF(VIN_nom&gt;Vout, 0, -ATAN(A148/z_RHP))</f>
        <v>-0.12406945794019</v>
      </c>
      <c r="I148" s="707" t="n">
        <f aca="false">SQRT(1+(A148/Pole2)^2)</f>
        <v>34904.9091277008</v>
      </c>
      <c r="J148" s="710" t="n">
        <f aca="false">ATAN(A148/Pole2)</f>
        <v>1.57076767752965</v>
      </c>
      <c r="K148" s="719" t="n">
        <f aca="false">SQRT(1+(A148/Zero2)^2)</f>
        <v>10.8459255089355</v>
      </c>
      <c r="L148" s="720" t="n">
        <f aca="false">ATAN(A148/Zero2)</f>
        <v>1.47846467013435</v>
      </c>
      <c r="M148" s="707" t="n">
        <f aca="false">SQRT(1+(A148/pole4)^2)</f>
        <v>1.05479023359021</v>
      </c>
      <c r="N148" s="710" t="n">
        <f aca="false">ATAN(A148/pole4)</f>
        <v>0.32372900358257</v>
      </c>
      <c r="O148" s="711" t="n">
        <f aca="false">SQRT((1-(V148/pterm2))^2+(A148/pterm1)^2)</f>
        <v>1.00370794024005</v>
      </c>
      <c r="P148" s="712" t="n">
        <f aca="false">IF((ATAN((A148/pterm1)/(1-A148^2/pterm2))&gt;0),ATAN((A148/pterm1)/(1-A148^2/pterm2)),PI()+ATAN((A148/pterm1)/(1-A148^2/pterm2)))</f>
        <v>0.116937939157125</v>
      </c>
      <c r="Q148" s="713" t="n">
        <f aca="false">20*LOG10(((E148*K148*G148)/(C148*I148*O148*M148))*Adc)</f>
        <v>-4.54150311561676</v>
      </c>
      <c r="R148" s="714" t="n">
        <f aca="false">((F148+L148+H148)-(D148+J148+P148+N148))*radconv</f>
        <v>-117.62871280799</v>
      </c>
      <c r="S148" s="717" t="n">
        <f aca="false">IF(R148&gt;0,R148,R148+180)</f>
        <v>62.3712871920096</v>
      </c>
      <c r="U148" s="644" t="n">
        <f aca="false">IF(Q148&lt;0,A148,1000000000)</f>
        <v>8414.5</v>
      </c>
      <c r="V148" s="644" t="n">
        <f aca="false">A148^2</f>
        <v>70803810.25</v>
      </c>
      <c r="X148" s="716" t="n">
        <f aca="false">20*LOG10((K148/(I148*M148))*AEA)</f>
        <v>17.4809544458171</v>
      </c>
      <c r="Y148" s="717" t="n">
        <f aca="false">(L148-(J148+N148))*radconv</f>
        <v>-23.8368783986096</v>
      </c>
      <c r="AA148" s="716" t="n">
        <f aca="false">20*LOG10((E148*G148/(C148*O148))*Acs*Am)</f>
        <v>29.4581677931205</v>
      </c>
      <c r="AB148" s="717" t="n">
        <f aca="false">(F148+H148-(D148+P148))*radconv</f>
        <v>-93.7918344093808</v>
      </c>
      <c r="AD148" s="0" t="n">
        <f aca="false">SUM((Q149&lt;0)*(Q148&gt;0))*A148</f>
        <v>0</v>
      </c>
      <c r="AE148" s="0" t="n">
        <f aca="false">IF(AD148&gt;0,S148,0)</f>
        <v>0</v>
      </c>
    </row>
    <row r="149" customFormat="false" ht="12.75" hidden="false" customHeight="false" outlineLevel="0" collapsed="false">
      <c r="A149" s="721" t="n">
        <v>8462.95</v>
      </c>
      <c r="B149" s="706" t="n">
        <f aca="false">A149/1000</f>
        <v>8.46295</v>
      </c>
      <c r="C149" s="707" t="n">
        <f aca="false">SQRT(1+(A149/pole1)^2)</f>
        <v>14.4869354733608</v>
      </c>
      <c r="D149" s="708" t="n">
        <f aca="false">ATAN(A149/pole1)</f>
        <v>1.50171368009292</v>
      </c>
      <c r="E149" s="708" t="n">
        <f aca="false">SQRT(1+(A149/Zero1)^2)</f>
        <v>1.00563910897747</v>
      </c>
      <c r="F149" s="709" t="n">
        <f aca="false">ATAN(A149/Zero1)</f>
        <v>0.105950330313622</v>
      </c>
      <c r="G149" s="708" t="n">
        <f aca="false">IF(VIN_nom&gt;Vout, 1, SQRT(1+(A149/z_RHP)^2))</f>
        <v>1.00783540511994</v>
      </c>
      <c r="H149" s="709" t="n">
        <f aca="false">IF(VIN_nom&gt;Vout, 0, -ATAN(A149/z_RHP))</f>
        <v>-0.12477646867056</v>
      </c>
      <c r="I149" s="707" t="n">
        <f aca="false">SQRT(1+(A149/Pole2)^2)</f>
        <v>35105.8887278972</v>
      </c>
      <c r="J149" s="710" t="n">
        <f aca="false">ATAN(A149/Pole2)</f>
        <v>1.57076784154537</v>
      </c>
      <c r="K149" s="719" t="n">
        <f aca="false">SQRT(1+(A149/Zero2)^2)</f>
        <v>10.9078460811047</v>
      </c>
      <c r="L149" s="720" t="n">
        <f aca="false">ATAN(A149/Zero2)</f>
        <v>1.47899029105158</v>
      </c>
      <c r="M149" s="707" t="n">
        <f aca="false">SQRT(1+(A149/pole4)^2)</f>
        <v>1.05540639103851</v>
      </c>
      <c r="N149" s="710" t="n">
        <f aca="false">ATAN(A149/pole4)</f>
        <v>0.325464465896817</v>
      </c>
      <c r="O149" s="711" t="n">
        <f aca="false">SQRT((1-(V149/pterm2))^2+(A149/pterm1)^2)</f>
        <v>1.00375074081983</v>
      </c>
      <c r="P149" s="712" t="n">
        <f aca="false">IF((ATAN((A149/pterm1)/(1-A149^2/pterm2))&gt;0),ATAN((A149/pterm1)/(1-A149^2/pterm2)),PI()+ATAN((A149/pterm1)/(1-A149^2/pterm2)))</f>
        <v>0.117609332707166</v>
      </c>
      <c r="Q149" s="713" t="n">
        <f aca="false">20*LOG10(((E149*K149*G149)/(C149*I149*O149*M149))*Adc)</f>
        <v>-4.59567503523115</v>
      </c>
      <c r="R149" s="714" t="n">
        <f aca="false">((F149+L149+H149)-(D149+J149+P149+N149))*radconv</f>
        <v>-117.765239283512</v>
      </c>
      <c r="S149" s="717" t="n">
        <f aca="false">IF(R149&gt;0,R149,R149+180)</f>
        <v>62.2347607164879</v>
      </c>
      <c r="U149" s="644" t="n">
        <f aca="false">IF(Q149&lt;0,A149,1000000000)</f>
        <v>8462.95</v>
      </c>
      <c r="V149" s="644" t="n">
        <f aca="false">A149^2</f>
        <v>71621522.7025</v>
      </c>
      <c r="X149" s="716" t="n">
        <f aca="false">20*LOG10((K149/(I149*M149))*AEA)</f>
        <v>17.4754605198274</v>
      </c>
      <c r="Y149" s="717" t="n">
        <f aca="false">(L149-(J149+N149))*radconv</f>
        <v>-23.9062066020269</v>
      </c>
      <c r="AA149" s="716" t="n">
        <f aca="false">20*LOG10((E149*G149/(C149*O149))*Acs*Am)</f>
        <v>29.4094897994959</v>
      </c>
      <c r="AB149" s="717" t="n">
        <f aca="false">(F149+H149-(D149+P149))*radconv</f>
        <v>-93.8590326814852</v>
      </c>
      <c r="AD149" s="0" t="n">
        <f aca="false">SUM((Q150&lt;0)*(Q149&gt;0))*A149</f>
        <v>0</v>
      </c>
      <c r="AE149" s="0" t="n">
        <f aca="false">IF(AD149&gt;0,S149,0)</f>
        <v>0</v>
      </c>
    </row>
    <row r="150" customFormat="false" ht="12.75" hidden="false" customHeight="false" outlineLevel="0" collapsed="false">
      <c r="A150" s="721" t="n">
        <v>8511.4</v>
      </c>
      <c r="B150" s="706" t="n">
        <f aca="false">A150/1000</f>
        <v>8.5114</v>
      </c>
      <c r="C150" s="707" t="n">
        <f aca="false">SQRT(1+(A150/pole1)^2)</f>
        <v>14.5694784524312</v>
      </c>
      <c r="D150" s="708" t="n">
        <f aca="false">ATAN(A150/pole1)</f>
        <v>1.50210568442866</v>
      </c>
      <c r="E150" s="708" t="n">
        <f aca="false">SQRT(1+(A150/Zero1)^2)</f>
        <v>1.00570367745838</v>
      </c>
      <c r="F150" s="709" t="n">
        <f aca="false">ATAN(A150/Zero1)</f>
        <v>0.106552323365048</v>
      </c>
      <c r="G150" s="708" t="n">
        <f aca="false">IF(VIN_nom&gt;Vout, 1, SQRT(1+(A150/z_RHP)^2))</f>
        <v>1.00792502286933</v>
      </c>
      <c r="H150" s="709" t="n">
        <f aca="false">IF(VIN_nom&gt;Vout, 0, -ATAN(A150/z_RHP))</f>
        <v>-0.125483354029178</v>
      </c>
      <c r="I150" s="707" t="n">
        <f aca="false">SQRT(1+(A150/Pole2)^2)</f>
        <v>35306.8683280946</v>
      </c>
      <c r="J150" s="710" t="n">
        <f aca="false">ATAN(A150/Pole2)</f>
        <v>1.57076800369383</v>
      </c>
      <c r="K150" s="719" t="n">
        <f aca="false">SQRT(1+(A150/Zero2)^2)</f>
        <v>10.9697696328428</v>
      </c>
      <c r="L150" s="720" t="n">
        <f aca="false">ATAN(A150/Zero2)</f>
        <v>1.47950997792735</v>
      </c>
      <c r="M150" s="707" t="n">
        <f aca="false">SQRT(1+(A150/pole4)^2)</f>
        <v>1.05602572347593</v>
      </c>
      <c r="N150" s="710" t="n">
        <f aca="false">ATAN(A150/pole4)</f>
        <v>0.327197897817071</v>
      </c>
      <c r="O150" s="711" t="n">
        <f aca="false">SQRT((1-(V150/pterm2))^2+(A150/pterm1)^2)</f>
        <v>1.00379378662081</v>
      </c>
      <c r="P150" s="712" t="n">
        <f aca="false">IF((ATAN((A150/pterm1)/(1-A150^2/pterm2))&gt;0),ATAN((A150/pterm1)/(1-A150^2/pterm2)),PI()+ATAN((A150/pterm1)/(1-A150^2/pterm2)))</f>
        <v>0.118280693229393</v>
      </c>
      <c r="Q150" s="713" t="n">
        <f aca="false">20*LOG10(((E150*K150*G150)/(C150*I150*O150*M150))*Adc)</f>
        <v>-4.6495770628094</v>
      </c>
      <c r="R150" s="714" t="n">
        <f aca="false">((F150+L150+H150)-(D150+J150+P150+N150))*radconv</f>
        <v>-117.901727247494</v>
      </c>
      <c r="S150" s="717" t="n">
        <f aca="false">IF(R150&gt;0,R150,R150+180)</f>
        <v>62.098272752506</v>
      </c>
      <c r="U150" s="644" t="n">
        <f aca="false">IF(Q150&lt;0,A150,1000000000)</f>
        <v>8511.4</v>
      </c>
      <c r="V150" s="644" t="n">
        <f aca="false">A150^2</f>
        <v>72443929.96</v>
      </c>
      <c r="X150" s="716" t="n">
        <f aca="false">20*LOG10((K150/(I150*M150))*AEA)</f>
        <v>17.4699505778654</v>
      </c>
      <c r="Y150" s="717" t="n">
        <f aca="false">(L150-(J150+N150))*radconv</f>
        <v>-23.9757583609825</v>
      </c>
      <c r="AA150" s="716" t="n">
        <f aca="false">20*LOG10((E150*G150/(C150*O150))*Acs*Am)</f>
        <v>29.3610977138795</v>
      </c>
      <c r="AB150" s="717" t="n">
        <f aca="false">(F150+H150-(D150+P150))*radconv</f>
        <v>-93.9259688865114</v>
      </c>
      <c r="AD150" s="0" t="n">
        <f aca="false">SUM((Q151&lt;0)*(Q150&gt;0))*A150</f>
        <v>0</v>
      </c>
      <c r="AE150" s="0" t="n">
        <f aca="false">IF(AD150&gt;0,S150,0)</f>
        <v>0</v>
      </c>
    </row>
    <row r="151" customFormat="false" ht="12.75" hidden="false" customHeight="false" outlineLevel="0" collapsed="false">
      <c r="A151" s="721" t="n">
        <v>8560.95</v>
      </c>
      <c r="B151" s="706" t="n">
        <f aca="false">A151/1000</f>
        <v>8.56095</v>
      </c>
      <c r="C151" s="707" t="n">
        <f aca="false">SQRT(1+(A151/pole1)^2)</f>
        <v>14.6538977615988</v>
      </c>
      <c r="D151" s="708" t="n">
        <f aca="false">ATAN(A151/pole1)</f>
        <v>1.50250202097145</v>
      </c>
      <c r="E151" s="708" t="n">
        <f aca="false">SQRT(1+(A151/Zero1)^2)</f>
        <v>1.00577008880991</v>
      </c>
      <c r="F151" s="709" t="n">
        <f aca="false">ATAN(A151/Zero1)</f>
        <v>0.107167903782576</v>
      </c>
      <c r="G151" s="708" t="n">
        <f aca="false">IF(VIN_nom&gt;Vout, 1, SQRT(1+(A151/z_RHP)^2))</f>
        <v>1.00801719611881</v>
      </c>
      <c r="H151" s="709" t="n">
        <f aca="false">IF(VIN_nom&gt;Vout, 0, -ATAN(A151/z_RHP))</f>
        <v>-0.126206158009633</v>
      </c>
      <c r="I151" s="707" t="n">
        <f aca="false">SQRT(1+(A151/Pole2)^2)</f>
        <v>35512.4109326318</v>
      </c>
      <c r="J151" s="710" t="n">
        <f aca="false">ATAN(A151/Pole2)</f>
        <v>1.57076816762536</v>
      </c>
      <c r="K151" s="719" t="n">
        <f aca="false">SQRT(1+(A151/Zero2)^2)</f>
        <v>11.0331021151778</v>
      </c>
      <c r="L151" s="720" t="n">
        <f aca="false">ATAN(A151/Zero2)</f>
        <v>1.48003542985597</v>
      </c>
      <c r="M151" s="707" t="n">
        <f aca="false">SQRT(1+(A151/pole4)^2)</f>
        <v>1.05666239524027</v>
      </c>
      <c r="N151" s="710" t="n">
        <f aca="false">ATAN(A151/pole4)</f>
        <v>0.328968578071419</v>
      </c>
      <c r="O151" s="711" t="n">
        <f aca="false">SQRT((1-(V151/pterm2))^2+(A151/pterm1)^2)</f>
        <v>1.00383806335232</v>
      </c>
      <c r="P151" s="712" t="n">
        <f aca="false">IF((ATAN((A151/pterm1)/(1-A151^2/pterm2))&gt;0),ATAN((A151/pterm1)/(1-A151^2/pterm2)),PI()+ATAN((A151/pterm1)/(1-A151^2/pterm2)))</f>
        <v>0.118967261844889</v>
      </c>
      <c r="Q151" s="713" t="n">
        <f aca="false">20*LOG10(((E151*K151*G151)/(C151*I151*O151*M151))*Adc)</f>
        <v>-4.70442706995323</v>
      </c>
      <c r="R151" s="714" t="n">
        <f aca="false">((F151+L151+H151)-(D151+J151+P151+N151))*radconv</f>
        <v>-118.041272320636</v>
      </c>
      <c r="S151" s="717" t="n">
        <f aca="false">IF(R151&gt;0,R151,R151+180)</f>
        <v>61.9587276793645</v>
      </c>
      <c r="U151" s="644" t="n">
        <f aca="false">IF(Q151&lt;0,A151,1000000000)</f>
        <v>8560.95</v>
      </c>
      <c r="V151" s="644" t="n">
        <f aca="false">A151^2</f>
        <v>73289864.9025</v>
      </c>
      <c r="X151" s="716" t="n">
        <f aca="false">20*LOG10((K151/(I151*M151))*AEA)</f>
        <v>17.4642988989666</v>
      </c>
      <c r="Y151" s="717" t="n">
        <f aca="false">(L151-(J151+N151))*radconv</f>
        <v>-24.0471140812432</v>
      </c>
      <c r="AA151" s="716" t="n">
        <f aca="false">20*LOG10((E151*G151/(C151*O151))*Acs*Am)</f>
        <v>29.3118993856346</v>
      </c>
      <c r="AB151" s="717" t="n">
        <f aca="false">(F151+H151-(D151+P151))*radconv</f>
        <v>-93.9941582393923</v>
      </c>
      <c r="AD151" s="0" t="n">
        <f aca="false">SUM((Q152&lt;0)*(Q151&gt;0))*A151</f>
        <v>0</v>
      </c>
      <c r="AE151" s="0" t="n">
        <f aca="false">IF(AD151&gt;0,S151,0)</f>
        <v>0</v>
      </c>
    </row>
    <row r="152" customFormat="false" ht="12.75" hidden="false" customHeight="false" outlineLevel="0" collapsed="false">
      <c r="A152" s="721" t="n">
        <v>8610.5</v>
      </c>
      <c r="B152" s="706" t="n">
        <f aca="false">A152/1000</f>
        <v>8.6105</v>
      </c>
      <c r="C152" s="707" t="n">
        <f aca="false">SQRT(1+(A152/pole1)^2)</f>
        <v>14.7383193462697</v>
      </c>
      <c r="D152" s="708" t="n">
        <f aca="false">ATAN(A152/pole1)</f>
        <v>1.50289381711734</v>
      </c>
      <c r="E152" s="708" t="n">
        <f aca="false">SQRT(1+(A152/Zero1)^2)</f>
        <v>1.0058368812368</v>
      </c>
      <c r="F152" s="709" t="n">
        <f aca="false">ATAN(A152/Zero1)</f>
        <v>0.107783402678288</v>
      </c>
      <c r="G152" s="708" t="n">
        <f aca="false">IF(VIN_nom&gt;Vout, 1, SQRT(1+(A152/z_RHP)^2))</f>
        <v>1.00810989590596</v>
      </c>
      <c r="H152" s="709" t="n">
        <f aca="false">IF(VIN_nom&gt;Vout, 0, -ATAN(A152/z_RHP))</f>
        <v>-0.12692882943808</v>
      </c>
      <c r="I152" s="707" t="n">
        <f aca="false">SQRT(1+(A152/Pole2)^2)</f>
        <v>35717.9535371699</v>
      </c>
      <c r="J152" s="710" t="n">
        <f aca="false">ATAN(A152/Pole2)</f>
        <v>1.57076832967017</v>
      </c>
      <c r="K152" s="719" t="n">
        <f aca="false">SQRT(1+(A152/Zero2)^2)</f>
        <v>11.0964376089762</v>
      </c>
      <c r="L152" s="720" t="n">
        <f aca="false">ATAN(A152/Zero2)</f>
        <v>1.48055488364891</v>
      </c>
      <c r="M152" s="707" t="n">
        <f aca="false">SQRT(1+(A152/pole4)^2)</f>
        <v>1.05730237597131</v>
      </c>
      <c r="N152" s="710" t="n">
        <f aca="false">ATAN(A152/pole4)</f>
        <v>0.330737120294325</v>
      </c>
      <c r="O152" s="711" t="n">
        <f aca="false">SQRT((1-(V152/pterm2))^2+(A152/pterm1)^2)</f>
        <v>1.00388259654779</v>
      </c>
      <c r="P152" s="712" t="n">
        <f aca="false">IF((ATAN((A152/pterm1)/(1-A152^2/pterm2))&gt;0),ATAN((A152/pterm1)/(1-A152^2/pterm2)),PI()+ATAN((A152/pterm1)/(1-A152^2/pterm2)))</f>
        <v>0.119653795524158</v>
      </c>
      <c r="Q152" s="713" t="n">
        <f aca="false">20*LOG10(((E152*K152*G152)/(C152*I152*O152*M152))*Adc)</f>
        <v>-4.75900153188902</v>
      </c>
      <c r="R152" s="714" t="n">
        <f aca="false">((F152+L152+H152)-(D152+J152+P152+N152))*radconv</f>
        <v>-118.180773382264</v>
      </c>
      <c r="S152" s="717" t="n">
        <f aca="false">IF(R152&gt;0,R152,R152+180)</f>
        <v>61.819226617736</v>
      </c>
      <c r="U152" s="644" t="n">
        <f aca="false">IF(Q152&lt;0,A152,1000000000)</f>
        <v>8610.5</v>
      </c>
      <c r="V152" s="644" t="n">
        <f aca="false">A152^2</f>
        <v>74140710.25</v>
      </c>
      <c r="X152" s="716" t="n">
        <f aca="false">20*LOG10((K152/(I152*M152))*AEA)</f>
        <v>17.4586303219325</v>
      </c>
      <c r="Y152" s="717" t="n">
        <f aca="false">(L152-(J152+N152))*radconv</f>
        <v>-24.1186908610843</v>
      </c>
      <c r="AA152" s="716" t="n">
        <f aca="false">20*LOG10((E152*G152/(C152*O152))*Acs*Am)</f>
        <v>29.2629935007328</v>
      </c>
      <c r="AB152" s="717" t="n">
        <f aca="false">(F152+H152-(D152+P152))*radconv</f>
        <v>-94.0620825211797</v>
      </c>
      <c r="AD152" s="0" t="n">
        <f aca="false">SUM((Q153&lt;0)*(Q152&gt;0))*A152</f>
        <v>0</v>
      </c>
      <c r="AE152" s="0" t="n">
        <f aca="false">IF(AD152&gt;0,S152,0)</f>
        <v>0</v>
      </c>
    </row>
    <row r="153" customFormat="false" ht="12.75" hidden="false" customHeight="false" outlineLevel="0" collapsed="false">
      <c r="A153" s="721" t="n">
        <v>8660.05</v>
      </c>
      <c r="B153" s="706" t="n">
        <f aca="false">A153/1000</f>
        <v>8.66005</v>
      </c>
      <c r="C153" s="707" t="n">
        <f aca="false">SQRT(1+(A153/pole1)^2)</f>
        <v>14.822743167564</v>
      </c>
      <c r="D153" s="708" t="n">
        <f aca="false">ATAN(A153/pole1)</f>
        <v>1.5032811503253</v>
      </c>
      <c r="E153" s="708" t="n">
        <f aca="false">SQRT(1+(A153/Zero1)^2)</f>
        <v>1.00590405466313</v>
      </c>
      <c r="F153" s="709" t="n">
        <f aca="false">ATAN(A153/Zero1)</f>
        <v>0.108398819602122</v>
      </c>
      <c r="G153" s="708" t="n">
        <f aca="false">IF(VIN_nom&gt;Vout, 1, SQRT(1+(A153/z_RHP)^2))</f>
        <v>1.00820312208555</v>
      </c>
      <c r="H153" s="709" t="n">
        <f aca="false">IF(VIN_nom&gt;Vout, 0, -ATAN(A153/z_RHP))</f>
        <v>-0.127651367596352</v>
      </c>
      <c r="I153" s="707" t="n">
        <f aca="false">SQRT(1+(A153/Pole2)^2)</f>
        <v>35923.496141709</v>
      </c>
      <c r="J153" s="710" t="n">
        <f aca="false">ATAN(A153/Pole2)</f>
        <v>1.57076848986065</v>
      </c>
      <c r="K153" s="719" t="n">
        <f aca="false">SQRT(1+(A153/Zero2)^2)</f>
        <v>11.1597760629649</v>
      </c>
      <c r="L153" s="720" t="n">
        <f aca="false">ATAN(A153/Zero2)</f>
        <v>1.48106844115253</v>
      </c>
      <c r="M153" s="707" t="n">
        <f aca="false">SQRT(1+(A153/pole4)^2)</f>
        <v>1.05794565966398</v>
      </c>
      <c r="N153" s="710" t="n">
        <f aca="false">ATAN(A153/pole4)</f>
        <v>0.332503517312837</v>
      </c>
      <c r="O153" s="711" t="n">
        <f aca="false">SQRT((1-(V153/pterm2))^2+(A153/pterm1)^2)</f>
        <v>1.00392738619775</v>
      </c>
      <c r="P153" s="712" t="n">
        <f aca="false">IF((ATAN((A153/pterm1)/(1-A153^2/pterm2))&gt;0),ATAN((A153/pterm1)/(1-A153^2/pterm2)),PI()+ATAN((A153/pterm1)/(1-A153^2/pterm2)))</f>
        <v>0.120340294069271</v>
      </c>
      <c r="Q153" s="713" t="n">
        <f aca="false">20*LOG10(((E153*K153*G153)/(C153*I153*O153*M153))*Adc)</f>
        <v>-4.81330376611477</v>
      </c>
      <c r="R153" s="714" t="n">
        <f aca="false">((F153+L153+H153)-(D153+J153+P153+N153))*radconv</f>
        <v>-118.32022859926</v>
      </c>
      <c r="S153" s="717" t="n">
        <f aca="false">IF(R153&gt;0,R153,R153+180)</f>
        <v>61.67977140074</v>
      </c>
      <c r="U153" s="644" t="n">
        <f aca="false">IF(Q153&lt;0,A153,1000000000)</f>
        <v>8660.05</v>
      </c>
      <c r="V153" s="644" t="n">
        <f aca="false">A153^2</f>
        <v>74996466.0025</v>
      </c>
      <c r="X153" s="716" t="n">
        <f aca="false">20*LOG10((K153/(I153*M153))*AEA)</f>
        <v>17.4529447799316</v>
      </c>
      <c r="Y153" s="717" t="n">
        <f aca="false">(L153-(J153+N153))*radconv</f>
        <v>-24.1904824560152</v>
      </c>
      <c r="AA153" s="716" t="n">
        <f aca="false">20*LOG10((E153*G153/(C153*O153))*Acs*Am)</f>
        <v>29.214376808508</v>
      </c>
      <c r="AB153" s="717" t="n">
        <f aca="false">(F153+H153-(D153+P153))*radconv</f>
        <v>-94.1297461432448</v>
      </c>
      <c r="AD153" s="0" t="n">
        <f aca="false">SUM((Q154&lt;0)*(Q153&gt;0))*A153</f>
        <v>0</v>
      </c>
      <c r="AE153" s="0" t="n">
        <f aca="false">IF(AD153&gt;0,S153,0)</f>
        <v>0</v>
      </c>
    </row>
    <row r="154" customFormat="false" ht="12.75" hidden="false" customHeight="false" outlineLevel="0" collapsed="false">
      <c r="A154" s="721" t="n">
        <v>8709.6</v>
      </c>
      <c r="B154" s="706" t="n">
        <f aca="false">A154/1000</f>
        <v>8.7096</v>
      </c>
      <c r="C154" s="707" t="n">
        <f aca="false">SQRT(1+(A154/pole1)^2)</f>
        <v>14.9071691874818</v>
      </c>
      <c r="D154" s="708" t="n">
        <f aca="false">ATAN(A154/pole1)</f>
        <v>1.503664096305</v>
      </c>
      <c r="E154" s="708" t="n">
        <f aca="false">SQRT(1+(A154/Zero1)^2)</f>
        <v>1.00597160901258</v>
      </c>
      <c r="F154" s="709" t="n">
        <f aca="false">ATAN(A154/Zero1)</f>
        <v>0.109014154104381</v>
      </c>
      <c r="G154" s="708" t="n">
        <f aca="false">IF(VIN_nom&gt;Vout, 1, SQRT(1+(A154/z_RHP)^2))</f>
        <v>1.00829687451157</v>
      </c>
      <c r="H154" s="709" t="n">
        <f aca="false">IF(VIN_nom&gt;Vout, 0, -ATAN(A154/z_RHP))</f>
        <v>-0.128373771767101</v>
      </c>
      <c r="I154" s="707" t="n">
        <f aca="false">SQRT(1+(A154/Pole2)^2)</f>
        <v>36129.0387462489</v>
      </c>
      <c r="J154" s="710" t="n">
        <f aca="false">ATAN(A154/Pole2)</f>
        <v>1.57076864822844</v>
      </c>
      <c r="K154" s="719" t="n">
        <f aca="false">SQRT(1+(A154/Zero2)^2)</f>
        <v>11.2231174270257</v>
      </c>
      <c r="L154" s="720" t="n">
        <f aca="false">ATAN(A154/Zero2)</f>
        <v>1.48157620192657</v>
      </c>
      <c r="M154" s="707" t="n">
        <f aca="false">SQRT(1+(A154/pole4)^2)</f>
        <v>1.05859224029688</v>
      </c>
      <c r="N154" s="710" t="n">
        <f aca="false">ATAN(A154/pole4)</f>
        <v>0.334267762024939</v>
      </c>
      <c r="O154" s="711" t="n">
        <f aca="false">SQRT((1-(V154/pterm2))^2+(A154/pterm1)^2)</f>
        <v>1.00397243229267</v>
      </c>
      <c r="P154" s="712" t="n">
        <f aca="false">IF((ATAN((A154/pterm1)/(1-A154^2/pterm2))&gt;0),ATAN((A154/pterm1)/(1-A154^2/pterm2)),PI()+ATAN((A154/pterm1)/(1-A154^2/pterm2)))</f>
        <v>0.121026757282376</v>
      </c>
      <c r="Q154" s="713" t="n">
        <f aca="false">20*LOG10(((E154*K154*G154)/(C154*I154*O154*M154))*Adc)</f>
        <v>-4.86733703088499</v>
      </c>
      <c r="R154" s="714" t="n">
        <f aca="false">((F154+L154+H154)-(D154+J154+P154+N154))*radconv</f>
        <v>-118.459636173341</v>
      </c>
      <c r="S154" s="717" t="n">
        <f aca="false">IF(R154&gt;0,R154,R154+180)</f>
        <v>61.5403638266592</v>
      </c>
      <c r="U154" s="644" t="n">
        <f aca="false">IF(Q154&lt;0,A154,1000000000)</f>
        <v>8709.6</v>
      </c>
      <c r="V154" s="644" t="n">
        <f aca="false">A154^2</f>
        <v>75857132.16</v>
      </c>
      <c r="X154" s="716" t="n">
        <f aca="false">20*LOG10((K154/(I154*M154))*AEA)</f>
        <v>17.4472422108373</v>
      </c>
      <c r="Y154" s="717" t="n">
        <f aca="false">(L154-(J154+N154))*radconv</f>
        <v>-24.2624827565803</v>
      </c>
      <c r="AA154" s="716" t="n">
        <f aca="false">20*LOG10((E154*G154/(C154*O154))*Acs*Am)</f>
        <v>29.1660461128321</v>
      </c>
      <c r="AB154" s="717" t="n">
        <f aca="false">(F154+H154-(D154+P154))*radconv</f>
        <v>-94.1971534167605</v>
      </c>
      <c r="AD154" s="0" t="n">
        <f aca="false">SUM((Q155&lt;0)*(Q154&gt;0))*A154</f>
        <v>0</v>
      </c>
      <c r="AE154" s="0" t="n">
        <f aca="false">IF(AD154&gt;0,S154,0)</f>
        <v>0</v>
      </c>
    </row>
    <row r="155" customFormat="false" ht="12.75" hidden="false" customHeight="false" outlineLevel="0" collapsed="false">
      <c r="A155" s="721" t="n">
        <v>8760.325</v>
      </c>
      <c r="B155" s="706" t="n">
        <f aca="false">A155/1000</f>
        <v>8.760325</v>
      </c>
      <c r="C155" s="707" t="n">
        <f aca="false">SQRT(1+(A155/pole1)^2)</f>
        <v>14.9935994758066</v>
      </c>
      <c r="D155" s="708" t="n">
        <f aca="false">ATAN(A155/pole1)</f>
        <v>1.5040516559862</v>
      </c>
      <c r="E155" s="708" t="n">
        <f aca="false">SQRT(1+(A155/Zero1)^2)</f>
        <v>1.00604115980632</v>
      </c>
      <c r="F155" s="709" t="n">
        <f aca="false">ATAN(A155/Zero1)</f>
        <v>0.109643994447011</v>
      </c>
      <c r="G155" s="708" t="n">
        <f aca="false">IF(VIN_nom&gt;Vout, 1, SQRT(1+(A155/z_RHP)^2))</f>
        <v>1.00839339508813</v>
      </c>
      <c r="H155" s="709" t="n">
        <f aca="false">IF(VIN_nom&gt;Vout, 0, -ATAN(A155/z_RHP))</f>
        <v>-0.129113167072708</v>
      </c>
      <c r="I155" s="707" t="n">
        <f aca="false">SQRT(1+(A155/Pole2)^2)</f>
        <v>36339.4554690609</v>
      </c>
      <c r="J155" s="710" t="n">
        <f aca="false">ATAN(A155/Pole2)</f>
        <v>1.57076880849592</v>
      </c>
      <c r="K155" s="719" t="n">
        <f aca="false">SQRT(1+(A155/Zero2)^2)</f>
        <v>11.2879637947615</v>
      </c>
      <c r="L155" s="720" t="n">
        <f aca="false">ATAN(A155/Zero2)</f>
        <v>1.48209010050563</v>
      </c>
      <c r="M155" s="707" t="n">
        <f aca="false">SQRT(1+(A155/pole4)^2)</f>
        <v>1.05925756240466</v>
      </c>
      <c r="N155" s="710" t="n">
        <f aca="false">ATAN(A155/pole4)</f>
        <v>0.336071606204557</v>
      </c>
      <c r="O155" s="711" t="n">
        <f aca="false">SQRT((1-(V155/pterm2))^2+(A155/pterm1)^2)</f>
        <v>1.00401881221346</v>
      </c>
      <c r="P155" s="712" t="n">
        <f aca="false">IF((ATAN((A155/pterm1)/(1-A155^2/pterm2))&gt;0),ATAN((A155/pterm1)/(1-A155^2/pterm2)),PI()+ATAN((A155/pterm1)/(1-A155^2/pterm2)))</f>
        <v>0.121729462081312</v>
      </c>
      <c r="Q155" s="713" t="n">
        <f aca="false">20*LOG10(((E155*K155*G155)/(C155*I155*O155*M155))*Adc)</f>
        <v>-4.9223763378087</v>
      </c>
      <c r="R155" s="714" t="n">
        <f aca="false">((F155+L155+H155)-(D155+J155+P155+N155))*radconv</f>
        <v>-118.602298385136</v>
      </c>
      <c r="S155" s="717" t="n">
        <f aca="false">IF(R155&gt;0,R155,R155+180)</f>
        <v>61.3977016148637</v>
      </c>
      <c r="U155" s="644" t="n">
        <f aca="false">IF(Q155&lt;0,A155,1000000000)</f>
        <v>8760.325</v>
      </c>
      <c r="V155" s="644" t="n">
        <f aca="false">A155^2</f>
        <v>76743294.105625</v>
      </c>
      <c r="X155" s="716" t="n">
        <f aca="false">20*LOG10((K155/(I155*M155))*AEA)</f>
        <v>17.4413867166985</v>
      </c>
      <c r="Y155" s="717" t="n">
        <f aca="false">(L155-(J155+N155))*radconv</f>
        <v>-24.3364003780292</v>
      </c>
      <c r="AA155" s="716" t="n">
        <f aca="false">20*LOG10((E155*G155/(C155*O155))*Acs*Am)</f>
        <v>29.1168623000472</v>
      </c>
      <c r="AB155" s="717" t="n">
        <f aca="false">(F155+H155-(D155+P155))*radconv</f>
        <v>-94.2658980071072</v>
      </c>
      <c r="AD155" s="0" t="n">
        <f aca="false">SUM((Q156&lt;0)*(Q155&gt;0))*A155</f>
        <v>0</v>
      </c>
      <c r="AE155" s="0" t="n">
        <f aca="false">IF(AD155&gt;0,S155,0)</f>
        <v>0</v>
      </c>
    </row>
    <row r="156" customFormat="false" ht="12.75" hidden="false" customHeight="false" outlineLevel="0" collapsed="false">
      <c r="A156" s="721" t="n">
        <v>8811.05</v>
      </c>
      <c r="B156" s="706" t="n">
        <f aca="false">A156/1000</f>
        <v>8.81105</v>
      </c>
      <c r="C156" s="707" t="n">
        <f aca="false">SQRT(1+(A156/pole1)^2)</f>
        <v>15.0800319903921</v>
      </c>
      <c r="D156" s="708" t="n">
        <f aca="false">ATAN(A156/pole1)</f>
        <v>1.50443477306038</v>
      </c>
      <c r="E156" s="708" t="n">
        <f aca="false">SQRT(1+(A156/Zero1)^2)</f>
        <v>1.00611110964018</v>
      </c>
      <c r="F156" s="709" t="n">
        <f aca="false">ATAN(A156/Zero1)</f>
        <v>0.110273747460187</v>
      </c>
      <c r="G156" s="708" t="n">
        <f aca="false">IF(VIN_nom&gt;Vout, 1, SQRT(1+(A156/z_RHP)^2))</f>
        <v>1.00849046685311</v>
      </c>
      <c r="H156" s="709" t="n">
        <f aca="false">IF(VIN_nom&gt;Vout, 0, -ATAN(A156/z_RHP))</f>
        <v>-0.129852420442124</v>
      </c>
      <c r="I156" s="707" t="n">
        <f aca="false">SQRT(1+(A156/Pole2)^2)</f>
        <v>36549.8721918739</v>
      </c>
      <c r="J156" s="710" t="n">
        <f aca="false">ATAN(A156/Pole2)</f>
        <v>1.5707689669181</v>
      </c>
      <c r="K156" s="719" t="n">
        <f aca="false">SQRT(1+(A156/Zero2)^2)</f>
        <v>11.3528131094998</v>
      </c>
      <c r="L156" s="720" t="n">
        <f aca="false">ATAN(A156/Zero2)</f>
        <v>1.48259812825495</v>
      </c>
      <c r="M156" s="707" t="n">
        <f aca="false">SQRT(1+(A156/pole4)^2)</f>
        <v>1.05992632684818</v>
      </c>
      <c r="N156" s="710" t="n">
        <f aca="false">ATAN(A156/pole4)</f>
        <v>0.337873179955746</v>
      </c>
      <c r="O156" s="711" t="n">
        <f aca="false">SQRT((1-(V156/pterm2))^2+(A156/pterm1)^2)</f>
        <v>1.00406546086543</v>
      </c>
      <c r="P156" s="712" t="n">
        <f aca="false">IF((ATAN((A156/pterm1)/(1-A156^2/pterm2))&gt;0),ATAN((A156/pterm1)/(1-A156^2/pterm2)),PI()+ATAN((A156/pterm1)/(1-A156^2/pterm2)))</f>
        <v>0.122432129433308</v>
      </c>
      <c r="Q156" s="713" t="n">
        <f aca="false">20*LOG10(((E156*K156*G156)/(C156*I156*O156*M156))*Adc)</f>
        <v>-4.977140493505</v>
      </c>
      <c r="R156" s="714" t="n">
        <f aca="false">((F156+L156+H156)-(D156+J156+P156+N156))*radconv</f>
        <v>-118.744906962082</v>
      </c>
      <c r="S156" s="717" t="n">
        <f aca="false">IF(R156&gt;0,R156,R156+180)</f>
        <v>61.2550930379175</v>
      </c>
      <c r="U156" s="644" t="n">
        <f aca="false">IF(Q156&lt;0,A156,1000000000)</f>
        <v>8811.05</v>
      </c>
      <c r="V156" s="644" t="n">
        <f aca="false">A156^2</f>
        <v>77634602.1025</v>
      </c>
      <c r="X156" s="716" t="n">
        <f aca="false">20*LOG10((K156/(I156*M156))*AEA)</f>
        <v>17.4355132610242</v>
      </c>
      <c r="Y156" s="717" t="n">
        <f aca="false">(L156-(J156+N156))*radconv</f>
        <v>-24.4105241815486</v>
      </c>
      <c r="AA156" s="716" t="n">
        <f aca="false">20*LOG10((E156*G156/(C156*O156))*Acs*Am)</f>
        <v>29.0679716000252</v>
      </c>
      <c r="AB156" s="717" t="n">
        <f aca="false">(F156+H156-(D156+P156))*radconv</f>
        <v>-94.3343827805338</v>
      </c>
      <c r="AD156" s="0" t="n">
        <f aca="false">SUM((Q157&lt;0)*(Q156&gt;0))*A156</f>
        <v>0</v>
      </c>
      <c r="AE156" s="0" t="n">
        <f aca="false">IF(AD156&gt;0,S156,0)</f>
        <v>0</v>
      </c>
    </row>
    <row r="157" customFormat="false" ht="12.75" hidden="false" customHeight="false" outlineLevel="0" collapsed="false">
      <c r="A157" s="721" t="n">
        <v>8861.775</v>
      </c>
      <c r="B157" s="706" t="n">
        <f aca="false">A157/1000</f>
        <v>8.861775</v>
      </c>
      <c r="C157" s="707" t="n">
        <f aca="false">SQRT(1+(A157/pole1)^2)</f>
        <v>15.1664666931766</v>
      </c>
      <c r="D157" s="708" t="n">
        <f aca="false">ATAN(A157/pole1)</f>
        <v>1.50481352337022</v>
      </c>
      <c r="E157" s="708" t="n">
        <f aca="false">SQRT(1+(A157/Zero1)^2)</f>
        <v>1.00618145843091</v>
      </c>
      <c r="F157" s="709" t="n">
        <f aca="false">ATAN(A157/Zero1)</f>
        <v>0.110903412662668</v>
      </c>
      <c r="G157" s="708" t="n">
        <f aca="false">IF(VIN_nom&gt;Vout, 1, SQRT(1+(A157/z_RHP)^2))</f>
        <v>1.00858808964738</v>
      </c>
      <c r="H157" s="709" t="n">
        <f aca="false">IF(VIN_nom&gt;Vout, 0, -ATAN(A157/z_RHP))</f>
        <v>-0.130591531108453</v>
      </c>
      <c r="I157" s="707" t="n">
        <f aca="false">SQRT(1+(A157/Pole2)^2)</f>
        <v>36760.2889146877</v>
      </c>
      <c r="J157" s="710" t="n">
        <f aca="false">ATAN(A157/Pole2)</f>
        <v>1.57076912352665</v>
      </c>
      <c r="K157" s="719" t="n">
        <f aca="false">SQRT(1+(A157/Zero2)^2)</f>
        <v>11.417665321026</v>
      </c>
      <c r="L157" s="720" t="n">
        <f aca="false">ATAN(A157/Zero2)</f>
        <v>1.4831003849488</v>
      </c>
      <c r="M157" s="707" t="n">
        <f aca="false">SQRT(1+(A157/pole4)^2)</f>
        <v>1.06059852711572</v>
      </c>
      <c r="N157" s="710" t="n">
        <f aca="false">ATAN(A157/pole4)</f>
        <v>0.339672475889861</v>
      </c>
      <c r="O157" s="711" t="n">
        <f aca="false">SQRT((1-(V157/pterm2))^2+(A157/pterm1)^2)</f>
        <v>1.00411237823821</v>
      </c>
      <c r="P157" s="712" t="n">
        <f aca="false">IF((ATAN((A157/pterm1)/(1-A157^2/pterm2))&gt;0),ATAN((A157/pterm1)/(1-A157^2/pterm2)),PI()+ATAN((A157/pterm1)/(1-A157^2/pterm2)))</f>
        <v>0.123134759126341</v>
      </c>
      <c r="Q157" s="713" t="n">
        <f aca="false">20*LOG10(((E157*K157*G157)/(C157*I157*O157*M157))*Adc)</f>
        <v>-5.03163280944053</v>
      </c>
      <c r="R157" s="714" t="n">
        <f aca="false">((F157+L157+H157)-(D157+J157+P157+N157))*radconv</f>
        <v>-118.887460082965</v>
      </c>
      <c r="S157" s="717" t="n">
        <f aca="false">IF(R157&gt;0,R157,R157+180)</f>
        <v>61.112539917035</v>
      </c>
      <c r="U157" s="644" t="n">
        <f aca="false">IF(Q157&lt;0,A157,1000000000)</f>
        <v>8861.775</v>
      </c>
      <c r="V157" s="644" t="n">
        <f aca="false">A157^2</f>
        <v>78531056.150625</v>
      </c>
      <c r="X157" s="716" t="n">
        <f aca="false">20*LOG10((K157/(I157*M157))*AEA)</f>
        <v>17.4296217914768</v>
      </c>
      <c r="Y157" s="717" t="n">
        <f aca="false">(L157-(J157+N157))*radconv</f>
        <v>-24.484848028973</v>
      </c>
      <c r="AA157" s="716" t="n">
        <f aca="false">20*LOG10((E157*G157/(C157*O157))*Acs*Am)</f>
        <v>29.0193707536371</v>
      </c>
      <c r="AB157" s="717" t="n">
        <f aca="false">(F157+H157-(D157+P157))*radconv</f>
        <v>-94.402612053992</v>
      </c>
      <c r="AD157" s="0" t="n">
        <f aca="false">SUM((Q158&lt;0)*(Q157&gt;0))*A157</f>
        <v>0</v>
      </c>
      <c r="AE157" s="0" t="n">
        <f aca="false">IF(AD157&gt;0,S157,0)</f>
        <v>0</v>
      </c>
    </row>
    <row r="158" customFormat="false" ht="12.75" hidden="false" customHeight="false" outlineLevel="0" collapsed="false">
      <c r="A158" s="718" t="n">
        <v>8912.5</v>
      </c>
      <c r="B158" s="706" t="n">
        <f aca="false">A158/1000</f>
        <v>8.9125</v>
      </c>
      <c r="C158" s="707" t="n">
        <f aca="false">SQRT(1+(A158/pole1)^2)</f>
        <v>15.2529035469598</v>
      </c>
      <c r="D158" s="708" t="n">
        <f aca="false">ATAN(A158/pole1)</f>
        <v>1.50518798104435</v>
      </c>
      <c r="E158" s="708" t="n">
        <f aca="false">SQRT(1+(A158/Zero1)^2)</f>
        <v>1.00625220609486</v>
      </c>
      <c r="F158" s="709" t="n">
        <f aca="false">ATAN(A158/Zero1)</f>
        <v>0.111532989573626</v>
      </c>
      <c r="G158" s="708" t="n">
        <f aca="false">IF(VIN_nom&gt;Vout, 1, SQRT(1+(A158/z_RHP)^2))</f>
        <v>1.00868626331094</v>
      </c>
      <c r="H158" s="709" t="n">
        <f aca="false">IF(VIN_nom&gt;Vout, 0, -ATAN(A158/z_RHP))</f>
        <v>-0.131330498305715</v>
      </c>
      <c r="I158" s="707" t="n">
        <f aca="false">SQRT(1+(A158/Pole2)^2)</f>
        <v>36970.7056375025</v>
      </c>
      <c r="J158" s="710" t="n">
        <f aca="false">ATAN(A158/Pole2)</f>
        <v>1.57076927835255</v>
      </c>
      <c r="K158" s="719" t="n">
        <f aca="false">SQRT(1+(A158/Zero2)^2)</f>
        <v>11.4825203802577</v>
      </c>
      <c r="L158" s="720" t="n">
        <f aca="false">ATAN(A158/Zero2)</f>
        <v>1.48359696811904</v>
      </c>
      <c r="M158" s="707" t="n">
        <f aca="false">SQRT(1+(A158/pole4)^2)</f>
        <v>1.06127415667862</v>
      </c>
      <c r="N158" s="710" t="n">
        <f aca="false">ATAN(A158/pole4)</f>
        <v>0.341469486695925</v>
      </c>
      <c r="O158" s="711" t="n">
        <f aca="false">SQRT((1-(V158/pterm2))^2+(A158/pterm1)^2)</f>
        <v>1.00415956432136</v>
      </c>
      <c r="P158" s="712" t="n">
        <f aca="false">IF((ATAN((A158/pterm1)/(1-A158^2/pterm2))&gt;0),ATAN((A158/pterm1)/(1-A158^2/pterm2)),PI()+ATAN((A158/pterm1)/(1-A158^2/pterm2)))</f>
        <v>0.123837350948468</v>
      </c>
      <c r="Q158" s="713" t="n">
        <f aca="false">20*LOG10(((E158*K158*G158)/(C158*I158*O158*M158))*Adc)</f>
        <v>-5.08585653783205</v>
      </c>
      <c r="R158" s="714" t="n">
        <f aca="false">((F158+L158+H158)-(D158+J158+P158+N158))*radconv</f>
        <v>-119.029955961279</v>
      </c>
      <c r="S158" s="717" t="n">
        <f aca="false">IF(R158&gt;0,R158,R158+180)</f>
        <v>60.9700440387206</v>
      </c>
      <c r="U158" s="644" t="n">
        <f aca="false">IF(Q158&lt;0,A158,1000000000)</f>
        <v>8912.5</v>
      </c>
      <c r="V158" s="644" t="n">
        <f aca="false">A158^2</f>
        <v>79432656.25</v>
      </c>
      <c r="X158" s="716" t="n">
        <f aca="false">20*LOG10((K158/(I158*M158))*AEA)</f>
        <v>17.4237122602262</v>
      </c>
      <c r="Y158" s="717" t="n">
        <f aca="false">(L158-(J158+N158))*radconv</f>
        <v>-24.559365915023</v>
      </c>
      <c r="AA158" s="716" t="n">
        <f aca="false">20*LOG10((E158*G158/(C158*O158))*Acs*Am)</f>
        <v>28.9710565564961</v>
      </c>
      <c r="AB158" s="717" t="n">
        <f aca="false">(F158+H158-(D158+P158))*radconv</f>
        <v>-94.4705900462564</v>
      </c>
      <c r="AD158" s="0" t="n">
        <f aca="false">SUM((Q159&lt;0)*(Q158&gt;0))*A158</f>
        <v>0</v>
      </c>
      <c r="AE158" s="0" t="n">
        <f aca="false">IF(AD158&gt;0,S158,0)</f>
        <v>0</v>
      </c>
    </row>
    <row r="159" customFormat="false" ht="12.75" hidden="false" customHeight="false" outlineLevel="0" collapsed="false">
      <c r="A159" s="718" t="n">
        <v>8964.4</v>
      </c>
      <c r="B159" s="706" t="n">
        <f aca="false">A159/1000</f>
        <v>8.9644</v>
      </c>
      <c r="C159" s="707" t="n">
        <f aca="false">SQRT(1+(A159/pole1)^2)</f>
        <v>15.3413448228122</v>
      </c>
      <c r="D159" s="708" t="n">
        <f aca="false">ATAN(A159/pole1)</f>
        <v>1.50556674533007</v>
      </c>
      <c r="E159" s="708" t="n">
        <f aca="false">SQRT(1+(A159/Zero1)^2)</f>
        <v>1.006325005318</v>
      </c>
      <c r="F159" s="709" t="n">
        <f aca="false">ATAN(A159/Zero1)</f>
        <v>0.112177058195785</v>
      </c>
      <c r="G159" s="708" t="n">
        <f aca="false">IF(VIN_nom&gt;Vout, 1, SQRT(1+(A159/z_RHP)^2))</f>
        <v>1.00878728107098</v>
      </c>
      <c r="H159" s="709" t="n">
        <f aca="false">IF(VIN_nom&gt;Vout, 0, -ATAN(A159/z_RHP))</f>
        <v>-0.132086433737489</v>
      </c>
      <c r="I159" s="707" t="n">
        <f aca="false">SQRT(1+(A159/Pole2)^2)</f>
        <v>37185.9964785893</v>
      </c>
      <c r="J159" s="710" t="n">
        <f aca="false">ATAN(A159/Pole2)</f>
        <v>1.57076943495133</v>
      </c>
      <c r="K159" s="719" t="n">
        <f aca="false">SQRT(1+(A159/Zero2)^2)</f>
        <v>11.5488806472584</v>
      </c>
      <c r="L159" s="720" t="n">
        <f aca="false">ATAN(A159/Zero2)</f>
        <v>1.4840992814624</v>
      </c>
      <c r="M159" s="707" t="n">
        <f aca="false">SQRT(1+(A159/pole4)^2)</f>
        <v>1.06196897914939</v>
      </c>
      <c r="N159" s="710" t="n">
        <f aca="false">ATAN(A159/pole4)</f>
        <v>0.343305750991808</v>
      </c>
      <c r="O159" s="711" t="n">
        <f aca="false">SQRT((1-(V159/pterm2))^2+(A159/pterm1)^2)</f>
        <v>1.00420812153677</v>
      </c>
      <c r="P159" s="712" t="n">
        <f aca="false">IF((ATAN((A159/pterm1)/(1-A159^2/pterm2))&gt;0),ATAN((A159/pterm1)/(1-A159^2/pterm2)),PI()+ATAN((A159/pterm1)/(1-A159^2/pterm2)))</f>
        <v>0.124556178274149</v>
      </c>
      <c r="Q159" s="713" t="n">
        <f aca="false">20*LOG10(((E159*K159*G159)/(C159*I159*O159*M159))*Adc)</f>
        <v>-5.14106165056184</v>
      </c>
      <c r="R159" s="714" t="n">
        <f aca="false">((F159+L159+H159)-(D159+J159+P159+N159))*radconv</f>
        <v>-119.175691556573</v>
      </c>
      <c r="S159" s="717" t="n">
        <f aca="false">IF(R159&gt;0,R159,R159+180)</f>
        <v>60.8243084434267</v>
      </c>
      <c r="U159" s="644" t="n">
        <f aca="false">IF(Q159&lt;0,A159,1000000000)</f>
        <v>8964.4</v>
      </c>
      <c r="V159" s="644" t="n">
        <f aca="false">A159^2</f>
        <v>80360467.36</v>
      </c>
      <c r="X159" s="716" t="n">
        <f aca="false">20*LOG10((K159/(I159*M159))*AEA)</f>
        <v>17.4176471004408</v>
      </c>
      <c r="Y159" s="717" t="n">
        <f aca="false">(L159-(J159+N159))*radconv</f>
        <v>-24.6358046472168</v>
      </c>
      <c r="AA159" s="716" t="n">
        <f aca="false">20*LOG10((E159*G159/(C159*O159))*Acs*Am)</f>
        <v>28.9219166035517</v>
      </c>
      <c r="AB159" s="717" t="n">
        <f aca="false">(F159+H159-(D159+P159))*radconv</f>
        <v>-94.5398869093565</v>
      </c>
      <c r="AD159" s="0" t="n">
        <f aca="false">SUM((Q160&lt;0)*(Q159&gt;0))*A159</f>
        <v>0</v>
      </c>
      <c r="AE159" s="0" t="n">
        <f aca="false">IF(AD159&gt;0,S159,0)</f>
        <v>0</v>
      </c>
    </row>
    <row r="160" customFormat="false" ht="12.75" hidden="false" customHeight="false" outlineLevel="0" collapsed="false">
      <c r="A160" s="718" t="n">
        <v>9016.3</v>
      </c>
      <c r="B160" s="706" t="n">
        <f aca="false">A160/1000</f>
        <v>9.0163</v>
      </c>
      <c r="C160" s="707" t="n">
        <f aca="false">SQRT(1+(A160/pole1)^2)</f>
        <v>15.4297882743398</v>
      </c>
      <c r="D160" s="708" t="n">
        <f aca="false">ATAN(A160/pole1)</f>
        <v>1.50594116751988</v>
      </c>
      <c r="E160" s="708" t="n">
        <f aca="false">SQRT(1+(A160/Zero1)^2)</f>
        <v>1.0063982219288</v>
      </c>
      <c r="F160" s="709" t="n">
        <f aca="false">ATAN(A160/Zero1)</f>
        <v>0.112821033371605</v>
      </c>
      <c r="G160" s="708" t="n">
        <f aca="false">IF(VIN_nom&gt;Vout, 1, SQRT(1+(A160/z_RHP)^2))</f>
        <v>1.00888887517516</v>
      </c>
      <c r="H160" s="709" t="n">
        <f aca="false">IF(VIN_nom&gt;Vout, 0, -ATAN(A160/z_RHP))</f>
        <v>-0.132842217357185</v>
      </c>
      <c r="I160" s="707" t="n">
        <f aca="false">SQRT(1+(A160/Pole2)^2)</f>
        <v>37401.2873196771</v>
      </c>
      <c r="J160" s="710" t="n">
        <f aca="false">ATAN(A160/Pole2)</f>
        <v>1.57076958974728</v>
      </c>
      <c r="K160" s="719" t="n">
        <f aca="false">SQRT(1+(A160/Zero2)^2)</f>
        <v>11.6152437949606</v>
      </c>
      <c r="L160" s="720" t="n">
        <f aca="false">ATAN(A160/Zero2)</f>
        <v>1.48459585504267</v>
      </c>
      <c r="M160" s="707" t="n">
        <f aca="false">SQRT(1+(A160/pole4)^2)</f>
        <v>1.0626673777482</v>
      </c>
      <c r="N160" s="710" t="n">
        <f aca="false">ATAN(A160/pole4)</f>
        <v>0.34513960783167</v>
      </c>
      <c r="O160" s="711" t="n">
        <f aca="false">SQRT((1-(V160/pterm2))^2+(A160/pterm1)^2)</f>
        <v>1.0042569600333</v>
      </c>
      <c r="P160" s="712" t="n">
        <f aca="false">IF((ATAN((A160/pterm1)/(1-A160^2/pterm2))&gt;0),ATAN((A160/pterm1)/(1-A160^2/pterm2)),PI()+ATAN((A160/pterm1)/(1-A160^2/pterm2)))</f>
        <v>0.125274965505488</v>
      </c>
      <c r="Q160" s="713" t="n">
        <f aca="false">20*LOG10(((E160*K160*G160)/(C160*I160*O160*M160))*Adc)</f>
        <v>-5.19599229248234</v>
      </c>
      <c r="R160" s="714" t="n">
        <f aca="false">((F160+L160+H160)-(D160+J160+P160+N160))*radconv</f>
        <v>-119.321363550586</v>
      </c>
      <c r="S160" s="717" t="n">
        <f aca="false">IF(R160&gt;0,R160,R160+180)</f>
        <v>60.6786364494136</v>
      </c>
      <c r="U160" s="644" t="n">
        <f aca="false">IF(Q160&lt;0,A160,1000000000)</f>
        <v>9016.3</v>
      </c>
      <c r="V160" s="644" t="n">
        <f aca="false">A160^2</f>
        <v>81293665.69</v>
      </c>
      <c r="X160" s="716" t="n">
        <f aca="false">20*LOG10((K160/(I160*M160))*AEA)</f>
        <v>17.4115629449937</v>
      </c>
      <c r="Y160" s="717" t="n">
        <f aca="false">(L160-(J160+N160))*radconv</f>
        <v>-24.7124342032472</v>
      </c>
      <c r="AA160" s="716" t="n">
        <f aca="false">20*LOG10((E160*G160/(C160*O160))*Acs*Am)</f>
        <v>28.8730701170783</v>
      </c>
      <c r="AB160" s="717" t="n">
        <f aca="false">(F160+H160-(D160+P160))*radconv</f>
        <v>-94.6089293473392</v>
      </c>
      <c r="AD160" s="0" t="n">
        <f aca="false">SUM((Q161&lt;0)*(Q160&gt;0))*A160</f>
        <v>0</v>
      </c>
      <c r="AE160" s="0" t="n">
        <f aca="false">IF(AD160&gt;0,S160,0)</f>
        <v>0</v>
      </c>
    </row>
    <row r="161" customFormat="false" ht="12.75" hidden="false" customHeight="false" outlineLevel="0" collapsed="false">
      <c r="A161" s="718" t="n">
        <v>9068.2</v>
      </c>
      <c r="B161" s="706" t="n">
        <f aca="false">A161/1000</f>
        <v>9.0682</v>
      </c>
      <c r="C161" s="707" t="n">
        <f aca="false">SQRT(1+(A161/pole1)^2)</f>
        <v>15.518233864343</v>
      </c>
      <c r="D161" s="708" t="n">
        <f aca="false">ATAN(A161/pole1)</f>
        <v>1.50631132175073</v>
      </c>
      <c r="E161" s="708" t="n">
        <f aca="false">SQRT(1+(A161/Zero1)^2)</f>
        <v>1.00647185583618</v>
      </c>
      <c r="F161" s="709" t="n">
        <f aca="false">ATAN(A161/Zero1)</f>
        <v>0.11346491458742</v>
      </c>
      <c r="G161" s="708" t="n">
        <f aca="false">IF(VIN_nom&gt;Vout, 1, SQRT(1+(A161/z_RHP)^2))</f>
        <v>1.00899104544939</v>
      </c>
      <c r="H161" s="709" t="n">
        <f aca="false">IF(VIN_nom&gt;Vout, 0, -ATAN(A161/z_RHP))</f>
        <v>-0.133597848347372</v>
      </c>
      <c r="I161" s="707" t="n">
        <f aca="false">SQRT(1+(A161/Pole2)^2)</f>
        <v>37616.5781607657</v>
      </c>
      <c r="J161" s="710" t="n">
        <f aca="false">ATAN(A161/Pole2)</f>
        <v>1.57076974277134</v>
      </c>
      <c r="K161" s="719" t="n">
        <f aca="false">SQRT(1+(A161/Zero2)^2)</f>
        <v>11.6816097742686</v>
      </c>
      <c r="L161" s="720" t="n">
        <f aca="false">ATAN(A161/Zero2)</f>
        <v>1.48508678643967</v>
      </c>
      <c r="M161" s="707" t="n">
        <f aca="false">SQRT(1+(A161/pole4)^2)</f>
        <v>1.06336934542887</v>
      </c>
      <c r="N161" s="710" t="n">
        <f aca="false">ATAN(A161/pole4)</f>
        <v>0.346971049636564</v>
      </c>
      <c r="O161" s="711" t="n">
        <f aca="false">SQRT((1-(V161/pterm2))^2+(A161/pterm1)^2)</f>
        <v>1.00430607979959</v>
      </c>
      <c r="P161" s="712" t="n">
        <f aca="false">IF((ATAN((A161/pterm1)/(1-A161^2/pterm2))&gt;0),ATAN((A161/pterm1)/(1-A161^2/pterm2)),PI()+ATAN((A161/pterm1)/(1-A161^2/pterm2)))</f>
        <v>0.125993712415742</v>
      </c>
      <c r="Q161" s="713" t="n">
        <f aca="false">20*LOG10(((E161*K161*G161)/(C161*I161*O161*M161))*Adc)</f>
        <v>-5.25065176329604</v>
      </c>
      <c r="R161" s="714" t="n">
        <f aca="false">((F161+L161+H161)-(D161+J161+P161+N161))*radconv</f>
        <v>-119.466970137276</v>
      </c>
      <c r="S161" s="717" t="n">
        <f aca="false">IF(R161&gt;0,R161,R161+180)</f>
        <v>60.5330298627238</v>
      </c>
      <c r="U161" s="644" t="n">
        <f aca="false">IF(Q161&lt;0,A161,1000000000)</f>
        <v>9068.2</v>
      </c>
      <c r="V161" s="644" t="n">
        <f aca="false">A161^2</f>
        <v>82232251.24</v>
      </c>
      <c r="X161" s="716" t="n">
        <f aca="false">20*LOG10((K161/(I161*M161))*AEA)</f>
        <v>17.4054597563362</v>
      </c>
      <c r="Y161" s="717" t="n">
        <f aca="false">(L161-(J161+N161))*radconv</f>
        <v>-24.7892485597333</v>
      </c>
      <c r="AA161" s="716" t="n">
        <f aca="false">20*LOG10((E161*G161/(C161*O161))*Acs*Am)</f>
        <v>28.8245138349222</v>
      </c>
      <c r="AB161" s="717" t="n">
        <f aca="false">(F161+H161-(D161+P161))*radconv</f>
        <v>-94.677721577543</v>
      </c>
      <c r="AD161" s="0" t="n">
        <f aca="false">SUM((Q162&lt;0)*(Q161&gt;0))*A161</f>
        <v>0</v>
      </c>
      <c r="AE161" s="0" t="n">
        <f aca="false">IF(AD161&gt;0,S161,0)</f>
        <v>0</v>
      </c>
    </row>
    <row r="162" customFormat="false" ht="12.75" hidden="false" customHeight="false" outlineLevel="0" collapsed="false">
      <c r="A162" s="718" t="n">
        <v>9120.1</v>
      </c>
      <c r="B162" s="706" t="n">
        <f aca="false">A162/1000</f>
        <v>9.1201</v>
      </c>
      <c r="C162" s="707" t="n">
        <f aca="false">SQRT(1+(A162/pole1)^2)</f>
        <v>15.6066815564644</v>
      </c>
      <c r="D162" s="708" t="n">
        <f aca="false">ATAN(A162/pole1)</f>
        <v>1.50667728048367</v>
      </c>
      <c r="E162" s="708" t="n">
        <f aca="false">SQRT(1+(A162/Zero1)^2)</f>
        <v>1.00654590694854</v>
      </c>
      <c r="F162" s="709" t="n">
        <f aca="false">ATAN(A162/Zero1)</f>
        <v>0.114108701330023</v>
      </c>
      <c r="G162" s="708" t="n">
        <f aca="false">IF(VIN_nom&gt;Vout, 1, SQRT(1+(A162/z_RHP)^2))</f>
        <v>1.00909379171864</v>
      </c>
      <c r="H162" s="709" t="n">
        <f aca="false">IF(VIN_nom&gt;Vout, 0, -ATAN(A162/z_RHP))</f>
        <v>-0.134353325891643</v>
      </c>
      <c r="I162" s="707" t="n">
        <f aca="false">SQRT(1+(A162/Pole2)^2)</f>
        <v>37831.8690018552</v>
      </c>
      <c r="J162" s="710" t="n">
        <f aca="false">ATAN(A162/Pole2)</f>
        <v>1.57076989405376</v>
      </c>
      <c r="K162" s="719" t="n">
        <f aca="false">SQRT(1+(A162/Zero2)^2)</f>
        <v>11.7479785371939</v>
      </c>
      <c r="L162" s="720" t="n">
        <f aca="false">ATAN(A162/Zero2)</f>
        <v>1.48557217103921</v>
      </c>
      <c r="M162" s="707" t="n">
        <f aca="false">SQRT(1+(A162/pole4)^2)</f>
        <v>1.06407487512785</v>
      </c>
      <c r="N162" s="710" t="n">
        <f aca="false">ATAN(A162/pole4)</f>
        <v>0.348800068912294</v>
      </c>
      <c r="O162" s="711" t="n">
        <f aca="false">SQRT((1-(V162/pterm2))^2+(A162/pterm1)^2)</f>
        <v>1.00435548082419</v>
      </c>
      <c r="P162" s="712" t="n">
        <f aca="false">IF((ATAN((A162/pterm1)/(1-A162^2/pterm2))&gt;0),ATAN((A162/pterm1)/(1-A162^2/pterm2)),PI()+ATAN((A162/pterm1)/(1-A162^2/pterm2)))</f>
        <v>0.126712418778258</v>
      </c>
      <c r="Q162" s="713" t="n">
        <f aca="false">20*LOG10(((E162*K162*G162)/(C162*I162*O162*M162))*Adc)</f>
        <v>-5.30504330357659</v>
      </c>
      <c r="R162" s="714" t="n">
        <f aca="false">((F162+L162+H162)-(D162+J162+P162+N162))*radconv</f>
        <v>-119.612509545141</v>
      </c>
      <c r="S162" s="717" t="n">
        <f aca="false">IF(R162&gt;0,R162,R162+180)</f>
        <v>60.3874904548587</v>
      </c>
      <c r="U162" s="644" t="n">
        <f aca="false">IF(Q162&lt;0,A162,1000000000)</f>
        <v>9120.1</v>
      </c>
      <c r="V162" s="644" t="n">
        <f aca="false">A162^2</f>
        <v>83176224.01</v>
      </c>
      <c r="X162" s="716" t="n">
        <f aca="false">20*LOG10((K162/(I162*M162))*AEA)</f>
        <v>17.399337501225</v>
      </c>
      <c r="Y162" s="717" t="n">
        <f aca="false">(L162-(J162+N162))*radconv</f>
        <v>-24.8662418238189</v>
      </c>
      <c r="AA162" s="716" t="n">
        <f aca="false">20*LOG10((E162*G162/(C162*O162))*Acs*Am)</f>
        <v>28.7762445497528</v>
      </c>
      <c r="AB162" s="717" t="n">
        <f aca="false">(F162+H162-(D162+P162))*radconv</f>
        <v>-94.7462677213224</v>
      </c>
      <c r="AD162" s="0" t="n">
        <f aca="false">SUM((Q163&lt;0)*(Q162&gt;0))*A162</f>
        <v>0</v>
      </c>
      <c r="AE162" s="0" t="n">
        <f aca="false">IF(AD162&gt;0,S162,0)</f>
        <v>0</v>
      </c>
    </row>
    <row r="163" customFormat="false" ht="12.75" hidden="false" customHeight="false" outlineLevel="0" collapsed="false">
      <c r="A163" s="718" t="n">
        <v>9173.2</v>
      </c>
      <c r="B163" s="706" t="n">
        <f aca="false">A163/1000</f>
        <v>9.1732</v>
      </c>
      <c r="C163" s="707" t="n">
        <f aca="false">SQRT(1+(A163/pole1)^2)</f>
        <v>15.6971764204564</v>
      </c>
      <c r="D163" s="708" t="n">
        <f aca="false">ATAN(A163/pole1)</f>
        <v>1.50704743242539</v>
      </c>
      <c r="E163" s="708" t="n">
        <f aca="false">SQRT(1+(A163/Zero1)^2)</f>
        <v>1.00662210191537</v>
      </c>
      <c r="F163" s="709" t="n">
        <f aca="false">ATAN(A163/Zero1)</f>
        <v>0.114767275005493</v>
      </c>
      <c r="G163" s="708" t="n">
        <f aca="false">IF(VIN_nom&gt;Vout, 1, SQRT(1+(A163/z_RHP)^2))</f>
        <v>1.00919950956639</v>
      </c>
      <c r="H163" s="709" t="n">
        <f aca="false">IF(VIN_nom&gt;Vout, 0, -ATAN(A163/z_RHP))</f>
        <v>-0.135126111465678</v>
      </c>
      <c r="I163" s="707" t="n">
        <f aca="false">SQRT(1+(A163/Pole2)^2)</f>
        <v>38052.137665861</v>
      </c>
      <c r="J163" s="710" t="n">
        <f aca="false">ATAN(A163/Pole2)</f>
        <v>1.57077004706237</v>
      </c>
      <c r="K163" s="719" t="n">
        <f aca="false">SQRT(1+(A163/Zero2)^2)</f>
        <v>11.815884669974</v>
      </c>
      <c r="L163" s="720" t="n">
        <f aca="false">ATAN(A163/Zero2)</f>
        <v>1.48606313499277</v>
      </c>
      <c r="M163" s="707" t="n">
        <f aca="false">SQRT(1+(A163/pole4)^2)</f>
        <v>1.06480039677624</v>
      </c>
      <c r="N163" s="710" t="n">
        <f aca="false">ATAN(A163/pole4)</f>
        <v>0.350668862728888</v>
      </c>
      <c r="O163" s="711" t="n">
        <f aca="false">SQRT((1-(V163/pterm2))^2+(A163/pterm1)^2)</f>
        <v>1.00440631514515</v>
      </c>
      <c r="P163" s="712" t="n">
        <f aca="false">IF((ATAN((A163/pterm1)/(1-A163^2/pterm2))&gt;0),ATAN((A163/pterm1)/(1-A163^2/pterm2)),PI()+ATAN((A163/pterm1)/(1-A163^2/pterm2)))</f>
        <v>0.127447700427786</v>
      </c>
      <c r="Q163" s="713" t="n">
        <f aca="false">20*LOG10(((E163*K163*G163)/(C163*I163*O163*M163))*Adc)</f>
        <v>-5.36041847627771</v>
      </c>
      <c r="R163" s="714" t="n">
        <f aca="false">((F163+L163+H163)-(D163+J163+P163+N163))*radconv</f>
        <v>-119.761342687166</v>
      </c>
      <c r="S163" s="717" t="n">
        <f aca="false">IF(R163&gt;0,R163,R163+180)</f>
        <v>60.2386573128338</v>
      </c>
      <c r="U163" s="644" t="n">
        <f aca="false">IF(Q163&lt;0,A163,1000000000)</f>
        <v>9173.2</v>
      </c>
      <c r="V163" s="644" t="n">
        <f aca="false">A163^2</f>
        <v>84147598.24</v>
      </c>
      <c r="X163" s="716" t="n">
        <f aca="false">20*LOG10((K163/(I163*M163))*AEA)</f>
        <v>17.3930539279608</v>
      </c>
      <c r="Y163" s="717" t="n">
        <f aca="false">(L163-(J163+N163))*radconv</f>
        <v>-24.9451944266953</v>
      </c>
      <c r="AA163" s="716" t="n">
        <f aca="false">20*LOG10((E163*G163/(C163*O163))*Acs*Am)</f>
        <v>28.7271529503158</v>
      </c>
      <c r="AB163" s="717" t="n">
        <f aca="false">(F163+H163-(D163+P163))*radconv</f>
        <v>-94.8161482604709</v>
      </c>
      <c r="AD163" s="0" t="n">
        <f aca="false">SUM((Q164&lt;0)*(Q163&gt;0))*A163</f>
        <v>0</v>
      </c>
      <c r="AE163" s="0" t="n">
        <f aca="false">IF(AD163&gt;0,S163,0)</f>
        <v>0</v>
      </c>
    </row>
    <row r="164" customFormat="false" ht="12.75" hidden="false" customHeight="false" outlineLevel="0" collapsed="false">
      <c r="A164" s="718" t="n">
        <v>9226.3</v>
      </c>
      <c r="B164" s="706" t="n">
        <f aca="false">A164/1000</f>
        <v>9.2263</v>
      </c>
      <c r="C164" s="707" t="n">
        <f aca="false">SQRT(1+(A164/pole1)^2)</f>
        <v>15.7876734105013</v>
      </c>
      <c r="D164" s="708" t="n">
        <f aca="false">ATAN(A164/pole1)</f>
        <v>1.50741334089897</v>
      </c>
      <c r="E164" s="708" t="n">
        <f aca="false">SQRT(1+(A164/Zero1)^2)</f>
        <v>1.00669873340742</v>
      </c>
      <c r="F164" s="709" t="n">
        <f aca="false">ATAN(A164/Zero1)</f>
        <v>0.115425748703189</v>
      </c>
      <c r="G164" s="708" t="n">
        <f aca="false">IF(VIN_nom&gt;Vout, 1, SQRT(1+(A164/z_RHP)^2))</f>
        <v>1.00930582997914</v>
      </c>
      <c r="H164" s="709" t="n">
        <f aca="false">IF(VIN_nom&gt;Vout, 0, -ATAN(A164/z_RHP))</f>
        <v>-0.135898734690367</v>
      </c>
      <c r="I164" s="707" t="n">
        <f aca="false">SQRT(1+(A164/Pole2)^2)</f>
        <v>38272.4063298677</v>
      </c>
      <c r="J164" s="710" t="n">
        <f aca="false">ATAN(A164/Pole2)</f>
        <v>1.57077019830976</v>
      </c>
      <c r="K164" s="719" t="n">
        <f aca="false">SQRT(1+(A164/Zero2)^2)</f>
        <v>11.8837936183708</v>
      </c>
      <c r="L164" s="720" t="n">
        <f aca="false">ATAN(A164/Zero2)</f>
        <v>1.48654848791701</v>
      </c>
      <c r="M164" s="707" t="n">
        <f aca="false">SQRT(1+(A164/pole4)^2)</f>
        <v>1.06552963205151</v>
      </c>
      <c r="N164" s="710" t="n">
        <f aca="false">ATAN(A164/pole4)</f>
        <v>0.352535105097055</v>
      </c>
      <c r="O164" s="711" t="n">
        <f aca="false">SQRT((1-(V164/pterm2))^2+(A164/pterm1)^2)</f>
        <v>1.00445744385654</v>
      </c>
      <c r="P164" s="712" t="n">
        <f aca="false">IF((ATAN((A164/pterm1)/(1-A164^2/pterm2))&gt;0),ATAN((A164/pterm1)/(1-A164^2/pterm2)),PI()+ATAN((A164/pterm1)/(1-A164^2/pterm2)))</f>
        <v>0.128182939153163</v>
      </c>
      <c r="Q164" s="713" t="n">
        <f aca="false">20*LOG10(((E164*K164*G164)/(C164*I164*O164*M164))*Adc)</f>
        <v>-5.41551986441898</v>
      </c>
      <c r="R164" s="714" t="n">
        <f aca="false">((F164+L164+H164)-(D164+J164+P164+N164))*radconv</f>
        <v>-119.910101863537</v>
      </c>
      <c r="S164" s="717" t="n">
        <f aca="false">IF(R164&gt;0,R164,R164+180)</f>
        <v>60.0898981364625</v>
      </c>
      <c r="U164" s="644" t="n">
        <f aca="false">IF(Q164&lt;0,A164,1000000000)</f>
        <v>9226.3</v>
      </c>
      <c r="V164" s="644" t="n">
        <f aca="false">A164^2</f>
        <v>85124611.69</v>
      </c>
      <c r="X164" s="716" t="n">
        <f aca="false">20*LOG10((K164/(I164*M164))*AEA)</f>
        <v>17.3867503391434</v>
      </c>
      <c r="Y164" s="717" t="n">
        <f aca="false">(L164-(J164+N164))*radconv</f>
        <v>-25.0243222297343</v>
      </c>
      <c r="AA164" s="716" t="n">
        <f aca="false">20*LOG10((E164*G164/(C164*O164))*Acs*Am)</f>
        <v>28.678355150992</v>
      </c>
      <c r="AB164" s="717" t="n">
        <f aca="false">(F164+H164-(D164+P164))*radconv</f>
        <v>-94.8857796338032</v>
      </c>
      <c r="AD164" s="0" t="n">
        <f aca="false">SUM((Q165&lt;0)*(Q164&gt;0))*A164</f>
        <v>0</v>
      </c>
      <c r="AE164" s="0" t="n">
        <f aca="false">IF(AD164&gt;0,S164,0)</f>
        <v>0</v>
      </c>
    </row>
    <row r="165" customFormat="false" ht="12.75" hidden="false" customHeight="false" outlineLevel="0" collapsed="false">
      <c r="A165" s="718" t="n">
        <v>9279.4</v>
      </c>
      <c r="B165" s="706" t="n">
        <f aca="false">A165/1000</f>
        <v>9.2794</v>
      </c>
      <c r="C165" s="707" t="n">
        <f aca="false">SQRT(1+(A165/pole1)^2)</f>
        <v>15.878172490247</v>
      </c>
      <c r="D165" s="708" t="n">
        <f aca="false">ATAN(A165/pole1)</f>
        <v>1.50777507836366</v>
      </c>
      <c r="E165" s="708" t="n">
        <f aca="false">SQRT(1+(A165/Zero1)^2)</f>
        <v>1.00677580132501</v>
      </c>
      <c r="F165" s="709" t="n">
        <f aca="false">ATAN(A165/Zero1)</f>
        <v>0.116084121874995</v>
      </c>
      <c r="G165" s="708" t="n">
        <f aca="false">IF(VIN_nom&gt;Vout, 1, SQRT(1+(A165/z_RHP)^2))</f>
        <v>1.0094127527665</v>
      </c>
      <c r="H165" s="709" t="n">
        <f aca="false">IF(VIN_nom&gt;Vout, 0, -ATAN(A165/z_RHP))</f>
        <v>-0.136671194694726</v>
      </c>
      <c r="I165" s="707" t="n">
        <f aca="false">SQRT(1+(A165/Pole2)^2)</f>
        <v>38492.6749938752</v>
      </c>
      <c r="J165" s="710" t="n">
        <f aca="false">ATAN(A165/Pole2)</f>
        <v>1.57077034782616</v>
      </c>
      <c r="K165" s="719" t="n">
        <f aca="false">SQRT(1+(A165/Zero2)^2)</f>
        <v>11.9517053343899</v>
      </c>
      <c r="L165" s="720" t="n">
        <f aca="false">ATAN(A165/Zero2)</f>
        <v>1.48702832522988</v>
      </c>
      <c r="M165" s="707" t="n">
        <f aca="false">SQRT(1+(A165/pole4)^2)</f>
        <v>1.06626257333425</v>
      </c>
      <c r="N165" s="710" t="n">
        <f aca="false">ATAN(A165/pole4)</f>
        <v>0.354398788265386</v>
      </c>
      <c r="O165" s="711" t="n">
        <f aca="false">SQRT((1-(V165/pterm2))^2+(A165/pterm1)^2)</f>
        <v>1.00450886694591</v>
      </c>
      <c r="P165" s="712" t="n">
        <f aca="false">IF((ATAN((A165/pterm1)/(1-A165^2/pterm2))&gt;0),ATAN((A165/pterm1)/(1-A165^2/pterm2)),PI()+ATAN((A165/pterm1)/(1-A165^2/pterm2)))</f>
        <v>0.128918134711952</v>
      </c>
      <c r="Q165" s="713" t="n">
        <f aca="false">20*LOG10(((E165*K165*G165)/(C165*I165*O165*M165))*Adc)</f>
        <v>-5.47035075519772</v>
      </c>
      <c r="R165" s="714" t="n">
        <f aca="false">((F165+L165+H165)-(D165+J165+P165+N165))*radconv</f>
        <v>-120.058785284038</v>
      </c>
      <c r="S165" s="717" t="n">
        <f aca="false">IF(R165&gt;0,R165,R165+180)</f>
        <v>59.9412147159619</v>
      </c>
      <c r="U165" s="644" t="n">
        <f aca="false">IF(Q165&lt;0,A165,1000000000)</f>
        <v>9279.4</v>
      </c>
      <c r="V165" s="644" t="n">
        <f aca="false">A165^2</f>
        <v>86107264.36</v>
      </c>
      <c r="X165" s="716" t="n">
        <f aca="false">20*LOG10((K165/(I165*M165))*AEA)</f>
        <v>17.3804267122327</v>
      </c>
      <c r="Y165" s="717" t="n">
        <f aca="false">(L165-(J165+N165))*radconv</f>
        <v>-25.1036193234983</v>
      </c>
      <c r="AA165" s="716" t="n">
        <f aca="false">20*LOG10((E165*G165/(C165*O165))*Acs*Am)</f>
        <v>28.6298478871239</v>
      </c>
      <c r="AB165" s="717" t="n">
        <f aca="false">(F165+H165-(D165+P165))*radconv</f>
        <v>-94.9551659605399</v>
      </c>
      <c r="AD165" s="0" t="n">
        <f aca="false">SUM((Q166&lt;0)*(Q165&gt;0))*A165</f>
        <v>0</v>
      </c>
      <c r="AE165" s="0" t="n">
        <f aca="false">IF(AD165&gt;0,S165,0)</f>
        <v>0</v>
      </c>
    </row>
    <row r="166" customFormat="false" ht="12.75" hidden="false" customHeight="false" outlineLevel="0" collapsed="false">
      <c r="A166" s="718" t="n">
        <v>9332.5</v>
      </c>
      <c r="B166" s="706" t="n">
        <f aca="false">A166/1000</f>
        <v>9.3325</v>
      </c>
      <c r="C166" s="707" t="n">
        <f aca="false">SQRT(1+(A166/pole1)^2)</f>
        <v>15.9686736241648</v>
      </c>
      <c r="D166" s="708" t="n">
        <f aca="false">ATAN(A166/pole1)</f>
        <v>1.50813271564053</v>
      </c>
      <c r="E166" s="708" t="n">
        <f aca="false">SQRT(1+(A166/Zero1)^2)</f>
        <v>1.00685330556792</v>
      </c>
      <c r="F166" s="709" t="n">
        <f aca="false">ATAN(A166/Zero1)</f>
        <v>0.116742393973311</v>
      </c>
      <c r="G166" s="708" t="n">
        <f aca="false">IF(VIN_nom&gt;Vout, 1, SQRT(1+(A166/z_RHP)^2))</f>
        <v>1.00952027773705</v>
      </c>
      <c r="H166" s="709" t="n">
        <f aca="false">IF(VIN_nom&gt;Vout, 0, -ATAN(A166/z_RHP))</f>
        <v>-0.137443490608921</v>
      </c>
      <c r="I166" s="707" t="n">
        <f aca="false">SQRT(1+(A166/Pole2)^2)</f>
        <v>38712.9436578835</v>
      </c>
      <c r="J166" s="710" t="n">
        <f aca="false">ATAN(A166/Pole2)</f>
        <v>1.57077049564114</v>
      </c>
      <c r="K166" s="719" t="n">
        <f aca="false">SQRT(1+(A166/Zero2)^2)</f>
        <v>12.0196197711193</v>
      </c>
      <c r="L166" s="720" t="n">
        <f aca="false">ATAN(A166/Zero2)</f>
        <v>1.48750274020309</v>
      </c>
      <c r="M166" s="707" t="n">
        <f aca="false">SQRT(1+(A166/pole4)^2)</f>
        <v>1.06699921298727</v>
      </c>
      <c r="N166" s="710" t="n">
        <f aca="false">ATAN(A166/pole4)</f>
        <v>0.356259904574824</v>
      </c>
      <c r="O166" s="711" t="n">
        <f aca="false">SQRT((1-(V166/pterm2))^2+(A166/pterm1)^2)</f>
        <v>1.00456058440074</v>
      </c>
      <c r="P166" s="712" t="n">
        <f aca="false">IF((ATAN((A166/pterm1)/(1-A166^2/pterm2))&gt;0),ATAN((A166/pterm1)/(1-A166^2/pterm2)),PI()+ATAN((A166/pterm1)/(1-A166^2/pterm2)))</f>
        <v>0.12965328686182</v>
      </c>
      <c r="Q166" s="713" t="n">
        <f aca="false">20*LOG10(((E166*K166*G166)/(C166*I166*O166*M166))*Adc)</f>
        <v>-5.52491437681227</v>
      </c>
      <c r="R166" s="714" t="n">
        <f aca="false">((F166+L166+H166)-(D166+J166+P166+N166))*radconv</f>
        <v>-120.207391192855</v>
      </c>
      <c r="S166" s="717" t="n">
        <f aca="false">IF(R166&gt;0,R166,R166+180)</f>
        <v>59.7926088071446</v>
      </c>
      <c r="U166" s="644" t="n">
        <f aca="false">IF(Q166&lt;0,A166,1000000000)</f>
        <v>9332.5</v>
      </c>
      <c r="V166" s="644" t="n">
        <f aca="false">A166^2</f>
        <v>87095556.25</v>
      </c>
      <c r="X166" s="716" t="n">
        <f aca="false">20*LOG10((K166/(I166*M166))*AEA)</f>
        <v>17.3740830287972</v>
      </c>
      <c r="Y166" s="717" t="n">
        <f aca="false">(L166-(J166+N166))*radconv</f>
        <v>-25.1830799267743</v>
      </c>
      <c r="AA166" s="716" t="n">
        <f aca="false">20*LOG10((E166*G166/(C166*O166))*Acs*Am)</f>
        <v>28.581627948945</v>
      </c>
      <c r="AB166" s="717" t="n">
        <f aca="false">(F166+H166-(D166+P166))*radconv</f>
        <v>-95.0243112660811</v>
      </c>
      <c r="AD166" s="0" t="n">
        <f aca="false">SUM((Q167&lt;0)*(Q166&gt;0))*A166</f>
        <v>0</v>
      </c>
      <c r="AE166" s="0" t="n">
        <f aca="false">IF(AD166&gt;0,S166,0)</f>
        <v>0</v>
      </c>
    </row>
    <row r="167" customFormat="false" ht="12.75" hidden="false" customHeight="false" outlineLevel="0" collapsed="false">
      <c r="A167" s="718" t="n">
        <v>9386.85</v>
      </c>
      <c r="B167" s="706" t="n">
        <f aca="false">A167/1000</f>
        <v>9.38685</v>
      </c>
      <c r="C167" s="707" t="n">
        <f aca="false">SQRT(1+(A167/pole1)^2)</f>
        <v>16.0613072901216</v>
      </c>
      <c r="D167" s="708" t="n">
        <f aca="false">ATAN(A167/pole1)</f>
        <v>1.508494598015</v>
      </c>
      <c r="E167" s="708" t="n">
        <f aca="false">SQRT(1+(A167/Zero1)^2)</f>
        <v>1.00693308604669</v>
      </c>
      <c r="F167" s="709" t="n">
        <f aca="false">ATAN(A167/Zero1)</f>
        <v>0.11741605687767</v>
      </c>
      <c r="G167" s="708" t="n">
        <f aca="false">IF(VIN_nom&gt;Vout, 1, SQRT(1+(A167/z_RHP)^2))</f>
        <v>1.00963095731083</v>
      </c>
      <c r="H167" s="709" t="n">
        <f aca="false">IF(VIN_nom&gt;Vout, 0, -ATAN(A167/z_RHP))</f>
        <v>-0.138233795910659</v>
      </c>
      <c r="I167" s="707" t="n">
        <f aca="false">SQRT(1+(A167/Pole2)^2)</f>
        <v>38938.3975540963</v>
      </c>
      <c r="J167" s="710" t="n">
        <f aca="false">ATAN(A167/Pole2)</f>
        <v>1.5707706452039</v>
      </c>
      <c r="K167" s="719" t="n">
        <f aca="false">SQRT(1+(A167/Zero2)^2)</f>
        <v>12.0891357166201</v>
      </c>
      <c r="L167" s="720" t="n">
        <f aca="false">ATAN(A167/Zero2)</f>
        <v>1.48798280298702</v>
      </c>
      <c r="M167" s="707" t="n">
        <f aca="false">SQRT(1+(A167/pole4)^2)</f>
        <v>1.06775701549631</v>
      </c>
      <c r="N167" s="710" t="n">
        <f aca="false">ATAN(A167/pole4)</f>
        <v>0.358162166368626</v>
      </c>
      <c r="O167" s="711" t="n">
        <f aca="false">SQRT((1-(V167/pterm2))^2+(A167/pterm1)^2)</f>
        <v>1.00461382413792</v>
      </c>
      <c r="P167" s="712" t="n">
        <f aca="false">IF((ATAN((A167/pterm1)/(1-A167^2/pterm2))&gt;0),ATAN((A167/pterm1)/(1-A167^2/pterm2)),PI()+ATAN((A167/pterm1)/(1-A167^2/pterm2)))</f>
        <v>0.130405699646688</v>
      </c>
      <c r="Q167" s="713" t="n">
        <f aca="false">20*LOG10(((E167*K167*G167)/(C167*I167*O167*M167))*Adc)</f>
        <v>-5.5804889809179</v>
      </c>
      <c r="R167" s="714" t="n">
        <f aca="false">((F167+L167+H167)-(D167+J167+P167+N167))*radconv</f>
        <v>-120.359413290081</v>
      </c>
      <c r="S167" s="717" t="n">
        <f aca="false">IF(R167&gt;0,R167,R167+180)</f>
        <v>59.6405867099186</v>
      </c>
      <c r="U167" s="644" t="n">
        <f aca="false">IF(Q167&lt;0,A167,1000000000)</f>
        <v>9386.85</v>
      </c>
      <c r="V167" s="644" t="n">
        <f aca="false">A167^2</f>
        <v>88112952.9225</v>
      </c>
      <c r="X167" s="716" t="n">
        <f aca="false">20*LOG10((K167/(I167*M167))*AEA)</f>
        <v>17.3675692265832</v>
      </c>
      <c r="Y167" s="717" t="n">
        <f aca="false">(L167-(J167+N167))*radconv</f>
        <v>-25.2645744970756</v>
      </c>
      <c r="AA167" s="716" t="n">
        <f aca="false">20*LOG10((E167*G167/(C167*O167))*Acs*Am)</f>
        <v>28.5325671470533</v>
      </c>
      <c r="AB167" s="717" t="n">
        <f aca="false">(F167+H167-(D167+P167))*radconv</f>
        <v>-95.0948387930058</v>
      </c>
      <c r="AD167" s="0" t="n">
        <f aca="false">SUM((Q168&lt;0)*(Q167&gt;0))*A167</f>
        <v>0</v>
      </c>
      <c r="AE167" s="0" t="n">
        <f aca="false">IF(AD167&gt;0,S167,0)</f>
        <v>0</v>
      </c>
    </row>
    <row r="168" customFormat="false" ht="12.75" hidden="false" customHeight="false" outlineLevel="0" collapsed="false">
      <c r="A168" s="718" t="n">
        <v>9441.2</v>
      </c>
      <c r="B168" s="706" t="n">
        <f aca="false">A168/1000</f>
        <v>9.4412</v>
      </c>
      <c r="C168" s="707" t="n">
        <f aca="false">SQRT(1+(A168/pole1)^2)</f>
        <v>16.1539430353253</v>
      </c>
      <c r="D168" s="708" t="n">
        <f aca="false">ATAN(A168/pole1)</f>
        <v>1.50885232996396</v>
      </c>
      <c r="E168" s="708" t="n">
        <f aca="false">SQRT(1+(A168/Zero1)^2)</f>
        <v>1.00701332342102</v>
      </c>
      <c r="F168" s="709" t="n">
        <f aca="false">ATAN(A168/Zero1)</f>
        <v>0.118089612734678</v>
      </c>
      <c r="G168" s="708" t="n">
        <f aca="false">IF(VIN_nom&gt;Vout, 1, SQRT(1+(A168/z_RHP)^2))</f>
        <v>1.00974226734393</v>
      </c>
      <c r="H168" s="709" t="n">
        <f aca="false">IF(VIN_nom&gt;Vout, 0, -ATAN(A168/z_RHP))</f>
        <v>-0.139023927465487</v>
      </c>
      <c r="I168" s="707" t="n">
        <f aca="false">SQRT(1+(A168/Pole2)^2)</f>
        <v>39163.85145031</v>
      </c>
      <c r="J168" s="710" t="n">
        <f aca="false">ATAN(A168/Pole2)</f>
        <v>1.57077079304469</v>
      </c>
      <c r="K168" s="719" t="n">
        <f aca="false">SQRT(1+(A168/Zero2)^2)</f>
        <v>12.1586544163279</v>
      </c>
      <c r="L168" s="720" t="n">
        <f aca="false">ATAN(A168/Zero2)</f>
        <v>1.48845737623555</v>
      </c>
      <c r="M168" s="707" t="n">
        <f aca="false">SQRT(1+(A168/pole4)^2)</f>
        <v>1.0685186763022</v>
      </c>
      <c r="N168" s="710" t="n">
        <f aca="false">ATAN(A168/pole4)</f>
        <v>0.360061723089925</v>
      </c>
      <c r="O168" s="711" t="n">
        <f aca="false">SQRT((1-(V168/pterm2))^2+(A168/pterm1)^2)</f>
        <v>1.00466737223594</v>
      </c>
      <c r="P168" s="712" t="n">
        <f aca="false">IF((ATAN((A168/pterm1)/(1-A168^2/pterm2))&gt;0),ATAN((A168/pterm1)/(1-A168^2/pterm2)),PI()+ATAN((A168/pterm1)/(1-A168^2/pterm2)))</f>
        <v>0.131158066441447</v>
      </c>
      <c r="Q168" s="713" t="n">
        <f aca="false">20*LOG10(((E168*K168*G168)/(C168*I168*O168*M168))*Adc)</f>
        <v>-5.63579024451427</v>
      </c>
      <c r="R168" s="714" t="n">
        <f aca="false">((F168+L168+H168)-(D168+J168+P168+N168))*radconv</f>
        <v>-120.511350568111</v>
      </c>
      <c r="S168" s="717" t="n">
        <f aca="false">IF(R168&gt;0,R168,R168+180)</f>
        <v>59.4886494318894</v>
      </c>
      <c r="U168" s="644" t="n">
        <f aca="false">IF(Q168&lt;0,A168,1000000000)</f>
        <v>9441.2</v>
      </c>
      <c r="V168" s="644" t="n">
        <f aca="false">A168^2</f>
        <v>89136257.44</v>
      </c>
      <c r="X168" s="716" t="n">
        <f aca="false">20*LOG10((K168/(I168*M168))*AEA)</f>
        <v>17.3610343859623</v>
      </c>
      <c r="Y168" s="717" t="n">
        <f aca="false">(L168-(J168+N168))*radconv</f>
        <v>-25.346228506688</v>
      </c>
      <c r="AA168" s="716" t="n">
        <f aca="false">20*LOG10((E168*G168/(C168*O168))*Acs*Am)</f>
        <v>28.4838007240778</v>
      </c>
      <c r="AB168" s="717" t="n">
        <f aca="false">(F168+H168-(D168+P168))*radconv</f>
        <v>-95.1651220614227</v>
      </c>
      <c r="AD168" s="0" t="n">
        <f aca="false">SUM((Q169&lt;0)*(Q168&gt;0))*A168</f>
        <v>0</v>
      </c>
      <c r="AE168" s="0" t="n">
        <f aca="false">IF(AD168&gt;0,S168,0)</f>
        <v>0</v>
      </c>
    </row>
    <row r="169" customFormat="false" ht="12.75" hidden="false" customHeight="false" outlineLevel="0" collapsed="false">
      <c r="A169" s="718" t="n">
        <v>9495.55</v>
      </c>
      <c r="B169" s="706" t="n">
        <f aca="false">A169/1000</f>
        <v>9.49555</v>
      </c>
      <c r="C169" s="707" t="n">
        <f aca="false">SQRT(1+(A169/pole1)^2)</f>
        <v>16.2465808242093</v>
      </c>
      <c r="D169" s="708" t="n">
        <f aca="false">ATAN(A169/pole1)</f>
        <v>1.50920598239206</v>
      </c>
      <c r="E169" s="708" t="n">
        <f aca="false">SQRT(1+(A169/Zero1)^2)</f>
        <v>1.00709401758172</v>
      </c>
      <c r="F169" s="709" t="n">
        <f aca="false">ATAN(A169/Zero1)</f>
        <v>0.118763060958841</v>
      </c>
      <c r="G169" s="708" t="n">
        <f aca="false">IF(VIN_nom&gt;Vout, 1, SQRT(1+(A169/z_RHP)^2))</f>
        <v>1.00985420762789</v>
      </c>
      <c r="H169" s="709" t="n">
        <f aca="false">IF(VIN_nom&gt;Vout, 0, -ATAN(A169/z_RHP))</f>
        <v>-0.13981388434445</v>
      </c>
      <c r="I169" s="707" t="n">
        <f aca="false">SQRT(1+(A169/Pole2)^2)</f>
        <v>39389.3053465245</v>
      </c>
      <c r="J169" s="710" t="n">
        <f aca="false">ATAN(A169/Pole2)</f>
        <v>1.57077093919308</v>
      </c>
      <c r="K169" s="719" t="n">
        <f aca="false">SQRT(1+(A169/Zero2)^2)</f>
        <v>12.2281758232687</v>
      </c>
      <c r="L169" s="720" t="n">
        <f aca="false">ATAN(A169/Zero2)</f>
        <v>1.48892655336278</v>
      </c>
      <c r="M169" s="707" t="n">
        <f aca="false">SQRT(1+(A169/pole4)^2)</f>
        <v>1.06928418716004</v>
      </c>
      <c r="N169" s="710" t="n">
        <f aca="false">ATAN(A169/pole4)</f>
        <v>0.361958566825551</v>
      </c>
      <c r="O169" s="711" t="n">
        <f aca="false">SQRT((1-(V169/pterm2))^2+(A169/pterm1)^2)</f>
        <v>1.00472122868115</v>
      </c>
      <c r="P169" s="712" t="n">
        <f aca="false">IF((ATAN((A169/pterm1)/(1-A169^2/pterm2))&gt;0),ATAN((A169/pterm1)/(1-A169^2/pterm2)),PI()+ATAN((A169/pterm1)/(1-A169^2/pterm2)))</f>
        <v>0.131910386986582</v>
      </c>
      <c r="Q169" s="713" t="n">
        <f aca="false">20*LOG10(((E169*K169*G169)/(C169*I169*O169*M169))*Adc)</f>
        <v>-5.69082144593629</v>
      </c>
      <c r="R169" s="714" t="n">
        <f aca="false">((F169+L169+H169)-(D169+J169+P169+N169))*radconv</f>
        <v>-120.663201251002</v>
      </c>
      <c r="S169" s="717" t="n">
        <f aca="false">IF(R169&gt;0,R169,R169+180)</f>
        <v>59.3367987489983</v>
      </c>
      <c r="U169" s="644" t="n">
        <f aca="false">IF(Q169&lt;0,A169,1000000000)</f>
        <v>9495.55</v>
      </c>
      <c r="V169" s="644" t="n">
        <f aca="false">A169^2</f>
        <v>90165469.8025</v>
      </c>
      <c r="X169" s="716" t="n">
        <f aca="false">20*LOG10((K169/(I169*M169))*AEA)</f>
        <v>17.3544784996462</v>
      </c>
      <c r="Y169" s="717" t="n">
        <f aca="false">(L169-(J169+N169))*radconv</f>
        <v>-25.4280361516799</v>
      </c>
      <c r="AA169" s="716" t="n">
        <f aca="false">20*LOG10((E169*G169/(C169*O169))*Acs*Am)</f>
        <v>28.4353254089719</v>
      </c>
      <c r="AB169" s="717" t="n">
        <f aca="false">(F169+H169-(D169+P169))*radconv</f>
        <v>-95.2351650993218</v>
      </c>
      <c r="AD169" s="0" t="n">
        <f aca="false">SUM((Q170&lt;0)*(Q169&gt;0))*A169</f>
        <v>0</v>
      </c>
      <c r="AE169" s="0" t="n">
        <f aca="false">IF(AD169&gt;0,S169,0)</f>
        <v>0</v>
      </c>
    </row>
    <row r="170" customFormat="false" ht="12.75" hidden="false" customHeight="false" outlineLevel="0" collapsed="false">
      <c r="A170" s="718" t="n">
        <v>9549.9</v>
      </c>
      <c r="B170" s="706" t="n">
        <f aca="false">A170/1000</f>
        <v>9.5499</v>
      </c>
      <c r="C170" s="707" t="n">
        <f aca="false">SQRT(1+(A170/pole1)^2)</f>
        <v>16.3392206220126</v>
      </c>
      <c r="D170" s="708" t="n">
        <f aca="false">ATAN(A170/pole1)</f>
        <v>1.50955562460006</v>
      </c>
      <c r="E170" s="708" t="n">
        <f aca="false">SQRT(1+(A170/Zero1)^2)</f>
        <v>1.00717516841898</v>
      </c>
      <c r="F170" s="709" t="n">
        <f aca="false">ATAN(A170/Zero1)</f>
        <v>0.119436400965241</v>
      </c>
      <c r="G170" s="708" t="n">
        <f aca="false">IF(VIN_nom&gt;Vout, 1, SQRT(1+(A170/z_RHP)^2))</f>
        <v>1.00996677795313</v>
      </c>
      <c r="H170" s="709" t="n">
        <f aca="false">IF(VIN_nom&gt;Vout, 0, -ATAN(A170/z_RHP))</f>
        <v>-0.140603665619878</v>
      </c>
      <c r="I170" s="707" t="n">
        <f aca="false">SQRT(1+(A170/Pole2)^2)</f>
        <v>39614.7592427399</v>
      </c>
      <c r="J170" s="710" t="n">
        <f aca="false">ATAN(A170/Pole2)</f>
        <v>1.57077108367796</v>
      </c>
      <c r="K170" s="719" t="n">
        <f aca="false">SQRT(1+(A170/Zero2)^2)</f>
        <v>12.2976998915289</v>
      </c>
      <c r="L170" s="720" t="n">
        <f aca="false">ATAN(A170/Zero2)</f>
        <v>1.48939042568002</v>
      </c>
      <c r="M170" s="707" t="n">
        <f aca="false">SQRT(1+(A170/pole4)^2)</f>
        <v>1.07005353980692</v>
      </c>
      <c r="N170" s="710" t="n">
        <f aca="false">ATAN(A170/pole4)</f>
        <v>0.363852689763011</v>
      </c>
      <c r="O170" s="711" t="n">
        <f aca="false">SQRT((1-(V170/pterm2))^2+(A170/pterm1)^2)</f>
        <v>1.00477539345983</v>
      </c>
      <c r="P170" s="712" t="n">
        <f aca="false">IF((ATAN((A170/pterm1)/(1-A170^2/pterm2))&gt;0),ATAN((A170/pterm1)/(1-A170^2/pterm2)),PI()+ATAN((A170/pterm1)/(1-A170^2/pterm2)))</f>
        <v>0.132662661022692</v>
      </c>
      <c r="Q170" s="713" t="n">
        <f aca="false">20*LOG10(((E170*K170*G170)/(C170*I170*O170*M170))*Adc)</f>
        <v>-5.74558580455385</v>
      </c>
      <c r="R170" s="714" t="n">
        <f aca="false">((F170+L170+H170)-(D170+J170+P170+N170))*radconv</f>
        <v>-120.814963597175</v>
      </c>
      <c r="S170" s="717" t="n">
        <f aca="false">IF(R170&gt;0,R170,R170+180)</f>
        <v>59.1850364028255</v>
      </c>
      <c r="U170" s="644" t="n">
        <f aca="false">IF(Q170&lt;0,A170,1000000000)</f>
        <v>9549.9</v>
      </c>
      <c r="V170" s="644" t="n">
        <f aca="false">A170^2</f>
        <v>91200590.01</v>
      </c>
      <c r="X170" s="716" t="n">
        <f aca="false">20*LOG10((K170/(I170*M170))*AEA)</f>
        <v>17.3479015642683</v>
      </c>
      <c r="Y170" s="717" t="n">
        <f aca="false">(L170-(J170+N170))*radconv</f>
        <v>-25.5099917543322</v>
      </c>
      <c r="AA170" s="716" t="n">
        <f aca="false">20*LOG10((E170*G170/(C170*O170))*Acs*Am)</f>
        <v>28.3871379857322</v>
      </c>
      <c r="AB170" s="717" t="n">
        <f aca="false">(F170+H170-(D170+P170))*radconv</f>
        <v>-95.3049718428423</v>
      </c>
      <c r="AD170" s="0" t="n">
        <f aca="false">SUM((Q171&lt;0)*(Q170&gt;0))*A170</f>
        <v>0</v>
      </c>
      <c r="AE170" s="0" t="n">
        <f aca="false">IF(AD170&gt;0,S170,0)</f>
        <v>0</v>
      </c>
    </row>
    <row r="171" customFormat="false" ht="12.75" hidden="false" customHeight="false" outlineLevel="0" collapsed="false">
      <c r="A171" s="718" t="n">
        <v>9605.525</v>
      </c>
      <c r="B171" s="706" t="n">
        <f aca="false">A171/1000</f>
        <v>9.605525</v>
      </c>
      <c r="C171" s="707" t="n">
        <f aca="false">SQRT(1+(A171/pole1)^2)</f>
        <v>16.4340357072527</v>
      </c>
      <c r="D171" s="708" t="n">
        <f aca="false">ATAN(A171/pole1)</f>
        <v>1.50990938733202</v>
      </c>
      <c r="E171" s="708" t="n">
        <f aca="false">SQRT(1+(A171/Zero1)^2)</f>
        <v>1.00725869573558</v>
      </c>
      <c r="F171" s="709" t="n">
        <f aca="false">ATAN(A171/Zero1)</f>
        <v>0.120125424230997</v>
      </c>
      <c r="G171" s="708" t="n">
        <f aca="false">IF(VIN_nom&gt;Vout, 1, SQRT(1+(A171/z_RHP)^2))</f>
        <v>1.01008264123765</v>
      </c>
      <c r="H171" s="709" t="n">
        <f aca="false">IF(VIN_nom&gt;Vout, 0, -ATAN(A171/z_RHP))</f>
        <v>-0.141411791625101</v>
      </c>
      <c r="I171" s="707" t="n">
        <f aca="false">SQRT(1+(A171/Pole2)^2)</f>
        <v>39845.5020758038</v>
      </c>
      <c r="J171" s="710" t="n">
        <f aca="false">ATAN(A171/Pole2)</f>
        <v>1.57077122985928</v>
      </c>
      <c r="K171" s="719" t="n">
        <f aca="false">SQRT(1+(A171/Zero2)^2)</f>
        <v>12.3688576380596</v>
      </c>
      <c r="L171" s="720" t="n">
        <f aca="false">ATAN(A171/Zero2)</f>
        <v>1.48985978021157</v>
      </c>
      <c r="M171" s="707" t="n">
        <f aca="false">SQRT(1+(A171/pole4)^2)</f>
        <v>1.07084491013687</v>
      </c>
      <c r="N171" s="710" t="n">
        <f aca="false">ATAN(A171/pole4)</f>
        <v>0.365788421711989</v>
      </c>
      <c r="O171" s="711" t="n">
        <f aca="false">SQRT((1-(V171/pterm2))^2+(A171/pterm1)^2)</f>
        <v>1.00483114814714</v>
      </c>
      <c r="P171" s="712" t="n">
        <f aca="false">IF((ATAN((A171/pterm1)/(1-A171^2/pterm2))&gt;0),ATAN((A171/pterm1)/(1-A171^2/pterm2)),PI()+ATAN((A171/pterm1)/(1-A171^2/pterm2)))</f>
        <v>0.133432534272799</v>
      </c>
      <c r="Q171" s="713" t="n">
        <f aca="false">20*LOG10(((E171*K171*G171)/(C171*I171*O171*M171))*Adc)</f>
        <v>-5.80136187673188</v>
      </c>
      <c r="R171" s="714" t="n">
        <f aca="false">((F171+L171+H171)-(D171+J171+P171+N171))*radconv</f>
        <v>-120.970192893898</v>
      </c>
      <c r="S171" s="717" t="n">
        <f aca="false">IF(R171&gt;0,R171,R171+180)</f>
        <v>59.0298071061019</v>
      </c>
      <c r="U171" s="644" t="n">
        <f aca="false">IF(Q171&lt;0,A171,1000000000)</f>
        <v>9605.525</v>
      </c>
      <c r="V171" s="644" t="n">
        <f aca="false">A171^2</f>
        <v>92266110.525625</v>
      </c>
      <c r="X171" s="716" t="n">
        <f aca="false">20*LOG10((K171/(I171*M171))*AEA)</f>
        <v>17.3411485450795</v>
      </c>
      <c r="Y171" s="717" t="n">
        <f aca="false">(L171-(J171+N171))*radconv</f>
        <v>-25.5940173671933</v>
      </c>
      <c r="AA171" s="716" t="n">
        <f aca="false">20*LOG10((E171*G171/(C171*O171))*Acs*Am)</f>
        <v>28.338114932743</v>
      </c>
      <c r="AB171" s="717" t="n">
        <f aca="false">(F171+H171-(D171+P171))*radconv</f>
        <v>-95.3761755267048</v>
      </c>
      <c r="AD171" s="0" t="n">
        <f aca="false">SUM((Q172&lt;0)*(Q171&gt;0))*A171</f>
        <v>0</v>
      </c>
      <c r="AE171" s="0" t="n">
        <f aca="false">IF(AD171&gt;0,S171,0)</f>
        <v>0</v>
      </c>
    </row>
    <row r="172" customFormat="false" ht="12.75" hidden="false" customHeight="false" outlineLevel="0" collapsed="false">
      <c r="A172" s="718" t="n">
        <v>9661.15</v>
      </c>
      <c r="B172" s="706" t="n">
        <f aca="false">A172/1000</f>
        <v>9.66115</v>
      </c>
      <c r="C172" s="707" t="n">
        <f aca="false">SQRT(1+(A172/pole1)^2)</f>
        <v>16.5288528255847</v>
      </c>
      <c r="D172" s="708" t="n">
        <f aca="false">ATAN(A172/pole1)</f>
        <v>1.51025909141515</v>
      </c>
      <c r="E172" s="708" t="n">
        <f aca="false">SQRT(1+(A172/Zero1)^2)</f>
        <v>1.0073427011719</v>
      </c>
      <c r="F172" s="709" t="n">
        <f aca="false">ATAN(A172/Zero1)</f>
        <v>0.12081433290419</v>
      </c>
      <c r="G172" s="708" t="n">
        <f aca="false">IF(VIN_nom&gt;Vout, 1, SQRT(1+(A172/z_RHP)^2))</f>
        <v>1.0101991640229</v>
      </c>
      <c r="H172" s="709" t="n">
        <f aca="false">IF(VIN_nom&gt;Vout, 0, -ATAN(A172/z_RHP))</f>
        <v>-0.142219731729094</v>
      </c>
      <c r="I172" s="707" t="n">
        <f aca="false">SQRT(1+(A172/Pole2)^2)</f>
        <v>40076.2449088686</v>
      </c>
      <c r="J172" s="710" t="n">
        <f aca="false">ATAN(A172/Pole2)</f>
        <v>1.5707713743573</v>
      </c>
      <c r="K172" s="719" t="n">
        <f aca="false">SQRT(1+(A172/Zero2)^2)</f>
        <v>12.4400180781993</v>
      </c>
      <c r="L172" s="720" t="n">
        <f aca="false">ATAN(A172/Zero2)</f>
        <v>1.49032376516164</v>
      </c>
      <c r="M172" s="707" t="n">
        <f aca="false">SQRT(1+(A172/pole4)^2)</f>
        <v>1.07164028705002</v>
      </c>
      <c r="N172" s="710" t="n">
        <f aca="false">ATAN(A172/pole4)</f>
        <v>0.367721287474246</v>
      </c>
      <c r="O172" s="711" t="n">
        <f aca="false">SQRT((1-(V172/pterm2))^2+(A172/pterm1)^2)</f>
        <v>1.0048872257747</v>
      </c>
      <c r="P172" s="712" t="n">
        <f aca="false">IF((ATAN((A172/pterm1)/(1-A172^2/pterm2))&gt;0),ATAN((A172/pterm1)/(1-A172^2/pterm2)),PI()+ATAN((A172/pterm1)/(1-A172^2/pterm2)))</f>
        <v>0.134202358256746</v>
      </c>
      <c r="Q172" s="713" t="n">
        <f aca="false">20*LOG10(((E172*K172*G172)/(C172*I172*O172*M172))*Adc)</f>
        <v>-5.85686507962266</v>
      </c>
      <c r="R172" s="714" t="n">
        <f aca="false">((F172+L172+H172)-(D172+J172+P172+N172))*radconv</f>
        <v>-121.125326076252</v>
      </c>
      <c r="S172" s="717" t="n">
        <f aca="false">IF(R172&gt;0,R172,R172+180)</f>
        <v>58.8746739237478</v>
      </c>
      <c r="U172" s="644" t="n">
        <f aca="false">IF(Q172&lt;0,A172,1000000000)</f>
        <v>9661.15</v>
      </c>
      <c r="V172" s="644" t="n">
        <f aca="false">A172^2</f>
        <v>93337819.3225</v>
      </c>
      <c r="X172" s="716" t="n">
        <f aca="false">20*LOG10((K172/(I172*M172))*AEA)</f>
        <v>17.3343734825357</v>
      </c>
      <c r="Y172" s="717" t="n">
        <f aca="false">(L172-(J172+N172))*radconv</f>
        <v>-25.6781863175622</v>
      </c>
      <c r="AA172" s="716" t="n">
        <f aca="false">20*LOG10((E172*G172/(C172*O172))*Acs*Am)</f>
        <v>28.2893867923961</v>
      </c>
      <c r="AB172" s="717" t="n">
        <f aca="false">(F172+H172-(D172+P172))*radconv</f>
        <v>-95.44713975869</v>
      </c>
      <c r="AD172" s="0" t="n">
        <f aca="false">SUM((Q173&lt;0)*(Q172&gt;0))*A172</f>
        <v>0</v>
      </c>
      <c r="AE172" s="0" t="n">
        <f aca="false">IF(AD172&gt;0,S172,0)</f>
        <v>0</v>
      </c>
    </row>
    <row r="173" customFormat="false" ht="12.75" hidden="false" customHeight="false" outlineLevel="0" collapsed="false">
      <c r="A173" s="718" t="n">
        <v>9716.775</v>
      </c>
      <c r="B173" s="706" t="n">
        <f aca="false">A173/1000</f>
        <v>9.716775</v>
      </c>
      <c r="C173" s="707" t="n">
        <f aca="false">SQRT(1+(A173/pole1)^2)</f>
        <v>16.6236719422201</v>
      </c>
      <c r="D173" s="708" t="n">
        <f aca="false">ATAN(A173/pole1)</f>
        <v>1.51060480621308</v>
      </c>
      <c r="E173" s="708" t="n">
        <f aca="false">SQRT(1+(A173/Zero1)^2)</f>
        <v>1.00742718460832</v>
      </c>
      <c r="F173" s="709" t="n">
        <f aca="false">ATAN(A173/Zero1)</f>
        <v>0.121503126359661</v>
      </c>
      <c r="G173" s="708" t="n">
        <f aca="false">IF(VIN_nom&gt;Vout, 1, SQRT(1+(A173/z_RHP)^2))</f>
        <v>1.01031634608068</v>
      </c>
      <c r="H173" s="709" t="n">
        <f aca="false">IF(VIN_nom&gt;Vout, 0, -ATAN(A173/z_RHP))</f>
        <v>-0.143027484941568</v>
      </c>
      <c r="I173" s="707" t="n">
        <f aca="false">SQRT(1+(A173/Pole2)^2)</f>
        <v>40306.9877419342</v>
      </c>
      <c r="J173" s="710" t="n">
        <f aca="false">ATAN(A173/Pole2)</f>
        <v>1.57077151720093</v>
      </c>
      <c r="K173" s="719" t="n">
        <f aca="false">SQRT(1+(A173/Zero2)^2)</f>
        <v>12.5111811659861</v>
      </c>
      <c r="L173" s="720" t="n">
        <f aca="false">ATAN(A173/Zero2)</f>
        <v>1.49078247195461</v>
      </c>
      <c r="M173" s="707" t="n">
        <f aca="false">SQRT(1+(A173/pole4)^2)</f>
        <v>1.07243966163189</v>
      </c>
      <c r="N173" s="710" t="n">
        <f aca="false">ATAN(A173/pole4)</f>
        <v>0.369651279000772</v>
      </c>
      <c r="O173" s="711" t="n">
        <f aca="false">SQRT((1-(V173/pterm2))^2+(A173/pterm1)^2)</f>
        <v>1.00494362632756</v>
      </c>
      <c r="P173" s="712" t="n">
        <f aca="false">IF((ATAN((A173/pterm1)/(1-A173^2/pterm2))&gt;0),ATAN((A173/pterm1)/(1-A173^2/pterm2)),PI()+ATAN((A173/pterm1)/(1-A173^2/pterm2)))</f>
        <v>0.134972132696825</v>
      </c>
      <c r="Q173" s="713" t="n">
        <f aca="false">20*LOG10(((E173*K173*G173)/(C173*I173*O173*M173))*Adc)</f>
        <v>-5.91209868143092</v>
      </c>
      <c r="R173" s="714" t="n">
        <f aca="false">((F173+L173+H173)-(D173+J173+P173+N173))*radconv</f>
        <v>-121.280361383899</v>
      </c>
      <c r="S173" s="717" t="n">
        <f aca="false">IF(R173&gt;0,R173,R173+180)</f>
        <v>58.7196386161006</v>
      </c>
      <c r="U173" s="644" t="n">
        <f aca="false">IF(Q173&lt;0,A173,1000000000)</f>
        <v>9716.775</v>
      </c>
      <c r="V173" s="644" t="n">
        <f aca="false">A173^2</f>
        <v>94415716.400625</v>
      </c>
      <c r="X173" s="716" t="n">
        <f aca="false">20*LOG10((K173/(I173*M173))*AEA)</f>
        <v>17.327576384926</v>
      </c>
      <c r="Y173" s="717" t="n">
        <f aca="false">(L173-(J173+N173))*radconv</f>
        <v>-25.7624929076899</v>
      </c>
      <c r="AA173" s="716" t="n">
        <f aca="false">20*LOG10((E173*G173/(C173*O173))*Acs*Am)</f>
        <v>28.2409502881974</v>
      </c>
      <c r="AB173" s="717" t="n">
        <f aca="false">(F173+H173-(D173+P173))*radconv</f>
        <v>-95.5178684762094</v>
      </c>
      <c r="AD173" s="0" t="n">
        <f aca="false">SUM((Q174&lt;0)*(Q173&gt;0))*A173</f>
        <v>0</v>
      </c>
      <c r="AE173" s="0" t="n">
        <f aca="false">IF(AD173&gt;0,S173,0)</f>
        <v>0</v>
      </c>
    </row>
    <row r="174" customFormat="false" ht="12.75" hidden="false" customHeight="false" outlineLevel="0" collapsed="false">
      <c r="A174" s="718" t="n">
        <v>9772.4</v>
      </c>
      <c r="B174" s="706" t="n">
        <f aca="false">A174/1000</f>
        <v>9.7724</v>
      </c>
      <c r="C174" s="707" t="n">
        <f aca="false">SQRT(1+(A174/pole1)^2)</f>
        <v>16.7184930231586</v>
      </c>
      <c r="D174" s="708" t="n">
        <f aca="false">ATAN(A174/pole1)</f>
        <v>1.5109465995197</v>
      </c>
      <c r="E174" s="708" t="n">
        <f aca="false">SQRT(1+(A174/Zero1)^2)</f>
        <v>1.0075121459246</v>
      </c>
      <c r="F174" s="709" t="n">
        <f aca="false">ATAN(A174/Zero1)</f>
        <v>0.122191803972901</v>
      </c>
      <c r="G174" s="708" t="n">
        <f aca="false">IF(VIN_nom&gt;Vout, 1, SQRT(1+(A174/z_RHP)^2))</f>
        <v>1.01043418718163</v>
      </c>
      <c r="H174" s="709" t="n">
        <f aca="false">IF(VIN_nom&gt;Vout, 0, -ATAN(A174/z_RHP))</f>
        <v>-0.143835050273669</v>
      </c>
      <c r="I174" s="707" t="n">
        <f aca="false">SQRT(1+(A174/Pole2)^2)</f>
        <v>40537.7305750007</v>
      </c>
      <c r="J174" s="710" t="n">
        <f aca="false">ATAN(A174/Pole2)</f>
        <v>1.5707716584184</v>
      </c>
      <c r="K174" s="719" t="n">
        <f aca="false">SQRT(1+(A174/Zero2)^2)</f>
        <v>12.5823468564966</v>
      </c>
      <c r="L174" s="720" t="n">
        <f aca="false">ATAN(A174/Zero2)</f>
        <v>1.49123598995548</v>
      </c>
      <c r="M174" s="707" t="n">
        <f aca="false">SQRT(1+(A174/pole4)^2)</f>
        <v>1.07324302494983</v>
      </c>
      <c r="N174" s="710" t="n">
        <f aca="false">ATAN(A174/pole4)</f>
        <v>0.371578388352127</v>
      </c>
      <c r="O174" s="711" t="n">
        <f aca="false">SQRT((1-(V174/pterm2))^2+(A174/pterm1)^2)</f>
        <v>1.00500034979069</v>
      </c>
      <c r="P174" s="712" t="n">
        <f aca="false">IF((ATAN((A174/pterm1)/(1-A174^2/pterm2))&gt;0),ATAN((A174/pterm1)/(1-A174^2/pterm2)),PI()+ATAN((A174/pterm1)/(1-A174^2/pterm2)))</f>
        <v>0.135741857315461</v>
      </c>
      <c r="Q174" s="713" t="n">
        <f aca="false">20*LOG10(((E174*K174*G174)/(C174*I174*O174*M174))*Adc)</f>
        <v>-5.96706589145161</v>
      </c>
      <c r="R174" s="714" t="n">
        <f aca="false">((F174+L174+H174)-(D174+J174+P174+N174))*radconv</f>
        <v>-121.435297090848</v>
      </c>
      <c r="S174" s="717" t="n">
        <f aca="false">IF(R174&gt;0,R174,R174+180)</f>
        <v>58.5647029091517</v>
      </c>
      <c r="U174" s="644" t="n">
        <f aca="false">IF(Q174&lt;0,A174,1000000000)</f>
        <v>9772.4</v>
      </c>
      <c r="V174" s="644" t="n">
        <f aca="false">A174^2</f>
        <v>95499801.76</v>
      </c>
      <c r="X174" s="716" t="n">
        <f aca="false">20*LOG10((K174/(I174*M174))*AEA)</f>
        <v>17.3207572642776</v>
      </c>
      <c r="Y174" s="717" t="n">
        <f aca="false">(L174-(J174+N174))*radconv</f>
        <v>-25.8469315640614</v>
      </c>
      <c r="AA174" s="716" t="n">
        <f aca="false">20*LOG10((E174*G174/(C174*O174))*Acs*Am)</f>
        <v>28.1928021988252</v>
      </c>
      <c r="AB174" s="717" t="n">
        <f aca="false">(F174+H174-(D174+P174))*radconv</f>
        <v>-95.588365526787</v>
      </c>
      <c r="AD174" s="0" t="n">
        <f aca="false">SUM((Q175&lt;0)*(Q174&gt;0))*A174</f>
        <v>0</v>
      </c>
      <c r="AE174" s="0" t="n">
        <f aca="false">IF(AD174&gt;0,S174,0)</f>
        <v>0</v>
      </c>
    </row>
    <row r="175" customFormat="false" ht="12.75" hidden="false" customHeight="false" outlineLevel="0" collapsed="false">
      <c r="A175" s="718" t="n">
        <v>9829.3</v>
      </c>
      <c r="B175" s="706" t="n">
        <f aca="false">A175/1000</f>
        <v>9.8293</v>
      </c>
      <c r="C175" s="707" t="n">
        <f aca="false">SQRT(1+(A175/pole1)^2)</f>
        <v>16.8154895288331</v>
      </c>
      <c r="D175" s="708" t="n">
        <f aca="false">ATAN(A175/pole1)</f>
        <v>1.51129223891851</v>
      </c>
      <c r="E175" s="708" t="n">
        <f aca="false">SQRT(1+(A175/Zero1)^2)</f>
        <v>1.00759954897865</v>
      </c>
      <c r="F175" s="709" t="n">
        <f aca="false">ATAN(A175/Zero1)</f>
        <v>0.122896146499635</v>
      </c>
      <c r="G175" s="708" t="n">
        <f aca="false">IF(VIN_nom&gt;Vout, 1, SQRT(1+(A175/z_RHP)^2))</f>
        <v>1.01055541099464</v>
      </c>
      <c r="H175" s="709" t="n">
        <f aca="false">IF(VIN_nom&gt;Vout, 0, -ATAN(A175/z_RHP))</f>
        <v>-0.144660930673177</v>
      </c>
      <c r="I175" s="707" t="n">
        <f aca="false">SQRT(1+(A175/Pole2)^2)</f>
        <v>40773.7623449157</v>
      </c>
      <c r="J175" s="710" t="n">
        <f aca="false">ATAN(A175/Pole2)</f>
        <v>1.57077180121907</v>
      </c>
      <c r="K175" s="719" t="n">
        <f aca="false">SQRT(1+(A175/Zero2)^2)</f>
        <v>12.6551464077043</v>
      </c>
      <c r="L175" s="720" t="n">
        <f aca="false">ATAN(A175/Zero2)</f>
        <v>1.49169462571285</v>
      </c>
      <c r="M175" s="707" t="n">
        <f aca="false">SQRT(1+(A175/pole4)^2)</f>
        <v>1.07406892003154</v>
      </c>
      <c r="N175" s="710" t="n">
        <f aca="false">ATAN(A175/pole4)</f>
        <v>0.37354667945822</v>
      </c>
      <c r="O175" s="711" t="n">
        <f aca="false">SQRT((1-(V175/pterm2))^2+(A175/pterm1)^2)</f>
        <v>1.00505870751372</v>
      </c>
      <c r="P175" s="712" t="n">
        <f aca="false">IF((ATAN((A175/pterm1)/(1-A175^2/pterm2))&gt;0),ATAN((A175/pterm1)/(1-A175^2/pterm2)),PI()+ATAN((A175/pterm1)/(1-A175^2/pterm2)))</f>
        <v>0.136529173223443</v>
      </c>
      <c r="Q175" s="713" t="n">
        <f aca="false">20*LOG10(((E175*K175*G175)/(C175*I175*O175*M175))*Adc)</f>
        <v>-6.02302068869791</v>
      </c>
      <c r="R175" s="714" t="n">
        <f aca="false">((F175+L175+H175)-(D175+J175+P175+N175))*radconv</f>
        <v>-121.593679317524</v>
      </c>
      <c r="S175" s="717" t="n">
        <f aca="false">IF(R175&gt;0,R175,R175+180)</f>
        <v>58.4063206824764</v>
      </c>
      <c r="U175" s="644" t="n">
        <f aca="false">IF(Q175&lt;0,A175,1000000000)</f>
        <v>9829.3</v>
      </c>
      <c r="V175" s="644" t="n">
        <f aca="false">A175^2</f>
        <v>96615138.49</v>
      </c>
      <c r="X175" s="716" t="n">
        <f aca="false">20*LOG10((K175/(I175*M175))*AEA)</f>
        <v>17.3137590704895</v>
      </c>
      <c r="Y175" s="717" t="n">
        <f aca="false">(L175-(J175+N175))*radconv</f>
        <v>-25.9334366260373</v>
      </c>
      <c r="AA175" s="716" t="n">
        <f aca="false">20*LOG10((E175*G175/(C175*O175))*Acs*Am)</f>
        <v>28.143845595367</v>
      </c>
      <c r="AB175" s="717" t="n">
        <f aca="false">(F175+H175-(D175+P175))*radconv</f>
        <v>-95.6602426914862</v>
      </c>
      <c r="AD175" s="0" t="n">
        <f aca="false">SUM((Q176&lt;0)*(Q175&gt;0))*A175</f>
        <v>0</v>
      </c>
      <c r="AE175" s="0" t="n">
        <f aca="false">IF(AD175&gt;0,S175,0)</f>
        <v>0</v>
      </c>
    </row>
    <row r="176" customFormat="false" ht="12.75" hidden="false" customHeight="false" outlineLevel="0" collapsed="false">
      <c r="A176" s="718" t="n">
        <v>9886.2</v>
      </c>
      <c r="B176" s="706" t="n">
        <f aca="false">A176/1000</f>
        <v>9.8862</v>
      </c>
      <c r="C176" s="707" t="n">
        <f aca="false">SQRT(1+(A176/pole1)^2)</f>
        <v>16.912488020354</v>
      </c>
      <c r="D176" s="708" t="n">
        <f aca="false">ATAN(A176/pole1)</f>
        <v>1.51163391365424</v>
      </c>
      <c r="E176" s="708" t="n">
        <f aca="false">SQRT(1+(A176/Zero1)^2)</f>
        <v>1.00768745181436</v>
      </c>
      <c r="F176" s="709" t="n">
        <f aca="false">ATAN(A176/Zero1)</f>
        <v>0.123600366492926</v>
      </c>
      <c r="G176" s="708" t="n">
        <f aca="false">IF(VIN_nom&gt;Vout, 1, SQRT(1+(A176/z_RHP)^2))</f>
        <v>1.01067732392009</v>
      </c>
      <c r="H176" s="709" t="n">
        <f aca="false">IF(VIN_nom&gt;Vout, 0, -ATAN(A176/z_RHP))</f>
        <v>-0.145486612392149</v>
      </c>
      <c r="I176" s="707" t="n">
        <f aca="false">SQRT(1+(A176/Pole2)^2)</f>
        <v>41009.7941148316</v>
      </c>
      <c r="J176" s="710" t="n">
        <f aca="false">ATAN(A176/Pole2)</f>
        <v>1.57077194237596</v>
      </c>
      <c r="K176" s="719" t="n">
        <f aca="false">SQRT(1+(A176/Zero2)^2)</f>
        <v>12.7279485904295</v>
      </c>
      <c r="L176" s="720" t="n">
        <f aca="false">ATAN(A176/Zero2)</f>
        <v>1.49214801489291</v>
      </c>
      <c r="M176" s="707" t="n">
        <f aca="false">SQRT(1+(A176/pole4)^2)</f>
        <v>1.07489896983494</v>
      </c>
      <c r="N176" s="710" t="n">
        <f aca="false">ATAN(A176/pole4)</f>
        <v>0.375511938292554</v>
      </c>
      <c r="O176" s="711" t="n">
        <f aca="false">SQRT((1-(V176/pterm2))^2+(A176/pterm1)^2)</f>
        <v>1.00511740308766</v>
      </c>
      <c r="P176" s="712" t="n">
        <f aca="false">IF((ATAN((A176/pterm1)/(1-A176^2/pterm2))&gt;0),ATAN((A176/pterm1)/(1-A176^2/pterm2)),PI()+ATAN((A176/pterm1)/(1-A176^2/pterm2)))</f>
        <v>0.137316436412722</v>
      </c>
      <c r="Q176" s="713" t="n">
        <f aca="false">20*LOG10(((E176*K176*G176)/(C176*I176*O176*M176))*Adc)</f>
        <v>-6.07870335235862</v>
      </c>
      <c r="R176" s="714" t="n">
        <f aca="false">((F176+L176+H176)-(D176+J176+P176+N176))*radconv</f>
        <v>-121.751953778451</v>
      </c>
      <c r="S176" s="717" t="n">
        <f aca="false">IF(R176&gt;0,R176,R176+180)</f>
        <v>58.2480462215487</v>
      </c>
      <c r="U176" s="644" t="n">
        <f aca="false">IF(Q176&lt;0,A176,1000000000)</f>
        <v>9886.2</v>
      </c>
      <c r="V176" s="644" t="n">
        <f aca="false">A176^2</f>
        <v>97736950.44</v>
      </c>
      <c r="X176" s="716" t="n">
        <f aca="false">20*LOG10((K176/(I176*M176))*AEA)</f>
        <v>17.3067378693728</v>
      </c>
      <c r="Y176" s="717" t="n">
        <f aca="false">(L176-(J176+N176))*radconv</f>
        <v>-26.0200684641939</v>
      </c>
      <c r="AA176" s="716" t="n">
        <f aca="false">20*LOG10((E176*G176/(C176*O176))*Acs*Am)</f>
        <v>28.0951841328229</v>
      </c>
      <c r="AB176" s="717" t="n">
        <f aca="false">(F176+H176-(D176+P176))*radconv</f>
        <v>-95.7318853142574</v>
      </c>
      <c r="AD176" s="0" t="n">
        <f aca="false">SUM((Q177&lt;0)*(Q176&gt;0))*A176</f>
        <v>0</v>
      </c>
      <c r="AE176" s="0" t="n">
        <f aca="false">IF(AD176&gt;0,S176,0)</f>
        <v>0</v>
      </c>
    </row>
    <row r="177" customFormat="false" ht="12.75" hidden="false" customHeight="false" outlineLevel="0" collapsed="false">
      <c r="A177" s="718" t="n">
        <v>9943.1</v>
      </c>
      <c r="B177" s="706" t="n">
        <f aca="false">A177/1000</f>
        <v>9.9431</v>
      </c>
      <c r="C177" s="707" t="n">
        <f aca="false">SQRT(1+(A177/pole1)^2)</f>
        <v>17.0094884637477</v>
      </c>
      <c r="D177" s="708" t="n">
        <f aca="false">ATAN(A177/pole1)</f>
        <v>1.51197169147459</v>
      </c>
      <c r="E177" s="708" t="n">
        <f aca="false">SQRT(1+(A177/Zero1)^2)</f>
        <v>1.00777585430095</v>
      </c>
      <c r="F177" s="709" t="n">
        <f aca="false">ATAN(A177/Zero1)</f>
        <v>0.124304463286446</v>
      </c>
      <c r="G177" s="708" t="n">
        <f aca="false">IF(VIN_nom&gt;Vout, 1, SQRT(1+(A177/z_RHP)^2))</f>
        <v>1.01079992570863</v>
      </c>
      <c r="H177" s="709" t="n">
        <f aca="false">IF(VIN_nom&gt;Vout, 0, -ATAN(A177/z_RHP))</f>
        <v>-0.146312094376861</v>
      </c>
      <c r="I177" s="707" t="n">
        <f aca="false">SQRT(1+(A177/Pole2)^2)</f>
        <v>41245.8258847483</v>
      </c>
      <c r="J177" s="710" t="n">
        <f aca="false">ATAN(A177/Pole2)</f>
        <v>1.5707720819173</v>
      </c>
      <c r="K177" s="719" t="n">
        <f aca="false">SQRT(1+(A177/Zero2)^2)</f>
        <v>12.8007533597734</v>
      </c>
      <c r="L177" s="720" t="n">
        <f aca="false">ATAN(A177/Zero2)</f>
        <v>1.492596246828</v>
      </c>
      <c r="M177" s="707" t="n">
        <f aca="false">SQRT(1+(A177/pole4)^2)</f>
        <v>1.07573316474251</v>
      </c>
      <c r="N177" s="710" t="n">
        <f aca="false">ATAN(A177/pole4)</f>
        <v>0.377474156711357</v>
      </c>
      <c r="O177" s="711" t="n">
        <f aca="false">SQRT((1-(V177/pterm2))^2+(A177/pterm1)^2)</f>
        <v>1.00517643649615</v>
      </c>
      <c r="P177" s="712" t="n">
        <f aca="false">IF((ATAN((A177/pterm1)/(1-A177^2/pterm2))&gt;0),ATAN((A177/pterm1)/(1-A177^2/pterm2)),PI()+ATAN((A177/pterm1)/(1-A177^2/pterm2)))</f>
        <v>0.138103646586618</v>
      </c>
      <c r="Q177" s="713" t="n">
        <f aca="false">20*LOG10(((E177*K177*G177)/(C177*I177*O177*M177))*Adc)</f>
        <v>-6.13411713492836</v>
      </c>
      <c r="R177" s="714" t="n">
        <f aca="false">((F177+L177+H177)-(D177+J177+P177+N177))*radconv</f>
        <v>-121.910118732742</v>
      </c>
      <c r="S177" s="717" t="n">
        <f aca="false">IF(R177&gt;0,R177,R177+180)</f>
        <v>58.089881267258</v>
      </c>
      <c r="U177" s="644" t="n">
        <f aca="false">IF(Q177&lt;0,A177,1000000000)</f>
        <v>9943.1</v>
      </c>
      <c r="V177" s="644" t="n">
        <f aca="false">A177^2</f>
        <v>98865237.61</v>
      </c>
      <c r="X177" s="716" t="n">
        <f aca="false">20*LOG10((K177/(I177*M177))*AEA)</f>
        <v>17.2996936851082</v>
      </c>
      <c r="Y177" s="717" t="n">
        <f aca="false">(L177-(J177+N177))*radconv</f>
        <v>-26.1068214951795</v>
      </c>
      <c r="AA177" s="716" t="n">
        <f aca="false">20*LOG10((E177*G177/(C177*O177))*Acs*Am)</f>
        <v>28.0468145345178</v>
      </c>
      <c r="AB177" s="717" t="n">
        <f aca="false">(F177+H177-(D177+P177))*radconv</f>
        <v>-95.8032972375625</v>
      </c>
      <c r="AD177" s="0" t="n">
        <f aca="false">SUM((Q178&lt;0)*(Q177&gt;0))*A177</f>
        <v>0</v>
      </c>
      <c r="AE177" s="0" t="n">
        <f aca="false">IF(AD177&gt;0,S177,0)</f>
        <v>0</v>
      </c>
    </row>
    <row r="178" customFormat="false" ht="12.75" hidden="false" customHeight="false" outlineLevel="0" collapsed="false">
      <c r="A178" s="718" t="n">
        <v>10000</v>
      </c>
      <c r="B178" s="706" t="n">
        <f aca="false">A178/1000</f>
        <v>10</v>
      </c>
      <c r="C178" s="707" t="n">
        <f aca="false">SQRT(1+(A178/pole1)^2)</f>
        <v>17.1064908258106</v>
      </c>
      <c r="D178" s="708" t="n">
        <f aca="false">ATAN(A178/pole1)</f>
        <v>1.51230563859418</v>
      </c>
      <c r="E178" s="708" t="n">
        <f aca="false">SQRT(1+(A178/Zero1)^2)</f>
        <v>1.00786475630694</v>
      </c>
      <c r="F178" s="709" t="n">
        <f aca="false">ATAN(A178/Zero1)</f>
        <v>0.125008436214593</v>
      </c>
      <c r="G178" s="708" t="n">
        <f aca="false">IF(VIN_nom&gt;Vout, 1, SQRT(1+(A178/z_RHP)^2))</f>
        <v>1.01092321610962</v>
      </c>
      <c r="H178" s="709" t="n">
        <f aca="false">IF(VIN_nom&gt;Vout, 0, -ATAN(A178/z_RHP))</f>
        <v>-0.147137375575187</v>
      </c>
      <c r="I178" s="707" t="n">
        <f aca="false">SQRT(1+(A178/Pole2)^2)</f>
        <v>41481.8576546658</v>
      </c>
      <c r="J178" s="710" t="n">
        <f aca="false">ATAN(A178/Pole2)</f>
        <v>1.57077221987065</v>
      </c>
      <c r="K178" s="719" t="n">
        <f aca="false">SQRT(1+(A178/Zero2)^2)</f>
        <v>12.873560671851</v>
      </c>
      <c r="L178" s="720" t="n">
        <f aca="false">ATAN(A178/Zero2)</f>
        <v>1.49303940883791</v>
      </c>
      <c r="M178" s="707" t="n">
        <f aca="false">SQRT(1+(A178/pole4)^2)</f>
        <v>1.0765714951186</v>
      </c>
      <c r="N178" s="710" t="n">
        <f aca="false">ATAN(A178/pole4)</f>
        <v>0.379433326689685</v>
      </c>
      <c r="O178" s="711" t="n">
        <f aca="false">SQRT((1-(V178/pterm2))^2+(A178/pterm1)^2)</f>
        <v>1.00523580772273</v>
      </c>
      <c r="P178" s="712" t="n">
        <f aca="false">IF((ATAN((A178/pterm1)/(1-A178^2/pterm2))&gt;0),ATAN((A178/pterm1)/(1-A178^2/pterm2)),PI()+ATAN((A178/pterm1)/(1-A178^2/pterm2)))</f>
        <v>0.138890803448598</v>
      </c>
      <c r="Q178" s="713" t="n">
        <f aca="false">20*LOG10(((E178*K178*G178)/(C178*I178*O178*M178))*Adc)</f>
        <v>-6.18926523017225</v>
      </c>
      <c r="R178" s="714" t="n">
        <f aca="false">((F178+L178+H178)-(D178+J178+P178+N178))*radconv</f>
        <v>-122.068172473807</v>
      </c>
      <c r="S178" s="717" t="n">
        <f aca="false">IF(R178&gt;0,R178,R178+180)</f>
        <v>57.931827526193</v>
      </c>
      <c r="U178" s="644" t="n">
        <f aca="false">IF(Q178&lt;0,A178,1000000000)</f>
        <v>10000</v>
      </c>
      <c r="V178" s="644" t="n">
        <f aca="false">A178^2</f>
        <v>100000000</v>
      </c>
      <c r="X178" s="716" t="n">
        <f aca="false">20*LOG10((K178/(I178*M178))*AEA)</f>
        <v>17.2926265454241</v>
      </c>
      <c r="Y178" s="717" t="n">
        <f aca="false">(L178-(J178+N178))*radconv</f>
        <v>-26.1936902577223</v>
      </c>
      <c r="AA178" s="716" t="n">
        <f aca="false">20*LOG10((E178*G178/(C178*O178))*Acs*Am)</f>
        <v>27.9987335789581</v>
      </c>
      <c r="AB178" s="717" t="n">
        <f aca="false">(F178+H178-(D178+P178))*radconv</f>
        <v>-95.8744822160847</v>
      </c>
      <c r="AD178" s="0" t="n">
        <f aca="false">SUM((Q179&lt;0)*(Q178&gt;0))*A178</f>
        <v>0</v>
      </c>
      <c r="AE178" s="0" t="n">
        <f aca="false">IF(AD178&gt;0,S178,0)</f>
        <v>0</v>
      </c>
    </row>
    <row r="179" customFormat="false" ht="12.75" hidden="false" customHeight="false" outlineLevel="0" collapsed="false">
      <c r="A179" s="718" t="n">
        <v>10058.25</v>
      </c>
      <c r="B179" s="706" t="n">
        <f aca="false">A179/1000</f>
        <v>10.05825</v>
      </c>
      <c r="C179" s="707" t="n">
        <f aca="false">SQRT(1+(A179/pole1)^2)</f>
        <v>17.2057966035022</v>
      </c>
      <c r="D179" s="708" t="n">
        <f aca="false">ATAN(A179/pole1)</f>
        <v>1.51264360834675</v>
      </c>
      <c r="E179" s="708" t="n">
        <f aca="false">SQRT(1+(A179/Zero1)^2)</f>
        <v>1.00795628488651</v>
      </c>
      <c r="F179" s="709" t="n">
        <f aca="false">ATAN(A179/Zero1)</f>
        <v>0.125728982485512</v>
      </c>
      <c r="G179" s="708" t="n">
        <f aca="false">IF(VIN_nom&gt;Vout, 1, SQRT(1+(A179/z_RHP)^2))</f>
        <v>1.01105014472841</v>
      </c>
      <c r="H179" s="709" t="n">
        <f aca="false">IF(VIN_nom&gt;Vout, 0, -ATAN(A179/z_RHP))</f>
        <v>-0.147982028173453</v>
      </c>
      <c r="I179" s="707" t="n">
        <f aca="false">SQRT(1+(A179/Pole2)^2)</f>
        <v>41723.4894753642</v>
      </c>
      <c r="J179" s="710" t="n">
        <f aca="false">ATAN(A179/Pole2)</f>
        <v>1.57077235948026</v>
      </c>
      <c r="K179" s="719" t="n">
        <f aca="false">SQRT(1+(A179/Zero2)^2)</f>
        <v>12.9480979873457</v>
      </c>
      <c r="L179" s="720" t="n">
        <f aca="false">ATAN(A179/Zero2)</f>
        <v>1.49348792256504</v>
      </c>
      <c r="M179" s="707" t="n">
        <f aca="false">SQRT(1+(A179/pole4)^2)</f>
        <v>1.07743398931252</v>
      </c>
      <c r="N179" s="710" t="n">
        <f aca="false">ATAN(A179/pole4)</f>
        <v>0.38143581356852</v>
      </c>
      <c r="O179" s="711" t="n">
        <f aca="false">SQRT((1-(V179/pterm2))^2+(A179/pterm1)^2)</f>
        <v>1.00529693749966</v>
      </c>
      <c r="P179" s="712" t="n">
        <f aca="false">IF((ATAN((A179/pterm1)/(1-A179^2/pterm2))&gt;0),ATAN((A179/pterm1)/(1-A179^2/pterm2)),PI()+ATAN((A179/pterm1)/(1-A179^2/pterm2)))</f>
        <v>0.139696580730571</v>
      </c>
      <c r="Q179" s="713" t="n">
        <f aca="false">20*LOG10(((E179*K179*G179)/(C179*I179*O179*M179))*Adc)</f>
        <v>-6.2454498166678</v>
      </c>
      <c r="R179" s="714" t="n">
        <f aca="false">((F179+L179+H179)-(D179+J179+P179+N179))*radconv</f>
        <v>-122.22985922278</v>
      </c>
      <c r="S179" s="717" t="n">
        <f aca="false">IF(R179&gt;0,R179,R179+180)</f>
        <v>57.7701407772198</v>
      </c>
      <c r="U179" s="644" t="n">
        <f aca="false">IF(Q179&lt;0,A179,1000000000)</f>
        <v>10058.25</v>
      </c>
      <c r="V179" s="644" t="n">
        <f aca="false">A179^2</f>
        <v>101168393.0625</v>
      </c>
      <c r="X179" s="716" t="n">
        <f aca="false">20*LOG10((K179/(I179*M179))*AEA)</f>
        <v>17.2853679856603</v>
      </c>
      <c r="Y179" s="717" t="n">
        <f aca="false">(L179-(J179+N179))*radconv</f>
        <v>-26.2827343599348</v>
      </c>
      <c r="AA179" s="716" t="n">
        <f aca="false">20*LOG10((E179*G179/(C179*O179))*Acs*Am)</f>
        <v>27.9498075522263</v>
      </c>
      <c r="AB179" s="717" t="n">
        <f aca="false">(F179+H179-(D179+P179))*radconv</f>
        <v>-95.9471248628454</v>
      </c>
      <c r="AD179" s="0" t="n">
        <f aca="false">SUM((Q180&lt;0)*(Q179&gt;0))*A179</f>
        <v>0</v>
      </c>
      <c r="AE179" s="0" t="n">
        <f aca="false">IF(AD179&gt;0,S179,0)</f>
        <v>0</v>
      </c>
    </row>
    <row r="180" customFormat="false" ht="12.75" hidden="false" customHeight="false" outlineLevel="0" collapsed="false">
      <c r="A180" s="718" t="n">
        <v>10116.5</v>
      </c>
      <c r="B180" s="706" t="n">
        <f aca="false">A180/1000</f>
        <v>10.1165</v>
      </c>
      <c r="C180" s="707" t="n">
        <f aca="false">SQRT(1+(A180/pole1)^2)</f>
        <v>17.305104323945</v>
      </c>
      <c r="D180" s="708" t="n">
        <f aca="false">ATAN(A180/pole1)</f>
        <v>1.51297769916533</v>
      </c>
      <c r="E180" s="708" t="n">
        <f aca="false">SQRT(1+(A180/Zero1)^2)</f>
        <v>1.00804833668862</v>
      </c>
      <c r="F180" s="709" t="n">
        <f aca="false">ATAN(A180/Zero1)</f>
        <v>0.126449397534369</v>
      </c>
      <c r="G180" s="708" t="n">
        <f aca="false">IF(VIN_nom&gt;Vout, 1, SQRT(1+(A180/z_RHP)^2))</f>
        <v>1.01117779448741</v>
      </c>
      <c r="H180" s="709" t="n">
        <f aca="false">IF(VIN_nom&gt;Vout, 0, -ATAN(A180/z_RHP))</f>
        <v>-0.148826468118375</v>
      </c>
      <c r="I180" s="707" t="n">
        <f aca="false">SQRT(1+(A180/Pole2)^2)</f>
        <v>41965.1212960634</v>
      </c>
      <c r="J180" s="710" t="n">
        <f aca="false">ATAN(A180/Pole2)</f>
        <v>1.57077249748214</v>
      </c>
      <c r="K180" s="719" t="n">
        <f aca="false">SQRT(1+(A180/Zero2)^2)</f>
        <v>13.0226378777216</v>
      </c>
      <c r="L180" s="720" t="n">
        <f aca="false">ATAN(A180/Zero2)</f>
        <v>1.49393130191169</v>
      </c>
      <c r="M180" s="707" t="n">
        <f aca="false">SQRT(1+(A180/pole4)^2)</f>
        <v>1.0783007970452</v>
      </c>
      <c r="N180" s="710" t="n">
        <f aca="false">ATAN(A180/pole4)</f>
        <v>0.38343508899741</v>
      </c>
      <c r="O180" s="711" t="n">
        <f aca="false">SQRT((1-(V180/pterm2))^2+(A180/pterm1)^2)</f>
        <v>1.00535842127971</v>
      </c>
      <c r="P180" s="712" t="n">
        <f aca="false">IF((ATAN((A180/pterm1)/(1-A180^2/pterm2))&gt;0),ATAN((A180/pterm1)/(1-A180^2/pterm2)),PI()+ATAN((A180/pterm1)/(1-A180^2/pterm2)))</f>
        <v>0.140502301512429</v>
      </c>
      <c r="Q180" s="713" t="n">
        <f aca="false">20*LOG10(((E180*K180*G180)/(C180*I180*O180*M180))*Adc)</f>
        <v>-6.3013625498534</v>
      </c>
      <c r="R180" s="714" t="n">
        <f aca="false">((F180+L180+H180)-(D180+J180+P180+N180))*radconv</f>
        <v>-122.391425906008</v>
      </c>
      <c r="S180" s="717" t="n">
        <f aca="false">IF(R180&gt;0,R180,R180+180)</f>
        <v>57.6085740939923</v>
      </c>
      <c r="U180" s="644" t="n">
        <f aca="false">IF(Q180&lt;0,A180,1000000000)</f>
        <v>10116.5</v>
      </c>
      <c r="V180" s="644" t="n">
        <f aca="false">A180^2</f>
        <v>102343572.25</v>
      </c>
      <c r="X180" s="716" t="n">
        <f aca="false">20*LOG10((K180/(I180*M180))*AEA)</f>
        <v>17.2780854379471</v>
      </c>
      <c r="Y180" s="717" t="n">
        <f aca="false">(L180-(J180+N180))*radconv</f>
        <v>-26.3718885458352</v>
      </c>
      <c r="AA180" s="716" t="n">
        <f aca="false">20*LOG10((E180*G180/(C180*O180))*Acs*Am)</f>
        <v>27.9011773667539</v>
      </c>
      <c r="AB180" s="717" t="n">
        <f aca="false">(F180+H180-(D180+P180))*radconv</f>
        <v>-96.0195373601725</v>
      </c>
      <c r="AD180" s="0" t="n">
        <f aca="false">SUM((Q181&lt;0)*(Q180&gt;0))*A180</f>
        <v>0</v>
      </c>
      <c r="AE180" s="0" t="n">
        <f aca="false">IF(AD180&gt;0,S180,0)</f>
        <v>0</v>
      </c>
    </row>
    <row r="181" customFormat="false" ht="12.75" hidden="false" customHeight="false" outlineLevel="0" collapsed="false">
      <c r="A181" s="718" t="n">
        <v>10174.75</v>
      </c>
      <c r="B181" s="706" t="n">
        <f aca="false">A181/1000</f>
        <v>10.17475</v>
      </c>
      <c r="C181" s="707" t="n">
        <f aca="false">SQRT(1+(A181/pole1)^2)</f>
        <v>17.4044139538835</v>
      </c>
      <c r="D181" s="708" t="n">
        <f aca="false">ATAN(A181/pole1)</f>
        <v>1.51330797737432</v>
      </c>
      <c r="E181" s="708" t="n">
        <f aca="false">SQRT(1+(A181/Zero1)^2)</f>
        <v>1.00814091156994</v>
      </c>
      <c r="F181" s="709" t="n">
        <f aca="false">ATAN(A181/Zero1)</f>
        <v>0.127169680649423</v>
      </c>
      <c r="G181" s="708" t="n">
        <f aca="false">IF(VIN_nom&gt;Vout, 1, SQRT(1+(A181/z_RHP)^2))</f>
        <v>1.01130616511356</v>
      </c>
      <c r="H181" s="709" t="n">
        <f aca="false">IF(VIN_nom&gt;Vout, 0, -ATAN(A181/z_RHP))</f>
        <v>-0.149670694286402</v>
      </c>
      <c r="I181" s="707" t="n">
        <f aca="false">SQRT(1+(A181/Pole2)^2)</f>
        <v>42206.7531167634</v>
      </c>
      <c r="J181" s="710" t="n">
        <f aca="false">ATAN(A181/Pole2)</f>
        <v>1.57077263390392</v>
      </c>
      <c r="K181" s="719" t="n">
        <f aca="false">SQRT(1+(A181/Zero2)^2)</f>
        <v>13.0971802990157</v>
      </c>
      <c r="L181" s="720" t="n">
        <f aca="false">ATAN(A181/Zero2)</f>
        <v>1.49436963436881</v>
      </c>
      <c r="M181" s="707" t="n">
        <f aca="false">SQRT(1+(A181/pole4)^2)</f>
        <v>1.07917190792251</v>
      </c>
      <c r="N181" s="710" t="n">
        <f aca="false">ATAN(A181/pole4)</f>
        <v>0.385431144751504</v>
      </c>
      <c r="O181" s="711" t="n">
        <f aca="false">SQRT((1-(V181/pterm2))^2+(A181/pterm1)^2)</f>
        <v>1.00542025904494</v>
      </c>
      <c r="P181" s="712" t="n">
        <f aca="false">IF((ATAN((A181/pterm1)/(1-A181^2/pterm2))&gt;0),ATAN((A181/pterm1)/(1-A181^2/pterm2)),PI()+ATAN((A181/pterm1)/(1-A181^2/pterm2)))</f>
        <v>0.141307965476502</v>
      </c>
      <c r="Q181" s="713" t="n">
        <f aca="false">20*LOG10(((E181*K181*G181)/(C181*I181*O181*M181))*Adc)</f>
        <v>-6.35700667373326</v>
      </c>
      <c r="R181" s="714" t="n">
        <f aca="false">((F181+L181+H181)-(D181+J181+P181+N181))*radconv</f>
        <v>-122.552870799273</v>
      </c>
      <c r="S181" s="717" t="n">
        <f aca="false">IF(R181&gt;0,R181,R181+180)</f>
        <v>57.4471292007273</v>
      </c>
      <c r="U181" s="644" t="n">
        <f aca="false">IF(Q181&lt;0,A181,1000000000)</f>
        <v>10174.75</v>
      </c>
      <c r="V181" s="644" t="n">
        <f aca="false">A181^2</f>
        <v>103525537.5625</v>
      </c>
      <c r="X181" s="716" t="n">
        <f aca="false">20*LOG10((K181/(I181*M181))*AEA)</f>
        <v>17.2707789427853</v>
      </c>
      <c r="Y181" s="717" t="n">
        <f aca="false">(L181-(J181+N181))*radconv</f>
        <v>-26.4611473328951</v>
      </c>
      <c r="AA181" s="716" t="n">
        <f aca="false">20*LOG10((E181*G181/(C181*O181))*Acs*Am)</f>
        <v>27.8528397380358</v>
      </c>
      <c r="AB181" s="717" t="n">
        <f aca="false">(F181+H181-(D181+P181))*radconv</f>
        <v>-96.0917234663776</v>
      </c>
      <c r="AD181" s="0" t="n">
        <f aca="false">SUM((Q182&lt;0)*(Q181&gt;0))*A181</f>
        <v>0</v>
      </c>
      <c r="AE181" s="0" t="n">
        <f aca="false">IF(AD181&gt;0,S181,0)</f>
        <v>0</v>
      </c>
    </row>
    <row r="182" customFormat="false" ht="12.75" hidden="false" customHeight="false" outlineLevel="0" collapsed="false">
      <c r="A182" s="718" t="n">
        <v>10233</v>
      </c>
      <c r="B182" s="706" t="n">
        <f aca="false">A182/1000</f>
        <v>10.233</v>
      </c>
      <c r="C182" s="707" t="n">
        <f aca="false">SQRT(1+(A182/pole1)^2)</f>
        <v>17.5037254608165</v>
      </c>
      <c r="D182" s="708" t="n">
        <f aca="false">ATAN(A182/pole1)</f>
        <v>1.51363450779626</v>
      </c>
      <c r="E182" s="708" t="n">
        <f aca="false">SQRT(1+(A182/Zero1)^2)</f>
        <v>1.00823400938639</v>
      </c>
      <c r="F182" s="709" t="n">
        <f aca="false">ATAN(A182/Zero1)</f>
        <v>0.127889831119742</v>
      </c>
      <c r="G182" s="708" t="n">
        <f aca="false">IF(VIN_nom&gt;Vout, 1, SQRT(1+(A182/z_RHP)^2))</f>
        <v>1.01143525633237</v>
      </c>
      <c r="H182" s="709" t="n">
        <f aca="false">IF(VIN_nom&gt;Vout, 0, -ATAN(A182/z_RHP))</f>
        <v>-0.150514705555773</v>
      </c>
      <c r="I182" s="707" t="n">
        <f aca="false">SQRT(1+(A182/Pole2)^2)</f>
        <v>42448.3849374642</v>
      </c>
      <c r="J182" s="710" t="n">
        <f aca="false">ATAN(A182/Pole2)</f>
        <v>1.57077276877257</v>
      </c>
      <c r="K182" s="719" t="n">
        <f aca="false">SQRT(1+(A182/Zero2)^2)</f>
        <v>13.1717252082583</v>
      </c>
      <c r="L182" s="720" t="n">
        <f aca="false">ATAN(A182/Zero2)</f>
        <v>1.49480300545458</v>
      </c>
      <c r="M182" s="707" t="n">
        <f aca="false">SQRT(1+(A182/pole4)^2)</f>
        <v>1.08004731153239</v>
      </c>
      <c r="N182" s="710" t="n">
        <f aca="false">ATAN(A182/pole4)</f>
        <v>0.387423972735043</v>
      </c>
      <c r="O182" s="711" t="n">
        <f aca="false">SQRT((1-(V182/pterm2))^2+(A182/pterm1)^2)</f>
        <v>1.0054824507773</v>
      </c>
      <c r="P182" s="712" t="n">
        <f aca="false">IF((ATAN((A182/pterm1)/(1-A182^2/pterm2))&gt;0),ATAN((A182/pterm1)/(1-A182^2/pterm2)),PI()+ATAN((A182/pterm1)/(1-A182^2/pterm2)))</f>
        <v>0.142113572305284</v>
      </c>
      <c r="Q182" s="713" t="n">
        <f aca="false">20*LOG10(((E182*K182*G182)/(C182*I182*O182*M182))*Adc)</f>
        <v>-6.41238537358044</v>
      </c>
      <c r="R182" s="714" t="n">
        <f aca="false">((F182+L182+H182)-(D182+J182+P182+N182))*radconv</f>
        <v>-122.714192212764</v>
      </c>
      <c r="S182" s="717" t="n">
        <f aca="false">IF(R182&gt;0,R182,R182+180)</f>
        <v>57.2858077872357</v>
      </c>
      <c r="U182" s="644" t="n">
        <f aca="false">IF(Q182&lt;0,A182,1000000000)</f>
        <v>10233</v>
      </c>
      <c r="V182" s="644" t="n">
        <f aca="false">A182^2</f>
        <v>104714289</v>
      </c>
      <c r="X182" s="716" t="n">
        <f aca="false">20*LOG10((K182/(I182*M182))*AEA)</f>
        <v>17.2634485440464</v>
      </c>
      <c r="Y182" s="717" t="n">
        <f aca="false">(L182-(J182+N182))*radconv</f>
        <v>-26.5505053589762</v>
      </c>
      <c r="AA182" s="716" t="n">
        <f aca="false">20*LOG10((E182*G182/(C182*O182))*Acs*Am)</f>
        <v>27.8047914369276</v>
      </c>
      <c r="AB182" s="717" t="n">
        <f aca="false">(F182+H182-(D182+P182))*radconv</f>
        <v>-96.1636868537882</v>
      </c>
      <c r="AD182" s="0" t="n">
        <f aca="false">SUM((Q183&lt;0)*(Q182&gt;0))*A182</f>
        <v>0</v>
      </c>
      <c r="AE182" s="0" t="n">
        <f aca="false">IF(AD182&gt;0,S182,0)</f>
        <v>0</v>
      </c>
    </row>
    <row r="183" customFormat="false" ht="12.75" hidden="false" customHeight="false" outlineLevel="0" collapsed="false">
      <c r="A183" s="718" t="n">
        <v>10292.5</v>
      </c>
      <c r="B183" s="706" t="n">
        <f aca="false">A183/1000</f>
        <v>10.2925</v>
      </c>
      <c r="C183" s="707" t="n">
        <f aca="false">SQRT(1+(A183/pole1)^2)</f>
        <v>17.6051700207829</v>
      </c>
      <c r="D183" s="708" t="n">
        <f aca="false">ATAN(A183/pole1)</f>
        <v>1.51396424189893</v>
      </c>
      <c r="E183" s="708" t="n">
        <f aca="false">SQRT(1+(A183/Zero1)^2)</f>
        <v>1.00832964474765</v>
      </c>
      <c r="F183" s="709" t="n">
        <f aca="false">ATAN(A183/Zero1)</f>
        <v>0.128625297779479</v>
      </c>
      <c r="G183" s="708" t="n">
        <f aca="false">IF(VIN_nom&gt;Vout, 1, SQRT(1+(A183/z_RHP)^2))</f>
        <v>1.01156786141578</v>
      </c>
      <c r="H183" s="709" t="n">
        <f aca="false">IF(VIN_nom&gt;Vout, 0, -ATAN(A183/z_RHP))</f>
        <v>-0.151376605624945</v>
      </c>
      <c r="I183" s="707" t="n">
        <f aca="false">SQRT(1+(A183/Pole2)^2)</f>
        <v>42695.2019903696</v>
      </c>
      <c r="J183" s="710" t="n">
        <f aca="false">ATAN(A183/Pole2)</f>
        <v>1.57077290495934</v>
      </c>
      <c r="K183" s="719" t="n">
        <f aca="false">SQRT(1+(A183/Zero2)^2)</f>
        <v>13.2478723186003</v>
      </c>
      <c r="L183" s="720" t="n">
        <f aca="false">ATAN(A183/Zero2)</f>
        <v>1.49524064105238</v>
      </c>
      <c r="M183" s="707" t="n">
        <f aca="false">SQRT(1+(A183/pole4)^2)</f>
        <v>1.08094592168168</v>
      </c>
      <c r="N183" s="710" t="n">
        <f aca="false">ATAN(A183/pole4)</f>
        <v>0.38945622457219</v>
      </c>
      <c r="O183" s="711" t="n">
        <f aca="false">SQRT((1-(V183/pterm2))^2+(A183/pterm1)^2)</f>
        <v>1.00554634251977</v>
      </c>
      <c r="P183" s="712" t="n">
        <f aca="false">IF((ATAN((A183/pterm1)/(1-A183^2/pterm2))&gt;0),ATAN((A183/pterm1)/(1-A183^2/pterm2)),PI()+ATAN((A183/pterm1)/(1-A183^2/pterm2)))</f>
        <v>0.142936407516716</v>
      </c>
      <c r="Q183" s="713" t="n">
        <f aca="false">20*LOG10(((E183*K183*G183)/(C183*I183*O183*M183))*Adc)</f>
        <v>-6.46868168079472</v>
      </c>
      <c r="R183" s="714" t="n">
        <f aca="false">((F183+L183+H183)-(D183+J183+P183+N183))*radconv</f>
        <v>-122.878846254382</v>
      </c>
      <c r="S183" s="717" t="n">
        <f aca="false">IF(R183&gt;0,R183,R183+180)</f>
        <v>57.1211537456177</v>
      </c>
      <c r="U183" s="644" t="n">
        <f aca="false">IF(Q183&lt;0,A183,1000000000)</f>
        <v>10292.5</v>
      </c>
      <c r="V183" s="644" t="n">
        <f aca="false">A183^2</f>
        <v>105935556.25</v>
      </c>
      <c r="X183" s="716" t="n">
        <f aca="false">20*LOG10((K183/(I183*M183))*AEA)</f>
        <v>17.2559362111182</v>
      </c>
      <c r="Y183" s="717" t="n">
        <f aca="false">(L183-(J183+N183))*radconv</f>
        <v>-26.6418779424654</v>
      </c>
      <c r="AA183" s="716" t="n">
        <f aca="false">20*LOG10((E183*G183/(C183*O183))*Acs*Am)</f>
        <v>27.7560074626415</v>
      </c>
      <c r="AB183" s="717" t="n">
        <f aca="false">(F183+H183-(D183+P183))*radconv</f>
        <v>-96.2369683119169</v>
      </c>
      <c r="AD183" s="0" t="n">
        <f aca="false">SUM((Q184&lt;0)*(Q183&gt;0))*A183</f>
        <v>0</v>
      </c>
      <c r="AE183" s="0" t="n">
        <f aca="false">IF(AD183&gt;0,S183,0)</f>
        <v>0</v>
      </c>
    </row>
    <row r="184" customFormat="false" ht="12.75" hidden="false" customHeight="false" outlineLevel="0" collapsed="false">
      <c r="A184" s="718" t="n">
        <v>10352</v>
      </c>
      <c r="B184" s="706" t="n">
        <f aca="false">A184/1000</f>
        <v>10.352</v>
      </c>
      <c r="C184" s="707" t="n">
        <f aca="false">SQRT(1+(A184/pole1)^2)</f>
        <v>17.7066164729312</v>
      </c>
      <c r="D184" s="708" t="n">
        <f aca="false">ATAN(A184/pole1)</f>
        <v>1.51429019774797</v>
      </c>
      <c r="E184" s="708" t="n">
        <f aca="false">SQRT(1+(A184/Zero1)^2)</f>
        <v>1.00842582542209</v>
      </c>
      <c r="F184" s="709" t="n">
        <f aca="false">ATAN(A184/Zero1)</f>
        <v>0.129360624543627</v>
      </c>
      <c r="G184" s="708" t="n">
        <f aca="false">IF(VIN_nom&gt;Vout, 1, SQRT(1+(A184/z_RHP)^2))</f>
        <v>1.01170121776704</v>
      </c>
      <c r="H184" s="709" t="n">
        <f aca="false">IF(VIN_nom&gt;Vout, 0, -ATAN(A184/z_RHP))</f>
        <v>-0.152238279113155</v>
      </c>
      <c r="I184" s="707" t="n">
        <f aca="false">SQRT(1+(A184/Pole2)^2)</f>
        <v>42942.0190432759</v>
      </c>
      <c r="J184" s="710" t="n">
        <f aca="false">ATAN(A184/Pole2)</f>
        <v>1.57077303958059</v>
      </c>
      <c r="K184" s="719" t="n">
        <f aca="false">SQRT(1+(A184/Zero2)^2)</f>
        <v>13.3240219372382</v>
      </c>
      <c r="L184" s="720" t="n">
        <f aca="false">ATAN(A184/Zero2)</f>
        <v>1.49567327437125</v>
      </c>
      <c r="M184" s="707" t="n">
        <f aca="false">SQRT(1+(A184/pole4)^2)</f>
        <v>1.08184898876185</v>
      </c>
      <c r="N184" s="710" t="n">
        <f aca="false">ATAN(A184/pole4)</f>
        <v>0.391485091956492</v>
      </c>
      <c r="O184" s="711" t="n">
        <f aca="false">SQRT((1-(V184/pterm2))^2+(A184/pterm1)^2)</f>
        <v>1.00561060354574</v>
      </c>
      <c r="P184" s="712" t="n">
        <f aca="false">IF((ATAN((A184/pterm1)/(1-A184^2/pterm2))&gt;0),ATAN((A184/pterm1)/(1-A184^2/pterm2)),PI()+ATAN((A184/pterm1)/(1-A184^2/pterm2)))</f>
        <v>0.143759182445245</v>
      </c>
      <c r="Q184" s="713" t="n">
        <f aca="false">20*LOG10(((E184*K184*G184)/(C184*I184*O184*M184))*Adc)</f>
        <v>-6.52470758678419</v>
      </c>
      <c r="R184" s="714" t="n">
        <f aca="false">((F184+L184+H184)-(D184+J184+P184+N184))*radconv</f>
        <v>-123.043368002259</v>
      </c>
      <c r="S184" s="717" t="n">
        <f aca="false">IF(R184&gt;0,R184,R184+180)</f>
        <v>56.9566319977405</v>
      </c>
      <c r="U184" s="644" t="n">
        <f aca="false">IF(Q184&lt;0,A184,1000000000)</f>
        <v>10352</v>
      </c>
      <c r="V184" s="644" t="n">
        <f aca="false">A184^2</f>
        <v>107163904</v>
      </c>
      <c r="X184" s="716" t="n">
        <f aca="false">20*LOG10((K184/(I184*M184))*AEA)</f>
        <v>17.2483990404711</v>
      </c>
      <c r="Y184" s="717" t="n">
        <f aca="false">(L184-(J184+N184))*radconv</f>
        <v>-26.7333431308639</v>
      </c>
      <c r="AA184" s="716" t="n">
        <f aca="false">20*LOG10((E184*G184/(C184*O184))*Acs*Am)</f>
        <v>27.707518727299</v>
      </c>
      <c r="AB184" s="717" t="n">
        <f aca="false">(F184+H184-(D184+P184))*radconv</f>
        <v>-96.3100248713956</v>
      </c>
      <c r="AD184" s="0" t="n">
        <f aca="false">SUM((Q185&lt;0)*(Q184&gt;0))*A184</f>
        <v>0</v>
      </c>
      <c r="AE184" s="0" t="n">
        <f aca="false">IF(AD184&gt;0,S184,0)</f>
        <v>0</v>
      </c>
    </row>
    <row r="185" customFormat="false" ht="12.75" hidden="false" customHeight="false" outlineLevel="0" collapsed="false">
      <c r="A185" s="718" t="n">
        <v>10411.5</v>
      </c>
      <c r="B185" s="706" t="n">
        <f aca="false">A185/1000</f>
        <v>10.4115</v>
      </c>
      <c r="C185" s="707" t="n">
        <f aca="false">SQRT(1+(A185/pole1)^2)</f>
        <v>17.808064784924</v>
      </c>
      <c r="D185" s="708" t="n">
        <f aca="false">ATAN(A185/pole1)</f>
        <v>1.51461243984494</v>
      </c>
      <c r="E185" s="708" t="n">
        <f aca="false">SQRT(1+(A185/Zero1)^2)</f>
        <v>1.0085225512537</v>
      </c>
      <c r="F185" s="709" t="n">
        <f aca="false">ATAN(A185/Zero1)</f>
        <v>0.130095810657135</v>
      </c>
      <c r="G185" s="708" t="n">
        <f aca="false">IF(VIN_nom&gt;Vout, 1, SQRT(1+(A185/z_RHP)^2))</f>
        <v>1.0118353250891</v>
      </c>
      <c r="H185" s="709" t="n">
        <f aca="false">IF(VIN_nom&gt;Vout, 0, -ATAN(A185/z_RHP))</f>
        <v>-0.153099724830692</v>
      </c>
      <c r="I185" s="707" t="n">
        <f aca="false">SQRT(1+(A185/Pole2)^2)</f>
        <v>43188.8360961829</v>
      </c>
      <c r="J185" s="710" t="n">
        <f aca="false">ATAN(A185/Pole2)</f>
        <v>1.57077317266317</v>
      </c>
      <c r="K185" s="719" t="n">
        <f aca="false">SQRT(1+(A185/Zero2)^2)</f>
        <v>13.4001740214101</v>
      </c>
      <c r="L185" s="720" t="n">
        <f aca="false">ATAN(A185/Zero2)</f>
        <v>1.49610099053046</v>
      </c>
      <c r="M185" s="707" t="n">
        <f aca="false">SQRT(1+(A185/pole4)^2)</f>
        <v>1.08275650162106</v>
      </c>
      <c r="N185" s="710" t="n">
        <f aca="false">ATAN(A185/pole4)</f>
        <v>0.393510566674384</v>
      </c>
      <c r="O185" s="711" t="n">
        <f aca="false">SQRT((1-(V185/pterm2))^2+(A185/pterm1)^2)</f>
        <v>1.00567523383567</v>
      </c>
      <c r="P185" s="712" t="n">
        <f aca="false">IF((ATAN((A185/pterm1)/(1-A185^2/pterm2))&gt;0),ATAN((A185/pterm1)/(1-A185^2/pterm2)),PI()+ATAN((A185/pterm1)/(1-A185^2/pterm2)))</f>
        <v>0.144581896753011</v>
      </c>
      <c r="Q185" s="713" t="n">
        <f aca="false">20*LOG10(((E185*K185*G185)/(C185*I185*O185*M185))*Adc)</f>
        <v>-6.58046630520186</v>
      </c>
      <c r="R185" s="714" t="n">
        <f aca="false">((F185+L185+H185)-(D185+J185+P185+N185))*radconv</f>
        <v>-123.207755761763</v>
      </c>
      <c r="S185" s="717" t="n">
        <f aca="false">IF(R185&gt;0,R185,R185+180)</f>
        <v>56.7922442382374</v>
      </c>
      <c r="U185" s="644" t="n">
        <f aca="false">IF(Q185&lt;0,A185,1000000000)</f>
        <v>10411.5</v>
      </c>
      <c r="V185" s="644" t="n">
        <f aca="false">A185^2</f>
        <v>108399332.25</v>
      </c>
      <c r="X185" s="716" t="n">
        <f aca="false">20*LOG10((K185/(I185*M185))*AEA)</f>
        <v>17.2408370889846</v>
      </c>
      <c r="Y185" s="717" t="n">
        <f aca="false">(L185-(J185+N185))*radconv</f>
        <v>-26.8248955781323</v>
      </c>
      <c r="AA185" s="716" t="n">
        <f aca="false">20*LOG10((E185*G185/(C185*O185))*Acs*Am)</f>
        <v>27.6593219603679</v>
      </c>
      <c r="AB185" s="717" t="n">
        <f aca="false">(F185+H185-(D185+P185))*radconv</f>
        <v>-96.3828601836304</v>
      </c>
      <c r="AD185" s="0" t="n">
        <f aca="false">SUM((Q186&lt;0)*(Q185&gt;0))*A185</f>
        <v>0</v>
      </c>
      <c r="AE185" s="0" t="n">
        <f aca="false">IF(AD185&gt;0,S185,0)</f>
        <v>0</v>
      </c>
    </row>
    <row r="186" customFormat="false" ht="12.75" hidden="false" customHeight="false" outlineLevel="0" collapsed="false">
      <c r="A186" s="718" t="n">
        <v>10471</v>
      </c>
      <c r="B186" s="706" t="n">
        <f aca="false">A186/1000</f>
        <v>10.471</v>
      </c>
      <c r="C186" s="707" t="n">
        <f aca="false">SQRT(1+(A186/pole1)^2)</f>
        <v>17.9095149251563</v>
      </c>
      <c r="D186" s="708" t="n">
        <f aca="false">ATAN(A186/pole1)</f>
        <v>1.51493103123304</v>
      </c>
      <c r="E186" s="708" t="n">
        <f aca="false">SQRT(1+(A186/Zero1)^2)</f>
        <v>1.00861982208564</v>
      </c>
      <c r="F186" s="709" t="n">
        <f aca="false">ATAN(A186/Zero1)</f>
        <v>0.130830855365848</v>
      </c>
      <c r="G186" s="708" t="n">
        <f aca="false">IF(VIN_nom&gt;Vout, 1, SQRT(1+(A186/z_RHP)^2))</f>
        <v>1.01197018308341</v>
      </c>
      <c r="H186" s="709" t="n">
        <f aca="false">IF(VIN_nom&gt;Vout, 0, -ATAN(A186/z_RHP))</f>
        <v>-0.153960941589826</v>
      </c>
      <c r="I186" s="707" t="n">
        <f aca="false">SQRT(1+(A186/Pole2)^2)</f>
        <v>43435.6531490906</v>
      </c>
      <c r="J186" s="710" t="n">
        <f aca="false">ATAN(A186/Pole2)</f>
        <v>1.5707733042333</v>
      </c>
      <c r="K186" s="719" t="n">
        <f aca="false">SQRT(1+(A186/Zero2)^2)</f>
        <v>13.4763285293192</v>
      </c>
      <c r="L186" s="720" t="n">
        <f aca="false">ATAN(A186/Zero2)</f>
        <v>1.49652387273252</v>
      </c>
      <c r="M186" s="707" t="n">
        <f aca="false">SQRT(1+(A186/pole4)^2)</f>
        <v>1.08366844909003</v>
      </c>
      <c r="N186" s="710" t="n">
        <f aca="false">ATAN(A186/pole4)</f>
        <v>0.395532640651095</v>
      </c>
      <c r="O186" s="711" t="n">
        <f aca="false">SQRT((1-(V186/pterm2))^2+(A186/pterm1)^2)</f>
        <v>1.00574023336992</v>
      </c>
      <c r="P186" s="712" t="n">
        <f aca="false">IF((ATAN((A186/pterm1)/(1-A186^2/pterm2))&gt;0),ATAN((A186/pterm1)/(1-A186^2/pterm2)),PI()+ATAN((A186/pterm1)/(1-A186^2/pterm2)))</f>
        <v>0.14540455010234</v>
      </c>
      <c r="Q186" s="713" t="n">
        <f aca="false">20*LOG10(((E186*K186*G186)/(C186*I186*O186*M186))*Adc)</f>
        <v>-6.63596099148621</v>
      </c>
      <c r="R186" s="714" t="n">
        <f aca="false">((F186+L186+H186)-(D186+J186+P186+N186))*radconv</f>
        <v>-123.372007872511</v>
      </c>
      <c r="S186" s="717" t="n">
        <f aca="false">IF(R186&gt;0,R186,R186+180)</f>
        <v>56.6279921274895</v>
      </c>
      <c r="U186" s="644" t="n">
        <f aca="false">IF(Q186&lt;0,A186,1000000000)</f>
        <v>10471</v>
      </c>
      <c r="V186" s="644" t="n">
        <f aca="false">A186^2</f>
        <v>109641841</v>
      </c>
      <c r="X186" s="716" t="n">
        <f aca="false">20*LOG10((K186/(I186*M186))*AEA)</f>
        <v>17.2332504167035</v>
      </c>
      <c r="Y186" s="717" t="n">
        <f aca="false">(L186-(J186+N186))*radconv</f>
        <v>-26.9165300559693</v>
      </c>
      <c r="AA186" s="716" t="n">
        <f aca="false">20*LOG10((E186*G186/(C186*O186))*Acs*Am)</f>
        <v>27.6114139463647</v>
      </c>
      <c r="AB186" s="717" t="n">
        <f aca="false">(F186+H186-(D186+P186))*radconv</f>
        <v>-96.4554778165412</v>
      </c>
      <c r="AD186" s="0" t="n">
        <f aca="false">SUM((Q187&lt;0)*(Q186&gt;0))*A186</f>
        <v>0</v>
      </c>
      <c r="AE186" s="0" t="n">
        <f aca="false">IF(AD186&gt;0,S186,0)</f>
        <v>0</v>
      </c>
    </row>
    <row r="187" customFormat="false" ht="12.75" hidden="false" customHeight="false" outlineLevel="0" collapsed="false">
      <c r="A187" s="718" t="n">
        <v>10532</v>
      </c>
      <c r="B187" s="706" t="n">
        <f aca="false">A187/1000</f>
        <v>10.532</v>
      </c>
      <c r="C187" s="707" t="n">
        <f aca="false">SQRT(1+(A187/pole1)^2)</f>
        <v>18.0135244975677</v>
      </c>
      <c r="D187" s="708" t="n">
        <f aca="false">ATAN(A187/pole1)</f>
        <v>1.51525392892003</v>
      </c>
      <c r="E187" s="708" t="n">
        <f aca="false">SQRT(1+(A187/Zero1)^2)</f>
        <v>1.00872011074114</v>
      </c>
      <c r="F187" s="709" t="n">
        <f aca="false">ATAN(A187/Zero1)</f>
        <v>0.131584283027925</v>
      </c>
      <c r="G187" s="708" t="n">
        <f aca="false">IF(VIN_nom&gt;Vout, 1, SQRT(1+(A187/z_RHP)^2))</f>
        <v>1.0121092198425</v>
      </c>
      <c r="H187" s="709" t="n">
        <f aca="false">IF(VIN_nom&gt;Vout, 0, -ATAN(A187/z_RHP))</f>
        <v>-0.15484363076529</v>
      </c>
      <c r="I187" s="707" t="n">
        <f aca="false">SQRT(1+(A187/Pole2)^2)</f>
        <v>43688.6924806439</v>
      </c>
      <c r="J187" s="710" t="n">
        <f aca="false">ATAN(A187/Pole2)</f>
        <v>1.57077343757704</v>
      </c>
      <c r="K187" s="719" t="n">
        <f aca="false">SQRT(1+(A187/Zero2)^2)</f>
        <v>13.5544053721666</v>
      </c>
      <c r="L187" s="720" t="n">
        <f aca="false">ATAN(A187/Zero2)</f>
        <v>1.49695248267911</v>
      </c>
      <c r="M187" s="707" t="n">
        <f aca="false">SQRT(1+(A187/pole4)^2)</f>
        <v>1.08460797883514</v>
      </c>
      <c r="N187" s="710" t="n">
        <f aca="false">ATAN(A187/pole4)</f>
        <v>0.397602152553968</v>
      </c>
      <c r="O187" s="711" t="n">
        <f aca="false">SQRT((1-(V187/pterm2))^2+(A187/pterm1)^2)</f>
        <v>1.00580725485188</v>
      </c>
      <c r="P187" s="712" t="n">
        <f aca="false">IF((ATAN((A187/pterm1)/(1-A187^2/pterm2))&gt;0),ATAN((A187/pterm1)/(1-A187^2/pterm2)),PI()+ATAN((A187/pterm1)/(1-A187^2/pterm2)))</f>
        <v>0.14624787897547</v>
      </c>
      <c r="Q187" s="713" t="n">
        <f aca="false">20*LOG10(((E187*K187*G187)/(C187*I187*O187*M187))*Adc)</f>
        <v>-6.69258384641978</v>
      </c>
      <c r="R187" s="714" t="n">
        <f aca="false">((F187+L187+H187)-(D187+J187+P187+N187))*radconv</f>
        <v>-123.540258268448</v>
      </c>
      <c r="S187" s="717" t="n">
        <f aca="false">IF(R187&gt;0,R187,R187+180)</f>
        <v>56.4597417315523</v>
      </c>
      <c r="U187" s="644" t="n">
        <f aca="false">IF(Q187&lt;0,A187,1000000000)</f>
        <v>10532</v>
      </c>
      <c r="V187" s="644" t="n">
        <f aca="false">A187^2</f>
        <v>110923024</v>
      </c>
      <c r="X187" s="716" t="n">
        <f aca="false">20*LOG10((K187/(I187*M187))*AEA)</f>
        <v>17.2254468863769</v>
      </c>
      <c r="Y187" s="717" t="n">
        <f aca="false">(L187-(J187+N187))*radconv</f>
        <v>-27.0105544528002</v>
      </c>
      <c r="AA187" s="716" t="n">
        <f aca="false">20*LOG10((E187*G187/(C187*O187))*Acs*Am)</f>
        <v>27.5625946217577</v>
      </c>
      <c r="AB187" s="717" t="n">
        <f aca="false">(F187+H187-(D187+P187))*radconv</f>
        <v>-96.5297038156475</v>
      </c>
      <c r="AD187" s="0" t="n">
        <f aca="false">SUM((Q188&lt;0)*(Q187&gt;0))*A187</f>
        <v>0</v>
      </c>
      <c r="AE187" s="0" t="n">
        <f aca="false">IF(AD187&gt;0,S187,0)</f>
        <v>0</v>
      </c>
    </row>
    <row r="188" customFormat="false" ht="12.75" hidden="false" customHeight="false" outlineLevel="0" collapsed="false">
      <c r="A188" s="718" t="n">
        <v>10593</v>
      </c>
      <c r="B188" s="706" t="n">
        <f aca="false">A188/1000</f>
        <v>10.593</v>
      </c>
      <c r="C188" s="707" t="n">
        <f aca="false">SQRT(1+(A188/pole1)^2)</f>
        <v>18.1175359265575</v>
      </c>
      <c r="D188" s="708" t="n">
        <f aca="false">ATAN(A188/pole1)</f>
        <v>1.51557311917667</v>
      </c>
      <c r="E188" s="708" t="n">
        <f aca="false">SQRT(1+(A188/Zero1)^2)</f>
        <v>1.00882097188584</v>
      </c>
      <c r="F188" s="709" t="n">
        <f aca="false">ATAN(A188/Zero1)</f>
        <v>0.132337560463295</v>
      </c>
      <c r="G188" s="708" t="n">
        <f aca="false">IF(VIN_nom&gt;Vout, 1, SQRT(1+(A188/z_RHP)^2))</f>
        <v>1.01224904495957</v>
      </c>
      <c r="H188" s="709" t="n">
        <f aca="false">IF(VIN_nom&gt;Vout, 0, -ATAN(A188/z_RHP))</f>
        <v>-0.155726076770929</v>
      </c>
      <c r="I188" s="707" t="n">
        <f aca="false">SQRT(1+(A188/Pole2)^2)</f>
        <v>43941.7318121979</v>
      </c>
      <c r="J188" s="710" t="n">
        <f aca="false">ATAN(A188/Pole2)</f>
        <v>1.57077356938505</v>
      </c>
      <c r="K188" s="719" t="n">
        <f aca="false">SQRT(1+(A188/Zero2)^2)</f>
        <v>13.6324846765238</v>
      </c>
      <c r="L188" s="720" t="n">
        <f aca="false">ATAN(A188/Zero2)</f>
        <v>1.49737618302311</v>
      </c>
      <c r="M188" s="707" t="n">
        <f aca="false">SQRT(1+(A188/pole4)^2)</f>
        <v>1.08555214577317</v>
      </c>
      <c r="N188" s="710" t="n">
        <f aca="false">ATAN(A188/pole4)</f>
        <v>0.399668073345836</v>
      </c>
      <c r="O188" s="711" t="n">
        <f aca="false">SQRT((1-(V188/pterm2))^2+(A188/pterm1)^2)</f>
        <v>1.00587466438803</v>
      </c>
      <c r="P188" s="712" t="n">
        <f aca="false">IF((ATAN((A188/pterm1)/(1-A188^2/pterm2))&gt;0),ATAN((A188/pterm1)/(1-A188^2/pterm2)),PI()+ATAN((A188/pterm1)/(1-A188^2/pterm2)))</f>
        <v>0.147091143059692</v>
      </c>
      <c r="Q188" s="713" t="n">
        <f aca="false">20*LOG10(((E188*K188*G188)/(C188*I188*O188*M188))*Adc)</f>
        <v>-6.74893572365123</v>
      </c>
      <c r="R188" s="714" t="n">
        <f aca="false">((F188+L188+H188)-(D188+J188+P188+N188))*radconv</f>
        <v>-123.708362662906</v>
      </c>
      <c r="S188" s="717" t="n">
        <f aca="false">IF(R188&gt;0,R188,R188+180)</f>
        <v>56.2916373370942</v>
      </c>
      <c r="U188" s="644" t="n">
        <f aca="false">IF(Q188&lt;0,A188,1000000000)</f>
        <v>10593</v>
      </c>
      <c r="V188" s="644" t="n">
        <f aca="false">A188^2</f>
        <v>112211649</v>
      </c>
      <c r="X188" s="716" t="n">
        <f aca="false">20*LOG10((K188/(I188*M188))*AEA)</f>
        <v>17.2176175106389</v>
      </c>
      <c r="Y188" s="717" t="n">
        <f aca="false">(L188-(J188+N188))*radconv</f>
        <v>-27.1046543056432</v>
      </c>
      <c r="AA188" s="716" t="n">
        <f aca="false">20*LOG10((E188*G188/(C188*O188))*Acs*Am)</f>
        <v>27.5140721202643</v>
      </c>
      <c r="AB188" s="717" t="n">
        <f aca="false">(F188+H188-(D188+P188))*radconv</f>
        <v>-96.6037083572626</v>
      </c>
      <c r="AD188" s="0" t="n">
        <f aca="false">SUM((Q189&lt;0)*(Q188&gt;0))*A188</f>
        <v>0</v>
      </c>
      <c r="AE188" s="0" t="n">
        <f aca="false">IF(AD188&gt;0,S188,0)</f>
        <v>0</v>
      </c>
    </row>
    <row r="189" customFormat="false" ht="12.75" hidden="false" customHeight="false" outlineLevel="0" collapsed="false">
      <c r="A189" s="718" t="n">
        <v>10654</v>
      </c>
      <c r="B189" s="706" t="n">
        <f aca="false">A189/1000</f>
        <v>10.654</v>
      </c>
      <c r="C189" s="707" t="n">
        <f aca="false">SQRT(1+(A189/pole1)^2)</f>
        <v>18.2215491803326</v>
      </c>
      <c r="D189" s="708" t="n">
        <f aca="false">ATAN(A189/pole1)</f>
        <v>1.51588866542624</v>
      </c>
      <c r="E189" s="708" t="n">
        <f aca="false">SQRT(1+(A189/Zero1)^2)</f>
        <v>1.00892240534805</v>
      </c>
      <c r="F189" s="709" t="n">
        <f aca="false">ATAN(A189/Zero1)</f>
        <v>0.133090686862281</v>
      </c>
      <c r="G189" s="708" t="n">
        <f aca="false">IF(VIN_nom&gt;Vout, 1, SQRT(1+(A189/z_RHP)^2))</f>
        <v>1.01238965810797</v>
      </c>
      <c r="H189" s="709" t="n">
        <f aca="false">IF(VIN_nom&gt;Vout, 0, -ATAN(A189/z_RHP))</f>
        <v>-0.156608278333444</v>
      </c>
      <c r="I189" s="707" t="n">
        <f aca="false">SQRT(1+(A189/Pole2)^2)</f>
        <v>44194.7711437527</v>
      </c>
      <c r="J189" s="710" t="n">
        <f aca="false">ATAN(A189/Pole2)</f>
        <v>1.57077369968372</v>
      </c>
      <c r="K189" s="719" t="n">
        <f aca="false">SQRT(1+(A189/Zero2)^2)</f>
        <v>13.7105664003371</v>
      </c>
      <c r="L189" s="720" t="n">
        <f aca="false">ATAN(A189/Zero2)</f>
        <v>1.49779505749171</v>
      </c>
      <c r="M189" s="707" t="n">
        <f aca="false">SQRT(1+(A189/pole4)^2)</f>
        <v>1.08650093781498</v>
      </c>
      <c r="N189" s="710" t="n">
        <f aca="false">ATAN(A189/pole4)</f>
        <v>0.401730394776923</v>
      </c>
      <c r="O189" s="711" t="n">
        <f aca="false">SQRT((1-(V189/pterm2))^2+(A189/pterm1)^2)</f>
        <v>1.00594246195684</v>
      </c>
      <c r="P189" s="712" t="n">
        <f aca="false">IF((ATAN((A189/pterm1)/(1-A189^2/pterm2))&gt;0),ATAN((A189/pterm1)/(1-A189^2/pterm2)),PI()+ATAN((A189/pterm1)/(1-A189^2/pterm2)))</f>
        <v>0.14793434199174</v>
      </c>
      <c r="Q189" s="713" t="n">
        <f aca="false">20*LOG10(((E189*K189*G189)/(C189*I189*O189*M189))*Adc)</f>
        <v>-6.80501984149641</v>
      </c>
      <c r="R189" s="714" t="n">
        <f aca="false">((F189+L189+H189)-(D189+J189+P189+N189))*radconv</f>
        <v>-123.876319374014</v>
      </c>
      <c r="S189" s="717" t="n">
        <f aca="false">IF(R189&gt;0,R189,R189+180)</f>
        <v>56.1236806259863</v>
      </c>
      <c r="U189" s="644" t="n">
        <f aca="false">IF(Q189&lt;0,A189,1000000000)</f>
        <v>10654</v>
      </c>
      <c r="V189" s="644" t="n">
        <f aca="false">A189^2</f>
        <v>113507716</v>
      </c>
      <c r="X189" s="716" t="n">
        <f aca="false">20*LOG10((K189/(I189*M189))*AEA)</f>
        <v>17.2097623638051</v>
      </c>
      <c r="Y189" s="717" t="n">
        <f aca="false">(L189-(J189+N189))*radconv</f>
        <v>-27.1988243461188</v>
      </c>
      <c r="AA189" s="716" t="n">
        <f aca="false">20*LOG10((E189*G189/(C189*O189))*Acs*Am)</f>
        <v>27.4658431492529</v>
      </c>
      <c r="AB189" s="717" t="n">
        <f aca="false">(F189+H189-(D189+P189))*radconv</f>
        <v>-96.6774950278949</v>
      </c>
      <c r="AD189" s="0" t="n">
        <f aca="false">SUM((Q190&lt;0)*(Q189&gt;0))*A189</f>
        <v>0</v>
      </c>
      <c r="AE189" s="0" t="n">
        <f aca="false">IF(AD189&gt;0,S189,0)</f>
        <v>0</v>
      </c>
    </row>
    <row r="190" customFormat="false" ht="12.75" hidden="false" customHeight="false" outlineLevel="0" collapsed="false">
      <c r="A190" s="718" t="n">
        <v>10715</v>
      </c>
      <c r="B190" s="706" t="n">
        <f aca="false">A190/1000</f>
        <v>10.715</v>
      </c>
      <c r="C190" s="707" t="n">
        <f aca="false">SQRT(1+(A190/pole1)^2)</f>
        <v>18.3255642278216</v>
      </c>
      <c r="D190" s="708" t="n">
        <f aca="false">ATAN(A190/pole1)</f>
        <v>1.51620062965501</v>
      </c>
      <c r="E190" s="708" t="n">
        <f aca="false">SQRT(1+(A190/Zero1)^2)</f>
        <v>1.00902441095518</v>
      </c>
      <c r="F190" s="709" t="n">
        <f aca="false">ATAN(A190/Zero1)</f>
        <v>0.133843661416217</v>
      </c>
      <c r="G190" s="708" t="n">
        <f aca="false">IF(VIN_nom&gt;Vout, 1, SQRT(1+(A190/z_RHP)^2))</f>
        <v>1.01253105895938</v>
      </c>
      <c r="H190" s="709" t="n">
        <f aca="false">IF(VIN_nom&gt;Vout, 0, -ATAN(A190/z_RHP))</f>
        <v>-0.157490234181761</v>
      </c>
      <c r="I190" s="707" t="n">
        <f aca="false">SQRT(1+(A190/Pole2)^2)</f>
        <v>44447.8104753082</v>
      </c>
      <c r="J190" s="710" t="n">
        <f aca="false">ATAN(A190/Pole2)</f>
        <v>1.57077382849882</v>
      </c>
      <c r="K190" s="719" t="n">
        <f aca="false">SQRT(1+(A190/Zero2)^2)</f>
        <v>13.7886505025042</v>
      </c>
      <c r="L190" s="720" t="n">
        <f aca="false">ATAN(A190/Zero2)</f>
        <v>1.49820918792237</v>
      </c>
      <c r="M190" s="707" t="n">
        <f aca="false">SQRT(1+(A190/pole4)^2)</f>
        <v>1.08745434285452</v>
      </c>
      <c r="N190" s="710" t="n">
        <f aca="false">ATAN(A190/pole4)</f>
        <v>0.403789108748644</v>
      </c>
      <c r="O190" s="711" t="n">
        <f aca="false">SQRT((1-(V190/pterm2))^2+(A190/pterm1)^2)</f>
        <v>1.00601064753668</v>
      </c>
      <c r="P190" s="712" t="n">
        <f aca="false">IF((ATAN((A190/pterm1)/(1-A190^2/pterm2))&gt;0),ATAN((A190/pterm1)/(1-A190^2/pterm2)),PI()+ATAN((A190/pterm1)/(1-A190^2/pterm2)))</f>
        <v>0.148777475408554</v>
      </c>
      <c r="Q190" s="713" t="n">
        <f aca="false">20*LOG10(((E190*K190*G190)/(C190*I190*O190*M190))*Adc)</f>
        <v>-6.86083935972146</v>
      </c>
      <c r="R190" s="714" t="n">
        <f aca="false">((F190+L190+H190)-(D190+J190+P190+N190))*radconv</f>
        <v>-124.044126754548</v>
      </c>
      <c r="S190" s="717" t="n">
        <f aca="false">IF(R190&gt;0,R190,R190+180)</f>
        <v>55.9558732454522</v>
      </c>
      <c r="U190" s="644" t="n">
        <f aca="false">IF(Q190&lt;0,A190,1000000000)</f>
        <v>10715</v>
      </c>
      <c r="V190" s="644" t="n">
        <f aca="false">A190^2</f>
        <v>114811225</v>
      </c>
      <c r="X190" s="716" t="n">
        <f aca="false">20*LOG10((K190/(I190*M190))*AEA)</f>
        <v>17.2018815231978</v>
      </c>
      <c r="Y190" s="717" t="n">
        <f aca="false">(L190-(J190+N190))*radconv</f>
        <v>-27.2930594227477</v>
      </c>
      <c r="AA190" s="716" t="n">
        <f aca="false">20*LOG10((E190*G190/(C190*O190))*Acs*Am)</f>
        <v>27.4179044716351</v>
      </c>
      <c r="AB190" s="717" t="n">
        <f aca="false">(F190+H190-(D190+P190))*radconv</f>
        <v>-96.7510673318002</v>
      </c>
      <c r="AD190" s="0" t="n">
        <f aca="false">SUM((Q191&lt;0)*(Q190&gt;0))*A190</f>
        <v>0</v>
      </c>
      <c r="AE190" s="0" t="n">
        <f aca="false">IF(AD190&gt;0,S190,0)</f>
        <v>0</v>
      </c>
    </row>
    <row r="191" customFormat="false" ht="12.75" hidden="false" customHeight="false" outlineLevel="0" collapsed="false">
      <c r="A191" s="718" t="n">
        <v>10777.5</v>
      </c>
      <c r="B191" s="706" t="n">
        <f aca="false">A191/1000</f>
        <v>10.7775</v>
      </c>
      <c r="C191" s="707" t="n">
        <f aca="false">SQRT(1+(A191/pole1)^2)</f>
        <v>18.4321388510436</v>
      </c>
      <c r="D191" s="708" t="n">
        <f aca="false">ATAN(A191/pole1)</f>
        <v>1.51651661325698</v>
      </c>
      <c r="E191" s="708" t="n">
        <f aca="false">SQRT(1+(A191/Zero1)^2)</f>
        <v>1.00912951813706</v>
      </c>
      <c r="F191" s="709" t="n">
        <f aca="false">ATAN(A191/Zero1)</f>
        <v>0.134614993401525</v>
      </c>
      <c r="G191" s="708" t="n">
        <f aca="false">IF(VIN_nom&gt;Vout, 1, SQRT(1+(A191/z_RHP)^2))</f>
        <v>1.01267675353164</v>
      </c>
      <c r="H191" s="709" t="n">
        <f aca="false">IF(VIN_nom&gt;Vout, 0, -ATAN(A191/z_RHP))</f>
        <v>-0.158393621290466</v>
      </c>
      <c r="I191" s="707" t="n">
        <f aca="false">SQRT(1+(A191/Pole2)^2)</f>
        <v>44707.0720855093</v>
      </c>
      <c r="J191" s="710" t="n">
        <f aca="false">ATAN(A191/Pole2)</f>
        <v>1.5707739589691</v>
      </c>
      <c r="K191" s="719" t="n">
        <f aca="false">SQRT(1+(A191/Zero2)^2)</f>
        <v>13.8686571303357</v>
      </c>
      <c r="L191" s="720" t="n">
        <f aca="false">ATAN(A191/Zero2)</f>
        <v>1.49862866507526</v>
      </c>
      <c r="M191" s="707" t="n">
        <f aca="false">SQRT(1+(A191/pole4)^2)</f>
        <v>1.08843596414789</v>
      </c>
      <c r="N191" s="710" t="n">
        <f aca="false">ATAN(A191/pole4)</f>
        <v>0.405894696912227</v>
      </c>
      <c r="O191" s="711" t="n">
        <f aca="false">SQRT((1-(V191/pterm2))^2+(A191/pterm1)^2)</f>
        <v>1.00608091222859</v>
      </c>
      <c r="P191" s="712" t="n">
        <f aca="false">IF((ATAN((A191/pterm1)/(1-A191^2/pterm2))&gt;0),ATAN((A191/pterm1)/(1-A191^2/pterm2)),PI()+ATAN((A191/pterm1)/(1-A191^2/pterm2)))</f>
        <v>0.149641273283283</v>
      </c>
      <c r="Q191" s="713" t="n">
        <f aca="false">20*LOG10(((E191*K191*G191)/(C191*I191*O191*M191))*Adc)</f>
        <v>-6.91776029357511</v>
      </c>
      <c r="R191" s="714" t="n">
        <f aca="false">((F191+L191+H191)-(D191+J191+P191+N191))*radconv</f>
        <v>-124.215903975441</v>
      </c>
      <c r="S191" s="717" t="n">
        <f aca="false">IF(R191&gt;0,R191,R191+180)</f>
        <v>55.7840960245595</v>
      </c>
      <c r="U191" s="644" t="n">
        <f aca="false">IF(Q191&lt;0,A191,1000000000)</f>
        <v>10777.5</v>
      </c>
      <c r="V191" s="644" t="n">
        <f aca="false">A191^2</f>
        <v>116154506.25</v>
      </c>
      <c r="X191" s="716" t="n">
        <f aca="false">20*LOG10((K191/(I191*M191))*AEA)</f>
        <v>17.1937803260638</v>
      </c>
      <c r="Y191" s="717" t="n">
        <f aca="false">(L191-(J191+N191))*radconv</f>
        <v>-27.3896739429577</v>
      </c>
      <c r="AA191" s="716" t="n">
        <f aca="false">20*LOG10((E191*G191/(C191*O191))*Acs*Am)</f>
        <v>27.3690847349155</v>
      </c>
      <c r="AB191" s="717" t="n">
        <f aca="false">(F191+H191-(D191+P191))*radconv</f>
        <v>-96.8262300324828</v>
      </c>
      <c r="AD191" s="0" t="n">
        <f aca="false">SUM((Q192&lt;0)*(Q191&gt;0))*A191</f>
        <v>0</v>
      </c>
      <c r="AE191" s="0" t="n">
        <f aca="false">IF(AD191&gt;0,S191,0)</f>
        <v>0</v>
      </c>
    </row>
    <row r="192" customFormat="false" ht="12.75" hidden="false" customHeight="false" outlineLevel="0" collapsed="false">
      <c r="A192" s="718" t="n">
        <v>10840</v>
      </c>
      <c r="B192" s="706" t="n">
        <f aca="false">A192/1000</f>
        <v>10.84</v>
      </c>
      <c r="C192" s="707" t="n">
        <f aca="false">SQRT(1+(A192/pole1)^2)</f>
        <v>18.5387152934744</v>
      </c>
      <c r="D192" s="708" t="n">
        <f aca="false">ATAN(A192/pole1)</f>
        <v>1.51682896380011</v>
      </c>
      <c r="E192" s="708" t="n">
        <f aca="false">SQRT(1+(A192/Zero1)^2)</f>
        <v>1.00923522557836</v>
      </c>
      <c r="F192" s="709" t="n">
        <f aca="false">ATAN(A192/Zero1)</f>
        <v>0.135386164266719</v>
      </c>
      <c r="G192" s="708" t="n">
        <f aca="false">IF(VIN_nom&gt;Vout, 1, SQRT(1+(A192/z_RHP)^2))</f>
        <v>1.01282327431961</v>
      </c>
      <c r="H192" s="709" t="n">
        <f aca="false">IF(VIN_nom&gt;Vout, 0, -ATAN(A192/z_RHP))</f>
        <v>-0.159296747757785</v>
      </c>
      <c r="I192" s="707" t="n">
        <f aca="false">SQRT(1+(A192/Pole2)^2)</f>
        <v>44966.3336957112</v>
      </c>
      <c r="J192" s="710" t="n">
        <f aca="false">ATAN(A192/Pole2)</f>
        <v>1.57077408793489</v>
      </c>
      <c r="K192" s="719" t="n">
        <f aca="false">SQRT(1+(A192/Zero2)^2)</f>
        <v>13.9486661705162</v>
      </c>
      <c r="L192" s="720" t="n">
        <f aca="false">ATAN(A192/Zero2)</f>
        <v>1.49904333008914</v>
      </c>
      <c r="M192" s="707" t="n">
        <f aca="false">SQRT(1+(A192/pole4)^2)</f>
        <v>1.08942240231512</v>
      </c>
      <c r="N192" s="710" t="n">
        <f aca="false">ATAN(A192/pole4)</f>
        <v>0.407996481290608</v>
      </c>
      <c r="O192" s="711" t="n">
        <f aca="false">SQRT((1-(V192/pterm2))^2+(A192/pterm1)^2)</f>
        <v>1.0061515842023</v>
      </c>
      <c r="P192" s="712" t="n">
        <f aca="false">IF((ATAN((A192/pterm1)/(1-A192^2/pterm2))&gt;0),ATAN((A192/pterm1)/(1-A192^2/pterm2)),PI()+ATAN((A192/pterm1)/(1-A192^2/pterm2)))</f>
        <v>0.150505001610117</v>
      </c>
      <c r="Q192" s="713" t="n">
        <f aca="false">20*LOG10(((E192*K192*G192)/(C192*I192*O192*M192))*Adc)</f>
        <v>-6.97440998780889</v>
      </c>
      <c r="R192" s="714" t="n">
        <f aca="false">((F192+L192+H192)-(D192+J192+P192+N192))*radconv</f>
        <v>-124.387521038661</v>
      </c>
      <c r="S192" s="717" t="n">
        <f aca="false">IF(R192&gt;0,R192,R192+180)</f>
        <v>55.6124789613393</v>
      </c>
      <c r="U192" s="644" t="n">
        <f aca="false">IF(Q192&lt;0,A192,1000000000)</f>
        <v>10840</v>
      </c>
      <c r="V192" s="644" t="n">
        <f aca="false">A192^2</f>
        <v>117505600</v>
      </c>
      <c r="X192" s="716" t="n">
        <f aca="false">20*LOG10((K192/(I192*M192))*AEA)</f>
        <v>17.1856523295228</v>
      </c>
      <c r="Y192" s="717" t="n">
        <f aca="false">(L192-(J192+N192))*radconv</f>
        <v>-27.4863461513842</v>
      </c>
      <c r="AA192" s="716" t="n">
        <f aca="false">20*LOG10((E192*G192/(C192*O192))*Acs*Am)</f>
        <v>27.3205630372227</v>
      </c>
      <c r="AB192" s="717" t="n">
        <f aca="false">(F192+H192-(D192+P192))*radconv</f>
        <v>-96.9011748872765</v>
      </c>
      <c r="AD192" s="0" t="n">
        <f aca="false">SUM((Q193&lt;0)*(Q192&gt;0))*A192</f>
        <v>0</v>
      </c>
      <c r="AE192" s="0" t="n">
        <f aca="false">IF(AD192&gt;0,S192,0)</f>
        <v>0</v>
      </c>
    </row>
    <row r="193" customFormat="false" ht="12.75" hidden="false" customHeight="false" outlineLevel="0" collapsed="false">
      <c r="A193" s="718" t="n">
        <v>10902.5</v>
      </c>
      <c r="B193" s="706" t="n">
        <f aca="false">A193/1000</f>
        <v>10.9025</v>
      </c>
      <c r="C193" s="707" t="n">
        <f aca="false">SQRT(1+(A193/pole1)^2)</f>
        <v>18.6452935239184</v>
      </c>
      <c r="D193" s="708" t="n">
        <f aca="false">ATAN(A193/pole1)</f>
        <v>1.51713774352361</v>
      </c>
      <c r="E193" s="708" t="n">
        <f aca="false">SQRT(1+(A193/Zero1)^2)</f>
        <v>1.00934153309046</v>
      </c>
      <c r="F193" s="709" t="n">
        <f aca="false">ATAN(A193/Zero1)</f>
        <v>0.136157173145329</v>
      </c>
      <c r="G193" s="708" t="n">
        <f aca="false">IF(VIN_nom&gt;Vout, 1, SQRT(1+(A193/z_RHP)^2))</f>
        <v>1.01297062096477</v>
      </c>
      <c r="H193" s="709" t="n">
        <f aca="false">IF(VIN_nom&gt;Vout, 0, -ATAN(A193/z_RHP))</f>
        <v>-0.160199612223893</v>
      </c>
      <c r="I193" s="707" t="n">
        <f aca="false">SQRT(1+(A193/Pole2)^2)</f>
        <v>45225.5953059138</v>
      </c>
      <c r="J193" s="710" t="n">
        <f aca="false">ATAN(A193/Pole2)</f>
        <v>1.57077421542205</v>
      </c>
      <c r="K193" s="719" t="n">
        <f aca="false">SQRT(1+(A193/Zero2)^2)</f>
        <v>14.0286775817711</v>
      </c>
      <c r="L193" s="720" t="n">
        <f aca="false">ATAN(A193/Zero2)</f>
        <v>1.49945326515709</v>
      </c>
      <c r="M193" s="707" t="n">
        <f aca="false">SQRT(1+(A193/pole4)^2)</f>
        <v>1.09041364428353</v>
      </c>
      <c r="N193" s="710" t="n">
        <f aca="false">ATAN(A193/pole4)</f>
        <v>0.410094453663022</v>
      </c>
      <c r="O193" s="711" t="n">
        <f aca="false">SQRT((1-(V193/pterm2))^2+(A193/pterm1)^2)</f>
        <v>1.00622266343415</v>
      </c>
      <c r="P193" s="712" t="n">
        <f aca="false">IF((ATAN((A193/pterm1)/(1-A193^2/pterm2))&gt;0),ATAN((A193/pterm1)/(1-A193^2/pterm2)),PI()+ATAN((A193/pterm1)/(1-A193^2/pterm2)))</f>
        <v>0.15136865999922</v>
      </c>
      <c r="Q193" s="713" t="n">
        <f aca="false">20*LOG10(((E193*K193*G193)/(C193*I193*O193*M193))*Adc)</f>
        <v>-7.0307916585918</v>
      </c>
      <c r="R193" s="714" t="n">
        <f aca="false">((F193+L193+H193)-(D193+J193+P193+N193))*radconv</f>
        <v>-124.558976280801</v>
      </c>
      <c r="S193" s="717" t="n">
        <f aca="false">IF(R193&gt;0,R193,R193+180)</f>
        <v>55.4410237191991</v>
      </c>
      <c r="U193" s="644" t="n">
        <f aca="false">IF(Q193&lt;0,A193,1000000000)</f>
        <v>10902.5</v>
      </c>
      <c r="V193" s="644" t="n">
        <f aca="false">A193^2</f>
        <v>118864506.25</v>
      </c>
      <c r="X193" s="716" t="n">
        <f aca="false">20*LOG10((K193/(I193*M193))*AEA)</f>
        <v>17.1774976258349</v>
      </c>
      <c r="Y193" s="717" t="n">
        <f aca="false">(L193-(J193+N193))*radconv</f>
        <v>-27.5830708691774</v>
      </c>
      <c r="AA193" s="716" t="n">
        <f aca="false">20*LOG10((E193*G193/(C193*O193))*Acs*Am)</f>
        <v>27.2723360701277</v>
      </c>
      <c r="AB193" s="717" t="n">
        <f aca="false">(F193+H193-(D193+P193))*radconv</f>
        <v>-96.9759054116235</v>
      </c>
      <c r="AD193" s="0" t="n">
        <f aca="false">SUM((Q194&lt;0)*(Q193&gt;0))*A193</f>
        <v>0</v>
      </c>
      <c r="AE193" s="0" t="n">
        <f aca="false">IF(AD193&gt;0,S193,0)</f>
        <v>0</v>
      </c>
    </row>
    <row r="194" customFormat="false" ht="12.75" hidden="false" customHeight="false" outlineLevel="0" collapsed="false">
      <c r="A194" s="718" t="n">
        <v>10965</v>
      </c>
      <c r="B194" s="706" t="n">
        <f aca="false">A194/1000</f>
        <v>10.965</v>
      </c>
      <c r="C194" s="707" t="n">
        <f aca="false">SQRT(1+(A194/pole1)^2)</f>
        <v>18.7518735118883</v>
      </c>
      <c r="D194" s="708" t="n">
        <f aca="false">ATAN(A194/pole1)</f>
        <v>1.51744301325449</v>
      </c>
      <c r="E194" s="708" t="n">
        <f aca="false">SQRT(1+(A194/Zero1)^2)</f>
        <v>1.00944844048378</v>
      </c>
      <c r="F194" s="709" t="n">
        <f aca="false">ATAN(A194/Zero1)</f>
        <v>0.136928019172018</v>
      </c>
      <c r="G194" s="708" t="n">
        <f aca="false">IF(VIN_nom&gt;Vout, 1, SQRT(1+(A194/z_RHP)^2))</f>
        <v>1.01311879310677</v>
      </c>
      <c r="H194" s="709" t="n">
        <f aca="false">IF(VIN_nom&gt;Vout, 0, -ATAN(A194/z_RHP))</f>
        <v>-0.161102213331464</v>
      </c>
      <c r="I194" s="707" t="n">
        <f aca="false">SQRT(1+(A194/Pole2)^2)</f>
        <v>45484.8569161171</v>
      </c>
      <c r="J194" s="710" t="n">
        <f aca="false">ATAN(A194/Pole2)</f>
        <v>1.57077434145587</v>
      </c>
      <c r="K194" s="719" t="n">
        <f aca="false">SQRT(1+(A194/Zero2)^2)</f>
        <v>14.1086913237608</v>
      </c>
      <c r="L194" s="720" t="n">
        <f aca="false">ATAN(A194/Zero2)</f>
        <v>1.49985855061408</v>
      </c>
      <c r="M194" s="707" t="n">
        <f aca="false">SQRT(1+(A194/pole4)^2)</f>
        <v>1.09140967696437</v>
      </c>
      <c r="N194" s="710" t="n">
        <f aca="false">ATAN(A194/pole4)</f>
        <v>0.412188605972723</v>
      </c>
      <c r="O194" s="711" t="n">
        <f aca="false">SQRT((1-(V194/pterm2))^2+(A194/pterm1)^2)</f>
        <v>1.00629414990038</v>
      </c>
      <c r="P194" s="712" t="n">
        <f aca="false">IF((ATAN((A194/pterm1)/(1-A194^2/pterm2))&gt;0),ATAN((A194/pterm1)/(1-A194^2/pterm2)),PI()+ATAN((A194/pterm1)/(1-A194^2/pterm2)))</f>
        <v>0.152232248060986</v>
      </c>
      <c r="Q194" s="713" t="n">
        <f aca="false">20*LOG10(((E194*K194*G194)/(C194*I194*O194*M194))*Adc)</f>
        <v>-7.08690846336253</v>
      </c>
      <c r="R194" s="714" t="n">
        <f aca="false">((F194+L194+H194)-(D194+J194+P194+N194))*radconv</f>
        <v>-124.730268073455</v>
      </c>
      <c r="S194" s="717" t="n">
        <f aca="false">IF(R194&gt;0,R194,R194+180)</f>
        <v>55.2697319265449</v>
      </c>
      <c r="U194" s="644" t="n">
        <f aca="false">IF(Q194&lt;0,A194,1000000000)</f>
        <v>10965</v>
      </c>
      <c r="V194" s="644" t="n">
        <f aca="false">A194^2</f>
        <v>120231225</v>
      </c>
      <c r="X194" s="716" t="n">
        <f aca="false">20*LOG10((K194/(I194*M194))*AEA)</f>
        <v>17.1693163100956</v>
      </c>
      <c r="Y194" s="717" t="n">
        <f aca="false">(L194-(J194+N194))*radconv</f>
        <v>-27.6798430333133</v>
      </c>
      <c r="AA194" s="716" t="n">
        <f aca="false">20*LOG10((E194*G194/(C194*O194))*Acs*Am)</f>
        <v>27.2244005810963</v>
      </c>
      <c r="AB194" s="717" t="n">
        <f aca="false">(F194+H194-(D194+P194))*radconv</f>
        <v>-97.0504250401419</v>
      </c>
      <c r="AD194" s="0" t="n">
        <f aca="false">SUM((Q195&lt;0)*(Q194&gt;0))*A194</f>
        <v>0</v>
      </c>
      <c r="AE194" s="0" t="n">
        <f aca="false">IF(AD194&gt;0,S194,0)</f>
        <v>0</v>
      </c>
    </row>
    <row r="195" customFormat="false" ht="12.75" hidden="false" customHeight="false" outlineLevel="0" collapsed="false">
      <c r="A195" s="718" t="n">
        <v>11028.75</v>
      </c>
      <c r="B195" s="706" t="n">
        <f aca="false">A195/1000</f>
        <v>11.02875</v>
      </c>
      <c r="C195" s="707" t="n">
        <f aca="false">SQRT(1+(A195/pole1)^2)</f>
        <v>18.8605868793215</v>
      </c>
      <c r="D195" s="708" t="n">
        <f aca="false">ATAN(A195/pole1)</f>
        <v>1.51775083403703</v>
      </c>
      <c r="E195" s="708" t="n">
        <f aca="false">SQRT(1+(A195/Zero1)^2)</f>
        <v>1.00955810382497</v>
      </c>
      <c r="F195" s="709" t="n">
        <f aca="false">ATAN(A195/Zero1)</f>
        <v>0.137714113452967</v>
      </c>
      <c r="G195" s="708" t="n">
        <f aca="false">IF(VIN_nom&gt;Vout, 1, SQRT(1+(A195/z_RHP)^2))</f>
        <v>1.0132707787429</v>
      </c>
      <c r="H195" s="709" t="n">
        <f aca="false">IF(VIN_nom&gt;Vout, 0, -ATAN(A195/z_RHP))</f>
        <v>-0.162022593744192</v>
      </c>
      <c r="I195" s="707" t="n">
        <f aca="false">SQRT(1+(A195/Pole2)^2)</f>
        <v>45749.3037585252</v>
      </c>
      <c r="J195" s="710" t="n">
        <f aca="false">ATAN(A195/Pole2)</f>
        <v>1.57077446853875</v>
      </c>
      <c r="K195" s="719" t="n">
        <f aca="false">SQRT(1+(A195/Zero2)^2)</f>
        <v>14.1903077008254</v>
      </c>
      <c r="L195" s="720" t="n">
        <f aca="false">ATAN(A195/Zero2)</f>
        <v>1.50026723318178</v>
      </c>
      <c r="M195" s="707" t="n">
        <f aca="false">SQRT(1+(A195/pole4)^2)</f>
        <v>1.09243055210079</v>
      </c>
      <c r="N195" s="710" t="n">
        <f aca="false">ATAN(A195/pole4)</f>
        <v>0.414320697714853</v>
      </c>
      <c r="O195" s="711" t="n">
        <f aca="false">SQRT((1-(V195/pterm2))^2+(A195/pterm1)^2)</f>
        <v>1.00636748560398</v>
      </c>
      <c r="P195" s="712" t="n">
        <f aca="false">IF((ATAN((A195/pterm1)/(1-A195^2/pterm2))&gt;0),ATAN((A195/pterm1)/(1-A195^2/pterm2)),PI()+ATAN((A195/pterm1)/(1-A195^2/pterm2)))</f>
        <v>0.153113035028958</v>
      </c>
      <c r="Q195" s="713" t="n">
        <f aca="false">20*LOG10(((E195*K195*G195)/(C195*I195*O195*M195))*Adc)</f>
        <v>-7.14387795395615</v>
      </c>
      <c r="R195" s="714" t="n">
        <f aca="false">((F195+L195+H195)-(D195+J195+P195+N195))*radconv</f>
        <v>-124.904815663236</v>
      </c>
      <c r="S195" s="717" t="n">
        <f aca="false">IF(R195&gt;0,R195,R195+180)</f>
        <v>55.0951843367641</v>
      </c>
      <c r="U195" s="644" t="n">
        <f aca="false">IF(Q195&lt;0,A195,1000000000)</f>
        <v>11028.75</v>
      </c>
      <c r="V195" s="644" t="n">
        <f aca="false">A195^2</f>
        <v>121633326.5625</v>
      </c>
      <c r="X195" s="716" t="n">
        <f aca="false">20*LOG10((K195/(I195*M195))*AEA)</f>
        <v>17.1609440537669</v>
      </c>
      <c r="Y195" s="717" t="n">
        <f aca="false">(L195-(J195+N195))*radconv</f>
        <v>-27.7785943868083</v>
      </c>
      <c r="AA195" s="716" t="n">
        <f aca="false">20*LOG10((E195*G195/(C195*O195))*Acs*Am)</f>
        <v>27.1758033468314</v>
      </c>
      <c r="AB195" s="717" t="n">
        <f aca="false">(F195+H195-(D195+P195))*radconv</f>
        <v>-97.1262212764275</v>
      </c>
      <c r="AD195" s="0" t="n">
        <f aca="false">SUM((Q196&lt;0)*(Q195&gt;0))*A195</f>
        <v>0</v>
      </c>
      <c r="AE195" s="0" t="n">
        <f aca="false">IF(AD195&gt;0,S195,0)</f>
        <v>0</v>
      </c>
    </row>
    <row r="196" customFormat="false" ht="12.75" hidden="false" customHeight="false" outlineLevel="0" collapsed="false">
      <c r="A196" s="718" t="n">
        <v>11092.5</v>
      </c>
      <c r="B196" s="706" t="n">
        <f aca="false">A196/1000</f>
        <v>11.0925</v>
      </c>
      <c r="C196" s="707" t="n">
        <f aca="false">SQRT(1+(A196/pole1)^2)</f>
        <v>18.9693020133799</v>
      </c>
      <c r="D196" s="708" t="n">
        <f aca="false">ATAN(A196/pole1)</f>
        <v>1.51805512653933</v>
      </c>
      <c r="E196" s="708" t="n">
        <f aca="false">SQRT(1+(A196/Zero1)^2)</f>
        <v>1.00966839088101</v>
      </c>
      <c r="F196" s="709" t="n">
        <f aca="false">ATAN(A196/Zero1)</f>
        <v>0.138500036487805</v>
      </c>
      <c r="G196" s="708" t="n">
        <f aca="false">IF(VIN_nom&gt;Vout, 1, SQRT(1+(A196/z_RHP)^2))</f>
        <v>1.01342362246292</v>
      </c>
      <c r="H196" s="709" t="n">
        <f aca="false">IF(VIN_nom&gt;Vout, 0, -ATAN(A196/z_RHP))</f>
        <v>-0.162942697314106</v>
      </c>
      <c r="I196" s="707" t="n">
        <f aca="false">SQRT(1+(A196/Pole2)^2)</f>
        <v>46013.750600934</v>
      </c>
      <c r="J196" s="710" t="n">
        <f aca="false">ATAN(A196/Pole2)</f>
        <v>1.57077459416091</v>
      </c>
      <c r="K196" s="719" t="n">
        <f aca="false">SQRT(1+(A196/Zero2)^2)</f>
        <v>14.2719264208679</v>
      </c>
      <c r="L196" s="720" t="n">
        <f aca="false">ATAN(A196/Zero2)</f>
        <v>1.50067124144411</v>
      </c>
      <c r="M196" s="707" t="n">
        <f aca="false">SQRT(1+(A196/pole4)^2)</f>
        <v>1.09345638393875</v>
      </c>
      <c r="N196" s="710" t="n">
        <f aca="false">ATAN(A196/pole4)</f>
        <v>0.416448798649762</v>
      </c>
      <c r="O196" s="711" t="n">
        <f aca="false">SQRT((1-(V196/pterm2))^2+(A196/pterm1)^2)</f>
        <v>1.00644124494383</v>
      </c>
      <c r="P196" s="712" t="n">
        <f aca="false">IF((ATAN((A196/pterm1)/(1-A196^2/pterm2))&gt;0),ATAN((A196/pterm1)/(1-A196^2/pterm2)),PI()+ATAN((A196/pterm1)/(1-A196^2/pterm2)))</f>
        <v>0.153993748010304</v>
      </c>
      <c r="Q196" s="713" t="n">
        <f aca="false">20*LOG10(((E196*K196*G196)/(C196*I196*O196*M196))*Adc)</f>
        <v>-7.20057833283624</v>
      </c>
      <c r="R196" s="714" t="n">
        <f aca="false">((F196+L196+H196)-(D196+J196+P196+N196))*radconv</f>
        <v>-125.079189885948</v>
      </c>
      <c r="S196" s="717" t="n">
        <f aca="false">IF(R196&gt;0,R196,R196+180)</f>
        <v>54.9208101140516</v>
      </c>
      <c r="U196" s="644" t="n">
        <f aca="false">IF(Q196&lt;0,A196,1000000000)</f>
        <v>11092.5</v>
      </c>
      <c r="V196" s="644" t="n">
        <f aca="false">A196^2</f>
        <v>123043556.25</v>
      </c>
      <c r="X196" s="716" t="n">
        <f aca="false">20*LOG10((K196/(I196*M196))*AEA)</f>
        <v>17.152544318657</v>
      </c>
      <c r="Y196" s="717" t="n">
        <f aca="false">(L196-(J196+N196))*radconv</f>
        <v>-27.8773848181693</v>
      </c>
      <c r="AA196" s="716" t="n">
        <f aca="false">20*LOG10((E196*G196/(C196*O196))*Acs*Am)</f>
        <v>27.1275027030612</v>
      </c>
      <c r="AB196" s="717" t="n">
        <f aca="false">(F196+H196-(D196+P196))*radconv</f>
        <v>-97.2018050677792</v>
      </c>
      <c r="AD196" s="0" t="n">
        <f aca="false">SUM((Q197&lt;0)*(Q196&gt;0))*A196</f>
        <v>0</v>
      </c>
      <c r="AE196" s="0" t="n">
        <f aca="false">IF(AD196&gt;0,S196,0)</f>
        <v>0</v>
      </c>
    </row>
    <row r="197" customFormat="false" ht="12.75" hidden="false" customHeight="false" outlineLevel="0" collapsed="false">
      <c r="A197" s="718" t="n">
        <v>11156.25</v>
      </c>
      <c r="B197" s="706" t="n">
        <f aca="false">A197/1000</f>
        <v>11.15625</v>
      </c>
      <c r="C197" s="707" t="n">
        <f aca="false">SQRT(1+(A197/pole1)^2)</f>
        <v>19.0780188838623</v>
      </c>
      <c r="D197" s="708" t="n">
        <f aca="false">ATAN(A197/pole1)</f>
        <v>1.51835595102269</v>
      </c>
      <c r="E197" s="708" t="n">
        <f aca="false">SQRT(1+(A197/Zero1)^2)</f>
        <v>1.00977930144754</v>
      </c>
      <c r="F197" s="709" t="n">
        <f aca="false">ATAN(A197/Zero1)</f>
        <v>0.139285787361912</v>
      </c>
      <c r="G197" s="708" t="n">
        <f aca="false">IF(VIN_nom&gt;Vout, 1, SQRT(1+(A197/z_RHP)^2))</f>
        <v>1.01357732387867</v>
      </c>
      <c r="H197" s="709" t="n">
        <f aca="false">IF(VIN_nom&gt;Vout, 0, -ATAN(A197/z_RHP))</f>
        <v>-0.163862522608898</v>
      </c>
      <c r="I197" s="707" t="n">
        <f aca="false">SQRT(1+(A197/Pole2)^2)</f>
        <v>46278.1974433436</v>
      </c>
      <c r="J197" s="710" t="n">
        <f aca="false">ATAN(A197/Pole2)</f>
        <v>1.57077471834739</v>
      </c>
      <c r="K197" s="719" t="n">
        <f aca="false">SQRT(1+(A197/Zero2)^2)</f>
        <v>14.3535474439197</v>
      </c>
      <c r="L197" s="720" t="n">
        <f aca="false">ATAN(A197/Zero2)</f>
        <v>1.50107065500894</v>
      </c>
      <c r="M197" s="707" t="n">
        <f aca="false">SQRT(1+(A197/pole4)^2)</f>
        <v>1.09448715854092</v>
      </c>
      <c r="N197" s="710" t="n">
        <f aca="false">ATAN(A197/pole4)</f>
        <v>0.418572900750475</v>
      </c>
      <c r="O197" s="711" t="n">
        <f aca="false">SQRT((1-(V197/pterm2))^2+(A197/pterm1)^2)</f>
        <v>1.00651542789429</v>
      </c>
      <c r="P197" s="712" t="n">
        <f aca="false">IF((ATAN((A197/pterm1)/(1-A197^2/pterm2))&gt;0),ATAN((A197/pterm1)/(1-A197^2/pterm2)),PI()+ATAN((A197/pterm1)/(1-A197^2/pterm2)))</f>
        <v>0.154874386592318</v>
      </c>
      <c r="Q197" s="713" t="n">
        <f aca="false">20*LOG10(((E197*K197*G197)/(C197*I197*O197*M197))*Adc)</f>
        <v>-7.2570127705283</v>
      </c>
      <c r="R197" s="714" t="n">
        <f aca="false">((F197+L197+H197)-(D197+J197+P197+N197))*radconv</f>
        <v>-125.253389121332</v>
      </c>
      <c r="S197" s="717" t="n">
        <f aca="false">IF(R197&gt;0,R197,R197+180)</f>
        <v>54.7466108786684</v>
      </c>
      <c r="U197" s="644" t="n">
        <f aca="false">IF(Q197&lt;0,A197,1000000000)</f>
        <v>11156.25</v>
      </c>
      <c r="V197" s="644" t="n">
        <f aca="false">A197^2</f>
        <v>124461914.0625</v>
      </c>
      <c r="X197" s="716" t="n">
        <f aca="false">20*LOG10((K197/(I197*M197))*AEA)</f>
        <v>17.1441172141031</v>
      </c>
      <c r="Y197" s="717" t="n">
        <f aca="false">(L197-(J197+N197))*radconv</f>
        <v>-27.9762093077239</v>
      </c>
      <c r="AA197" s="716" t="n">
        <f aca="false">20*LOG10((E197*G197/(C197*O197))*Acs*Am)</f>
        <v>27.079495369923</v>
      </c>
      <c r="AB197" s="717" t="n">
        <f aca="false">(F197+H197-(D197+P197))*radconv</f>
        <v>-97.2771798136077</v>
      </c>
      <c r="AD197" s="0" t="n">
        <f aca="false">SUM((Q198&lt;0)*(Q197&gt;0))*A197</f>
        <v>0</v>
      </c>
      <c r="AE197" s="0" t="n">
        <f aca="false">IF(AD197&gt;0,S197,0)</f>
        <v>0</v>
      </c>
    </row>
    <row r="198" customFormat="false" ht="12.75" hidden="false" customHeight="false" outlineLevel="0" collapsed="false">
      <c r="A198" s="718" t="n">
        <v>11220</v>
      </c>
      <c r="B198" s="706" t="n">
        <f aca="false">A198/1000</f>
        <v>11.22</v>
      </c>
      <c r="C198" s="707" t="n">
        <f aca="false">SQRT(1+(A198/pole1)^2)</f>
        <v>19.1867374612517</v>
      </c>
      <c r="D198" s="708" t="n">
        <f aca="false">ATAN(A198/pole1)</f>
        <v>1.51865336638512</v>
      </c>
      <c r="E198" s="708" t="n">
        <f aca="false">SQRT(1+(A198/Zero1)^2)</f>
        <v>1.00989083531912</v>
      </c>
      <c r="F198" s="709" t="n">
        <f aca="false">ATAN(A198/Zero1)</f>
        <v>0.140071365161919</v>
      </c>
      <c r="G198" s="708" t="n">
        <f aca="false">IF(VIN_nom&gt;Vout, 1, SQRT(1+(A198/z_RHP)^2))</f>
        <v>1.01373188259999</v>
      </c>
      <c r="H198" s="709" t="n">
        <f aca="false">IF(VIN_nom&gt;Vout, 0, -ATAN(A198/z_RHP))</f>
        <v>-0.164782068199011</v>
      </c>
      <c r="I198" s="707" t="n">
        <f aca="false">SQRT(1+(A198/Pole2)^2)</f>
        <v>46542.6442857539</v>
      </c>
      <c r="J198" s="710" t="n">
        <f aca="false">ATAN(A198/Pole2)</f>
        <v>1.57077484112266</v>
      </c>
      <c r="K198" s="719" t="n">
        <f aca="false">SQRT(1+(A198/Zero2)^2)</f>
        <v>14.435170730915</v>
      </c>
      <c r="L198" s="720" t="n">
        <f aca="false">ATAN(A198/Zero2)</f>
        <v>1.50146555168953</v>
      </c>
      <c r="M198" s="707" t="n">
        <f aca="false">SQRT(1+(A198/pole4)^2)</f>
        <v>1.0955228619554</v>
      </c>
      <c r="N198" s="710" t="n">
        <f aca="false">ATAN(A198/pole4)</f>
        <v>0.420692996164489</v>
      </c>
      <c r="O198" s="711" t="n">
        <f aca="false">SQRT((1-(V198/pterm2))^2+(A198/pterm1)^2)</f>
        <v>1.00659003442956</v>
      </c>
      <c r="P198" s="712" t="n">
        <f aca="false">IF((ATAN((A198/pterm1)/(1-A198^2/pterm2))&gt;0),ATAN((A198/pterm1)/(1-A198^2/pterm2)),PI()+ATAN((A198/pterm1)/(1-A198^2/pterm2)))</f>
        <v>0.155754950362547</v>
      </c>
      <c r="Q198" s="713" t="n">
        <f aca="false">20*LOG10(((E198*K198*G198)/(C198*I198*O198*M198))*Adc)</f>
        <v>-7.31318437969589</v>
      </c>
      <c r="R198" s="714" t="n">
        <f aca="false">((F198+L198+H198)-(D198+J198+P198+N198))*radconv</f>
        <v>-125.427411783902</v>
      </c>
      <c r="S198" s="717" t="n">
        <f aca="false">IF(R198&gt;0,R198,R198+180)</f>
        <v>54.5725882160984</v>
      </c>
      <c r="U198" s="644" t="n">
        <f aca="false">IF(Q198&lt;0,A198,1000000000)</f>
        <v>11220</v>
      </c>
      <c r="V198" s="644" t="n">
        <f aca="false">A198^2</f>
        <v>125888400</v>
      </c>
      <c r="X198" s="716" t="n">
        <f aca="false">20*LOG10((K198/(I198*M198))*AEA)</f>
        <v>17.1356628520559</v>
      </c>
      <c r="Y198" s="717" t="n">
        <f aca="false">(L198-(J198+N198))*radconv</f>
        <v>-28.0750629485883</v>
      </c>
      <c r="AA198" s="716" t="n">
        <f aca="false">20*LOG10((E198*G198/(C198*O198))*Acs*Am)</f>
        <v>27.0317781228026</v>
      </c>
      <c r="AB198" s="717" t="n">
        <f aca="false">(F198+H198-(D198+P198))*radconv</f>
        <v>-97.3523488353134</v>
      </c>
      <c r="AD198" s="0" t="n">
        <f aca="false">SUM((Q199&lt;0)*(Q198&gt;0))*A198</f>
        <v>0</v>
      </c>
      <c r="AE198" s="0" t="n">
        <f aca="false">IF(AD198&gt;0,S198,0)</f>
        <v>0</v>
      </c>
    </row>
    <row r="199" customFormat="false" ht="12.75" hidden="false" customHeight="false" outlineLevel="0" collapsed="false">
      <c r="A199" s="718" t="n">
        <v>11285.5</v>
      </c>
      <c r="B199" s="706" t="n">
        <f aca="false">A199/1000</f>
        <v>11.2855</v>
      </c>
      <c r="C199" s="707" t="n">
        <f aca="false">SQRT(1+(A199/pole1)^2)</f>
        <v>19.2984422176905</v>
      </c>
      <c r="D199" s="708" t="n">
        <f aca="false">ATAN(A199/pole1)</f>
        <v>1.51895545581457</v>
      </c>
      <c r="E199" s="708" t="n">
        <f aca="false">SQRT(1+(A199/Zero1)^2)</f>
        <v>1.01000607989318</v>
      </c>
      <c r="F199" s="709" t="n">
        <f aca="false">ATAN(A199/Zero1)</f>
        <v>0.140878326618122</v>
      </c>
      <c r="G199" s="708" t="n">
        <f aca="false">IF(VIN_nom&gt;Vout, 1, SQRT(1+(A199/z_RHP)^2))</f>
        <v>1.01389157662706</v>
      </c>
      <c r="H199" s="709" t="n">
        <f aca="false">IF(VIN_nom&gt;Vout, 0, -ATAN(A199/z_RHP))</f>
        <v>-0.165726563390107</v>
      </c>
      <c r="I199" s="707" t="n">
        <f aca="false">SQRT(1+(A199/Pole2)^2)</f>
        <v>46814.3504532506</v>
      </c>
      <c r="J199" s="710" t="n">
        <f aca="false">ATAN(A199/Pole2)</f>
        <v>1.57077496582352</v>
      </c>
      <c r="K199" s="719" t="n">
        <f aca="false">SQRT(1+(A199/Zero2)^2)</f>
        <v>14.5190369750458</v>
      </c>
      <c r="L199" s="720" t="n">
        <f aca="false">ATAN(A199/Zero2)</f>
        <v>1.50186666403812</v>
      </c>
      <c r="M199" s="707" t="n">
        <f aca="false">SQRT(1+(A199/pole4)^2)</f>
        <v>1.09659211538517</v>
      </c>
      <c r="N199" s="710" t="n">
        <f aca="false">ATAN(A199/pole4)</f>
        <v>0.422867109028746</v>
      </c>
      <c r="O199" s="711" t="n">
        <f aca="false">SQRT((1-(V199/pterm2))^2+(A199/pterm1)^2)</f>
        <v>1.00666713014626</v>
      </c>
      <c r="P199" s="712" t="n">
        <f aca="false">IF((ATAN((A199/pterm1)/(1-A199^2/pterm2))&gt;0),ATAN((A199/pterm1)/(1-A199^2/pterm2)),PI()+ATAN((A199/pterm1)/(1-A199^2/pterm2)))</f>
        <v>0.156659608117855</v>
      </c>
      <c r="Q199" s="713" t="n">
        <f aca="false">20*LOG10(((E199*K199*G199)/(C199*I199*O199*M199))*Adc)</f>
        <v>-7.37062741656343</v>
      </c>
      <c r="R199" s="714" t="n">
        <f aca="false">((F199+L199+H199)-(D199+J199+P199+N199))*radconv</f>
        <v>-125.606025998737</v>
      </c>
      <c r="S199" s="717" t="n">
        <f aca="false">IF(R199&gt;0,R199,R199+180)</f>
        <v>54.3939740012629</v>
      </c>
      <c r="U199" s="644" t="n">
        <f aca="false">IF(Q199&lt;0,A199,1000000000)</f>
        <v>11285.5</v>
      </c>
      <c r="V199" s="644" t="n">
        <f aca="false">A199^2</f>
        <v>127362510.25</v>
      </c>
      <c r="X199" s="716" t="n">
        <f aca="false">20*LOG10((K199/(I199*M199))*AEA)</f>
        <v>17.1269481396748</v>
      </c>
      <c r="Y199" s="717" t="n">
        <f aca="false">(L199-(J199+N199))*radconv</f>
        <v>-28.1766555401595</v>
      </c>
      <c r="AA199" s="716" t="n">
        <f aca="false">20*LOG10((E199*G199/(C199*O199))*Acs*Am)</f>
        <v>26.9830497983161</v>
      </c>
      <c r="AB199" s="717" t="n">
        <f aca="false">(F199+H199-(D199+P199))*radconv</f>
        <v>-97.4293704585777</v>
      </c>
      <c r="AD199" s="0" t="n">
        <f aca="false">SUM((Q200&lt;0)*(Q199&gt;0))*A199</f>
        <v>0</v>
      </c>
      <c r="AE199" s="0" t="n">
        <f aca="false">IF(AD199&gt;0,S199,0)</f>
        <v>0</v>
      </c>
    </row>
    <row r="200" customFormat="false" ht="12.75" hidden="false" customHeight="false" outlineLevel="0" collapsed="false">
      <c r="A200" s="718" t="n">
        <v>11351</v>
      </c>
      <c r="B200" s="706" t="n">
        <f aca="false">A200/1000</f>
        <v>11.351</v>
      </c>
      <c r="C200" s="707" t="n">
        <f aca="false">SQRT(1+(A200/pole1)^2)</f>
        <v>19.4101487149962</v>
      </c>
      <c r="D200" s="708" t="n">
        <f aca="false">ATAN(A200/pole1)</f>
        <v>1.51925406818771</v>
      </c>
      <c r="E200" s="708" t="n">
        <f aca="false">SQRT(1+(A200/Zero1)^2)</f>
        <v>1.01012198201954</v>
      </c>
      <c r="F200" s="709" t="n">
        <f aca="false">ATAN(A200/Zero1)</f>
        <v>0.141685103416905</v>
      </c>
      <c r="G200" s="708" t="n">
        <f aca="false">IF(VIN_nom&gt;Vout, 1, SQRT(1+(A200/z_RHP)^2))</f>
        <v>1.01405217483222</v>
      </c>
      <c r="H200" s="709" t="n">
        <f aca="false">IF(VIN_nom&gt;Vout, 0, -ATAN(A200/z_RHP))</f>
        <v>-0.16667076025872</v>
      </c>
      <c r="I200" s="707" t="n">
        <f aca="false">SQRT(1+(A200/Pole2)^2)</f>
        <v>47086.0566207481</v>
      </c>
      <c r="J200" s="710" t="n">
        <f aca="false">ATAN(A200/Pole2)</f>
        <v>1.57077508908523</v>
      </c>
      <c r="K200" s="719" t="n">
        <f aca="false">SQRT(1+(A200/Zero2)^2)</f>
        <v>14.6029055283288</v>
      </c>
      <c r="L200" s="720" t="n">
        <f aca="false">ATAN(A200/Zero2)</f>
        <v>1.50226316905004</v>
      </c>
      <c r="M200" s="707" t="n">
        <f aca="false">SQRT(1+(A200/pole4)^2)</f>
        <v>1.09766654203749</v>
      </c>
      <c r="N200" s="710" t="n">
        <f aca="false">ATAN(A200/pole4)</f>
        <v>0.425036975968046</v>
      </c>
      <c r="O200" s="711" t="n">
        <f aca="false">SQRT((1-(V200/pterm2))^2+(A200/pterm1)^2)</f>
        <v>1.00674467296697</v>
      </c>
      <c r="P200" s="712" t="n">
        <f aca="false">IF((ATAN((A200/pterm1)/(1-A200^2/pterm2))&gt;0),ATAN((A200/pterm1)/(1-A200^2/pterm2)),PI()+ATAN((A200/pterm1)/(1-A200^2/pterm2)))</f>
        <v>0.157564186015751</v>
      </c>
      <c r="Q200" s="713" t="n">
        <f aca="false">20*LOG10(((E200*K200*G200)/(C200*I200*O200*M200))*Adc)</f>
        <v>-7.42779947711413</v>
      </c>
      <c r="R200" s="714" t="n">
        <f aca="false">((F200+L200+H200)-(D200+J200+P200+N200))*radconv</f>
        <v>-125.784450529808</v>
      </c>
      <c r="S200" s="717" t="n">
        <f aca="false">IF(R200&gt;0,R200,R200+180)</f>
        <v>54.2155494701925</v>
      </c>
      <c r="U200" s="644" t="n">
        <f aca="false">IF(Q200&lt;0,A200,1000000000)</f>
        <v>11351</v>
      </c>
      <c r="V200" s="644" t="n">
        <f aca="false">A200^2</f>
        <v>128845201</v>
      </c>
      <c r="X200" s="716" t="n">
        <f aca="false">20*LOG10((K200/(I200*M200))*AEA)</f>
        <v>17.1182049004032</v>
      </c>
      <c r="Y200" s="717" t="n">
        <f aca="false">(L200-(J200+N200))*radconv</f>
        <v>-28.2782687566391</v>
      </c>
      <c r="AA200" s="716" t="n">
        <f aca="false">20*LOG10((E200*G200/(C200*O200))*Acs*Am)</f>
        <v>26.9346209770371</v>
      </c>
      <c r="AB200" s="717" t="n">
        <f aca="false">(F200+H200-(D200+P200))*radconv</f>
        <v>-97.5061817731685</v>
      </c>
      <c r="AD200" s="0" t="n">
        <f aca="false">SUM((Q201&lt;0)*(Q200&gt;0))*A200</f>
        <v>0</v>
      </c>
      <c r="AE200" s="0" t="n">
        <f aca="false">IF(AD200&gt;0,S200,0)</f>
        <v>0</v>
      </c>
    </row>
    <row r="201" customFormat="false" ht="12.75" hidden="false" customHeight="false" outlineLevel="0" collapsed="false">
      <c r="A201" s="718" t="n">
        <v>11416.5</v>
      </c>
      <c r="B201" s="706" t="n">
        <f aca="false">A201/1000</f>
        <v>11.4165</v>
      </c>
      <c r="C201" s="707" t="n">
        <f aca="false">SQRT(1+(A201/pole1)^2)</f>
        <v>19.5218569232846</v>
      </c>
      <c r="D201" s="708" t="n">
        <f aca="false">ATAN(A201/pole1)</f>
        <v>1.51954926314018</v>
      </c>
      <c r="E201" s="708" t="n">
        <f aca="false">SQRT(1+(A201/Zero1)^2)</f>
        <v>1.01023854147187</v>
      </c>
      <c r="F201" s="709" t="n">
        <f aca="false">ATAN(A201/Zero1)</f>
        <v>0.142491694571762</v>
      </c>
      <c r="G201" s="708" t="n">
        <f aca="false">IF(VIN_nom&gt;Vout, 1, SQRT(1+(A201/z_RHP)^2))</f>
        <v>1.01421367678596</v>
      </c>
      <c r="H201" s="709" t="n">
        <f aca="false">IF(VIN_nom&gt;Vout, 0, -ATAN(A201/z_RHP))</f>
        <v>-0.16761465726345</v>
      </c>
      <c r="I201" s="707" t="n">
        <f aca="false">SQRT(1+(A201/Pole2)^2)</f>
        <v>47357.7627882463</v>
      </c>
      <c r="J201" s="710" t="n">
        <f aca="false">ATAN(A201/Pole2)</f>
        <v>1.57077521093255</v>
      </c>
      <c r="K201" s="719" t="n">
        <f aca="false">SQRT(1+(A201/Zero2)^2)</f>
        <v>14.6867763512049</v>
      </c>
      <c r="L201" s="720" t="n">
        <f aca="false">ATAN(A201/Zero2)</f>
        <v>1.502655145532</v>
      </c>
      <c r="M201" s="707" t="n">
        <f aca="false">SQRT(1+(A201/pole4)^2)</f>
        <v>1.09874612673618</v>
      </c>
      <c r="N201" s="710" t="n">
        <f aca="false">ATAN(A201/pole4)</f>
        <v>0.427202589035394</v>
      </c>
      <c r="O201" s="711" t="n">
        <f aca="false">SQRT((1-(V201/pterm2))^2+(A201/pterm1)^2)</f>
        <v>1.00682266286327</v>
      </c>
      <c r="P201" s="712" t="n">
        <f aca="false">IF((ATAN((A201/pterm1)/(1-A201^2/pterm2))&gt;0),ATAN((A201/pterm1)/(1-A201^2/pterm2)),PI()+ATAN((A201/pterm1)/(1-A201^2/pterm2)))</f>
        <v>0.158468683609718</v>
      </c>
      <c r="Q201" s="713" t="n">
        <f aca="false">20*LOG10(((E201*K201*G201)/(C201*I201*O201*M201))*Adc)</f>
        <v>-7.48470375536234</v>
      </c>
      <c r="R201" s="714" t="n">
        <f aca="false">((F201+L201+H201)-(D201+J201+P201+N201))*radconv</f>
        <v>-125.962683767406</v>
      </c>
      <c r="S201" s="717" t="n">
        <f aca="false">IF(R201&gt;0,R201,R201+180)</f>
        <v>54.0373162325945</v>
      </c>
      <c r="U201" s="644" t="n">
        <f aca="false">IF(Q201&lt;0,A201,1000000000)</f>
        <v>11416.5</v>
      </c>
      <c r="V201" s="644" t="n">
        <f aca="false">A201^2</f>
        <v>130336472.25</v>
      </c>
      <c r="X201" s="716" t="n">
        <f aca="false">20*LOG10((K201/(I201*M201))*AEA)</f>
        <v>17.1094332636035</v>
      </c>
      <c r="Y201" s="717" t="n">
        <f aca="false">(L201-(J201+N201))*radconv</f>
        <v>-28.3798976288254</v>
      </c>
      <c r="AA201" s="716" t="n">
        <f aca="false">20*LOG10((E201*G201/(C201*O201))*Acs*Am)</f>
        <v>26.8864883355885</v>
      </c>
      <c r="AB201" s="717" t="n">
        <f aca="false">(F201+H201-(D201+P201))*radconv</f>
        <v>-97.5827861385801</v>
      </c>
      <c r="AD201" s="0" t="n">
        <f aca="false">SUM((Q202&lt;0)*(Q201&gt;0))*A201</f>
        <v>0</v>
      </c>
      <c r="AE201" s="0" t="n">
        <f aca="false">IF(AD201&gt;0,S201,0)</f>
        <v>0</v>
      </c>
    </row>
    <row r="202" customFormat="false" ht="12.75" hidden="false" customHeight="false" outlineLevel="0" collapsed="false">
      <c r="A202" s="718" t="n">
        <v>11482</v>
      </c>
      <c r="B202" s="706" t="n">
        <f aca="false">A202/1000</f>
        <v>11.482</v>
      </c>
      <c r="C202" s="707" t="n">
        <f aca="false">SQRT(1+(A202/pole1)^2)</f>
        <v>19.633566813351</v>
      </c>
      <c r="D202" s="708" t="n">
        <f aca="false">ATAN(A202/pole1)</f>
        <v>1.51984109895279</v>
      </c>
      <c r="E202" s="708" t="n">
        <f aca="false">SQRT(1+(A202/Zero1)^2)</f>
        <v>1.01035575802269</v>
      </c>
      <c r="F202" s="709" t="n">
        <f aca="false">ATAN(A202/Zero1)</f>
        <v>0.143298099097607</v>
      </c>
      <c r="G202" s="708" t="n">
        <f aca="false">IF(VIN_nom&gt;Vout, 1, SQRT(1+(A202/z_RHP)^2))</f>
        <v>1.01437608205661</v>
      </c>
      <c r="H202" s="709" t="n">
        <f aca="false">IF(VIN_nom&gt;Vout, 0, -ATAN(A202/z_RHP))</f>
        <v>-0.168558252866012</v>
      </c>
      <c r="I202" s="707" t="n">
        <f aca="false">SQRT(1+(A202/Pole2)^2)</f>
        <v>47629.4689557452</v>
      </c>
      <c r="J202" s="710" t="n">
        <f aca="false">ATAN(A202/Pole2)</f>
        <v>1.5707753313897</v>
      </c>
      <c r="K202" s="719" t="n">
        <f aca="false">SQRT(1+(A202/Zero2)^2)</f>
        <v>14.7706494050124</v>
      </c>
      <c r="L202" s="720" t="n">
        <f aca="false">ATAN(A202/Zero2)</f>
        <v>1.50304267050637</v>
      </c>
      <c r="M202" s="707" t="n">
        <f aca="false">SQRT(1+(A202/pole4)^2)</f>
        <v>1.09983085429198</v>
      </c>
      <c r="N202" s="710" t="n">
        <f aca="false">ATAN(A202/pole4)</f>
        <v>0.429363940474521</v>
      </c>
      <c r="O202" s="711" t="n">
        <f aca="false">SQRT((1-(V202/pterm2))^2+(A202/pterm1)^2)</f>
        <v>1.00690109980658</v>
      </c>
      <c r="P202" s="712" t="n">
        <f aca="false">IF((ATAN((A202/pterm1)/(1-A202^2/pterm2))&gt;0),ATAN((A202/pterm1)/(1-A202^2/pterm2)),PI()+ATAN((A202/pterm1)/(1-A202^2/pterm2)))</f>
        <v>0.159373100453532</v>
      </c>
      <c r="Q202" s="713" t="n">
        <f aca="false">20*LOG10(((E202*K202*G202)/(C202*I202*O202*M202))*Adc)</f>
        <v>-7.54134338664215</v>
      </c>
      <c r="R202" s="714" t="n">
        <f aca="false">((F202+L202+H202)-(D202+J202+P202+N202))*radconv</f>
        <v>-126.140724137442</v>
      </c>
      <c r="S202" s="717" t="n">
        <f aca="false">IF(R202&gt;0,R202,R202+180)</f>
        <v>53.8592758625583</v>
      </c>
      <c r="U202" s="644" t="n">
        <f aca="false">IF(Q202&lt;0,A202,1000000000)</f>
        <v>11482</v>
      </c>
      <c r="V202" s="644" t="n">
        <f aca="false">A202^2</f>
        <v>131836324</v>
      </c>
      <c r="X202" s="716" t="n">
        <f aca="false">20*LOG10((K202/(I202*M202))*AEA)</f>
        <v>17.1006333611015</v>
      </c>
      <c r="Y202" s="717" t="n">
        <f aca="false">(L202-(J202+N202))*radconv</f>
        <v>-28.4815373006471</v>
      </c>
      <c r="AA202" s="716" t="n">
        <f aca="false">20*LOG10((E202*G202/(C202*O202))*Acs*Am)</f>
        <v>26.8386486068108</v>
      </c>
      <c r="AB202" s="717" t="n">
        <f aca="false">(F202+H202-(D202+P202))*radconv</f>
        <v>-97.6591868367946</v>
      </c>
      <c r="AD202" s="0" t="n">
        <f aca="false">SUM((Q203&lt;0)*(Q202&gt;0))*A202</f>
        <v>0</v>
      </c>
      <c r="AE202" s="0" t="n">
        <f aca="false">IF(AD202&gt;0,S202,0)</f>
        <v>0</v>
      </c>
    </row>
    <row r="203" customFormat="false" ht="12.75" hidden="false" customHeight="false" outlineLevel="0" collapsed="false">
      <c r="A203" s="718" t="n">
        <v>11548.75</v>
      </c>
      <c r="B203" s="706" t="n">
        <f aca="false">A203/1000</f>
        <v>11.54875</v>
      </c>
      <c r="C203" s="707" t="n">
        <f aca="false">SQRT(1+(A203/pole1)^2)</f>
        <v>19.7474102722249</v>
      </c>
      <c r="D203" s="708" t="n">
        <f aca="false">ATAN(A203/pole1)</f>
        <v>1.52013510721268</v>
      </c>
      <c r="E203" s="708" t="n">
        <f aca="false">SQRT(1+(A203/Zero1)^2)</f>
        <v>1.01047588732203</v>
      </c>
      <c r="F203" s="709" t="n">
        <f aca="false">ATAN(A203/Zero1)</f>
        <v>0.144119699998941</v>
      </c>
      <c r="G203" s="708" t="n">
        <f aca="false">IF(VIN_nom&gt;Vout, 1, SQRT(1+(A203/z_RHP)^2))</f>
        <v>1.01454251555504</v>
      </c>
      <c r="H203" s="709" t="n">
        <f aca="false">IF(VIN_nom&gt;Vout, 0, -ATAN(A203/z_RHP))</f>
        <v>-0.169519544343853</v>
      </c>
      <c r="I203" s="707" t="n">
        <f aca="false">SQRT(1+(A203/Pole2)^2)</f>
        <v>47906.3603554489</v>
      </c>
      <c r="J203" s="710" t="n">
        <f aca="false">ATAN(A203/Pole2)</f>
        <v>1.57077545273991</v>
      </c>
      <c r="K203" s="719" t="n">
        <f aca="false">SQRT(1+(A203/Zero2)^2)</f>
        <v>14.8561253456966</v>
      </c>
      <c r="L203" s="720" t="n">
        <f aca="false">ATAN(A203/Zero2)</f>
        <v>1.50343308919009</v>
      </c>
      <c r="M203" s="707" t="n">
        <f aca="false">SQRT(1+(A203/pole4)^2)</f>
        <v>1.10094155802902</v>
      </c>
      <c r="N203" s="710" t="n">
        <f aca="false">ATAN(A203/pole4)</f>
        <v>0.431562146848014</v>
      </c>
      <c r="O203" s="711" t="n">
        <f aca="false">SQRT((1-(V203/pterm2))^2+(A203/pterm1)^2)</f>
        <v>1.00698149353393</v>
      </c>
      <c r="P203" s="712" t="n">
        <f aca="false">IF((ATAN((A203/pterm1)/(1-A203^2/pterm2))&gt;0),ATAN((A203/pterm1)/(1-A203^2/pterm2)),PI()+ATAN((A203/pterm1)/(1-A203^2/pterm2)))</f>
        <v>0.160294693622669</v>
      </c>
      <c r="Q203" s="713" t="n">
        <f aca="false">20*LOG10(((E203*K203*G203)/(C203*I203*O203*M203))*Adc)</f>
        <v>-7.59879484254267</v>
      </c>
      <c r="R203" s="714" t="n">
        <f aca="false">((F203+L203+H203)-(D203+J203+P203+N203))*radconv</f>
        <v>-126.321962207308</v>
      </c>
      <c r="S203" s="717" t="n">
        <f aca="false">IF(R203&gt;0,R203,R203+180)</f>
        <v>53.6780377926915</v>
      </c>
      <c r="U203" s="644" t="n">
        <f aca="false">IF(Q203&lt;0,A203,1000000000)</f>
        <v>11548.75</v>
      </c>
      <c r="V203" s="644" t="n">
        <f aca="false">A203^2</f>
        <v>133373626.5625</v>
      </c>
      <c r="X203" s="716" t="n">
        <f aca="false">20*LOG10((K203/(I203*M203))*AEA)</f>
        <v>17.0916365804866</v>
      </c>
      <c r="Y203" s="717" t="n">
        <f aca="false">(L203-(J203+N203))*radconv</f>
        <v>-28.5851228584999</v>
      </c>
      <c r="AA203" s="716" t="n">
        <f aca="false">20*LOG10((E203*G203/(C203*O203))*Acs*Am)</f>
        <v>26.7901939315252</v>
      </c>
      <c r="AB203" s="717" t="n">
        <f aca="false">(F203+H203-(D203+P203))*radconv</f>
        <v>-97.7368393488086</v>
      </c>
      <c r="AD203" s="0" t="n">
        <f aca="false">SUM((Q204&lt;0)*(Q203&gt;0))*A203</f>
        <v>0</v>
      </c>
      <c r="AE203" s="0" t="n">
        <f aca="false">IF(AD203&gt;0,S203,0)</f>
        <v>0</v>
      </c>
    </row>
    <row r="204" customFormat="false" ht="12.75" hidden="false" customHeight="false" outlineLevel="0" collapsed="false">
      <c r="A204" s="718" t="n">
        <v>11615.5</v>
      </c>
      <c r="B204" s="706" t="n">
        <f aca="false">A204/1000</f>
        <v>11.6155</v>
      </c>
      <c r="C204" s="707" t="n">
        <f aca="false">SQRT(1+(A204/pole1)^2)</f>
        <v>19.8612554185132</v>
      </c>
      <c r="D204" s="708" t="n">
        <f aca="false">ATAN(A204/pole1)</f>
        <v>1.52042574497404</v>
      </c>
      <c r="E204" s="708" t="n">
        <f aca="false">SQRT(1+(A204/Zero1)^2)</f>
        <v>1.01059669855849</v>
      </c>
      <c r="F204" s="709" t="n">
        <f aca="false">ATAN(A204/Zero1)</f>
        <v>0.144941105018965</v>
      </c>
      <c r="G204" s="708" t="n">
        <f aca="false">IF(VIN_nom&gt;Vout, 1, SQRT(1+(A204/z_RHP)^2))</f>
        <v>1.0147098862652</v>
      </c>
      <c r="H204" s="709" t="n">
        <f aca="false">IF(VIN_nom&gt;Vout, 0, -ATAN(A204/z_RHP))</f>
        <v>-0.170480519590184</v>
      </c>
      <c r="I204" s="707" t="n">
        <f aca="false">SQRT(1+(A204/Pole2)^2)</f>
        <v>48183.2517551534</v>
      </c>
      <c r="J204" s="710" t="n">
        <f aca="false">ATAN(A204/Pole2)</f>
        <v>1.57077557269542</v>
      </c>
      <c r="K204" s="719" t="n">
        <f aca="false">SQRT(1+(A204/Zero2)^2)</f>
        <v>14.941603524943</v>
      </c>
      <c r="L204" s="720" t="n">
        <f aca="false">ATAN(A204/Zero2)</f>
        <v>1.50381904090442</v>
      </c>
      <c r="M204" s="707" t="n">
        <f aca="false">SQRT(1+(A204/pole4)^2)</f>
        <v>1.10205757089996</v>
      </c>
      <c r="N204" s="710" t="n">
        <f aca="false">ATAN(A204/pole4)</f>
        <v>0.433755911719875</v>
      </c>
      <c r="O204" s="711" t="n">
        <f aca="false">SQRT((1-(V204/pterm2))^2+(A204/pterm1)^2)</f>
        <v>1.00706235147356</v>
      </c>
      <c r="P204" s="712" t="n">
        <f aca="false">IF((ATAN((A204/pterm1)/(1-A204^2/pterm2))&gt;0),ATAN((A204/pterm1)/(1-A204^2/pterm2)),PI()+ATAN((A204/pterm1)/(1-A204^2/pterm2)))</f>
        <v>0.161216201995414</v>
      </c>
      <c r="Q204" s="713" t="n">
        <f aca="false">20*LOG10(((E204*K204*G204)/(C204*I204*O204*M204))*Adc)</f>
        <v>-7.65597784832228</v>
      </c>
      <c r="R204" s="714" t="n">
        <f aca="false">((F204+L204+H204)-(D204+J204+P204+N204))*radconv</f>
        <v>-126.502996787085</v>
      </c>
      <c r="S204" s="717" t="n">
        <f aca="false">IF(R204&gt;0,R204,R204+180)</f>
        <v>53.4970032129155</v>
      </c>
      <c r="U204" s="644" t="n">
        <f aca="false">IF(Q204&lt;0,A204,1000000000)</f>
        <v>11615.5</v>
      </c>
      <c r="V204" s="644" t="n">
        <f aca="false">A204^2</f>
        <v>134919840.25</v>
      </c>
      <c r="X204" s="716" t="n">
        <f aca="false">20*LOG10((K204/(I204*M204))*AEA)</f>
        <v>17.082610728822</v>
      </c>
      <c r="Y204" s="717" t="n">
        <f aca="false">(L204-(J204+N204))*radconv</f>
        <v>-28.6887097956376</v>
      </c>
      <c r="AA204" s="716" t="n">
        <f aca="false">20*LOG10((E204*G204/(C204*O204))*Acs*Am)</f>
        <v>26.7420367774101</v>
      </c>
      <c r="AB204" s="717" t="n">
        <f aca="false">(F204+H204-(D204+P204))*radconv</f>
        <v>-97.8142869914469</v>
      </c>
      <c r="AD204" s="0" t="n">
        <f aca="false">SUM((Q205&lt;0)*(Q204&gt;0))*A204</f>
        <v>0</v>
      </c>
      <c r="AE204" s="0" t="n">
        <f aca="false">IF(AD204&gt;0,S204,0)</f>
        <v>0</v>
      </c>
    </row>
    <row r="205" customFormat="false" ht="12.75" hidden="false" customHeight="false" outlineLevel="0" collapsed="false">
      <c r="A205" s="718" t="n">
        <v>11682.25</v>
      </c>
      <c r="B205" s="706" t="n">
        <f aca="false">A205/1000</f>
        <v>11.68225</v>
      </c>
      <c r="C205" s="707" t="n">
        <f aca="false">SQRT(1+(A205/pole1)^2)</f>
        <v>19.9751022233643</v>
      </c>
      <c r="D205" s="708" t="n">
        <f aca="false">ATAN(A205/pole1)</f>
        <v>1.52071306981713</v>
      </c>
      <c r="E205" s="708" t="n">
        <f aca="false">SQRT(1+(A205/Zero1)^2)</f>
        <v>1.01071819148755</v>
      </c>
      <c r="F205" s="709" t="n">
        <f aca="false">ATAN(A205/Zero1)</f>
        <v>0.145762313119705</v>
      </c>
      <c r="G205" s="708" t="n">
        <f aca="false">IF(VIN_nom&gt;Vout, 1, SQRT(1+(A205/z_RHP)^2))</f>
        <v>1.01487819372339</v>
      </c>
      <c r="H205" s="709" t="n">
        <f aca="false">IF(VIN_nom&gt;Vout, 0, -ATAN(A205/z_RHP))</f>
        <v>-0.171441176987032</v>
      </c>
      <c r="I205" s="707" t="n">
        <f aca="false">SQRT(1+(A205/Pole2)^2)</f>
        <v>48460.1431548585</v>
      </c>
      <c r="J205" s="710" t="n">
        <f aca="false">ATAN(A205/Pole2)</f>
        <v>1.57077569128012</v>
      </c>
      <c r="K205" s="719" t="n">
        <f aca="false">SQRT(1+(A205/Zero2)^2)</f>
        <v>15.0270839045508</v>
      </c>
      <c r="L205" s="720" t="n">
        <f aca="false">ATAN(A205/Zero2)</f>
        <v>1.50420060176337</v>
      </c>
      <c r="M205" s="707" t="n">
        <f aca="false">SQRT(1+(A205/pole4)^2)</f>
        <v>1.10317887679211</v>
      </c>
      <c r="N205" s="710" t="n">
        <f aca="false">ATAN(A205/pole4)</f>
        <v>0.43594522748628</v>
      </c>
      <c r="O205" s="711" t="n">
        <f aca="false">SQRT((1-(V205/pterm2))^2+(A205/pterm1)^2)</f>
        <v>1.00714367359472</v>
      </c>
      <c r="P205" s="712" t="n">
        <f aca="false">IF((ATAN((A205/pterm1)/(1-A205^2/pterm2))&gt;0),ATAN((A205/pterm1)/(1-A205^2/pterm2)),PI()+ATAN((A205/pterm1)/(1-A205^2/pterm2)))</f>
        <v>0.162137625100437</v>
      </c>
      <c r="Q205" s="713" t="n">
        <f aca="false">20*LOG10(((E205*K205*G205)/(C205*I205*O205*M205))*Adc)</f>
        <v>-7.71289554284012</v>
      </c>
      <c r="R205" s="714" t="n">
        <f aca="false">((F205+L205+H205)-(D205+J205+P205+N205))*radconv</f>
        <v>-126.683826320331</v>
      </c>
      <c r="S205" s="717" t="n">
        <f aca="false">IF(R205&gt;0,R205,R205+180)</f>
        <v>53.3161736796692</v>
      </c>
      <c r="U205" s="644" t="n">
        <f aca="false">IF(Q205&lt;0,A205,1000000000)</f>
        <v>11682.25</v>
      </c>
      <c r="V205" s="644" t="n">
        <f aca="false">A205^2</f>
        <v>136474965.0625</v>
      </c>
      <c r="X205" s="716" t="n">
        <f aca="false">20*LOG10((K205/(I205*M205))*AEA)</f>
        <v>17.073555952866</v>
      </c>
      <c r="Y205" s="717" t="n">
        <f aca="false">(L205-(J205+N205))*radconv</f>
        <v>-28.7922933167501</v>
      </c>
      <c r="AA205" s="716" t="n">
        <f aca="false">20*LOG10((E205*G205/(C205*O205))*Acs*Am)</f>
        <v>26.6941738588483</v>
      </c>
      <c r="AB205" s="717" t="n">
        <f aca="false">(F205+H205-(D205+P205))*radconv</f>
        <v>-97.8915330035806</v>
      </c>
      <c r="AD205" s="0" t="n">
        <f aca="false">SUM((Q206&lt;0)*(Q205&gt;0))*A205</f>
        <v>0</v>
      </c>
      <c r="AE205" s="0" t="n">
        <f aca="false">IF(AD205&gt;0,S205,0)</f>
        <v>0</v>
      </c>
    </row>
    <row r="206" customFormat="false" ht="12.75" hidden="false" customHeight="false" outlineLevel="0" collapsed="false">
      <c r="A206" s="718" t="n">
        <v>11749</v>
      </c>
      <c r="B206" s="706" t="n">
        <f aca="false">A206/1000</f>
        <v>11.749</v>
      </c>
      <c r="C206" s="707" t="n">
        <f aca="false">SQRT(1+(A206/pole1)^2)</f>
        <v>20.0889506585804</v>
      </c>
      <c r="D206" s="708" t="n">
        <f aca="false">ATAN(A206/pole1)</f>
        <v>1.5209971380192</v>
      </c>
      <c r="E206" s="708" t="n">
        <f aca="false">SQRT(1+(A206/Zero1)^2)</f>
        <v>1.0108403658634</v>
      </c>
      <c r="F206" s="709" t="n">
        <f aca="false">ATAN(A206/Zero1)</f>
        <v>0.146583323264748</v>
      </c>
      <c r="G206" s="708" t="n">
        <f aca="false">IF(VIN_nom&gt;Vout, 1, SQRT(1+(A206/z_RHP)^2))</f>
        <v>1.01504743746364</v>
      </c>
      <c r="H206" s="709" t="n">
        <f aca="false">IF(VIN_nom&gt;Vout, 0, -ATAN(A206/z_RHP))</f>
        <v>-0.172401514919839</v>
      </c>
      <c r="I206" s="707" t="n">
        <f aca="false">SQRT(1+(A206/Pole2)^2)</f>
        <v>48737.0345545644</v>
      </c>
      <c r="J206" s="710" t="n">
        <f aca="false">ATAN(A206/Pole2)</f>
        <v>1.57077580851739</v>
      </c>
      <c r="K206" s="719" t="n">
        <f aca="false">SQRT(1+(A206/Zero2)^2)</f>
        <v>15.1125664471827</v>
      </c>
      <c r="L206" s="720" t="n">
        <f aca="false">ATAN(A206/Zero2)</f>
        <v>1.50457784616404</v>
      </c>
      <c r="M206" s="707" t="n">
        <f aca="false">SQRT(1+(A206/pole4)^2)</f>
        <v>1.10430545958195</v>
      </c>
      <c r="N206" s="710" t="n">
        <f aca="false">ATAN(A206/pole4)</f>
        <v>0.438130086744815</v>
      </c>
      <c r="O206" s="711" t="n">
        <f aca="false">SQRT((1-(V206/pterm2))^2+(A206/pterm1)^2)</f>
        <v>1.00722545986653</v>
      </c>
      <c r="P206" s="712" t="n">
        <f aca="false">IF((ATAN((A206/pterm1)/(1-A206^2/pterm2))&gt;0),ATAN((A206/pterm1)/(1-A206^2/pterm2)),PI()+ATAN((A206/pterm1)/(1-A206^2/pterm2)))</f>
        <v>0.163058962466729</v>
      </c>
      <c r="Q206" s="713" t="n">
        <f aca="false">20*LOG10(((E206*K206*G206)/(C206*I206*O206*M206))*Adc)</f>
        <v>-7.76955100736827</v>
      </c>
      <c r="R206" s="714" t="n">
        <f aca="false">((F206+L206+H206)-(D206+J206+P206+N206))*radconv</f>
        <v>-126.864449285955</v>
      </c>
      <c r="S206" s="717" t="n">
        <f aca="false">IF(R206&gt;0,R206,R206+180)</f>
        <v>53.1355507140451</v>
      </c>
      <c r="U206" s="644" t="n">
        <f aca="false">IF(Q206&lt;0,A206,1000000000)</f>
        <v>11749</v>
      </c>
      <c r="V206" s="644" t="n">
        <f aca="false">A206^2</f>
        <v>138039001</v>
      </c>
      <c r="X206" s="716" t="n">
        <f aca="false">20*LOG10((K206/(I206*M206))*AEA)</f>
        <v>17.0644724016048</v>
      </c>
      <c r="Y206" s="717" t="n">
        <f aca="false">(L206-(J206+N206))*radconv</f>
        <v>-28.8958687364097</v>
      </c>
      <c r="AA206" s="716" t="n">
        <f aca="false">20*LOG10((E206*G206/(C206*O206))*Acs*Am)</f>
        <v>26.6466019455813</v>
      </c>
      <c r="AB206" s="717" t="n">
        <f aca="false">(F206+H206-(D206+P206))*radconv</f>
        <v>-97.9685805495452</v>
      </c>
      <c r="AD206" s="0" t="n">
        <f aca="false">SUM((Q207&lt;0)*(Q206&gt;0))*A206</f>
        <v>0</v>
      </c>
      <c r="AE206" s="0" t="n">
        <f aca="false">IF(AD206&gt;0,S206,0)</f>
        <v>0</v>
      </c>
    </row>
    <row r="207" customFormat="false" ht="12.75" hidden="false" customHeight="false" outlineLevel="0" collapsed="false">
      <c r="A207" s="718" t="n">
        <v>11817.5</v>
      </c>
      <c r="B207" s="706" t="n">
        <f aca="false">A207/1000</f>
        <v>11.8175</v>
      </c>
      <c r="C207" s="707" t="n">
        <f aca="false">SQRT(1+(A207/pole1)^2)</f>
        <v>20.2057855503713</v>
      </c>
      <c r="D207" s="708" t="n">
        <f aca="false">ATAN(A207/pole1)</f>
        <v>1.52128532555618</v>
      </c>
      <c r="E207" s="708" t="n">
        <f aca="false">SQRT(1+(A207/Zero1)^2)</f>
        <v>1.01096645153312</v>
      </c>
      <c r="F207" s="709" t="n">
        <f aca="false">ATAN(A207/Zero1)</f>
        <v>0.147425651126541</v>
      </c>
      <c r="G207" s="708" t="n">
        <f aca="false">IF(VIN_nom&gt;Vout, 1, SQRT(1+(A207/z_RHP)^2))</f>
        <v>1.01522209123852</v>
      </c>
      <c r="H207" s="709" t="n">
        <f aca="false">IF(VIN_nom&gt;Vout, 0, -ATAN(A207/z_RHP))</f>
        <v>-0.173386696424957</v>
      </c>
      <c r="I207" s="707" t="n">
        <f aca="false">SQRT(1+(A207/Pole2)^2)</f>
        <v>49021.1852793568</v>
      </c>
      <c r="J207" s="710" t="n">
        <f aca="false">ATAN(A207/Pole2)</f>
        <v>1.57077592745134</v>
      </c>
      <c r="K207" s="719" t="n">
        <f aca="false">SQRT(1+(A207/Zero2)^2)</f>
        <v>15.2002923157227</v>
      </c>
      <c r="L207" s="720" t="n">
        <f aca="false">ATAN(A207/Zero2)</f>
        <v>1.50496056944016</v>
      </c>
      <c r="M207" s="707" t="n">
        <f aca="false">SQRT(1+(A207/pole4)^2)</f>
        <v>1.10546704755966</v>
      </c>
      <c r="N207" s="710" t="n">
        <f aca="false">ATAN(A207/pole4)</f>
        <v>0.440367586110429</v>
      </c>
      <c r="O207" s="711" t="n">
        <f aca="false">SQRT((1-(V207/pterm2))^2+(A207/pterm1)^2)</f>
        <v>1.0073098728784</v>
      </c>
      <c r="P207" s="712" t="n">
        <f aca="false">IF((ATAN((A207/pterm1)/(1-A207^2/pterm2))&gt;0),ATAN((A207/pterm1)/(1-A207^2/pterm2)),PI()+ATAN((A207/pterm1)/(1-A207^2/pterm2)))</f>
        <v>0.164004365111663</v>
      </c>
      <c r="Q207" s="713" t="n">
        <f aca="false">20*LOG10(((E207*K207*G207)/(C207*I207*O207*M207))*Adc)</f>
        <v>-7.82742236075755</v>
      </c>
      <c r="R207" s="714" t="n">
        <f aca="false">((F207+L207+H207)-(D207+J207+P207+N207))*radconv</f>
        <v>-127.049591364373</v>
      </c>
      <c r="S207" s="717" t="n">
        <f aca="false">IF(R207&gt;0,R207,R207+180)</f>
        <v>52.9504086356274</v>
      </c>
      <c r="U207" s="644" t="n">
        <f aca="false">IF(Q207&lt;0,A207,1000000000)</f>
        <v>11817.5</v>
      </c>
      <c r="V207" s="644" t="n">
        <f aca="false">A207^2</f>
        <v>139653306.25</v>
      </c>
      <c r="X207" s="716" t="n">
        <f aca="false">20*LOG10((K207/(I207*M207))*AEA)</f>
        <v>17.0551209464948</v>
      </c>
      <c r="Y207" s="717" t="n">
        <f aca="false">(L207-(J207+N207))*radconv</f>
        <v>-29.0021463928146</v>
      </c>
      <c r="AA207" s="716" t="n">
        <f aca="false">20*LOG10((E207*G207/(C207*O207))*Acs*Am)</f>
        <v>26.598082047302</v>
      </c>
      <c r="AB207" s="717" t="n">
        <f aca="false">(F207+H207-(D207+P207))*radconv</f>
        <v>-98.047444971558</v>
      </c>
      <c r="AD207" s="0" t="n">
        <f aca="false">SUM((Q208&lt;0)*(Q207&gt;0))*A207</f>
        <v>0</v>
      </c>
      <c r="AE207" s="0" t="n">
        <f aca="false">IF(AD207&gt;0,S207,0)</f>
        <v>0</v>
      </c>
    </row>
    <row r="208" customFormat="false" ht="12.75" hidden="false" customHeight="false" outlineLevel="0" collapsed="false">
      <c r="A208" s="718" t="n">
        <v>11886</v>
      </c>
      <c r="B208" s="706" t="n">
        <f aca="false">A208/1000</f>
        <v>11.886</v>
      </c>
      <c r="C208" s="707" t="n">
        <f aca="false">SQRT(1+(A208/pole1)^2)</f>
        <v>20.3226221009989</v>
      </c>
      <c r="D208" s="708" t="n">
        <f aca="false">ATAN(A208/pole1)</f>
        <v>1.52157019948534</v>
      </c>
      <c r="E208" s="708" t="n">
        <f aca="false">SQRT(1+(A208/Zero1)^2)</f>
        <v>1.01109325432075</v>
      </c>
      <c r="F208" s="709" t="n">
        <f aca="false">ATAN(A208/Zero1)</f>
        <v>0.148267768310394</v>
      </c>
      <c r="G208" s="708" t="n">
        <f aca="false">IF(VIN_nom&gt;Vout, 1, SQRT(1+(A208/z_RHP)^2))</f>
        <v>1.01539773003076</v>
      </c>
      <c r="H208" s="709" t="n">
        <f aca="false">IF(VIN_nom&gt;Vout, 0, -ATAN(A208/z_RHP))</f>
        <v>-0.174371538061411</v>
      </c>
      <c r="I208" s="707" t="n">
        <f aca="false">SQRT(1+(A208/Pole2)^2)</f>
        <v>49305.3360041499</v>
      </c>
      <c r="J208" s="710" t="n">
        <f aca="false">ATAN(A208/Pole2)</f>
        <v>1.57077604501444</v>
      </c>
      <c r="K208" s="719" t="n">
        <f aca="false">SQRT(1+(A208/Zero2)^2)</f>
        <v>15.2880203852051</v>
      </c>
      <c r="L208" s="720" t="n">
        <f aca="false">ATAN(A208/Zero2)</f>
        <v>1.50533890036805</v>
      </c>
      <c r="M208" s="707" t="n">
        <f aca="false">SQRT(1+(A208/pole4)^2)</f>
        <v>1.10663415831674</v>
      </c>
      <c r="N208" s="710" t="n">
        <f aca="false">ATAN(A208/pole4)</f>
        <v>0.442600377081159</v>
      </c>
      <c r="O208" s="711" t="n">
        <f aca="false">SQRT((1-(V208/pterm2))^2+(A208/pterm1)^2)</f>
        <v>1.00739477463096</v>
      </c>
      <c r="P208" s="712" t="n">
        <f aca="false">IF((ATAN((A208/pterm1)/(1-A208^2/pterm2))&gt;0),ATAN((A208/pterm1)/(1-A208^2/pterm2)),PI()+ATAN((A208/pterm1)/(1-A208^2/pterm2)))</f>
        <v>0.164949676459237</v>
      </c>
      <c r="Q208" s="713" t="n">
        <f aca="false">20*LOG10(((E208*K208*G208)/(C208*I208*O208*M208))*Adc)</f>
        <v>-7.88502394858445</v>
      </c>
      <c r="R208" s="714" t="n">
        <f aca="false">((F208+L208+H208)-(D208+J208+P208+N208))*radconv</f>
        <v>-127.234512767327</v>
      </c>
      <c r="S208" s="717" t="n">
        <f aca="false">IF(R208&gt;0,R208,R208+180)</f>
        <v>52.7654872326727</v>
      </c>
      <c r="U208" s="644" t="n">
        <f aca="false">IF(Q208&lt;0,A208,1000000000)</f>
        <v>11886</v>
      </c>
      <c r="V208" s="644" t="n">
        <f aca="false">A208^2</f>
        <v>141276996</v>
      </c>
      <c r="X208" s="716" t="n">
        <f aca="false">20*LOG10((K208/(I208*M208))*AEA)</f>
        <v>17.0457395121775</v>
      </c>
      <c r="Y208" s="717" t="n">
        <f aca="false">(L208-(J208+N208))*radconv</f>
        <v>-29.1084058625357</v>
      </c>
      <c r="AA208" s="716" t="n">
        <f aca="false">20*LOG10((E208*G208/(C208*O208))*Acs*Am)</f>
        <v>26.5498618937924</v>
      </c>
      <c r="AB208" s="717" t="n">
        <f aca="false">(F208+H208-(D208+P208))*radconv</f>
        <v>-98.1261069047916</v>
      </c>
      <c r="AD208" s="0" t="n">
        <f aca="false">SUM((Q209&lt;0)*(Q208&gt;0))*A208</f>
        <v>0</v>
      </c>
      <c r="AE208" s="0" t="n">
        <f aca="false">IF(AD208&gt;0,S208,0)</f>
        <v>0</v>
      </c>
    </row>
    <row r="209" customFormat="false" ht="12.75" hidden="false" customHeight="false" outlineLevel="0" collapsed="false">
      <c r="A209" s="718" t="n">
        <v>11954.5</v>
      </c>
      <c r="B209" s="706" t="n">
        <f aca="false">A209/1000</f>
        <v>11.9545</v>
      </c>
      <c r="C209" s="707" t="n">
        <f aca="false">SQRT(1+(A209/pole1)^2)</f>
        <v>20.4394602820165</v>
      </c>
      <c r="D209" s="708" t="n">
        <f aca="false">ATAN(A209/pole1)</f>
        <v>1.52185181658484</v>
      </c>
      <c r="E209" s="708" t="n">
        <f aca="false">SQRT(1+(A209/Zero1)^2)</f>
        <v>1.01122077395652</v>
      </c>
      <c r="F209" s="709" t="n">
        <f aca="false">ATAN(A209/Zero1)</f>
        <v>0.149109673701393</v>
      </c>
      <c r="G209" s="708" t="n">
        <f aca="false">IF(VIN_nom&gt;Vout, 1, SQRT(1+(A209/z_RHP)^2))</f>
        <v>1.0155743533293</v>
      </c>
      <c r="H209" s="709" t="n">
        <f aca="false">IF(VIN_nom&gt;Vout, 0, -ATAN(A209/z_RHP))</f>
        <v>-0.175356038095614</v>
      </c>
      <c r="I209" s="707" t="n">
        <f aca="false">SQRT(1+(A209/Pole2)^2)</f>
        <v>49589.4867289437</v>
      </c>
      <c r="J209" s="710" t="n">
        <f aca="false">ATAN(A209/Pole2)</f>
        <v>1.57077616123026</v>
      </c>
      <c r="K209" s="719" t="n">
        <f aca="false">SQRT(1+(A209/Zero2)^2)</f>
        <v>15.3757506179567</v>
      </c>
      <c r="L209" s="720" t="n">
        <f aca="false">ATAN(A209/Zero2)</f>
        <v>1.50571291402344</v>
      </c>
      <c r="M209" s="707" t="n">
        <f aca="false">SQRT(1+(A209/pole4)^2)</f>
        <v>1.1078067743979</v>
      </c>
      <c r="N209" s="710" t="n">
        <f aca="false">ATAN(A209/pole4)</f>
        <v>0.444828452311082</v>
      </c>
      <c r="O209" s="711" t="n">
        <f aca="false">SQRT((1-(V209/pterm2))^2+(A209/pterm1)^2)</f>
        <v>1.00748016509027</v>
      </c>
      <c r="P209" s="712" t="n">
        <f aca="false">IF((ATAN((A209/pterm1)/(1-A209^2/pterm2))&gt;0),ATAN((A209/pterm1)/(1-A209^2/pterm2)),PI()+ATAN((A209/pterm1)/(1-A209^2/pterm2)))</f>
        <v>0.16589489600147</v>
      </c>
      <c r="Q209" s="713" t="n">
        <f aca="false">20*LOG10(((E209*K209*G209)/(C209*I209*O209*M209))*Adc)</f>
        <v>-7.94235892043992</v>
      </c>
      <c r="R209" s="714" t="n">
        <f aca="false">((F209+L209+H209)-(D209+J209+P209+N209))*radconv</f>
        <v>-127.419211962352</v>
      </c>
      <c r="S209" s="717" t="n">
        <f aca="false">IF(R209&gt;0,R209,R209+180)</f>
        <v>52.580788037648</v>
      </c>
      <c r="U209" s="644" t="n">
        <f aca="false">IF(Q209&lt;0,A209,1000000000)</f>
        <v>11954.5</v>
      </c>
      <c r="V209" s="644" t="n">
        <f aca="false">A209^2</f>
        <v>142910070.25</v>
      </c>
      <c r="X209" s="716" t="n">
        <f aca="false">20*LOG10((K209/(I209*M209))*AEA)</f>
        <v>17.0363282663456</v>
      </c>
      <c r="Y209" s="717" t="n">
        <f aca="false">(L209-(J209+N209))*radconv</f>
        <v>-29.2146424245111</v>
      </c>
      <c r="AA209" s="716" t="n">
        <f aca="false">20*LOG10((E209*G209/(C209*O209))*Acs*Am)</f>
        <v>26.5019381677688</v>
      </c>
      <c r="AB209" s="717" t="n">
        <f aca="false">(F209+H209-(D209+P209))*radconv</f>
        <v>-98.2045695378409</v>
      </c>
      <c r="AD209" s="0" t="n">
        <f aca="false">SUM((Q210&lt;0)*(Q209&gt;0))*A209</f>
        <v>0</v>
      </c>
      <c r="AE209" s="0" t="n">
        <f aca="false">IF(AD209&gt;0,S209,0)</f>
        <v>0</v>
      </c>
    </row>
    <row r="210" customFormat="false" ht="12.75" hidden="false" customHeight="false" outlineLevel="0" collapsed="false">
      <c r="A210" s="718" t="n">
        <v>12023</v>
      </c>
      <c r="B210" s="706" t="n">
        <f aca="false">A210/1000</f>
        <v>12.023</v>
      </c>
      <c r="C210" s="707" t="n">
        <f aca="false">SQRT(1+(A210/pole1)^2)</f>
        <v>20.5563000656236</v>
      </c>
      <c r="D210" s="708" t="n">
        <f aca="false">ATAN(A210/pole1)</f>
        <v>1.52213023234401</v>
      </c>
      <c r="E210" s="708" t="n">
        <f aca="false">SQRT(1+(A210/Zero1)^2)</f>
        <v>1.01134901016926</v>
      </c>
      <c r="F210" s="709" t="n">
        <f aca="false">ATAN(A210/Zero1)</f>
        <v>0.149951366186386</v>
      </c>
      <c r="G210" s="708" t="n">
        <f aca="false">IF(VIN_nom&gt;Vout, 1, SQRT(1+(A210/z_RHP)^2))</f>
        <v>1.01575196062057</v>
      </c>
      <c r="H210" s="709" t="n">
        <f aca="false">IF(VIN_nom&gt;Vout, 0, -ATAN(A210/z_RHP))</f>
        <v>-0.176340194797827</v>
      </c>
      <c r="I210" s="707" t="n">
        <f aca="false">SQRT(1+(A210/Pole2)^2)</f>
        <v>49873.6374537381</v>
      </c>
      <c r="J210" s="710" t="n">
        <f aca="false">ATAN(A210/Pole2)</f>
        <v>1.57077627612181</v>
      </c>
      <c r="K210" s="719" t="n">
        <f aca="false">SQRT(1+(A210/Zero2)^2)</f>
        <v>15.4634829771585</v>
      </c>
      <c r="L210" s="720" t="n">
        <f aca="false">ATAN(A210/Zero2)</f>
        <v>1.50608268378316</v>
      </c>
      <c r="M210" s="707" t="n">
        <f aca="false">SQRT(1+(A210/pole4)^2)</f>
        <v>1.10898487833951</v>
      </c>
      <c r="N210" s="710" t="n">
        <f aca="false">ATAN(A210/pole4)</f>
        <v>0.447051804672554</v>
      </c>
      <c r="O210" s="711" t="n">
        <f aca="false">SQRT((1-(V210/pterm2))^2+(A210/pterm1)^2)</f>
        <v>1.00756604422222</v>
      </c>
      <c r="P210" s="712" t="n">
        <f aca="false">IF((ATAN((A210/pterm1)/(1-A210^2/pterm2))&gt;0),ATAN((A210/pterm1)/(1-A210^2/pterm2)),PI()+ATAN((A210/pterm1)/(1-A210^2/pterm2)))</f>
        <v>0.166840023230742</v>
      </c>
      <c r="Q210" s="713" t="n">
        <f aca="false">20*LOG10(((E210*K210*G210)/(C210*I210*O210*M210))*Adc)</f>
        <v>-7.99943036780827</v>
      </c>
      <c r="R210" s="714" t="n">
        <f aca="false">((F210+L210+H210)-(D210+J210+P210+N210))*radconv</f>
        <v>-127.603687453092</v>
      </c>
      <c r="S210" s="717" t="n">
        <f aca="false">IF(R210&gt;0,R210,R210+180)</f>
        <v>52.3963125469078</v>
      </c>
      <c r="U210" s="644" t="n">
        <f aca="false">IF(Q210&lt;0,A210,1000000000)</f>
        <v>12023</v>
      </c>
      <c r="V210" s="644" t="n">
        <f aca="false">A210^2</f>
        <v>144552529</v>
      </c>
      <c r="X210" s="716" t="n">
        <f aca="false">20*LOG10((K210/(I210*M210))*AEA)</f>
        <v>17.0268873787424</v>
      </c>
      <c r="Y210" s="717" t="n">
        <f aca="false">(L210-(J210+N210))*radconv</f>
        <v>-29.3208514674929</v>
      </c>
      <c r="AA210" s="716" t="n">
        <f aca="false">20*LOG10((E210*G210/(C210*O210))*Acs*Am)</f>
        <v>26.4543076080037</v>
      </c>
      <c r="AB210" s="717" t="n">
        <f aca="false">(F210+H210-(D210+P210))*radconv</f>
        <v>-98.2828359855993</v>
      </c>
      <c r="AD210" s="0" t="n">
        <f aca="false">SUM((Q211&lt;0)*(Q210&gt;0))*A210</f>
        <v>0</v>
      </c>
      <c r="AE210" s="0" t="n">
        <f aca="false">IF(AD210&gt;0,S210,0)</f>
        <v>0</v>
      </c>
    </row>
    <row r="211" customFormat="false" ht="12.75" hidden="false" customHeight="false" outlineLevel="0" collapsed="false">
      <c r="A211" s="718" t="n">
        <v>12093</v>
      </c>
      <c r="B211" s="706" t="n">
        <f aca="false">A211/1000</f>
        <v>12.093</v>
      </c>
      <c r="C211" s="707" t="n">
        <f aca="false">SQRT(1+(A211/pole1)^2)</f>
        <v>20.6757000119787</v>
      </c>
      <c r="D211" s="708" t="n">
        <f aca="false">ATAN(A211/pole1)</f>
        <v>1.52241149397066</v>
      </c>
      <c r="E211" s="708" t="n">
        <f aca="false">SQRT(1+(A211/Zero1)^2)</f>
        <v>1.01148079447661</v>
      </c>
      <c r="F211" s="709" t="n">
        <f aca="false">ATAN(A211/Zero1)</f>
        <v>0.150811268786839</v>
      </c>
      <c r="G211" s="708" t="n">
        <f aca="false">IF(VIN_nom&gt;Vout, 1, SQRT(1+(A211/z_RHP)^2))</f>
        <v>1.01593447313512</v>
      </c>
      <c r="H211" s="709" t="n">
        <f aca="false">IF(VIN_nom&gt;Vout, 0, -ATAN(A211/z_RHP))</f>
        <v>-0.177345545889134</v>
      </c>
      <c r="I211" s="707" t="n">
        <f aca="false">SQRT(1+(A211/Pole2)^2)</f>
        <v>50164.0104571784</v>
      </c>
      <c r="J211" s="710" t="n">
        <f aca="false">ATAN(A211/Pole2)</f>
        <v>1.57077639218459</v>
      </c>
      <c r="K211" s="719" t="n">
        <f aca="false">SQRT(1+(A211/Zero2)^2)</f>
        <v>15.5531386422723</v>
      </c>
      <c r="L211" s="720" t="n">
        <f aca="false">ATAN(A211/Zero2)</f>
        <v>1.5064562410102</v>
      </c>
      <c r="M211" s="707" t="n">
        <f aca="false">SQRT(1+(A211/pole4)^2)</f>
        <v>1.11019443143116</v>
      </c>
      <c r="N211" s="710" t="n">
        <f aca="false">ATAN(A211/pole4)</f>
        <v>0.449318957260359</v>
      </c>
      <c r="O211" s="711" t="n">
        <f aca="false">SQRT((1-(V211/pterm2))^2+(A211/pterm1)^2)</f>
        <v>1.0076543087245</v>
      </c>
      <c r="P211" s="712" t="n">
        <f aca="false">IF((ATAN((A211/pterm1)/(1-A211^2/pterm2))&gt;0),ATAN((A211/pterm1)/(1-A211^2/pterm2)),PI()+ATAN((A211/pterm1)/(1-A211^2/pterm2)))</f>
        <v>0.167805750781576</v>
      </c>
      <c r="Q211" s="713" t="n">
        <f aca="false">20*LOG10(((E211*K211*G211)/(C211*I211*O211*M211))*Adc)</f>
        <v>-8.0574824690274</v>
      </c>
      <c r="R211" s="714" t="n">
        <f aca="false">((F211+L211+H211)-(D211+J211+P211+N211))*radconv</f>
        <v>-127.791969927123</v>
      </c>
      <c r="S211" s="717" t="n">
        <f aca="false">IF(R211&gt;0,R211,R211+180)</f>
        <v>52.2080300728772</v>
      </c>
      <c r="U211" s="644" t="n">
        <f aca="false">IF(Q211&lt;0,A211,1000000000)</f>
        <v>12093</v>
      </c>
      <c r="V211" s="644" t="n">
        <f aca="false">A211^2</f>
        <v>146240649</v>
      </c>
      <c r="X211" s="716" t="n">
        <f aca="false">20*LOG10((K211/(I211*M211))*AEA)</f>
        <v>17.0172093125438</v>
      </c>
      <c r="Y211" s="717" t="n">
        <f aca="false">(L211-(J211+N211))*radconv</f>
        <v>-29.4293531398013</v>
      </c>
      <c r="AA211" s="716" t="n">
        <f aca="false">20*LOG10((E211*G211/(C211*O211))*Acs*Am)</f>
        <v>26.4059335729831</v>
      </c>
      <c r="AB211" s="717" t="n">
        <f aca="false">(F211+H211-(D211+P211))*radconv</f>
        <v>-98.3626167873215</v>
      </c>
      <c r="AD211" s="0" t="n">
        <f aca="false">SUM((Q212&lt;0)*(Q211&gt;0))*A211</f>
        <v>0</v>
      </c>
      <c r="AE211" s="0" t="n">
        <f aca="false">IF(AD211&gt;0,S211,0)</f>
        <v>0</v>
      </c>
    </row>
    <row r="212" customFormat="false" ht="12.75" hidden="false" customHeight="false" outlineLevel="0" collapsed="false">
      <c r="A212" s="718" t="n">
        <v>12163</v>
      </c>
      <c r="B212" s="706" t="n">
        <f aca="false">A212/1000</f>
        <v>12.163</v>
      </c>
      <c r="C212" s="707" t="n">
        <f aca="false">SQRT(1+(A212/pole1)^2)</f>
        <v>20.7951015751666</v>
      </c>
      <c r="D212" s="708" t="n">
        <f aca="false">ATAN(A212/pole1)</f>
        <v>1.52268952571635</v>
      </c>
      <c r="E212" s="708" t="n">
        <f aca="false">SQRT(1+(A212/Zero1)^2)</f>
        <v>1.01161332651053</v>
      </c>
      <c r="F212" s="709" t="n">
        <f aca="false">ATAN(A212/Zero1)</f>
        <v>0.151670946710175</v>
      </c>
      <c r="G212" s="708" t="n">
        <f aca="false">IF(VIN_nom&gt;Vout, 1, SQRT(1+(A212/z_RHP)^2))</f>
        <v>1.01611801211648</v>
      </c>
      <c r="H212" s="709" t="n">
        <f aca="false">IF(VIN_nom&gt;Vout, 0, -ATAN(A212/z_RHP))</f>
        <v>-0.178350534807553</v>
      </c>
      <c r="I212" s="707" t="n">
        <f aca="false">SQRT(1+(A212/Pole2)^2)</f>
        <v>50454.3834606193</v>
      </c>
      <c r="J212" s="710" t="n">
        <f aca="false">ATAN(A212/Pole2)</f>
        <v>1.57077650691144</v>
      </c>
      <c r="K212" s="719" t="n">
        <f aca="false">SQRT(1+(A212/Zero2)^2)</f>
        <v>15.6427964528701</v>
      </c>
      <c r="L212" s="720" t="n">
        <f aca="false">ATAN(A212/Zero2)</f>
        <v>1.50682551614816</v>
      </c>
      <c r="M212" s="707" t="n">
        <f aca="false">SQRT(1+(A212/pole4)^2)</f>
        <v>1.11140967846329</v>
      </c>
      <c r="N212" s="710" t="n">
        <f aca="false">ATAN(A212/pole4)</f>
        <v>0.451581163516159</v>
      </c>
      <c r="O212" s="711" t="n">
        <f aca="false">SQRT((1-(V212/pterm2))^2+(A212/pterm1)^2)</f>
        <v>1.00774308346285</v>
      </c>
      <c r="P212" s="712" t="n">
        <f aca="false">IF((ATAN((A212/pterm1)/(1-A212^2/pterm2))&gt;0),ATAN((A212/pterm1)/(1-A212^2/pterm2)),PI()+ATAN((A212/pterm1)/(1-A212^2/pterm2)))</f>
        <v>0.168771380861637</v>
      </c>
      <c r="Q212" s="713" t="n">
        <f aca="false">20*LOG10(((E212*K212*G212)/(C212*I212*O212*M212))*Adc)</f>
        <v>-8.11526572576992</v>
      </c>
      <c r="R212" s="714" t="n">
        <f aca="false">((F212+L212+H212)-(D212+J212+P212+N212))*radconv</f>
        <v>-127.980015745155</v>
      </c>
      <c r="S212" s="717" t="n">
        <f aca="false">IF(R212&gt;0,R212,R212+180)</f>
        <v>52.0199842548447</v>
      </c>
      <c r="U212" s="644" t="n">
        <f aca="false">IF(Q212&lt;0,A212,1000000000)</f>
        <v>12163</v>
      </c>
      <c r="V212" s="644" t="n">
        <f aca="false">A212^2</f>
        <v>147938569</v>
      </c>
      <c r="X212" s="716" t="n">
        <f aca="false">20*LOG10((K212/(I212*M212))*AEA)</f>
        <v>17.0075006567155</v>
      </c>
      <c r="Y212" s="717" t="n">
        <f aca="false">(L212-(J212+N212))*radconv</f>
        <v>-29.5378166772507</v>
      </c>
      <c r="AA212" s="716" t="n">
        <f aca="false">20*LOG10((E212*G212/(C212*O212))*Acs*Am)</f>
        <v>26.357858972069</v>
      </c>
      <c r="AB212" s="717" t="n">
        <f aca="false">(F212+H212-(D212+P212))*radconv</f>
        <v>-98.4421990679046</v>
      </c>
      <c r="AD212" s="0" t="n">
        <f aca="false">SUM((Q213&lt;0)*(Q212&gt;0))*A212</f>
        <v>0</v>
      </c>
      <c r="AE212" s="0" t="n">
        <f aca="false">IF(AD212&gt;0,S212,0)</f>
        <v>0</v>
      </c>
    </row>
    <row r="213" customFormat="false" ht="12.75" hidden="false" customHeight="false" outlineLevel="0" collapsed="false">
      <c r="A213" s="718" t="n">
        <v>12233</v>
      </c>
      <c r="B213" s="706" t="n">
        <f aca="false">A213/1000</f>
        <v>12.233</v>
      </c>
      <c r="C213" s="707" t="n">
        <f aca="false">SQRT(1+(A213/pole1)^2)</f>
        <v>20.9145047274956</v>
      </c>
      <c r="D213" s="708" t="n">
        <f aca="false">ATAN(A213/pole1)</f>
        <v>1.52296438285693</v>
      </c>
      <c r="E213" s="708" t="n">
        <f aca="false">SQRT(1+(A213/Zero1)^2)</f>
        <v>1.01174660597717</v>
      </c>
      <c r="F213" s="709" t="n">
        <f aca="false">ATAN(A213/Zero1)</f>
        <v>0.152530398774255</v>
      </c>
      <c r="G213" s="708" t="n">
        <f aca="false">IF(VIN_nom&gt;Vout, 1, SQRT(1+(A213/z_RHP)^2))</f>
        <v>1.01630257700851</v>
      </c>
      <c r="H213" s="709" t="n">
        <f aca="false">IF(VIN_nom&gt;Vout, 0, -ATAN(A213/z_RHP))</f>
        <v>-0.179355159719772</v>
      </c>
      <c r="I213" s="707" t="n">
        <f aca="false">SQRT(1+(A213/Pole2)^2)</f>
        <v>50744.7564640609</v>
      </c>
      <c r="J213" s="710" t="n">
        <f aca="false">ATAN(A213/Pole2)</f>
        <v>1.57077662032531</v>
      </c>
      <c r="K213" s="719" t="n">
        <f aca="false">SQRT(1+(A213/Zero2)^2)</f>
        <v>15.7324563722712</v>
      </c>
      <c r="L213" s="720" t="n">
        <f aca="false">ATAN(A213/Zero2)</f>
        <v>1.50719058230688</v>
      </c>
      <c r="M213" s="707" t="n">
        <f aca="false">SQRT(1+(A213/pole4)^2)</f>
        <v>1.11263060077863</v>
      </c>
      <c r="N213" s="710" t="n">
        <f aca="false">ATAN(A213/pole4)</f>
        <v>0.453838416531499</v>
      </c>
      <c r="O213" s="711" t="n">
        <f aca="false">SQRT((1-(V213/pterm2))^2+(A213/pterm1)^2)</f>
        <v>1.00783236840028</v>
      </c>
      <c r="P213" s="712" t="n">
        <f aca="false">IF((ATAN((A213/pterm1)/(1-A213^2/pterm2))&gt;0),ATAN((A213/pterm1)/(1-A213^2/pterm2)),PI()+ATAN((A213/pterm1)/(1-A213^2/pterm2)))</f>
        <v>0.169736912930399</v>
      </c>
      <c r="Q213" s="713" t="n">
        <f aca="false">20*LOG10(((E213*K213*G213)/(C213*I213*O213*M213))*Adc)</f>
        <v>-8.17278325772279</v>
      </c>
      <c r="R213" s="714" t="n">
        <f aca="false">((F213+L213+H213)-(D213+J213+P213+N213))*radconv</f>
        <v>-128.167823422588</v>
      </c>
      <c r="S213" s="717" t="n">
        <f aca="false">IF(R213&gt;0,R213,R213+180)</f>
        <v>51.8321765774122</v>
      </c>
      <c r="U213" s="644" t="n">
        <f aca="false">IF(Q213&lt;0,A213,1000000000)</f>
        <v>12233</v>
      </c>
      <c r="V213" s="644" t="n">
        <f aca="false">A213^2</f>
        <v>149646289</v>
      </c>
      <c r="X213" s="716" t="n">
        <f aca="false">20*LOG10((K213/(I213*M213))*AEA)</f>
        <v>16.9977615984136</v>
      </c>
      <c r="Y213" s="717" t="n">
        <f aca="false">(L213-(J213+N213))*radconv</f>
        <v>-29.6462374964455</v>
      </c>
      <c r="AA213" s="716" t="n">
        <f aca="false">20*LOG10((E213*G213/(C213*O213))*Acs*Am)</f>
        <v>26.310080498418</v>
      </c>
      <c r="AB213" s="717" t="n">
        <f aca="false">(F213+H213-(D213+P213))*radconv</f>
        <v>-98.5215859261423</v>
      </c>
      <c r="AD213" s="0" t="n">
        <f aca="false">SUM((Q214&lt;0)*(Q213&gt;0))*A213</f>
        <v>0</v>
      </c>
      <c r="AE213" s="0" t="n">
        <f aca="false">IF(AD213&gt;0,S213,0)</f>
        <v>0</v>
      </c>
    </row>
    <row r="214" customFormat="false" ht="12.75" hidden="false" customHeight="false" outlineLevel="0" collapsed="false">
      <c r="A214" s="718" t="n">
        <v>12303</v>
      </c>
      <c r="B214" s="706" t="n">
        <f aca="false">A214/1000</f>
        <v>12.303</v>
      </c>
      <c r="C214" s="707" t="n">
        <f aca="false">SQRT(1+(A214/pole1)^2)</f>
        <v>21.0339094419025</v>
      </c>
      <c r="D214" s="708" t="n">
        <f aca="false">ATAN(A214/pole1)</f>
        <v>1.52323611941504</v>
      </c>
      <c r="E214" s="708" t="n">
        <f aca="false">SQRT(1+(A214/Zero1)^2)</f>
        <v>1.0118806325812</v>
      </c>
      <c r="F214" s="709" t="n">
        <f aca="false">ATAN(A214/Zero1)</f>
        <v>0.153389623798898</v>
      </c>
      <c r="G214" s="708" t="n">
        <f aca="false">IF(VIN_nom&gt;Vout, 1, SQRT(1+(A214/z_RHP)^2))</f>
        <v>1.01648816725239</v>
      </c>
      <c r="H214" s="709" t="n">
        <f aca="false">IF(VIN_nom&gt;Vout, 0, -ATAN(A214/z_RHP))</f>
        <v>-0.180359418796749</v>
      </c>
      <c r="I214" s="707" t="n">
        <f aca="false">SQRT(1+(A214/Pole2)^2)</f>
        <v>51035.1294675031</v>
      </c>
      <c r="J214" s="710" t="n">
        <f aca="false">ATAN(A214/Pole2)</f>
        <v>1.5707767324486</v>
      </c>
      <c r="K214" s="719" t="n">
        <f aca="false">SQRT(1+(A214/Zero2)^2)</f>
        <v>15.8221183646254</v>
      </c>
      <c r="L214" s="720" t="n">
        <f aca="false">ATAN(A214/Zero2)</f>
        <v>1.50755151094349</v>
      </c>
      <c r="M214" s="707" t="n">
        <f aca="false">SQRT(1+(A214/pole4)^2)</f>
        <v>1.1138571797148</v>
      </c>
      <c r="N214" s="710" t="n">
        <f aca="false">ATAN(A214/pole4)</f>
        <v>0.456090709630044</v>
      </c>
      <c r="O214" s="711" t="n">
        <f aca="false">SQRT((1-(V214/pterm2))^2+(A214/pterm1)^2)</f>
        <v>1.00792216349959</v>
      </c>
      <c r="P214" s="712" t="n">
        <f aca="false">IF((ATAN((A214/pterm1)/(1-A214^2/pterm2))&gt;0),ATAN((A214/pterm1)/(1-A214^2/pterm2)),PI()+ATAN((A214/pterm1)/(1-A214^2/pterm2)))</f>
        <v>0.170702346447737</v>
      </c>
      <c r="Q214" s="713" t="n">
        <f aca="false">20*LOG10(((E214*K214*G214)/(C214*I214*O214*M214))*Adc)</f>
        <v>-8.23003812693793</v>
      </c>
      <c r="R214" s="714" t="n">
        <f aca="false">((F214+L214+H214)-(D214+J214+P214+N214))*radconv</f>
        <v>-128.355391511131</v>
      </c>
      <c r="S214" s="717" t="n">
        <f aca="false">IF(R214&gt;0,R214,R214+180)</f>
        <v>51.6446084888694</v>
      </c>
      <c r="U214" s="644" t="n">
        <f aca="false">IF(Q214&lt;0,A214,1000000000)</f>
        <v>12303</v>
      </c>
      <c r="V214" s="644" t="n">
        <f aca="false">A214^2</f>
        <v>151363809</v>
      </c>
      <c r="X214" s="716" t="n">
        <f aca="false">20*LOG10((K214/(I214*M214))*AEA)</f>
        <v>16.9879923266239</v>
      </c>
      <c r="Y214" s="717" t="n">
        <f aca="false">(L214-(J214+N214))*radconv</f>
        <v>-29.7546111219504</v>
      </c>
      <c r="AA214" s="716" t="n">
        <f aca="false">20*LOG10((E214*G214/(C214*O214))*Acs*Am)</f>
        <v>26.2625949009926</v>
      </c>
      <c r="AB214" s="717" t="n">
        <f aca="false">(F214+H214-(D214+P214))*radconv</f>
        <v>-98.6007803891803</v>
      </c>
      <c r="AD214" s="0" t="n">
        <f aca="false">SUM((Q215&lt;0)*(Q214&gt;0))*A214</f>
        <v>0</v>
      </c>
      <c r="AE214" s="0" t="n">
        <f aca="false">IF(AD214&gt;0,S214,0)</f>
        <v>0</v>
      </c>
    </row>
    <row r="215" customFormat="false" ht="12.75" hidden="false" customHeight="false" outlineLevel="0" collapsed="false">
      <c r="A215" s="718" t="n">
        <v>12374.5</v>
      </c>
      <c r="B215" s="706" t="n">
        <f aca="false">A215/1000</f>
        <v>12.3745</v>
      </c>
      <c r="C215" s="707" t="n">
        <f aca="false">SQRT(1+(A215/pole1)^2)</f>
        <v>21.1558744139067</v>
      </c>
      <c r="D215" s="708" t="n">
        <f aca="false">ATAN(A215/pole1)</f>
        <v>1.52351051219293</v>
      </c>
      <c r="E215" s="708" t="n">
        <f aca="false">SQRT(1+(A215/Zero1)^2)</f>
        <v>1.01201830219928</v>
      </c>
      <c r="F215" s="709" t="n">
        <f aca="false">ATAN(A215/Zero1)</f>
        <v>0.154267025174054</v>
      </c>
      <c r="G215" s="708" t="n">
        <f aca="false">IF(VIN_nom&gt;Vout, 1, SQRT(1+(A215/z_RHP)^2))</f>
        <v>1.01667879239121</v>
      </c>
      <c r="H215" s="709" t="n">
        <f aca="false">IF(VIN_nom&gt;Vout, 0, -ATAN(A215/z_RHP))</f>
        <v>-0.181384818135598</v>
      </c>
      <c r="I215" s="707" t="n">
        <f aca="false">SQRT(1+(A215/Pole2)^2)</f>
        <v>51331.7247495912</v>
      </c>
      <c r="J215" s="710" t="n">
        <f aca="false">ATAN(A215/Pole2)</f>
        <v>1.57077684566495</v>
      </c>
      <c r="K215" s="719" t="n">
        <f aca="false">SQRT(1+(A215/Zero2)^2)</f>
        <v>15.9137037890155</v>
      </c>
      <c r="L215" s="720" t="n">
        <f aca="false">ATAN(A215/Zero2)</f>
        <v>1.5079159749198</v>
      </c>
      <c r="M215" s="707" t="n">
        <f aca="false">SQRT(1+(A215/pole4)^2)</f>
        <v>1.1151158628163</v>
      </c>
      <c r="N215" s="710" t="n">
        <f aca="false">ATAN(A215/pole4)</f>
        <v>0.458386138970021</v>
      </c>
      <c r="O215" s="711" t="n">
        <f aca="false">SQRT((1-(V215/pterm2))^2+(A215/pterm1)^2)</f>
        <v>1.00801440941781</v>
      </c>
      <c r="P215" s="712" t="n">
        <f aca="false">IF((ATAN((A215/pterm1)/(1-A215^2/pterm2))&gt;0),ATAN((A215/pterm1)/(1-A215^2/pterm2)),PI()+ATAN((A215/pterm1)/(1-A215^2/pterm2)))</f>
        <v>0.171688365523211</v>
      </c>
      <c r="Q215" s="713" t="n">
        <f aca="false">20*LOG10(((E215*K215*G215)/(C215*I215*O215*M215))*Adc)</f>
        <v>-8.28825184535879</v>
      </c>
      <c r="R215" s="714" t="n">
        <f aca="false">((F215+L215+H215)-(D215+J215+P215+N215))*radconv</f>
        <v>-128.546730102235</v>
      </c>
      <c r="S215" s="717" t="n">
        <f aca="false">IF(R215&gt;0,R215,R215+180)</f>
        <v>51.4532698977651</v>
      </c>
      <c r="U215" s="644" t="n">
        <f aca="false">IF(Q215&lt;0,A215,1000000000)</f>
        <v>12374.5</v>
      </c>
      <c r="V215" s="644" t="n">
        <f aca="false">A215^2</f>
        <v>153128250.25</v>
      </c>
      <c r="X215" s="716" t="n">
        <f aca="false">20*LOG10((K215/(I215*M215))*AEA)</f>
        <v>16.9779827200344</v>
      </c>
      <c r="Y215" s="717" t="n">
        <f aca="false">(L215-(J215+N215))*radconv</f>
        <v>-29.8652537746203</v>
      </c>
      <c r="AA215" s="716" t="n">
        <f aca="false">20*LOG10((E215*G215/(C215*O215))*Acs*Am)</f>
        <v>26.2143907891612</v>
      </c>
      <c r="AB215" s="717" t="n">
        <f aca="false">(F215+H215-(D215+P215))*radconv</f>
        <v>-98.6814763276146</v>
      </c>
      <c r="AD215" s="0" t="n">
        <f aca="false">SUM((Q216&lt;0)*(Q215&gt;0))*A215</f>
        <v>0</v>
      </c>
      <c r="AE215" s="0" t="n">
        <f aca="false">IF(AD215&gt;0,S215,0)</f>
        <v>0</v>
      </c>
    </row>
    <row r="216" customFormat="false" ht="12.75" hidden="false" customHeight="false" outlineLevel="0" collapsed="false">
      <c r="A216" s="718" t="n">
        <v>12446</v>
      </c>
      <c r="B216" s="706" t="n">
        <f aca="false">A216/1000</f>
        <v>12.446</v>
      </c>
      <c r="C216" s="707" t="n">
        <f aca="false">SQRT(1+(A216/pole1)^2)</f>
        <v>21.2778409605055</v>
      </c>
      <c r="D216" s="708" t="n">
        <f aca="false">ATAN(A216/pole1)</f>
        <v>1.52378175930163</v>
      </c>
      <c r="E216" s="708" t="n">
        <f aca="false">SQRT(1+(A216/Zero1)^2)</f>
        <v>1.01215675069034</v>
      </c>
      <c r="F216" s="709" t="n">
        <f aca="false">ATAN(A216/Zero1)</f>
        <v>0.15514418719254</v>
      </c>
      <c r="G216" s="708" t="n">
        <f aca="false">IF(VIN_nom&gt;Vout, 1, SQRT(1+(A216/z_RHP)^2))</f>
        <v>1.0168704861092</v>
      </c>
      <c r="H216" s="709" t="n">
        <f aca="false">IF(VIN_nom&gt;Vout, 0, -ATAN(A216/z_RHP))</f>
        <v>-0.182409831948812</v>
      </c>
      <c r="I216" s="707" t="n">
        <f aca="false">SQRT(1+(A216/Pole2)^2)</f>
        <v>51628.3200316799</v>
      </c>
      <c r="J216" s="710" t="n">
        <f aca="false">ATAN(A216/Pole2)</f>
        <v>1.57077695758049</v>
      </c>
      <c r="K216" s="719" t="n">
        <f aca="false">SQRT(1+(A216/Zero2)^2)</f>
        <v>16.0052913030941</v>
      </c>
      <c r="L216" s="720" t="n">
        <f aca="false">ATAN(A216/Zero2)</f>
        <v>1.50827626777925</v>
      </c>
      <c r="M216" s="707" t="n">
        <f aca="false">SQRT(1+(A216/pole4)^2)</f>
        <v>1.11638040819166</v>
      </c>
      <c r="N216" s="710" t="n">
        <f aca="false">ATAN(A216/pole4)</f>
        <v>0.460676380201382</v>
      </c>
      <c r="O216" s="711" t="n">
        <f aca="false">SQRT((1-(V216/pterm2))^2+(A216/pterm1)^2)</f>
        <v>1.0081071875172</v>
      </c>
      <c r="P216" s="712" t="n">
        <f aca="false">IF((ATAN((A216/pterm1)/(1-A216^2/pterm2))&gt;0),ATAN((A216/pterm1)/(1-A216^2/pterm2)),PI()+ATAN((A216/pterm1)/(1-A216^2/pterm2)))</f>
        <v>0.172674280640541</v>
      </c>
      <c r="Q216" s="713" t="n">
        <f aca="false">20*LOG10(((E216*K216*G216)/(C216*I216*O216*M216))*Adc)</f>
        <v>-8.34619780317125</v>
      </c>
      <c r="R216" s="714" t="n">
        <f aca="false">((F216+L216+H216)-(D216+J216+P216+N216))*radconv</f>
        <v>-128.737815784676</v>
      </c>
      <c r="S216" s="717" t="n">
        <f aca="false">IF(R216&gt;0,R216,R216+180)</f>
        <v>51.2621842153236</v>
      </c>
      <c r="U216" s="644" t="n">
        <f aca="false">IF(Q216&lt;0,A216,1000000000)</f>
        <v>12446</v>
      </c>
      <c r="V216" s="644" t="n">
        <f aca="false">A216^2</f>
        <v>154902916</v>
      </c>
      <c r="X216" s="716" t="n">
        <f aca="false">20*LOG10((K216/(I216*M216))*AEA)</f>
        <v>16.9679419952258</v>
      </c>
      <c r="Y216" s="717" t="n">
        <f aca="false">(L216-(J216+N216))*radconv</f>
        <v>-29.9758380834234</v>
      </c>
      <c r="AA216" s="716" t="n">
        <f aca="false">20*LOG10((E216*G216/(C216*O216))*Acs*Am)</f>
        <v>26.1664855561574</v>
      </c>
      <c r="AB216" s="717" t="n">
        <f aca="false">(F216+H216-(D216+P216))*radconv</f>
        <v>-98.761977701253</v>
      </c>
      <c r="AD216" s="0" t="n">
        <f aca="false">SUM((Q217&lt;0)*(Q216&gt;0))*A216</f>
        <v>0</v>
      </c>
      <c r="AE216" s="0" t="n">
        <f aca="false">IF(AD216&gt;0,S216,0)</f>
        <v>0</v>
      </c>
    </row>
    <row r="217" customFormat="false" ht="12.75" hidden="false" customHeight="false" outlineLevel="0" collapsed="false">
      <c r="A217" s="718" t="n">
        <v>12517.5</v>
      </c>
      <c r="B217" s="706" t="n">
        <f aca="false">A217/1000</f>
        <v>12.5175</v>
      </c>
      <c r="C217" s="707" t="n">
        <f aca="false">SQRT(1+(A217/pole1)^2)</f>
        <v>21.3998090547762</v>
      </c>
      <c r="D217" s="708" t="n">
        <f aca="false">ATAN(A217/pole1)</f>
        <v>1.52404991448706</v>
      </c>
      <c r="E217" s="708" t="n">
        <f aca="false">SQRT(1+(A217/Zero1)^2)</f>
        <v>1.0122959777348</v>
      </c>
      <c r="F217" s="709" t="n">
        <f aca="false">ATAN(A217/Zero1)</f>
        <v>0.15602110860304</v>
      </c>
      <c r="G217" s="708" t="n">
        <f aca="false">IF(VIN_nom&gt;Vout, 1, SQRT(1+(A217/z_RHP)^2))</f>
        <v>1.01706324780216</v>
      </c>
      <c r="H217" s="709" t="n">
        <f aca="false">IF(VIN_nom&gt;Vout, 0, -ATAN(A217/z_RHP))</f>
        <v>-0.183434458301123</v>
      </c>
      <c r="I217" s="707" t="n">
        <f aca="false">SQRT(1+(A217/Pole2)^2)</f>
        <v>51924.9153137693</v>
      </c>
      <c r="J217" s="710" t="n">
        <f aca="false">ATAN(A217/Pole2)</f>
        <v>1.57077706821751</v>
      </c>
      <c r="K217" s="719" t="n">
        <f aca="false">SQRT(1+(A217/Zero2)^2)</f>
        <v>16.0968808711917</v>
      </c>
      <c r="L217" s="720" t="n">
        <f aca="false">ATAN(A217/Zero2)</f>
        <v>1.50863246062714</v>
      </c>
      <c r="M217" s="707" t="n">
        <f aca="false">SQRT(1+(A217/pole4)^2)</f>
        <v>1.11765079594259</v>
      </c>
      <c r="N217" s="710" t="n">
        <f aca="false">ATAN(A217/pole4)</f>
        <v>0.462961426949366</v>
      </c>
      <c r="O217" s="711" t="n">
        <f aca="false">SQRT((1-(V217/pterm2))^2+(A217/pterm1)^2)</f>
        <v>1.00820049775748</v>
      </c>
      <c r="P217" s="712" t="n">
        <f aca="false">IF((ATAN((A217/pterm1)/(1-A217^2/pterm2))&gt;0),ATAN((A217/pterm1)/(1-A217^2/pterm2)),PI()+ATAN((A217/pterm1)/(1-A217^2/pterm2)))</f>
        <v>0.173660091225438</v>
      </c>
      <c r="Q217" s="713" t="n">
        <f aca="false">20*LOG10(((E217*K217*G217)/(C217*I217*O217*M217))*Adc)</f>
        <v>-8.40387908590212</v>
      </c>
      <c r="R217" s="714" t="n">
        <f aca="false">((F217+L217+H217)-(D217+J217+P217+N217))*radconv</f>
        <v>-128.928647127774</v>
      </c>
      <c r="S217" s="717" t="n">
        <f aca="false">IF(R217&gt;0,R217,R217+180)</f>
        <v>51.0713528722264</v>
      </c>
      <c r="U217" s="644" t="n">
        <f aca="false">IF(Q217&lt;0,A217,1000000000)</f>
        <v>12517.5</v>
      </c>
      <c r="V217" s="644" t="n">
        <f aca="false">A217^2</f>
        <v>156687806.25</v>
      </c>
      <c r="X217" s="716" t="n">
        <f aca="false">20*LOG10((K217/(I217*M217))*AEA)</f>
        <v>16.9578703589084</v>
      </c>
      <c r="Y217" s="717" t="n">
        <f aca="false">(L217-(J217+N217))*radconv</f>
        <v>-30.0863596103561</v>
      </c>
      <c r="AA217" s="716" t="n">
        <f aca="false">20*LOG10((E217*G217/(C217*O217))*Acs*Am)</f>
        <v>26.1188759097439</v>
      </c>
      <c r="AB217" s="717" t="n">
        <f aca="false">(F217+H217-(D217+P217))*radconv</f>
        <v>-98.8422875174174</v>
      </c>
      <c r="AD217" s="0" t="n">
        <f aca="false">SUM((Q218&lt;0)*(Q217&gt;0))*A217</f>
        <v>0</v>
      </c>
      <c r="AE217" s="0" t="n">
        <f aca="false">IF(AD217&gt;0,S217,0)</f>
        <v>0</v>
      </c>
    </row>
    <row r="218" customFormat="false" ht="12.75" hidden="false" customHeight="false" outlineLevel="0" collapsed="false">
      <c r="A218" s="718" t="n">
        <v>12589</v>
      </c>
      <c r="B218" s="706" t="n">
        <f aca="false">A218/1000</f>
        <v>12.589</v>
      </c>
      <c r="C218" s="707" t="n">
        <f aca="false">SQRT(1+(A218/pole1)^2)</f>
        <v>21.521778670406</v>
      </c>
      <c r="D218" s="708" t="n">
        <f aca="false">ATAN(A218/pole1)</f>
        <v>1.52431503027857</v>
      </c>
      <c r="E218" s="708" t="n">
        <f aca="false">SQRT(1+(A218/Zero1)^2)</f>
        <v>1.01243598301146</v>
      </c>
      <c r="F218" s="709" t="n">
        <f aca="false">ATAN(A218/Zero1)</f>
        <v>0.156897788156407</v>
      </c>
      <c r="G218" s="708" t="n">
        <f aca="false">IF(VIN_nom&gt;Vout, 1, SQRT(1+(A218/z_RHP)^2))</f>
        <v>1.01725707686296</v>
      </c>
      <c r="H218" s="709" t="n">
        <f aca="false">IF(VIN_nom&gt;Vout, 0, -ATAN(A218/z_RHP))</f>
        <v>-0.18445869526198</v>
      </c>
      <c r="I218" s="707" t="n">
        <f aca="false">SQRT(1+(A218/Pole2)^2)</f>
        <v>52221.5105958593</v>
      </c>
      <c r="J218" s="710" t="n">
        <f aca="false">ATAN(A218/Pole2)</f>
        <v>1.57077717759778</v>
      </c>
      <c r="K218" s="719" t="n">
        <f aca="false">SQRT(1+(A218/Zero2)^2)</f>
        <v>16.1884724584452</v>
      </c>
      <c r="L218" s="720" t="n">
        <f aca="false">ATAN(A218/Zero2)</f>
        <v>1.5089846229638</v>
      </c>
      <c r="M218" s="707" t="n">
        <f aca="false">SQRT(1+(A218/pole4)^2)</f>
        <v>1.11892700616946</v>
      </c>
      <c r="N218" s="710" t="n">
        <f aca="false">ATAN(A218/pole4)</f>
        <v>0.465241273085076</v>
      </c>
      <c r="O218" s="711" t="n">
        <f aca="false">SQRT((1-(V218/pterm2))^2+(A218/pterm1)^2)</f>
        <v>1.00829434009817</v>
      </c>
      <c r="P218" s="712" t="n">
        <f aca="false">IF((ATAN((A218/pterm1)/(1-A218^2/pterm2))&gt;0),ATAN((A218/pterm1)/(1-A218^2/pterm2)),PI()+ATAN((A218/pterm1)/(1-A218^2/pterm2)))</f>
        <v>0.174645796704056</v>
      </c>
      <c r="Q218" s="713" t="n">
        <f aca="false">20*LOG10(((E218*K218*G218)/(C218*I218*O218*M218))*Adc)</f>
        <v>-8.46129872201968</v>
      </c>
      <c r="R218" s="714" t="n">
        <f aca="false">((F218+L218+H218)-(D218+J218+P218+N218))*radconv</f>
        <v>-129.119222737329</v>
      </c>
      <c r="S218" s="717" t="n">
        <f aca="false">IF(R218&gt;0,R218,R218+180)</f>
        <v>50.8807772626709</v>
      </c>
      <c r="U218" s="644" t="n">
        <f aca="false">IF(Q218&lt;0,A218,1000000000)</f>
        <v>12589</v>
      </c>
      <c r="V218" s="644" t="n">
        <f aca="false">A218^2</f>
        <v>158482921</v>
      </c>
      <c r="X218" s="716" t="n">
        <f aca="false">20*LOG10((K218/(I218*M218))*AEA)</f>
        <v>16.9477680193921</v>
      </c>
      <c r="Y218" s="717" t="n">
        <f aca="false">(L218-(J218+N218))*radconv</f>
        <v>-30.1968140234318</v>
      </c>
      <c r="AA218" s="716" t="n">
        <f aca="false">20*LOG10((E218*G218/(C218*O218))*Acs*Am)</f>
        <v>26.0715586131426</v>
      </c>
      <c r="AB218" s="717" t="n">
        <f aca="false">(F218+H218-(D218+P218))*radconv</f>
        <v>-98.9224087138972</v>
      </c>
      <c r="AD218" s="0" t="n">
        <f aca="false">SUM((Q219&lt;0)*(Q218&gt;0))*A218</f>
        <v>0</v>
      </c>
      <c r="AE218" s="0" t="n">
        <f aca="false">IF(AD218&gt;0,S218,0)</f>
        <v>0</v>
      </c>
    </row>
    <row r="219" customFormat="false" ht="12.75" hidden="false" customHeight="false" outlineLevel="0" collapsed="false">
      <c r="A219" s="718" t="n">
        <v>12662.25</v>
      </c>
      <c r="B219" s="706" t="n">
        <f aca="false">A219/1000</f>
        <v>12.66225</v>
      </c>
      <c r="C219" s="707" t="n">
        <f aca="false">SQRT(1+(A219/pole1)^2)</f>
        <v>21.6467351071311</v>
      </c>
      <c r="D219" s="708" t="n">
        <f aca="false">ATAN(A219/pole1)</f>
        <v>1.52458353670218</v>
      </c>
      <c r="E219" s="708" t="n">
        <f aca="false">SQRT(1+(A219/Zero1)^2)</f>
        <v>1.01258022168998</v>
      </c>
      <c r="F219" s="709" t="n">
        <f aca="false">ATAN(A219/Zero1)</f>
        <v>0.157795672789034</v>
      </c>
      <c r="G219" s="708" t="n">
        <f aca="false">IF(VIN_nom&gt;Vout, 1, SQRT(1+(A219/z_RHP)^2))</f>
        <v>1.01745675622805</v>
      </c>
      <c r="H219" s="709" t="n">
        <f aca="false">IF(VIN_nom&gt;Vout, 0, -ATAN(A219/z_RHP))</f>
        <v>-0.185507595142355</v>
      </c>
      <c r="I219" s="707" t="n">
        <f aca="false">SQRT(1+(A219/Pole2)^2)</f>
        <v>52525.365203036</v>
      </c>
      <c r="J219" s="710" t="n">
        <f aca="false">ATAN(A219/Pole2)</f>
        <v>1.5707772883742</v>
      </c>
      <c r="K219" s="719" t="n">
        <f aca="false">SQRT(1+(A219/Zero2)^2)</f>
        <v>16.2823078561007</v>
      </c>
      <c r="L219" s="720" t="n">
        <f aca="false">ATAN(A219/Zero2)</f>
        <v>1.50934129598657</v>
      </c>
      <c r="M219" s="707" t="n">
        <f aca="false">SQRT(1+(A219/pole4)^2)</f>
        <v>1.12024046948823</v>
      </c>
      <c r="N219" s="710" t="n">
        <f aca="false">ATAN(A219/pole4)</f>
        <v>0.467571520398292</v>
      </c>
      <c r="O219" s="711" t="n">
        <f aca="false">SQRT((1-(V219/pterm2))^2+(A219/pterm1)^2)</f>
        <v>1.00839103103178</v>
      </c>
      <c r="P219" s="712" t="n">
        <f aca="false">IF((ATAN((A219/pterm1)/(1-A219^2/pterm2))&gt;0),ATAN((A219/pterm1)/(1-A219^2/pterm2)),PI()+ATAN((A219/pterm1)/(1-A219^2/pterm2)))</f>
        <v>0.175655518245216</v>
      </c>
      <c r="Q219" s="713" t="n">
        <f aca="false">20*LOG10(((E219*K219*G219)/(C219*I219*O219*M219))*Adc)</f>
        <v>-8.51985551053071</v>
      </c>
      <c r="R219" s="714" t="n">
        <f aca="false">((F219+L219+H219)-(D219+J219+P219+N219))*radconv</f>
        <v>-129.314196165946</v>
      </c>
      <c r="S219" s="717" t="n">
        <f aca="false">IF(R219&gt;0,R219,R219+180)</f>
        <v>50.685803834054</v>
      </c>
      <c r="U219" s="644" t="n">
        <f aca="false">IF(Q219&lt;0,A219,1000000000)</f>
        <v>12662.25</v>
      </c>
      <c r="V219" s="644" t="n">
        <f aca="false">A219^2</f>
        <v>160332575.0625</v>
      </c>
      <c r="X219" s="716" t="n">
        <f aca="false">20*LOG10((K219/(I219*M219))*AEA)</f>
        <v>16.9373867995763</v>
      </c>
      <c r="Y219" s="717" t="n">
        <f aca="false">(L219-(J219+N219))*radconv</f>
        <v>-30.3098978479801</v>
      </c>
      <c r="AA219" s="716" t="n">
        <f aca="false">20*LOG10((E219*G219/(C219*O219))*Acs*Am)</f>
        <v>26.0233830444474</v>
      </c>
      <c r="AB219" s="717" t="n">
        <f aca="false">(F219+H219-(D219+P219))*radconv</f>
        <v>-99.0042983179659</v>
      </c>
      <c r="AD219" s="0" t="n">
        <f aca="false">SUM((Q220&lt;0)*(Q219&gt;0))*A219</f>
        <v>0</v>
      </c>
      <c r="AE219" s="0" t="n">
        <f aca="false">IF(AD219&gt;0,S219,0)</f>
        <v>0</v>
      </c>
    </row>
    <row r="220" customFormat="false" ht="12.75" hidden="false" customHeight="false" outlineLevel="0" collapsed="false">
      <c r="A220" s="718" t="n">
        <v>12735.5</v>
      </c>
      <c r="B220" s="706" t="n">
        <f aca="false">A220/1000</f>
        <v>12.7355</v>
      </c>
      <c r="C220" s="707" t="n">
        <f aca="false">SQRT(1+(A220/pole1)^2)</f>
        <v>21.7716930865785</v>
      </c>
      <c r="D220" s="708" t="n">
        <f aca="false">ATAN(A220/pole1)</f>
        <v>1.52484896097562</v>
      </c>
      <c r="E220" s="708" t="n">
        <f aca="false">SQRT(1+(A220/Zero1)^2)</f>
        <v>1.01272527647453</v>
      </c>
      <c r="F220" s="709" t="n">
        <f aca="false">ATAN(A220/Zero1)</f>
        <v>0.158693300933322</v>
      </c>
      <c r="G220" s="708" t="n">
        <f aca="false">IF(VIN_nom&gt;Vout, 1, SQRT(1+(A220/z_RHP)^2))</f>
        <v>1.01765755454985</v>
      </c>
      <c r="H220" s="709" t="n">
        <f aca="false">IF(VIN_nom&gt;Vout, 0, -ATAN(A220/z_RHP))</f>
        <v>-0.186556082250133</v>
      </c>
      <c r="I220" s="707" t="n">
        <f aca="false">SQRT(1+(A220/Pole2)^2)</f>
        <v>52829.2198102134</v>
      </c>
      <c r="J220" s="710" t="n">
        <f aca="false">ATAN(A220/Pole2)</f>
        <v>1.57077739787632</v>
      </c>
      <c r="K220" s="719" t="n">
        <f aca="false">SQRT(1+(A220/Zero2)^2)</f>
        <v>16.3761453013826</v>
      </c>
      <c r="L220" s="720" t="n">
        <f aca="false">ATAN(A220/Zero2)</f>
        <v>1.50969388148803</v>
      </c>
      <c r="M220" s="707" t="n">
        <f aca="false">SQRT(1+(A220/pole4)^2)</f>
        <v>1.1215600015048</v>
      </c>
      <c r="N220" s="710" t="n">
        <f aca="false">ATAN(A220/pole4)</f>
        <v>0.46989629716926</v>
      </c>
      <c r="O220" s="711" t="n">
        <f aca="false">SQRT((1-(V220/pterm2))^2+(A220/pterm1)^2)</f>
        <v>1.00848828034473</v>
      </c>
      <c r="P220" s="712" t="n">
        <f aca="false">IF((ATAN((A220/pterm1)/(1-A220^2/pterm2))&gt;0),ATAN((A220/pterm1)/(1-A220^2/pterm2)),PI()+ATAN((A220/pterm1)/(1-A220^2/pterm2)))</f>
        <v>0.176665128254214</v>
      </c>
      <c r="Q220" s="713" t="n">
        <f aca="false">20*LOG10(((E220*K220*G220)/(C220*I220*O220*M220))*Adc)</f>
        <v>-8.57814394480674</v>
      </c>
      <c r="R220" s="714" t="n">
        <f aca="false">((F220+L220+H220)-(D220+J220+P220+N220))*radconv</f>
        <v>-129.508898341341</v>
      </c>
      <c r="S220" s="717" t="n">
        <f aca="false">IF(R220&gt;0,R220,R220+180)</f>
        <v>50.4911016586589</v>
      </c>
      <c r="U220" s="644" t="n">
        <f aca="false">IF(Q220&lt;0,A220,1000000000)</f>
        <v>12735.5</v>
      </c>
      <c r="V220" s="644" t="n">
        <f aca="false">A220^2</f>
        <v>162192960.25</v>
      </c>
      <c r="X220" s="716" t="n">
        <f aca="false">20*LOG10((K220/(I220*M220))*AEA)</f>
        <v>16.9269738025877</v>
      </c>
      <c r="Y220" s="717" t="n">
        <f aca="false">(L220-(J220+N220))*radconv</f>
        <v>-30.4229023582542</v>
      </c>
      <c r="AA220" s="716" t="n">
        <f aca="false">20*LOG10((E220*G220/(C220*O220))*Acs*Am)</f>
        <v>25.97550760716</v>
      </c>
      <c r="AB220" s="717" t="n">
        <f aca="false">(F220+H220-(D220+P220))*radconv</f>
        <v>-99.0859959830869</v>
      </c>
      <c r="AD220" s="0" t="n">
        <f aca="false">SUM((Q221&lt;0)*(Q220&gt;0))*A220</f>
        <v>0</v>
      </c>
      <c r="AE220" s="0" t="n">
        <f aca="false">IF(AD220&gt;0,S220,0)</f>
        <v>0</v>
      </c>
    </row>
    <row r="221" customFormat="false" ht="12.75" hidden="false" customHeight="false" outlineLevel="0" collapsed="false">
      <c r="A221" s="718" t="n">
        <v>12808.75</v>
      </c>
      <c r="B221" s="706" t="n">
        <f aca="false">A221/1000</f>
        <v>12.80875</v>
      </c>
      <c r="C221" s="707" t="n">
        <f aca="false">SQRT(1+(A221/pole1)^2)</f>
        <v>21.8966525823365</v>
      </c>
      <c r="D221" s="708" t="n">
        <f aca="false">ATAN(A221/pole1)</f>
        <v>1.52511135582866</v>
      </c>
      <c r="E221" s="708" t="n">
        <f aca="false">SQRT(1+(A221/Zero1)^2)</f>
        <v>1.01287114701448</v>
      </c>
      <c r="F221" s="709" t="n">
        <f aca="false">ATAN(A221/Zero1)</f>
        <v>0.159590671253275</v>
      </c>
      <c r="G221" s="708" t="n">
        <f aca="false">IF(VIN_nom&gt;Vout, 1, SQRT(1+(A221/z_RHP)^2))</f>
        <v>1.01785947116616</v>
      </c>
      <c r="H221" s="709" t="n">
        <f aca="false">IF(VIN_nom&gt;Vout, 0, -ATAN(A221/z_RHP))</f>
        <v>-0.187604154525031</v>
      </c>
      <c r="I221" s="707" t="n">
        <f aca="false">SQRT(1+(A221/Pole2)^2)</f>
        <v>53133.0744173914</v>
      </c>
      <c r="J221" s="710" t="n">
        <f aca="false">ATAN(A221/Pole2)</f>
        <v>1.57077750612602</v>
      </c>
      <c r="K221" s="719" t="n">
        <f aca="false">SQRT(1+(A221/Zero2)^2)</f>
        <v>16.4699847592918</v>
      </c>
      <c r="L221" s="720" t="n">
        <f aca="false">ATAN(A221/Zero2)</f>
        <v>1.51004244924699</v>
      </c>
      <c r="M221" s="707" t="n">
        <f aca="false">SQRT(1+(A221/pole4)^2)</f>
        <v>1.12288558082472</v>
      </c>
      <c r="N221" s="710" t="n">
        <f aca="false">ATAN(A221/pole4)</f>
        <v>0.472215597599151</v>
      </c>
      <c r="O221" s="711" t="n">
        <f aca="false">SQRT((1-(V221/pterm2))^2+(A221/pterm1)^2)</f>
        <v>1.00858608799281</v>
      </c>
      <c r="P221" s="712" t="n">
        <f aca="false">IF((ATAN((A221/pterm1)/(1-A221^2/pterm2))&gt;0),ATAN((A221/pterm1)/(1-A221^2/pterm2)),PI()+ATAN((A221/pterm1)/(1-A221^2/pterm2)))</f>
        <v>0.177674626115499</v>
      </c>
      <c r="Q221" s="713" t="n">
        <f aca="false">20*LOG10(((E221*K221*G221)/(C221*I221*O221*M221))*Adc)</f>
        <v>-8.63616710350027</v>
      </c>
      <c r="R221" s="714" t="n">
        <f aca="false">((F221+L221+H221)-(D221+J221+P221+N221))*radconv</f>
        <v>-129.703327878914</v>
      </c>
      <c r="S221" s="717" t="n">
        <f aca="false">IF(R221&gt;0,R221,R221+180)</f>
        <v>50.2966721210859</v>
      </c>
      <c r="U221" s="644" t="n">
        <f aca="false">IF(Q221&lt;0,A221,1000000000)</f>
        <v>12808.75</v>
      </c>
      <c r="V221" s="644" t="n">
        <f aca="false">A221^2</f>
        <v>164064076.5625</v>
      </c>
      <c r="X221" s="716" t="n">
        <f aca="false">20*LOG10((K221/(I221*M221))*AEA)</f>
        <v>16.9165292570484</v>
      </c>
      <c r="Y221" s="717" t="n">
        <f aca="false">(L221-(J221+N221))*radconv</f>
        <v>-30.5358232252267</v>
      </c>
      <c r="AA221" s="716" t="n">
        <f aca="false">20*LOG10((E221*G221/(C221*O221))*Acs*Am)</f>
        <v>25.9279289940057</v>
      </c>
      <c r="AB221" s="717" t="n">
        <f aca="false">(F221+H221-(D221+P221))*radconv</f>
        <v>-99.1675046536874</v>
      </c>
      <c r="AD221" s="0" t="n">
        <f aca="false">SUM((Q222&lt;0)*(Q221&gt;0))*A221</f>
        <v>0</v>
      </c>
      <c r="AE221" s="0" t="n">
        <f aca="false">IF(AD221&gt;0,S221,0)</f>
        <v>0</v>
      </c>
    </row>
    <row r="222" customFormat="false" ht="12.75" hidden="false" customHeight="false" outlineLevel="0" collapsed="false">
      <c r="A222" s="718" t="n">
        <v>12882</v>
      </c>
      <c r="B222" s="706" t="n">
        <f aca="false">A222/1000</f>
        <v>12.882</v>
      </c>
      <c r="C222" s="707" t="n">
        <f aca="false">SQRT(1+(A222/pole1)^2)</f>
        <v>22.0216135685925</v>
      </c>
      <c r="D222" s="708" t="n">
        <f aca="false">ATAN(A222/pole1)</f>
        <v>1.52537077279594</v>
      </c>
      <c r="E222" s="708" t="n">
        <f aca="false">SQRT(1+(A222/Zero1)^2)</f>
        <v>1.01301783295743</v>
      </c>
      <c r="F222" s="709" t="n">
        <f aca="false">ATAN(A222/Zero1)</f>
        <v>0.160487782415327</v>
      </c>
      <c r="G222" s="708" t="n">
        <f aca="false">IF(VIN_nom&gt;Vout, 1, SQRT(1+(A222/z_RHP)^2))</f>
        <v>1.01806250541156</v>
      </c>
      <c r="H222" s="709" t="n">
        <f aca="false">IF(VIN_nom&gt;Vout, 0, -ATAN(A222/z_RHP))</f>
        <v>-0.188651809912043</v>
      </c>
      <c r="I222" s="707" t="n">
        <f aca="false">SQRT(1+(A222/Pole2)^2)</f>
        <v>53436.92902457</v>
      </c>
      <c r="J222" s="710" t="n">
        <f aca="false">ATAN(A222/Pole2)</f>
        <v>1.57077761314465</v>
      </c>
      <c r="K222" s="719" t="n">
        <f aca="false">SQRT(1+(A222/Zero2)^2)</f>
        <v>16.5638261956217</v>
      </c>
      <c r="L222" s="720" t="n">
        <f aca="false">ATAN(A222/Zero2)</f>
        <v>1.51038706746492</v>
      </c>
      <c r="M222" s="707" t="n">
        <f aca="false">SQRT(1+(A222/pole4)^2)</f>
        <v>1.12421718605661</v>
      </c>
      <c r="N222" s="710" t="n">
        <f aca="false">ATAN(A222/pole4)</f>
        <v>0.474529416152087</v>
      </c>
      <c r="O222" s="711" t="n">
        <f aca="false">SQRT((1-(V222/pterm2))^2+(A222/pterm1)^2)</f>
        <v>1.00868445393156</v>
      </c>
      <c r="P222" s="712" t="n">
        <f aca="false">IF((ATAN((A222/pterm1)/(1-A222^2/pterm2))&gt;0),ATAN((A222/pterm1)/(1-A222^2/pterm2)),PI()+ATAN((A222/pterm1)/(1-A222^2/pterm2)))</f>
        <v>0.17868401121402</v>
      </c>
      <c r="Q222" s="713" t="n">
        <f aca="false">20*LOG10(((E222*K222*G222)/(C222*I222*O222*M222))*Adc)</f>
        <v>-8.69392800811092</v>
      </c>
      <c r="R222" s="714" t="n">
        <f aca="false">((F222+L222+H222)-(D222+J222+P222+N222))*radconv</f>
        <v>-129.897483431192</v>
      </c>
      <c r="S222" s="717" t="n">
        <f aca="false">IF(R222&gt;0,R222,R222+180)</f>
        <v>50.1025165688081</v>
      </c>
      <c r="U222" s="644" t="n">
        <f aca="false">IF(Q222&lt;0,A222,1000000000)</f>
        <v>12882</v>
      </c>
      <c r="V222" s="644" t="n">
        <f aca="false">A222^2</f>
        <v>165945924</v>
      </c>
      <c r="X222" s="716" t="n">
        <f aca="false">20*LOG10((K222/(I222*M222))*AEA)</f>
        <v>16.9060533929593</v>
      </c>
      <c r="Y222" s="717" t="n">
        <f aca="false">(L222-(J222+N222))*radconv</f>
        <v>-30.6486562252835</v>
      </c>
      <c r="AA222" s="716" t="n">
        <f aca="false">20*LOG10((E222*G222/(C222*O222))*Acs*Am)</f>
        <v>25.8806439534842</v>
      </c>
      <c r="AB222" s="717" t="n">
        <f aca="false">(F222+H222-(D222+P222))*radconv</f>
        <v>-99.2488272059083</v>
      </c>
      <c r="AD222" s="0" t="n">
        <f aca="false">SUM((Q223&lt;0)*(Q222&gt;0))*A222</f>
        <v>0</v>
      </c>
      <c r="AE222" s="0" t="n">
        <f aca="false">IF(AD222&gt;0,S222,0)</f>
        <v>0</v>
      </c>
    </row>
    <row r="223" customFormat="false" ht="12.75" hidden="false" customHeight="false" outlineLevel="0" collapsed="false">
      <c r="A223" s="718" t="n">
        <v>12957.25</v>
      </c>
      <c r="B223" s="706" t="n">
        <f aca="false">A223/1000</f>
        <v>12.95725</v>
      </c>
      <c r="C223" s="707" t="n">
        <f aca="false">SQRT(1+(A223/pole1)^2)</f>
        <v>22.1499879845003</v>
      </c>
      <c r="D223" s="708" t="n">
        <f aca="false">ATAN(A223/pole1)</f>
        <v>1.52563422478759</v>
      </c>
      <c r="E223" s="708" t="n">
        <f aca="false">SQRT(1+(A223/Zero1)^2)</f>
        <v>1.01316937270744</v>
      </c>
      <c r="F223" s="709" t="n">
        <f aca="false">ATAN(A223/Zero1)</f>
        <v>0.161409116812882</v>
      </c>
      <c r="G223" s="708" t="n">
        <f aca="false">IF(VIN_nom&gt;Vout, 1, SQRT(1+(A223/z_RHP)^2))</f>
        <v>1.0182722463705</v>
      </c>
      <c r="H223" s="709" t="n">
        <f aca="false">IF(VIN_nom&gt;Vout, 0, -ATAN(A223/z_RHP))</f>
        <v>-0.1897276339533</v>
      </c>
      <c r="I223" s="707" t="n">
        <f aca="false">SQRT(1+(A223/Pole2)^2)</f>
        <v>53749.0800032763</v>
      </c>
      <c r="J223" s="710" t="n">
        <f aca="false">ATAN(A223/Pole2)</f>
        <v>1.57077772182529</v>
      </c>
      <c r="K223" s="719" t="n">
        <f aca="false">SQRT(1+(A223/Zero2)^2)</f>
        <v>16.6602318805251</v>
      </c>
      <c r="L223" s="720" t="n">
        <f aca="false">ATAN(A223/Zero2)</f>
        <v>1.51073705232957</v>
      </c>
      <c r="M223" s="707" t="n">
        <f aca="false">SQRT(1+(A223/pole4)^2)</f>
        <v>1.12559140158999</v>
      </c>
      <c r="N223" s="710" t="n">
        <f aca="false">ATAN(A223/pole4)</f>
        <v>0.476900696663075</v>
      </c>
      <c r="O223" s="711" t="n">
        <f aca="false">SQRT((1-(V223/pterm2))^2+(A223/pterm1)^2)</f>
        <v>1.00878608694669</v>
      </c>
      <c r="P223" s="712" t="n">
        <f aca="false">IF((ATAN((A223/pterm1)/(1-A223^2/pterm2))&gt;0),ATAN((A223/pterm1)/(1-A223^2/pterm2)),PI()+ATAN((A223/pterm1)/(1-A223^2/pterm2)))</f>
        <v>0.179720838246396</v>
      </c>
      <c r="Q223" s="713" t="n">
        <f aca="false">20*LOG10(((E223*K223*G223)/(C223*I223*O223*M223))*Adc)</f>
        <v>-8.75299602561787</v>
      </c>
      <c r="R223" s="714" t="n">
        <f aca="false">((F223+L223+H223)-(D223+J223+P223+N223))*radconv</f>
        <v>-130.096653472873</v>
      </c>
      <c r="S223" s="717" t="n">
        <f aca="false">IF(R223&gt;0,R223,R223+180)</f>
        <v>49.9033465271268</v>
      </c>
      <c r="U223" s="644" t="n">
        <f aca="false">IF(Q223&lt;0,A223,1000000000)</f>
        <v>12957.25</v>
      </c>
      <c r="V223" s="644" t="n">
        <f aca="false">A223^2</f>
        <v>167890327.5625</v>
      </c>
      <c r="X223" s="716" t="n">
        <f aca="false">20*LOG10((K223/(I223*M223))*AEA)</f>
        <v>16.8952591286075</v>
      </c>
      <c r="Y223" s="717" t="n">
        <f aca="false">(L223-(J223+N223))*radconv</f>
        <v>-30.7644741620408</v>
      </c>
      <c r="AA223" s="716" t="n">
        <f aca="false">20*LOG10((E223*G223/(C223*O223))*Acs*Am)</f>
        <v>25.832370200329</v>
      </c>
      <c r="AB223" s="717" t="n">
        <f aca="false">(F223+H223-(D223+P223))*radconv</f>
        <v>-99.3321793108325</v>
      </c>
      <c r="AD223" s="0" t="n">
        <f aca="false">SUM((Q224&lt;0)*(Q223&gt;0))*A223</f>
        <v>0</v>
      </c>
      <c r="AE223" s="0" t="n">
        <f aca="false">IF(AD223&gt;0,S223,0)</f>
        <v>0</v>
      </c>
    </row>
    <row r="224" customFormat="false" ht="12.75" hidden="false" customHeight="false" outlineLevel="0" collapsed="false">
      <c r="A224" s="718" t="n">
        <v>13032.5</v>
      </c>
      <c r="B224" s="706" t="n">
        <f aca="false">A224/1000</f>
        <v>13.0325</v>
      </c>
      <c r="C224" s="707" t="n">
        <f aca="false">SQRT(1+(A224/pole1)^2)</f>
        <v>22.2783639200536</v>
      </c>
      <c r="D224" s="708" t="n">
        <f aca="false">ATAN(A224/pole1)</f>
        <v>1.52589464058713</v>
      </c>
      <c r="E224" s="708" t="n">
        <f aca="false">SQRT(1+(A224/Zero1)^2)</f>
        <v>1.01332177223578</v>
      </c>
      <c r="F224" s="709" t="n">
        <f aca="false">ATAN(A224/Zero1)</f>
        <v>0.162330174862095</v>
      </c>
      <c r="G224" s="708" t="n">
        <f aca="false">IF(VIN_nom&gt;Vout, 1, SQRT(1+(A224/z_RHP)^2))</f>
        <v>1.01848316538885</v>
      </c>
      <c r="H224" s="709" t="n">
        <f aca="false">IF(VIN_nom&gt;Vout, 0, -ATAN(A224/z_RHP))</f>
        <v>-0.190803013651138</v>
      </c>
      <c r="I224" s="707" t="n">
        <f aca="false">SQRT(1+(A224/Pole2)^2)</f>
        <v>54061.2309819833</v>
      </c>
      <c r="J224" s="710" t="n">
        <f aca="false">ATAN(A224/Pole2)</f>
        <v>1.57077782925087</v>
      </c>
      <c r="K224" s="719" t="n">
        <f aca="false">SQRT(1+(A224/Zero2)^2)</f>
        <v>16.7566395826488</v>
      </c>
      <c r="L224" s="720" t="n">
        <f aca="false">ATAN(A224/Zero2)</f>
        <v>1.51108301002819</v>
      </c>
      <c r="M224" s="707" t="n">
        <f aca="false">SQRT(1+(A224/pole4)^2)</f>
        <v>1.12697193083533</v>
      </c>
      <c r="N224" s="710" t="n">
        <f aca="false">ATAN(A224/pole4)</f>
        <v>0.479266180858621</v>
      </c>
      <c r="O224" s="711" t="n">
        <f aca="false">SQRT((1-(V224/pterm2))^2+(A224/pterm1)^2)</f>
        <v>1.00888830905969</v>
      </c>
      <c r="P224" s="712" t="n">
        <f aca="false">IF((ATAN((A224/pterm1)/(1-A224^2/pterm2))&gt;0),ATAN((A224/pterm1)/(1-A224^2/pterm2)),PI()+ATAN((A224/pterm1)/(1-A224^2/pterm2)))</f>
        <v>0.180757544959968</v>
      </c>
      <c r="Q224" s="713" t="n">
        <f aca="false">20*LOG10(((E224*K224*G224)/(C224*I224*O224*M224))*Adc)</f>
        <v>-8.81179355749495</v>
      </c>
      <c r="R224" s="714" t="n">
        <f aca="false">((F224+L224+H224)-(D224+J224+P224+N224))*radconv</f>
        <v>-130.295531597688</v>
      </c>
      <c r="S224" s="717" t="n">
        <f aca="false">IF(R224&gt;0,R224,R224+180)</f>
        <v>49.7044684023116</v>
      </c>
      <c r="U224" s="644" t="n">
        <f aca="false">IF(Q224&lt;0,A224,1000000000)</f>
        <v>13032.5</v>
      </c>
      <c r="V224" s="644" t="n">
        <f aca="false">A224^2</f>
        <v>169846056.25</v>
      </c>
      <c r="X224" s="716" t="n">
        <f aca="false">20*LOG10((K224/(I224*M224))*AEA)</f>
        <v>16.8844323083113</v>
      </c>
      <c r="Y224" s="717" t="n">
        <f aca="false">(L224-(J224+N224))*radconv</f>
        <v>-30.8801906620948</v>
      </c>
      <c r="AA224" s="716" t="n">
        <f aca="false">20*LOG10((E224*G224/(C224*O224))*Acs*Am)</f>
        <v>25.7843994887481</v>
      </c>
      <c r="AB224" s="717" t="n">
        <f aca="false">(F224+H224-(D224+P224))*radconv</f>
        <v>-99.4153409355936</v>
      </c>
      <c r="AD224" s="0" t="n">
        <f aca="false">SUM((Q225&lt;0)*(Q224&gt;0))*A224</f>
        <v>0</v>
      </c>
      <c r="AE224" s="0" t="n">
        <f aca="false">IF(AD224&gt;0,S224,0)</f>
        <v>0</v>
      </c>
    </row>
    <row r="225" customFormat="false" ht="12.75" hidden="false" customHeight="false" outlineLevel="0" collapsed="false">
      <c r="A225" s="718" t="n">
        <v>13107.75</v>
      </c>
      <c r="B225" s="706" t="n">
        <f aca="false">A225/1000</f>
        <v>13.10775</v>
      </c>
      <c r="C225" s="707" t="n">
        <f aca="false">SQRT(1+(A225/pole1)^2)</f>
        <v>22.4067413491328</v>
      </c>
      <c r="D225" s="708" t="n">
        <f aca="false">ATAN(A225/pole1)</f>
        <v>1.52615207234569</v>
      </c>
      <c r="E225" s="708" t="n">
        <f aca="false">SQRT(1+(A225/Zero1)^2)</f>
        <v>1.01347503115459</v>
      </c>
      <c r="F225" s="709" t="n">
        <f aca="false">ATAN(A225/Zero1)</f>
        <v>0.163250955125231</v>
      </c>
      <c r="G225" s="708" t="n">
        <f aca="false">IF(VIN_nom&gt;Vout, 1, SQRT(1+(A225/z_RHP)^2))</f>
        <v>1.01869526173486</v>
      </c>
      <c r="H225" s="709" t="n">
        <f aca="false">IF(VIN_nom&gt;Vout, 0, -ATAN(A225/z_RHP))</f>
        <v>-0.191877946795108</v>
      </c>
      <c r="I225" s="707" t="n">
        <f aca="false">SQRT(1+(A225/Pole2)^2)</f>
        <v>54373.3819606908</v>
      </c>
      <c r="J225" s="710" t="n">
        <f aca="false">ATAN(A225/Pole2)</f>
        <v>1.57077793544303</v>
      </c>
      <c r="K225" s="719" t="n">
        <f aca="false">SQRT(1+(A225/Zero2)^2)</f>
        <v>16.8530492673743</v>
      </c>
      <c r="L225" s="720" t="n">
        <f aca="false">ATAN(A225/Zero2)</f>
        <v>1.51142500959074</v>
      </c>
      <c r="M225" s="707" t="n">
        <f aca="false">SQRT(1+(A225/pole4)^2)</f>
        <v>1.12835875061843</v>
      </c>
      <c r="N225" s="710" t="n">
        <f aca="false">ATAN(A225/pole4)</f>
        <v>0.48162586359027</v>
      </c>
      <c r="O225" s="711" t="n">
        <f aca="false">SQRT((1-(V225/pterm2))^2+(A225/pterm1)^2)</f>
        <v>1.00899112022159</v>
      </c>
      <c r="P225" s="712" t="n">
        <f aca="false">IF((ATAN((A225/pterm1)/(1-A225^2/pterm2))&gt;0),ATAN((A225/pterm1)/(1-A225^2/pterm2)),PI()+ATAN((A225/pterm1)/(1-A225^2/pterm2)))</f>
        <v>0.181794130689583</v>
      </c>
      <c r="Q225" s="713" t="n">
        <f aca="false">20*LOG10(((E225*K225*G225)/(C225*I225*O225*M225))*Adc)</f>
        <v>-8.87032369990333</v>
      </c>
      <c r="R225" s="714" t="n">
        <f aca="false">((F225+L225+H225)-(D225+J225+P225+N225))*radconv</f>
        <v>-130.494116462421</v>
      </c>
      <c r="S225" s="717" t="n">
        <f aca="false">IF(R225&gt;0,R225,R225+180)</f>
        <v>49.5058835375786</v>
      </c>
      <c r="U225" s="644" t="n">
        <f aca="false">IF(Q225&lt;0,A225,1000000000)</f>
        <v>13107.75</v>
      </c>
      <c r="V225" s="644" t="n">
        <f aca="false">A225^2</f>
        <v>171813110.0625</v>
      </c>
      <c r="X225" s="716" t="n">
        <f aca="false">20*LOG10((K225/(I225*M225))*AEA)</f>
        <v>16.8735731853993</v>
      </c>
      <c r="Y225" s="717" t="n">
        <f aca="false">(L225-(J225+N225))*radconv</f>
        <v>-30.9958014765727</v>
      </c>
      <c r="AA225" s="716" t="n">
        <f aca="false">20*LOG10((E225*G225/(C225*O225))*Acs*Am)</f>
        <v>25.7367284692517</v>
      </c>
      <c r="AB225" s="717" t="n">
        <f aca="false">(F225+H225-(D225+P225))*radconv</f>
        <v>-99.4983149858487</v>
      </c>
      <c r="AD225" s="0" t="n">
        <f aca="false">SUM((Q226&lt;0)*(Q225&gt;0))*A225</f>
        <v>0</v>
      </c>
      <c r="AE225" s="0" t="n">
        <f aca="false">IF(AD225&gt;0,S225,0)</f>
        <v>0</v>
      </c>
    </row>
    <row r="226" customFormat="false" ht="12.75" hidden="false" customHeight="false" outlineLevel="0" collapsed="false">
      <c r="A226" s="718" t="n">
        <v>13183</v>
      </c>
      <c r="B226" s="706" t="n">
        <f aca="false">A226/1000</f>
        <v>13.183</v>
      </c>
      <c r="C226" s="707" t="n">
        <f aca="false">SQRT(1+(A226/pole1)^2)</f>
        <v>22.5351202462131</v>
      </c>
      <c r="D226" s="708" t="n">
        <f aca="false">ATAN(A226/pole1)</f>
        <v>1.52640657102765</v>
      </c>
      <c r="E226" s="708" t="n">
        <f aca="false">SQRT(1+(A226/Zero1)^2)</f>
        <v>1.01362914907405</v>
      </c>
      <c r="F226" s="709" t="n">
        <f aca="false">ATAN(A226/Zero1)</f>
        <v>0.164171456167307</v>
      </c>
      <c r="G226" s="708" t="n">
        <f aca="false">IF(VIN_nom&gt;Vout, 1, SQRT(1+(A226/z_RHP)^2))</f>
        <v>1.01890853467333</v>
      </c>
      <c r="H226" s="709" t="n">
        <f aca="false">IF(VIN_nom&gt;Vout, 0, -ATAN(A226/z_RHP))</f>
        <v>-0.192952431180722</v>
      </c>
      <c r="I226" s="707" t="n">
        <f aca="false">SQRT(1+(A226/Pole2)^2)</f>
        <v>54685.532939399</v>
      </c>
      <c r="J226" s="710" t="n">
        <f aca="false">ATAN(A226/Pole2)</f>
        <v>1.57077804042287</v>
      </c>
      <c r="K226" s="719" t="n">
        <f aca="false">SQRT(1+(A226/Zero2)^2)</f>
        <v>16.9494609008701</v>
      </c>
      <c r="L226" s="720" t="n">
        <f aca="false">ATAN(A226/Zero2)</f>
        <v>1.51176311848035</v>
      </c>
      <c r="M226" s="707" t="n">
        <f aca="false">SQRT(1+(A226/pole4)^2)</f>
        <v>1.12975183777358</v>
      </c>
      <c r="N226" s="710" t="n">
        <f aca="false">ATAN(A226/pole4)</f>
        <v>0.483979739993211</v>
      </c>
      <c r="O226" s="711" t="n">
        <f aca="false">SQRT((1-(V226/pterm2))^2+(A226/pterm1)^2)</f>
        <v>1.00909452038318</v>
      </c>
      <c r="P226" s="712" t="n">
        <f aca="false">IF((ATAN((A226/pterm1)/(1-A226^2/pterm2))&gt;0),ATAN((A226/pterm1)/(1-A226^2/pterm2)),PI()+ATAN((A226/pterm1)/(1-A226^2/pterm2)))</f>
        <v>0.182830594770658</v>
      </c>
      <c r="Q226" s="713" t="n">
        <f aca="false">20*LOG10(((E226*K226*G226)/(C226*I226*O226*M226))*Adc)</f>
        <v>-8.9285894911513</v>
      </c>
      <c r="R226" s="714" t="n">
        <f aca="false">((F226+L226+H226)-(D226+J226+P226+N226))*radconv</f>
        <v>-130.692406762074</v>
      </c>
      <c r="S226" s="717" t="n">
        <f aca="false">IF(R226&gt;0,R226,R226+180)</f>
        <v>49.3075932379263</v>
      </c>
      <c r="U226" s="644" t="n">
        <f aca="false">IF(Q226&lt;0,A226,1000000000)</f>
        <v>13183</v>
      </c>
      <c r="V226" s="644" t="n">
        <f aca="false">A226^2</f>
        <v>173791489</v>
      </c>
      <c r="X226" s="716" t="n">
        <f aca="false">20*LOG10((K226/(I226*M226))*AEA)</f>
        <v>16.8626820143567</v>
      </c>
      <c r="Y226" s="717" t="n">
        <f aca="false">(L226-(J226+N226))*radconv</f>
        <v>-31.1113024626001</v>
      </c>
      <c r="AA226" s="716" t="n">
        <f aca="false">20*LOG10((E226*G226/(C226*O226))*Acs*Am)</f>
        <v>25.6893538490464</v>
      </c>
      <c r="AB226" s="717" t="n">
        <f aca="false">(F226+H226-(D226+P226))*radconv</f>
        <v>-99.5811042994736</v>
      </c>
      <c r="AD226" s="0" t="n">
        <f aca="false">SUM((Q227&lt;0)*(Q226&gt;0))*A226</f>
        <v>0</v>
      </c>
      <c r="AE226" s="0" t="n">
        <f aca="false">IF(AD226&gt;0,S226,0)</f>
        <v>0</v>
      </c>
    </row>
    <row r="227" customFormat="false" ht="12.75" hidden="false" customHeight="false" outlineLevel="0" collapsed="false">
      <c r="A227" s="718" t="n">
        <v>13259.75</v>
      </c>
      <c r="B227" s="706" t="n">
        <f aca="false">A227/1000</f>
        <v>13.25975</v>
      </c>
      <c r="C227" s="707" t="n">
        <f aca="false">SQRT(1+(A227/pole1)^2)</f>
        <v>22.6660596773967</v>
      </c>
      <c r="D227" s="708" t="n">
        <f aca="false">ATAN(A227/pole1)</f>
        <v>1.52666317305924</v>
      </c>
      <c r="E227" s="708" t="n">
        <f aca="false">SQRT(1+(A227/Zero1)^2)</f>
        <v>1.01378722356098</v>
      </c>
      <c r="F227" s="709" t="n">
        <f aca="false">ATAN(A227/Zero1)</f>
        <v>0.16511001695691</v>
      </c>
      <c r="G227" s="708" t="n">
        <f aca="false">IF(VIN_nom&gt;Vout, 1, SQRT(1+(A227/z_RHP)^2))</f>
        <v>1.01912727014034</v>
      </c>
      <c r="H227" s="709" t="n">
        <f aca="false">IF(VIN_nom&gt;Vout, 0, -ATAN(A227/z_RHP))</f>
        <v>-0.19404786931451</v>
      </c>
      <c r="I227" s="707" t="n">
        <f aca="false">SQRT(1+(A227/Pole2)^2)</f>
        <v>55003.9061967531</v>
      </c>
      <c r="J227" s="710" t="n">
        <f aca="false">ATAN(A227/Pole2)</f>
        <v>1.57077814626793</v>
      </c>
      <c r="K227" s="719" t="n">
        <f aca="false">SQRT(1+(A227/Zero2)^2)</f>
        <v>17.047796334089</v>
      </c>
      <c r="L227" s="720" t="n">
        <f aca="false">ATAN(A227/Zero2)</f>
        <v>1.51210402767248</v>
      </c>
      <c r="M227" s="707" t="n">
        <f aca="false">SQRT(1+(A227/pole4)^2)</f>
        <v>1.13117912611016</v>
      </c>
      <c r="N227" s="710" t="n">
        <f aca="false">ATAN(A227/pole4)</f>
        <v>0.486374551675619</v>
      </c>
      <c r="O227" s="711" t="n">
        <f aca="false">SQRT((1-(V227/pterm2))^2+(A227/pterm1)^2)</f>
        <v>1.00920058835423</v>
      </c>
      <c r="P227" s="712" t="n">
        <f aca="false">IF((ATAN((A227/pterm1)/(1-A227^2/pterm2))&gt;0),ATAN((A227/pterm1)/(1-A227^2/pterm2)),PI()+ATAN((A227/pterm1)/(1-A227^2/pterm2)))</f>
        <v>0.183887593266726</v>
      </c>
      <c r="Q227" s="713" t="n">
        <f aca="false">20*LOG10(((E227*K227*G227)/(C227*I227*O227*M227))*Adc)</f>
        <v>-8.98774751057089</v>
      </c>
      <c r="R227" s="714" t="n">
        <f aca="false">((F227+L227+H227)-(D227+J227+P227+N227))*radconv</f>
        <v>-130.894344946928</v>
      </c>
      <c r="S227" s="717" t="n">
        <f aca="false">IF(R227&gt;0,R227,R227+180)</f>
        <v>49.105655053072</v>
      </c>
      <c r="U227" s="644" t="n">
        <f aca="false">IF(Q227&lt;0,A227,1000000000)</f>
        <v>13259.75</v>
      </c>
      <c r="V227" s="644" t="n">
        <f aca="false">A227^2</f>
        <v>175820970.0625</v>
      </c>
      <c r="X227" s="716" t="n">
        <f aca="false">20*LOG10((K227/(I227*M227))*AEA)</f>
        <v>16.8515409958114</v>
      </c>
      <c r="Y227" s="717" t="n">
        <f aca="false">(L227-(J227+N227))*radconv</f>
        <v>-31.2289884714339</v>
      </c>
      <c r="AA227" s="716" t="n">
        <f aca="false">20*LOG10((E227*G227/(C227*O227))*Acs*Am)</f>
        <v>25.6413368481721</v>
      </c>
      <c r="AB227" s="717" t="n">
        <f aca="false">(F227+H227-(D227+P227))*radconv</f>
        <v>-99.665356475494</v>
      </c>
      <c r="AD227" s="0" t="n">
        <f aca="false">SUM((Q228&lt;0)*(Q227&gt;0))*A227</f>
        <v>0</v>
      </c>
      <c r="AE227" s="0" t="n">
        <f aca="false">IF(AD227&gt;0,S227,0)</f>
        <v>0</v>
      </c>
    </row>
    <row r="228" customFormat="false" ht="12.75" hidden="false" customHeight="false" outlineLevel="0" collapsed="false">
      <c r="A228" s="718" t="n">
        <v>13336.5</v>
      </c>
      <c r="B228" s="706" t="n">
        <f aca="false">A228/1000</f>
        <v>13.3365</v>
      </c>
      <c r="C228" s="707" t="n">
        <f aca="false">SQRT(1+(A228/pole1)^2)</f>
        <v>22.7970005838737</v>
      </c>
      <c r="D228" s="708" t="n">
        <f aca="false">ATAN(A228/pole1)</f>
        <v>1.52691682737726</v>
      </c>
      <c r="E228" s="708" t="n">
        <f aca="false">SQRT(1+(A228/Zero1)^2)</f>
        <v>1.01394619081046</v>
      </c>
      <c r="F228" s="709" t="n">
        <f aca="false">ATAN(A228/Zero1)</f>
        <v>0.166048284276275</v>
      </c>
      <c r="G228" s="708" t="n">
        <f aca="false">IF(VIN_nom&gt;Vout, 1, SQRT(1+(A228/z_RHP)^2))</f>
        <v>1.01934722801878</v>
      </c>
      <c r="H228" s="709" t="n">
        <f aca="false">IF(VIN_nom&gt;Vout, 0, -ATAN(A228/z_RHP))</f>
        <v>-0.195142836007755</v>
      </c>
      <c r="I228" s="707" t="n">
        <f aca="false">SQRT(1+(A228/Pole2)^2)</f>
        <v>55322.2794541079</v>
      </c>
      <c r="J228" s="710" t="n">
        <f aca="false">ATAN(A228/Pole2)</f>
        <v>1.57077825089474</v>
      </c>
      <c r="K228" s="719" t="n">
        <f aca="false">SQRT(1+(A228/Zero2)^2)</f>
        <v>17.1461337258611</v>
      </c>
      <c r="L228" s="720" t="n">
        <f aca="false">ATAN(A228/Zero2)</f>
        <v>1.51244102650339</v>
      </c>
      <c r="M228" s="707" t="n">
        <f aca="false">SQRT(1+(A228/pole4)^2)</f>
        <v>1.13261288552585</v>
      </c>
      <c r="N228" s="710" t="n">
        <f aca="false">ATAN(A228/pole4)</f>
        <v>0.488763313909254</v>
      </c>
      <c r="O228" s="711" t="n">
        <f aca="false">SQRT((1-(V228/pterm2))^2+(A228/pterm1)^2)</f>
        <v>1.00930726893648</v>
      </c>
      <c r="P228" s="712" t="n">
        <f aca="false">IF((ATAN((A228/pterm1)/(1-A228^2/pterm2))&gt;0),ATAN((A228/pterm1)/(1-A228^2/pterm2)),PI()+ATAN((A228/pterm1)/(1-A228^2/pterm2)))</f>
        <v>0.184944463821492</v>
      </c>
      <c r="Q228" s="713" t="n">
        <f aca="false">20*LOG10(((E228*K228*G228)/(C228*I228*O228*M228))*Adc)</f>
        <v>-9.04663674119016</v>
      </c>
      <c r="R228" s="714" t="n">
        <f aca="false">((F228+L228+H228)-(D228+J228+P228+N228))*radconv</f>
        <v>-131.095974082301</v>
      </c>
      <c r="S228" s="717" t="n">
        <f aca="false">IF(R228&gt;0,R228,R228+180)</f>
        <v>48.9040259176987</v>
      </c>
      <c r="U228" s="644" t="n">
        <f aca="false">IF(Q228&lt;0,A228,1000000000)</f>
        <v>13336.5</v>
      </c>
      <c r="V228" s="644" t="n">
        <f aca="false">A228^2</f>
        <v>177862232.25</v>
      </c>
      <c r="X228" s="716" t="n">
        <f aca="false">20*LOG10((K228/(I228*M228))*AEA)</f>
        <v>16.8403671767772</v>
      </c>
      <c r="Y228" s="717" t="n">
        <f aca="false">(L228-(J228+N228))*radconv</f>
        <v>-31.3465518497783</v>
      </c>
      <c r="AA228" s="716" t="n">
        <f aca="false">20*LOG10((E228*G228/(C228*O228))*Acs*Am)</f>
        <v>25.593621436587</v>
      </c>
      <c r="AB228" s="717" t="n">
        <f aca="false">(F228+H228-(D228+P228))*radconv</f>
        <v>-99.749422232523</v>
      </c>
      <c r="AD228" s="0" t="n">
        <f aca="false">SUM((Q229&lt;0)*(Q228&gt;0))*A228</f>
        <v>0</v>
      </c>
      <c r="AE228" s="0" t="n">
        <f aca="false">IF(AD228&gt;0,S228,0)</f>
        <v>0</v>
      </c>
    </row>
    <row r="229" customFormat="false" ht="12.75" hidden="false" customHeight="false" outlineLevel="0" collapsed="false">
      <c r="A229" s="718" t="n">
        <v>13413.25</v>
      </c>
      <c r="B229" s="706" t="n">
        <f aca="false">A229/1000</f>
        <v>13.41325</v>
      </c>
      <c r="C229" s="707" t="n">
        <f aca="false">SQRT(1+(A229/pole1)^2)</f>
        <v>22.927942940368</v>
      </c>
      <c r="D229" s="708" t="n">
        <f aca="false">ATAN(A229/pole1)</f>
        <v>1.52716758445229</v>
      </c>
      <c r="E229" s="708" t="n">
        <f aca="false">SQRT(1+(A229/Zero1)^2)</f>
        <v>1.01410605040267</v>
      </c>
      <c r="F229" s="709" t="n">
        <f aca="false">ATAN(A229/Zero1)</f>
        <v>0.166986256611803</v>
      </c>
      <c r="G229" s="708" t="n">
        <f aca="false">IF(VIN_nom&gt;Vout, 1, SQRT(1+(A229/z_RHP)^2))</f>
        <v>1.0195684075175</v>
      </c>
      <c r="H229" s="709" t="n">
        <f aca="false">IF(VIN_nom&gt;Vout, 0, -ATAN(A229/z_RHP))</f>
        <v>-0.196237328940804</v>
      </c>
      <c r="I229" s="707" t="n">
        <f aca="false">SQRT(1+(A229/Pole2)^2)</f>
        <v>55640.6527114632</v>
      </c>
      <c r="J229" s="710" t="n">
        <f aca="false">ATAN(A229/Pole2)</f>
        <v>1.57077835432421</v>
      </c>
      <c r="K229" s="719" t="n">
        <f aca="false">SQRT(1+(A229/Zero2)^2)</f>
        <v>17.2444730426802</v>
      </c>
      <c r="L229" s="720" t="n">
        <f aca="false">ATAN(A229/Zero2)</f>
        <v>1.51277418179422</v>
      </c>
      <c r="M229" s="707" t="n">
        <f aca="false">SQRT(1+(A229/pole4)^2)</f>
        <v>1.13405309147692</v>
      </c>
      <c r="N229" s="710" t="n">
        <f aca="false">ATAN(A229/pole4)</f>
        <v>0.491146022429011</v>
      </c>
      <c r="O229" s="711" t="n">
        <f aca="false">SQRT((1-(V229/pterm2))^2+(A229/pterm1)^2)</f>
        <v>1.00941456207685</v>
      </c>
      <c r="P229" s="712" t="n">
        <f aca="false">IF((ATAN((A229/pterm1)/(1-A229^2/pterm2))&gt;0),ATAN((A229/pterm1)/(1-A229^2/pterm2)),PI()+ATAN((A229/pterm1)/(1-A229^2/pterm2)))</f>
        <v>0.186001205731677</v>
      </c>
      <c r="Q229" s="713" t="n">
        <f aca="false">20*LOG10(((E229*K229*G229)/(C229*I229*O229*M229))*Adc)</f>
        <v>-9.1052602293689</v>
      </c>
      <c r="R229" s="714" t="n">
        <f aca="false">((F229+L229+H229)-(D229+J229+P229+N229))*radconv</f>
        <v>-131.297292901724</v>
      </c>
      <c r="S229" s="717" t="n">
        <f aca="false">IF(R229&gt;0,R229,R229+180)</f>
        <v>48.7027070982765</v>
      </c>
      <c r="U229" s="644" t="n">
        <f aca="false">IF(Q229&lt;0,A229,1000000000)</f>
        <v>13413.25</v>
      </c>
      <c r="V229" s="644" t="n">
        <f aca="false">A229^2</f>
        <v>179915275.5625</v>
      </c>
      <c r="X229" s="716" t="n">
        <f aca="false">20*LOG10((K229/(I229*M229))*AEA)</f>
        <v>16.8291608304238</v>
      </c>
      <c r="Y229" s="717" t="n">
        <f aca="false">(L229-(J229+N229))*radconv</f>
        <v>-31.4639885258895</v>
      </c>
      <c r="AA229" s="716" t="n">
        <f aca="false">20*LOG10((E229*G229/(C229*O229))*Acs*Am)</f>
        <v>25.5462042947617</v>
      </c>
      <c r="AB229" s="717" t="n">
        <f aca="false">(F229+H229-(D229+P229))*radconv</f>
        <v>-99.8333043758341</v>
      </c>
      <c r="AD229" s="0" t="n">
        <f aca="false">SUM((Q230&lt;0)*(Q229&gt;0))*A229</f>
        <v>0</v>
      </c>
      <c r="AE229" s="0" t="n">
        <f aca="false">IF(AD229&gt;0,S229,0)</f>
        <v>0</v>
      </c>
    </row>
    <row r="230" customFormat="false" ht="12.75" hidden="false" customHeight="false" outlineLevel="0" collapsed="false">
      <c r="A230" s="718" t="n">
        <v>13490</v>
      </c>
      <c r="B230" s="706" t="n">
        <f aca="false">A230/1000</f>
        <v>13.49</v>
      </c>
      <c r="C230" s="707" t="n">
        <f aca="false">SQRT(1+(A230/pole1)^2)</f>
        <v>23.0588867221773</v>
      </c>
      <c r="D230" s="708" t="n">
        <f aca="false">ATAN(A230/pole1)</f>
        <v>1.52741549360997</v>
      </c>
      <c r="E230" s="708" t="n">
        <f aca="false">SQRT(1+(A230/Zero1)^2)</f>
        <v>1.01426680191568</v>
      </c>
      <c r="F230" s="709" t="n">
        <f aca="false">ATAN(A230/Zero1)</f>
        <v>0.167923932452923</v>
      </c>
      <c r="G230" s="708" t="n">
        <f aca="false">IF(VIN_nom&gt;Vout, 1, SQRT(1+(A230/z_RHP)^2))</f>
        <v>1.01979080784164</v>
      </c>
      <c r="H230" s="709" t="n">
        <f aca="false">IF(VIN_nom&gt;Vout, 0, -ATAN(A230/z_RHP))</f>
        <v>-0.197331345800553</v>
      </c>
      <c r="I230" s="707" t="n">
        <f aca="false">SQRT(1+(A230/Pole2)^2)</f>
        <v>55959.0259688191</v>
      </c>
      <c r="J230" s="710" t="n">
        <f aca="false">ATAN(A230/Pole2)</f>
        <v>1.57077845657677</v>
      </c>
      <c r="K230" s="719" t="n">
        <f aca="false">SQRT(1+(A230/Zero2)^2)</f>
        <v>17.3428142517994</v>
      </c>
      <c r="L230" s="720" t="n">
        <f aca="false">ATAN(A230/Zero2)</f>
        <v>1.51310355885395</v>
      </c>
      <c r="M230" s="707" t="n">
        <f aca="false">SQRT(1+(A230/pole4)^2)</f>
        <v>1.13549971943406</v>
      </c>
      <c r="N230" s="710" t="n">
        <f aca="false">ATAN(A230/pole4)</f>
        <v>0.493522673266325</v>
      </c>
      <c r="O230" s="711" t="n">
        <f aca="false">SQRT((1-(V230/pterm2))^2+(A230/pterm1)^2)</f>
        <v>1.00952246772204</v>
      </c>
      <c r="P230" s="712" t="n">
        <f aca="false">IF((ATAN((A230/pterm1)/(1-A230^2/pterm2))&gt;0),ATAN((A230/pterm1)/(1-A230^2/pterm2)),PI()+ATAN((A230/pterm1)/(1-A230^2/pterm2)))</f>
        <v>0.18705781829463</v>
      </c>
      <c r="Q230" s="713" t="n">
        <f aca="false">20*LOG10(((E230*K230*G230)/(C230*I230*O230*M230))*Adc)</f>
        <v>-9.16362096458596</v>
      </c>
      <c r="R230" s="714" t="n">
        <f aca="false">((F230+L230+H230)-(D230+J230+P230+N230))*radconv</f>
        <v>-131.498300176965</v>
      </c>
      <c r="S230" s="717" t="n">
        <f aca="false">IF(R230&gt;0,R230,R230+180)</f>
        <v>48.5016998230347</v>
      </c>
      <c r="U230" s="644" t="n">
        <f aca="false">IF(Q230&lt;0,A230,1000000000)</f>
        <v>13490</v>
      </c>
      <c r="V230" s="644" t="n">
        <f aca="false">A230^2</f>
        <v>181980100</v>
      </c>
      <c r="X230" s="716" t="n">
        <f aca="false">20*LOG10((K230/(I230*M230))*AEA)</f>
        <v>16.8179222308076</v>
      </c>
      <c r="Y230" s="717" t="n">
        <f aca="false">(L230-(J230+N230))*radconv</f>
        <v>-31.5812945316274</v>
      </c>
      <c r="AA230" s="716" t="n">
        <f aca="false">20*LOG10((E230*G230/(C230*O230))*Acs*Am)</f>
        <v>25.4990821591608</v>
      </c>
      <c r="AB230" s="717" t="n">
        <f aca="false">(F230+H230-(D230+P230))*radconv</f>
        <v>-99.9170056453379</v>
      </c>
      <c r="AD230" s="0" t="n">
        <f aca="false">SUM((Q231&lt;0)*(Q230&gt;0))*A230</f>
        <v>0</v>
      </c>
      <c r="AE230" s="0" t="n">
        <f aca="false">IF(AD230&gt;0,S230,0)</f>
        <v>0</v>
      </c>
    </row>
    <row r="231" customFormat="false" ht="12.75" hidden="false" customHeight="false" outlineLevel="0" collapsed="false">
      <c r="A231" s="718" t="n">
        <v>13568.5</v>
      </c>
      <c r="B231" s="706" t="n">
        <f aca="false">A231/1000</f>
        <v>13.5685</v>
      </c>
      <c r="C231" s="707" t="n">
        <f aca="false">SQRT(1+(A231/pole1)^2)</f>
        <v>23.1928176420935</v>
      </c>
      <c r="D231" s="708" t="n">
        <f aca="false">ATAN(A231/pole1)</f>
        <v>1.52766615960455</v>
      </c>
      <c r="E231" s="708" t="n">
        <f aca="false">SQRT(1+(A231/Zero1)^2)</f>
        <v>1.01443214098874</v>
      </c>
      <c r="F231" s="709" t="n">
        <f aca="false">ATAN(A231/Zero1)</f>
        <v>0.168882680241459</v>
      </c>
      <c r="G231" s="708" t="n">
        <f aca="false">IF(VIN_nom&gt;Vout, 1, SQRT(1+(A231/z_RHP)^2))</f>
        <v>1.02001954124796</v>
      </c>
      <c r="H231" s="709" t="n">
        <f aca="false">IF(VIN_nom&gt;Vout, 0, -ATAN(A231/z_RHP))</f>
        <v>-0.198449812786323</v>
      </c>
      <c r="I231" s="707" t="n">
        <f aca="false">SQRT(1+(A231/Pole2)^2)</f>
        <v>56284.6585512619</v>
      </c>
      <c r="J231" s="710" t="n">
        <f aca="false">ATAN(A231/Pole2)</f>
        <v>1.57077855996419</v>
      </c>
      <c r="K231" s="719" t="n">
        <f aca="false">SQRT(1+(A231/Zero2)^2)</f>
        <v>17.4433996927713</v>
      </c>
      <c r="L231" s="720" t="n">
        <f aca="false">ATAN(A231/Zero2)</f>
        <v>1.51343660423638</v>
      </c>
      <c r="M231" s="707" t="n">
        <f aca="false">SQRT(1+(A231/pole4)^2)</f>
        <v>1.13698595016313</v>
      </c>
      <c r="N231" s="710" t="n">
        <f aca="false">ATAN(A231/pole4)</f>
        <v>0.49594724456915</v>
      </c>
      <c r="O231" s="711" t="n">
        <f aca="false">SQRT((1-(V231/pterm2))^2+(A231/pterm1)^2)</f>
        <v>1.00963346731353</v>
      </c>
      <c r="P231" s="712" t="n">
        <f aca="false">IF((ATAN((A231/pterm1)/(1-A231^2/pterm2))&gt;0),ATAN((A231/pterm1)/(1-A231^2/pterm2)),PI()+ATAN((A231/pterm1)/(1-A231^2/pterm2)))</f>
        <v>0.188138388464201</v>
      </c>
      <c r="Q231" s="713" t="n">
        <f aca="false">20*LOG10(((E231*K231*G231)/(C231*I231*O231*M231))*Adc)</f>
        <v>-9.22304365047218</v>
      </c>
      <c r="R231" s="714" t="n">
        <f aca="false">((F231+L231+H231)-(D231+J231+P231+N231))*radconv</f>
        <v>-131.703567158493</v>
      </c>
      <c r="S231" s="717" t="n">
        <f aca="false">IF(R231&gt;0,R231,R231+180)</f>
        <v>48.2964328415075</v>
      </c>
      <c r="U231" s="644" t="n">
        <f aca="false">IF(Q231&lt;0,A231,1000000000)</f>
        <v>13568.5</v>
      </c>
      <c r="V231" s="644" t="n">
        <f aca="false">A231^2</f>
        <v>184104192.25</v>
      </c>
      <c r="X231" s="716" t="n">
        <f aca="false">20*LOG10((K231/(I231*M231))*AEA)</f>
        <v>16.8063942982024</v>
      </c>
      <c r="Y231" s="717" t="n">
        <f aca="false">(L231-(J231+N231))*radconv</f>
        <v>-31.7011360634076</v>
      </c>
      <c r="AA231" s="716" t="n">
        <f aca="false">20*LOG10((E231*G231/(C231*O231))*Acs*Am)</f>
        <v>25.4511874058798</v>
      </c>
      <c r="AB231" s="717" t="n">
        <f aca="false">(F231+H231-(D231+P231))*radconv</f>
        <v>-100.002431095085</v>
      </c>
      <c r="AD231" s="0" t="n">
        <f aca="false">SUM((Q232&lt;0)*(Q231&gt;0))*A231</f>
        <v>0</v>
      </c>
      <c r="AE231" s="0" t="n">
        <f aca="false">IF(AD231&gt;0,S231,0)</f>
        <v>0</v>
      </c>
    </row>
    <row r="232" customFormat="false" ht="12.75" hidden="false" customHeight="false" outlineLevel="0" collapsed="false">
      <c r="A232" s="718" t="n">
        <v>13647</v>
      </c>
      <c r="B232" s="706" t="n">
        <f aca="false">A232/1000</f>
        <v>13.647</v>
      </c>
      <c r="C232" s="707" t="n">
        <f aca="false">SQRT(1+(A232/pole1)^2)</f>
        <v>23.3267500025602</v>
      </c>
      <c r="D232" s="708" t="n">
        <f aca="false">ATAN(A232/pole1)</f>
        <v>1.5279139471777</v>
      </c>
      <c r="E232" s="708" t="n">
        <f aca="false">SQRT(1+(A232/Zero1)^2)</f>
        <v>1.0145984122207</v>
      </c>
      <c r="F232" s="709" t="n">
        <f aca="false">ATAN(A232/Zero1)</f>
        <v>0.169841114673755</v>
      </c>
      <c r="G232" s="708" t="n">
        <f aca="false">IF(VIN_nom&gt;Vout, 1, SQRT(1+(A232/z_RHP)^2))</f>
        <v>1.02024955009341</v>
      </c>
      <c r="H232" s="709" t="n">
        <f aca="false">IF(VIN_nom&gt;Vout, 0, -ATAN(A232/z_RHP))</f>
        <v>-0.19956777686741</v>
      </c>
      <c r="I232" s="707" t="n">
        <f aca="false">SQRT(1+(A232/Pole2)^2)</f>
        <v>56610.2911337054</v>
      </c>
      <c r="J232" s="710" t="n">
        <f aca="false">ATAN(A232/Pole2)</f>
        <v>1.57077866216219</v>
      </c>
      <c r="K232" s="719" t="n">
        <f aca="false">SQRT(1+(A232/Zero2)^2)</f>
        <v>17.5439870463658</v>
      </c>
      <c r="L232" s="720" t="n">
        <f aca="false">ATAN(A232/Zero2)</f>
        <v>1.5137658306652</v>
      </c>
      <c r="M232" s="707" t="n">
        <f aca="false">SQRT(1+(A232/pole4)^2)</f>
        <v>1.13847884724269</v>
      </c>
      <c r="N232" s="710" t="n">
        <f aca="false">ATAN(A232/pole4)</f>
        <v>0.498365471334341</v>
      </c>
      <c r="O232" s="711" t="n">
        <f aca="false">SQRT((1-(V232/pterm2))^2+(A232/pterm1)^2)</f>
        <v>1.00974510754634</v>
      </c>
      <c r="P232" s="712" t="n">
        <f aca="false">IF((ATAN((A232/pterm1)/(1-A232^2/pterm2))&gt;0),ATAN((A232/pterm1)/(1-A232^2/pterm2)),PI()+ATAN((A232/pterm1)/(1-A232^2/pterm2)))</f>
        <v>0.189218821835868</v>
      </c>
      <c r="Q232" s="713" t="n">
        <f aca="false">20*LOG10(((E232*K232*G232)/(C232*I232*O232*M232))*Adc)</f>
        <v>-9.28219761419097</v>
      </c>
      <c r="R232" s="714" t="n">
        <f aca="false">((F232+L232+H232)-(D232+J232+P232+N232))*radconv</f>
        <v>-131.908505746899</v>
      </c>
      <c r="S232" s="717" t="n">
        <f aca="false">IF(R232&gt;0,R232,R232+180)</f>
        <v>48.0914942531013</v>
      </c>
      <c r="U232" s="644" t="n">
        <f aca="false">IF(Q232&lt;0,A232,1000000000)</f>
        <v>13647</v>
      </c>
      <c r="V232" s="644" t="n">
        <f aca="false">A232^2</f>
        <v>186240609</v>
      </c>
      <c r="X232" s="716" t="n">
        <f aca="false">20*LOG10((K232/(I232*M232))*AEA)</f>
        <v>16.7948332071454</v>
      </c>
      <c r="Y232" s="717" t="n">
        <f aca="false">(L232-(J232+N232))*radconv</f>
        <v>-31.8208328217347</v>
      </c>
      <c r="AA232" s="716" t="n">
        <f aca="false">20*LOG10((E232*G232/(C232*O232))*Acs*Am)</f>
        <v>25.403594533218</v>
      </c>
      <c r="AB232" s="717" t="n">
        <f aca="false">(F232+H232-(D232+P232))*radconv</f>
        <v>-100.087672925164</v>
      </c>
      <c r="AD232" s="0" t="n">
        <f aca="false">SUM((Q233&lt;0)*(Q232&gt;0))*A232</f>
        <v>0</v>
      </c>
      <c r="AE232" s="0" t="n">
        <f aca="false">IF(AD232&gt;0,S232,0)</f>
        <v>0</v>
      </c>
    </row>
    <row r="233" customFormat="false" ht="12.75" hidden="false" customHeight="false" outlineLevel="0" collapsed="false">
      <c r="A233" s="718" t="n">
        <v>13725.5</v>
      </c>
      <c r="B233" s="706" t="n">
        <f aca="false">A233/1000</f>
        <v>13.7255</v>
      </c>
      <c r="C233" s="707" t="n">
        <f aca="false">SQRT(1+(A233/pole1)^2)</f>
        <v>23.4606837789058</v>
      </c>
      <c r="D233" s="708" t="n">
        <f aca="false">ATAN(A233/pole1)</f>
        <v>1.52815890559625</v>
      </c>
      <c r="E233" s="708" t="n">
        <f aca="false">SQRT(1+(A233/Zero1)^2)</f>
        <v>1.01476561515334</v>
      </c>
      <c r="F233" s="709" t="n">
        <f aca="false">ATAN(A233/Zero1)</f>
        <v>0.170799234143448</v>
      </c>
      <c r="G233" s="708" t="n">
        <f aca="false">IF(VIN_nom&gt;Vout, 1, SQRT(1+(A233/z_RHP)^2))</f>
        <v>1.02048083351557</v>
      </c>
      <c r="H233" s="709" t="n">
        <f aca="false">IF(VIN_nom&gt;Vout, 0, -ATAN(A233/z_RHP))</f>
        <v>-0.200685235590254</v>
      </c>
      <c r="I233" s="707" t="n">
        <f aca="false">SQRT(1+(A233/Pole2)^2)</f>
        <v>56935.9237161493</v>
      </c>
      <c r="J233" s="710" t="n">
        <f aca="false">ATAN(A233/Pole2)</f>
        <v>1.5707787631912</v>
      </c>
      <c r="K233" s="719" t="n">
        <f aca="false">SQRT(1+(A233/Zero2)^2)</f>
        <v>17.6445762798725</v>
      </c>
      <c r="L233" s="720" t="n">
        <f aca="false">ATAN(A233/Zero2)</f>
        <v>1.51409130338236</v>
      </c>
      <c r="M233" s="707" t="n">
        <f aca="false">SQRT(1+(A233/pole4)^2)</f>
        <v>1.13997838448231</v>
      </c>
      <c r="N233" s="710" t="n">
        <f aca="false">ATAN(A233/pole4)</f>
        <v>0.500777350260914</v>
      </c>
      <c r="O233" s="711" t="n">
        <f aca="false">SQRT((1-(V233/pterm2))^2+(A233/pterm1)^2)</f>
        <v>1.00985738836251</v>
      </c>
      <c r="P233" s="712" t="n">
        <f aca="false">IF((ATAN((A233/pterm1)/(1-A233^2/pterm2))&gt;0),ATAN((A233/pterm1)/(1-A233^2/pterm2)),PI()+ATAN((A233/pterm1)/(1-A233^2/pterm2)))</f>
        <v>0.190299117659871</v>
      </c>
      <c r="Q233" s="713" t="n">
        <f aca="false">20*LOG10(((E233*K233*G233)/(C233*I233*O233*M233))*Adc)</f>
        <v>-9.3410858783879</v>
      </c>
      <c r="R233" s="714" t="n">
        <f aca="false">((F233+L233+H233)-(D233+J233+P233+N233))*radconv</f>
        <v>-132.113114747414</v>
      </c>
      <c r="S233" s="717" t="n">
        <f aca="false">IF(R233&gt;0,R233,R233+180)</f>
        <v>47.8868852525856</v>
      </c>
      <c r="U233" s="644" t="n">
        <f aca="false">IF(Q233&lt;0,A233,1000000000)</f>
        <v>13725.5</v>
      </c>
      <c r="V233" s="644" t="n">
        <f aca="false">A233^2</f>
        <v>188389350.25</v>
      </c>
      <c r="X233" s="716" t="n">
        <f aca="false">20*LOG10((K233/(I233*M233))*AEA)</f>
        <v>16.7832392532111</v>
      </c>
      <c r="Y233" s="717" t="n">
        <f aca="false">(L233-(J233+N233))*radconv</f>
        <v>-31.9403808805565</v>
      </c>
      <c r="AA233" s="716" t="n">
        <f aca="false">20*LOG10((E233*G233/(C233*O233))*Acs*Am)</f>
        <v>25.3563002229554</v>
      </c>
      <c r="AB233" s="717" t="n">
        <f aca="false">(F233+H233-(D233+P233))*radconv</f>
        <v>-100.172733866858</v>
      </c>
      <c r="AD233" s="0" t="n">
        <f aca="false">SUM((Q234&lt;0)*(Q233&gt;0))*A233</f>
        <v>0</v>
      </c>
      <c r="AE233" s="0" t="n">
        <f aca="false">IF(AD233&gt;0,S233,0)</f>
        <v>0</v>
      </c>
    </row>
    <row r="234" customFormat="false" ht="12.75" hidden="false" customHeight="false" outlineLevel="0" collapsed="false">
      <c r="A234" s="718" t="n">
        <v>13804</v>
      </c>
      <c r="B234" s="706" t="n">
        <f aca="false">A234/1000</f>
        <v>13.804</v>
      </c>
      <c r="C234" s="707" t="n">
        <f aca="false">SQRT(1+(A234/pole1)^2)</f>
        <v>23.594618947019</v>
      </c>
      <c r="D234" s="708" t="n">
        <f aca="false">ATAN(A234/pole1)</f>
        <v>1.52840108300976</v>
      </c>
      <c r="E234" s="708" t="n">
        <f aca="false">SQRT(1+(A234/Zero1)^2)</f>
        <v>1.01493374932621</v>
      </c>
      <c r="F234" s="709" t="n">
        <f aca="false">ATAN(A234/Zero1)</f>
        <v>0.171757037047545</v>
      </c>
      <c r="G234" s="708" t="n">
        <f aca="false">IF(VIN_nom&gt;Vout, 1, SQRT(1+(A234/z_RHP)^2))</f>
        <v>1.02071339064802</v>
      </c>
      <c r="H234" s="709" t="n">
        <f aca="false">IF(VIN_nom&gt;Vout, 0, -ATAN(A234/z_RHP))</f>
        <v>-0.201802186508563</v>
      </c>
      <c r="I234" s="707" t="n">
        <f aca="false">SQRT(1+(A234/Pole2)^2)</f>
        <v>57261.5562985939</v>
      </c>
      <c r="J234" s="710" t="n">
        <f aca="false">ATAN(A234/Pole2)</f>
        <v>1.57077886307116</v>
      </c>
      <c r="K234" s="719" t="n">
        <f aca="false">SQRT(1+(A234/Zero2)^2)</f>
        <v>17.7451673613225</v>
      </c>
      <c r="L234" s="720" t="n">
        <f aca="false">ATAN(A234/Zero2)</f>
        <v>1.5144130861537</v>
      </c>
      <c r="M234" s="707" t="n">
        <f aca="false">SQRT(1+(A234/pole4)^2)</f>
        <v>1.14148453571299</v>
      </c>
      <c r="N234" s="710" t="n">
        <f aca="false">ATAN(A234/pole4)</f>
        <v>0.503182878360598</v>
      </c>
      <c r="O234" s="711" t="n">
        <f aca="false">SQRT((1-(V234/pterm2))^2+(A234/pterm1)^2)</f>
        <v>1.00997030970378</v>
      </c>
      <c r="P234" s="712" t="n">
        <f aca="false">IF((ATAN((A234/pterm1)/(1-A234^2/pterm2))&gt;0),ATAN((A234/pterm1)/(1-A234^2/pterm2)),PI()+ATAN((A234/pterm1)/(1-A234^2/pterm2)))</f>
        <v>0.19137927518715</v>
      </c>
      <c r="Q234" s="713" t="n">
        <f aca="false">20*LOG10(((E234*K234*G234)/(C234*I234*O234*M234))*Adc)</f>
        <v>-9.39971140915914</v>
      </c>
      <c r="R234" s="714" t="n">
        <f aca="false">((F234+L234+H234)-(D234+J234+P234+N234))*radconv</f>
        <v>-132.317393003984</v>
      </c>
      <c r="S234" s="717" t="n">
        <f aca="false">IF(R234&gt;0,R234,R234+180)</f>
        <v>47.6826069960162</v>
      </c>
      <c r="U234" s="644" t="n">
        <f aca="false">IF(Q234&lt;0,A234,1000000000)</f>
        <v>13804</v>
      </c>
      <c r="V234" s="644" t="n">
        <f aca="false">A234^2</f>
        <v>190550416</v>
      </c>
      <c r="X234" s="716" t="n">
        <f aca="false">20*LOG10((K234/(I234*M234))*AEA)</f>
        <v>16.7716127325919</v>
      </c>
      <c r="Y234" s="717" t="n">
        <f aca="false">(L234-(J234+N234))*radconv</f>
        <v>-32.0597764162868</v>
      </c>
      <c r="AA234" s="716" t="n">
        <f aca="false">20*LOG10((E234*G234/(C234*O234))*Acs*Am)</f>
        <v>25.3093012128034</v>
      </c>
      <c r="AB234" s="717" t="n">
        <f aca="false">(F234+H234-(D234+P234))*radconv</f>
        <v>-100.257616587697</v>
      </c>
      <c r="AD234" s="0" t="n">
        <f aca="false">SUM((Q235&lt;0)*(Q234&gt;0))*A234</f>
        <v>0</v>
      </c>
      <c r="AE234" s="0" t="n">
        <f aca="false">IF(AD234&gt;0,S234,0)</f>
        <v>0</v>
      </c>
    </row>
    <row r="235" customFormat="false" ht="12.75" hidden="false" customHeight="false" outlineLevel="0" collapsed="false">
      <c r="A235" s="718" t="n">
        <v>13884.25</v>
      </c>
      <c r="B235" s="706" t="n">
        <f aca="false">A235/1000</f>
        <v>13.88425</v>
      </c>
      <c r="C235" s="707" t="n">
        <f aca="false">SQRT(1+(A235/pole1)^2)</f>
        <v>23.7315413450958</v>
      </c>
      <c r="D235" s="708" t="n">
        <f aca="false">ATAN(A235/pole1)</f>
        <v>1.5286458335959</v>
      </c>
      <c r="E235" s="708" t="n">
        <f aca="false">SQRT(1+(A235/Zero1)^2)</f>
        <v>1.01510659384306</v>
      </c>
      <c r="F235" s="709" t="n">
        <f aca="false">ATAN(A235/Zero1)</f>
        <v>0.172735863349863</v>
      </c>
      <c r="G235" s="708" t="n">
        <f aca="false">IF(VIN_nom&gt;Vout, 1, SQRT(1+(A235/z_RHP)^2))</f>
        <v>1.02095244788774</v>
      </c>
      <c r="H235" s="709" t="n">
        <f aca="false">IF(VIN_nom&gt;Vout, 0, -ATAN(A235/z_RHP))</f>
        <v>-0.202943510155275</v>
      </c>
      <c r="I235" s="707" t="n">
        <f aca="false">SQRT(1+(A235/Pole2)^2)</f>
        <v>57594.4482061254</v>
      </c>
      <c r="J235" s="710" t="n">
        <f aca="false">ATAN(A235/Pole2)</f>
        <v>1.57077896401027</v>
      </c>
      <c r="K235" s="719" t="n">
        <f aca="false">SQRT(1+(A235/Zero2)^2)</f>
        <v>17.8480027967698</v>
      </c>
      <c r="L235" s="720" t="n">
        <f aca="false">ATAN(A235/Zero2)</f>
        <v>1.51473829307535</v>
      </c>
      <c r="M235" s="707" t="n">
        <f aca="false">SQRT(1+(A235/pole4)^2)</f>
        <v>1.14303107313884</v>
      </c>
      <c r="N235" s="710" t="n">
        <f aca="false">ATAN(A235/pole4)</f>
        <v>0.505635465321886</v>
      </c>
      <c r="O235" s="711" t="n">
        <f aca="false">SQRT((1-(V235/pterm2))^2+(A235/pterm1)^2)</f>
        <v>1.01008641044189</v>
      </c>
      <c r="P235" s="712" t="n">
        <f aca="false">IF((ATAN((A235/pterm1)/(1-A235^2/pterm2))&gt;0),ATAN((A235/pterm1)/(1-A235^2/pterm2)),PI()+ATAN((A235/pterm1)/(1-A235^2/pterm2)))</f>
        <v>0.192483368924332</v>
      </c>
      <c r="Q235" s="713" t="n">
        <f aca="false">20*LOG10(((E235*K235*G235)/(C235*I235*O235*M235))*Adc)</f>
        <v>-9.45937532512473</v>
      </c>
      <c r="R235" s="714" t="n">
        <f aca="false">((F235+L235+H235)-(D235+J235+P235+N235))*radconv</f>
        <v>-132.525882184262</v>
      </c>
      <c r="S235" s="717" t="n">
        <f aca="false">IF(R235&gt;0,R235,R235+180)</f>
        <v>47.4741178157385</v>
      </c>
      <c r="U235" s="644" t="n">
        <f aca="false">IF(Q235&lt;0,A235,1000000000)</f>
        <v>13884.25</v>
      </c>
      <c r="V235" s="644" t="n">
        <f aca="false">A235^2</f>
        <v>192772398.0625</v>
      </c>
      <c r="X235" s="716" t="n">
        <f aca="false">20*LOG10((K235/(I235*M235))*AEA)</f>
        <v>16.7596936672381</v>
      </c>
      <c r="Y235" s="717" t="n">
        <f aca="false">(L235-(J235+N235))*radconv</f>
        <v>-32.1816720975029</v>
      </c>
      <c r="AA235" s="716" t="n">
        <f aca="false">20*LOG10((E235*G235/(C235*O235))*Acs*Am)</f>
        <v>25.2615563621916</v>
      </c>
      <c r="AB235" s="717" t="n">
        <f aca="false">(F235+H235-(D235+P235))*radconv</f>
        <v>-100.344210086759</v>
      </c>
      <c r="AD235" s="0" t="n">
        <f aca="false">SUM((Q236&lt;0)*(Q235&gt;0))*A235</f>
        <v>0</v>
      </c>
      <c r="AE235" s="0" t="n">
        <f aca="false">IF(AD235&gt;0,S235,0)</f>
        <v>0</v>
      </c>
    </row>
    <row r="236" customFormat="false" ht="12.75" hidden="false" customHeight="false" outlineLevel="0" collapsed="false">
      <c r="A236" s="718" t="n">
        <v>13964.5</v>
      </c>
      <c r="B236" s="706" t="n">
        <f aca="false">A236/1000</f>
        <v>13.9645</v>
      </c>
      <c r="C236" s="707" t="n">
        <f aca="false">SQRT(1+(A236/pole1)^2)</f>
        <v>23.8684651484495</v>
      </c>
      <c r="D236" s="708" t="n">
        <f aca="false">ATAN(A236/pole1)</f>
        <v>1.52888777612467</v>
      </c>
      <c r="E236" s="708" t="n">
        <f aca="false">SQRT(1+(A236/Zero1)^2)</f>
        <v>1.01528041060278</v>
      </c>
      <c r="F236" s="709" t="n">
        <f aca="false">ATAN(A236/Zero1)</f>
        <v>0.17371435543783</v>
      </c>
      <c r="G236" s="708" t="n">
        <f aca="false">IF(VIN_nom&gt;Vout, 1, SQRT(1+(A236/z_RHP)^2))</f>
        <v>1.02119283441652</v>
      </c>
      <c r="H236" s="709" t="n">
        <f aca="false">IF(VIN_nom&gt;Vout, 0, -ATAN(A236/z_RHP))</f>
        <v>-0.204084297957308</v>
      </c>
      <c r="I236" s="707" t="n">
        <f aca="false">SQRT(1+(A236/Pole2)^2)</f>
        <v>57927.3401136575</v>
      </c>
      <c r="J236" s="710" t="n">
        <f aca="false">ATAN(A236/Pole2)</f>
        <v>1.57077906378924</v>
      </c>
      <c r="K236" s="719" t="n">
        <f aca="false">SQRT(1+(A236/Zero2)^2)</f>
        <v>17.9508400981865</v>
      </c>
      <c r="L236" s="720" t="n">
        <f aca="false">ATAN(A236/Zero2)</f>
        <v>1.51505977392069</v>
      </c>
      <c r="M236" s="707" t="n">
        <f aca="false">SQRT(1+(A236/pole4)^2)</f>
        <v>1.14458446750129</v>
      </c>
      <c r="N236" s="710" t="n">
        <f aca="false">ATAN(A236/pole4)</f>
        <v>0.508081409813629</v>
      </c>
      <c r="O236" s="711" t="n">
        <f aca="false">SQRT((1-(V236/pterm2))^2+(A236/pterm1)^2)</f>
        <v>1.01020318045776</v>
      </c>
      <c r="P236" s="712" t="n">
        <f aca="false">IF((ATAN((A236/pterm1)/(1-A236^2/pterm2))&gt;0),ATAN((A236/pterm1)/(1-A236^2/pterm2)),PI()+ATAN((A236/pterm1)/(1-A236^2/pterm2)))</f>
        <v>0.193587316549109</v>
      </c>
      <c r="Q236" s="713" t="n">
        <f aca="false">20*LOG10(((E236*K236*G236)/(C236*I236*O236*M236))*Adc)</f>
        <v>-9.51877075648627</v>
      </c>
      <c r="R236" s="714" t="n">
        <f aca="false">((F236+L236+H236)-(D236+J236+P236+N236))*radconv</f>
        <v>-132.734023387017</v>
      </c>
      <c r="S236" s="717" t="n">
        <f aca="false">IF(R236&gt;0,R236,R236+180)</f>
        <v>47.2659766129835</v>
      </c>
      <c r="U236" s="644" t="n">
        <f aca="false">IF(Q236&lt;0,A236,1000000000)</f>
        <v>13964.5</v>
      </c>
      <c r="V236" s="644" t="n">
        <f aca="false">A236^2</f>
        <v>195007260.25</v>
      </c>
      <c r="X236" s="716" t="n">
        <f aca="false">20*LOG10((K236/(I236*M236))*AEA)</f>
        <v>16.7477411946155</v>
      </c>
      <c r="Y236" s="717" t="n">
        <f aca="false">(L236-(J236+N236))*radconv</f>
        <v>-32.3034006152239</v>
      </c>
      <c r="AA236" s="716" t="n">
        <f aca="false">20*LOG10((E236*G236/(C236*O236))*Acs*Am)</f>
        <v>25.2141134034526</v>
      </c>
      <c r="AB236" s="717" t="n">
        <f aca="false">(F236+H236-(D236+P236))*radconv</f>
        <v>-100.430622771793</v>
      </c>
      <c r="AD236" s="0" t="n">
        <f aca="false">SUM((Q237&lt;0)*(Q236&gt;0))*A236</f>
        <v>0</v>
      </c>
      <c r="AE236" s="0" t="n">
        <f aca="false">IF(AD236&gt;0,S236,0)</f>
        <v>0</v>
      </c>
    </row>
    <row r="237" customFormat="false" ht="12.75" hidden="false" customHeight="false" outlineLevel="0" collapsed="false">
      <c r="A237" s="718" t="n">
        <v>14044.75</v>
      </c>
      <c r="B237" s="706" t="n">
        <f aca="false">A237/1000</f>
        <v>14.04475</v>
      </c>
      <c r="C237" s="707" t="n">
        <f aca="false">SQRT(1+(A237/pole1)^2)</f>
        <v>24.0053903330336</v>
      </c>
      <c r="D237" s="708" t="n">
        <f aca="false">ATAN(A237/pole1)</f>
        <v>1.52912695861842</v>
      </c>
      <c r="E237" s="708" t="n">
        <f aca="false">SQRT(1+(A237/Zero1)^2)</f>
        <v>1.01545519910612</v>
      </c>
      <c r="F237" s="709" t="n">
        <f aca="false">ATAN(A237/Zero1)</f>
        <v>0.174692511609845</v>
      </c>
      <c r="G237" s="708" t="n">
        <f aca="false">IF(VIN_nom&gt;Vout, 1, SQRT(1+(A237/z_RHP)^2))</f>
        <v>1.02143454929586</v>
      </c>
      <c r="H237" s="709" t="n">
        <f aca="false">IF(VIN_nom&gt;Vout, 0, -ATAN(A237/z_RHP))</f>
        <v>-0.205224547324798</v>
      </c>
      <c r="I237" s="707" t="n">
        <f aca="false">SQRT(1+(A237/Pole2)^2)</f>
        <v>58260.2320211901</v>
      </c>
      <c r="J237" s="710" t="n">
        <f aca="false">ATAN(A237/Pole2)</f>
        <v>1.57077916242796</v>
      </c>
      <c r="K237" s="719" t="n">
        <f aca="false">SQRT(1+(A237/Zero2)^2)</f>
        <v>18.0536792336858</v>
      </c>
      <c r="L237" s="720" t="n">
        <f aca="false">ATAN(A237/Zero2)</f>
        <v>1.51537759229722</v>
      </c>
      <c r="M237" s="707" t="n">
        <f aca="false">SQRT(1+(A237/pole4)^2)</f>
        <v>1.14614469092028</v>
      </c>
      <c r="N237" s="710" t="n">
        <f aca="false">ATAN(A237/pole4)</f>
        <v>0.510520709636991</v>
      </c>
      <c r="O237" s="711" t="n">
        <f aca="false">SQRT((1-(V237/pterm2))^2+(A237/pterm1)^2)</f>
        <v>1.01032061968817</v>
      </c>
      <c r="P237" s="712" t="n">
        <f aca="false">IF((ATAN((A237/pterm1)/(1-A237^2/pterm2))&gt;0),ATAN((A237/pterm1)/(1-A237^2/pterm2)),PI()+ATAN((A237/pterm1)/(1-A237^2/pterm2)))</f>
        <v>0.194691117263491</v>
      </c>
      <c r="Q237" s="713" t="n">
        <f aca="false">20*LOG10(((E237*K237*G237)/(C237*I237*O237*M237))*Adc)</f>
        <v>-9.57790069749558</v>
      </c>
      <c r="R237" s="714" t="n">
        <f aca="false">((F237+L237+H237)-(D237+J237+P237+N237))*radconv</f>
        <v>-132.941815497827</v>
      </c>
      <c r="S237" s="717" t="n">
        <f aca="false">IF(R237&gt;0,R237,R237+180)</f>
        <v>47.0581845021733</v>
      </c>
      <c r="U237" s="644" t="n">
        <f aca="false">IF(Q237&lt;0,A237,1000000000)</f>
        <v>14044.75</v>
      </c>
      <c r="V237" s="644" t="n">
        <f aca="false">A237^2</f>
        <v>197255002.5625</v>
      </c>
      <c r="X237" s="716" t="n">
        <f aca="false">20*LOG10((K237/(I237*M237))*AEA)</f>
        <v>16.7357556326506</v>
      </c>
      <c r="Y237" s="717" t="n">
        <f aca="false">(L237-(J237+N237))*radconv</f>
        <v>-32.4249582001639</v>
      </c>
      <c r="AA237" s="716" t="n">
        <f aca="false">20*LOG10((E237*G237/(C237*O237))*Acs*Am)</f>
        <v>25.1669690244082</v>
      </c>
      <c r="AB237" s="717" t="n">
        <f aca="false">(F237+H237-(D237+P237))*radconv</f>
        <v>-100.516857297663</v>
      </c>
      <c r="AD237" s="0" t="n">
        <f aca="false">SUM((Q238&lt;0)*(Q237&gt;0))*A237</f>
        <v>0</v>
      </c>
      <c r="AE237" s="0" t="n">
        <f aca="false">IF(AD237&gt;0,S237,0)</f>
        <v>0</v>
      </c>
    </row>
    <row r="238" customFormat="false" ht="12.75" hidden="false" customHeight="false" outlineLevel="0" collapsed="false">
      <c r="A238" s="718" t="n">
        <v>14125</v>
      </c>
      <c r="B238" s="706" t="n">
        <f aca="false">A238/1000</f>
        <v>14.125</v>
      </c>
      <c r="C238" s="707" t="n">
        <f aca="false">SQRT(1+(A238/pole1)^2)</f>
        <v>24.1423168753468</v>
      </c>
      <c r="D238" s="708" t="n">
        <f aca="false">ATAN(A238/pole1)</f>
        <v>1.52936342801134</v>
      </c>
      <c r="E238" s="708" t="n">
        <f aca="false">SQRT(1+(A238/Zero1)^2)</f>
        <v>1.01563095885138</v>
      </c>
      <c r="F238" s="709" t="n">
        <f aca="false">ATAN(A238/Zero1)</f>
        <v>0.175670330168044</v>
      </c>
      <c r="G238" s="708" t="n">
        <f aca="false">IF(VIN_nom&gt;Vout, 1, SQRT(1+(A238/z_RHP)^2))</f>
        <v>1.02167759158295</v>
      </c>
      <c r="H238" s="709" t="n">
        <f aca="false">IF(VIN_nom&gt;Vout, 0, -ATAN(A238/z_RHP))</f>
        <v>-0.206364255675927</v>
      </c>
      <c r="I238" s="707" t="n">
        <f aca="false">SQRT(1+(A238/Pole2)^2)</f>
        <v>58593.1239287233</v>
      </c>
      <c r="J238" s="710" t="n">
        <f aca="false">ATAN(A238/Pole2)</f>
        <v>1.57077925994587</v>
      </c>
      <c r="K238" s="719" t="n">
        <f aca="false">SQRT(1+(A238/Zero2)^2)</f>
        <v>18.1565201721029</v>
      </c>
      <c r="L238" s="720" t="n">
        <f aca="false">ATAN(A238/Zero2)</f>
        <v>1.51569181037432</v>
      </c>
      <c r="M238" s="707" t="n">
        <f aca="false">SQRT(1+(A238/pole4)^2)</f>
        <v>1.14771171554514</v>
      </c>
      <c r="N238" s="710" t="n">
        <f aca="false">ATAN(A238/pole4)</f>
        <v>0.512953362921361</v>
      </c>
      <c r="O238" s="711" t="n">
        <f aca="false">SQRT((1-(V238/pterm2))^2+(A238/pterm1)^2)</f>
        <v>1.01043872806957</v>
      </c>
      <c r="P238" s="712" t="n">
        <f aca="false">IF((ATAN((A238/pterm1)/(1-A238^2/pterm2))&gt;0),ATAN((A238/pterm1)/(1-A238^2/pterm2)),PI()+ATAN((A238/pterm1)/(1-A238^2/pterm2)))</f>
        <v>0.195794770270271</v>
      </c>
      <c r="Q238" s="713" t="n">
        <f aca="false">20*LOG10(((E238*K238*G238)/(C238*I238*O238*M238))*Adc)</f>
        <v>-9.6367680863118</v>
      </c>
      <c r="R238" s="714" t="n">
        <f aca="false">((F238+L238+H238)-(D238+J238+P238+N238))*radconv</f>
        <v>-133.149257441391</v>
      </c>
      <c r="S238" s="717" t="n">
        <f aca="false">IF(R238&gt;0,R238,R238+180)</f>
        <v>46.8507425586087</v>
      </c>
      <c r="U238" s="644" t="n">
        <f aca="false">IF(Q238&lt;0,A238,1000000000)</f>
        <v>14125</v>
      </c>
      <c r="V238" s="644" t="n">
        <f aca="false">A238^2</f>
        <v>199515625</v>
      </c>
      <c r="X238" s="716" t="n">
        <f aca="false">20*LOG10((K238/(I238*M238))*AEA)</f>
        <v>16.7237372996022</v>
      </c>
      <c r="Y238" s="717" t="n">
        <f aca="false">(L238-(J238+N238))*radconv</f>
        <v>-32.5463411842158</v>
      </c>
      <c r="AA238" s="716" t="n">
        <f aca="false">20*LOG10((E238*G238/(C238*O238))*Acs*Am)</f>
        <v>25.1201199686404</v>
      </c>
      <c r="AB238" s="717" t="n">
        <f aca="false">(F238+H238-(D238+P238))*radconv</f>
        <v>-100.602916257176</v>
      </c>
      <c r="AD238" s="0" t="n">
        <f aca="false">SUM((Q239&lt;0)*(Q238&gt;0))*A238</f>
        <v>0</v>
      </c>
      <c r="AE238" s="0" t="n">
        <f aca="false">IF(AD238&gt;0,S238,0)</f>
        <v>0</v>
      </c>
    </row>
    <row r="239" customFormat="false" ht="12.75" hidden="false" customHeight="false" outlineLevel="0" collapsed="false">
      <c r="A239" s="718" t="n">
        <v>14207.25</v>
      </c>
      <c r="B239" s="706" t="n">
        <f aca="false">A239/1000</f>
        <v>14.20725</v>
      </c>
      <c r="C239" s="707" t="n">
        <f aca="false">SQRT(1+(A239/pole1)^2)</f>
        <v>24.2826573020318</v>
      </c>
      <c r="D239" s="708" t="n">
        <f aca="false">ATAN(A239/pole1)</f>
        <v>1.52960302334934</v>
      </c>
      <c r="E239" s="708" t="n">
        <f aca="false">SQRT(1+(A239/Zero1)^2)</f>
        <v>1.01581210622595</v>
      </c>
      <c r="F239" s="709" t="n">
        <f aca="false">ATAN(A239/Zero1)</f>
        <v>0.176672165923822</v>
      </c>
      <c r="G239" s="708" t="n">
        <f aca="false">IF(VIN_nom&gt;Vout, 1, SQRT(1+(A239/z_RHP)^2))</f>
        <v>1.02192806745042</v>
      </c>
      <c r="H239" s="709" t="n">
        <f aca="false">IF(VIN_nom&gt;Vout, 0, -ATAN(A239/z_RHP))</f>
        <v>-0.207531803871322</v>
      </c>
      <c r="I239" s="707" t="n">
        <f aca="false">SQRT(1+(A239/Pole2)^2)</f>
        <v>58934.3122077844</v>
      </c>
      <c r="J239" s="710" t="n">
        <f aca="false">ATAN(A239/Pole2)</f>
        <v>1.57077935875094</v>
      </c>
      <c r="K239" s="719" t="n">
        <f aca="false">SQRT(1+(A239/Zero2)^2)</f>
        <v>18.2619259635682</v>
      </c>
      <c r="L239" s="720" t="n">
        <f aca="false">ATAN(A239/Zero2)</f>
        <v>1.51601018700067</v>
      </c>
      <c r="M239" s="707" t="n">
        <f aca="false">SQRT(1+(A239/pole4)^2)</f>
        <v>1.14932482220379</v>
      </c>
      <c r="N239" s="710" t="n">
        <f aca="false">ATAN(A239/pole4)</f>
        <v>0.515439744391738</v>
      </c>
      <c r="O239" s="711" t="n">
        <f aca="false">SQRT((1-(V239/pterm2))^2+(A239/pterm1)^2)</f>
        <v>1.01056047426899</v>
      </c>
      <c r="P239" s="712" t="n">
        <f aca="false">IF((ATAN((A239/pterm1)/(1-A239^2/pterm2))&gt;0),ATAN((A239/pterm1)/(1-A239^2/pterm2)),PI()+ATAN((A239/pterm1)/(1-A239^2/pterm2)))</f>
        <v>0.19692577453938</v>
      </c>
      <c r="Q239" s="713" t="n">
        <f aca="false">20*LOG10(((E239*K239*G239)/(C239*I239*O239*M239))*Adc)</f>
        <v>-9.69683314298712</v>
      </c>
      <c r="R239" s="714" t="n">
        <f aca="false">((F239+L239+H239)-(D239+J239+P239+N239))*radconv</f>
        <v>-133.361504826567</v>
      </c>
      <c r="S239" s="717" t="n">
        <f aca="false">IF(R239&gt;0,R239,R239+180)</f>
        <v>46.6384951734333</v>
      </c>
      <c r="U239" s="644" t="n">
        <f aca="false">IF(Q239&lt;0,A239,1000000000)</f>
        <v>14207.25</v>
      </c>
      <c r="V239" s="644" t="n">
        <f aca="false">A239^2</f>
        <v>201845952.5625</v>
      </c>
      <c r="X239" s="716" t="n">
        <f aca="false">20*LOG10((K239/(I239*M239))*AEA)</f>
        <v>16.711385771153</v>
      </c>
      <c r="Y239" s="717" t="n">
        <f aca="false">(L239-(J239+N239))*radconv</f>
        <v>-32.6705643729978</v>
      </c>
      <c r="AA239" s="716" t="n">
        <f aca="false">20*LOG10((E239*G239/(C239*O239))*Acs*Am)</f>
        <v>25.0724064404143</v>
      </c>
      <c r="AB239" s="717" t="n">
        <f aca="false">(F239+H239-(D239+P239))*radconv</f>
        <v>-100.690940453569</v>
      </c>
      <c r="AD239" s="0" t="n">
        <f aca="false">SUM((Q240&lt;0)*(Q239&gt;0))*A239</f>
        <v>0</v>
      </c>
      <c r="AE239" s="0" t="n">
        <f aca="false">IF(AD239&gt;0,S239,0)</f>
        <v>0</v>
      </c>
    </row>
    <row r="240" customFormat="false" ht="12.75" hidden="false" customHeight="false" outlineLevel="0" collapsed="false">
      <c r="A240" s="718" t="n">
        <v>14289.5</v>
      </c>
      <c r="B240" s="706" t="n">
        <f aca="false">A240/1000</f>
        <v>14.2895</v>
      </c>
      <c r="C240" s="707" t="n">
        <f aca="false">SQRT(1+(A240/pole1)^2)</f>
        <v>24.4229991066651</v>
      </c>
      <c r="D240" s="708" t="n">
        <f aca="false">ATAN(A240/pole1)</f>
        <v>1.5298398651289</v>
      </c>
      <c r="E240" s="708" t="n">
        <f aca="false">SQRT(1+(A240/Zero1)^2)</f>
        <v>1.01599427278146</v>
      </c>
      <c r="F240" s="709" t="n">
        <f aca="false">ATAN(A240/Zero1)</f>
        <v>0.177673643428556</v>
      </c>
      <c r="G240" s="708" t="n">
        <f aca="false">IF(VIN_nom&gt;Vout, 1, SQRT(1+(A240/z_RHP)^2))</f>
        <v>1.02217993569452</v>
      </c>
      <c r="H240" s="709" t="n">
        <f aca="false">IF(VIN_nom&gt;Vout, 0, -ATAN(A240/z_RHP))</f>
        <v>-0.208698778281997</v>
      </c>
      <c r="I240" s="707" t="n">
        <f aca="false">SQRT(1+(A240/Pole2)^2)</f>
        <v>59275.5004868461</v>
      </c>
      <c r="J240" s="710" t="n">
        <f aca="false">ATAN(A240/Pole2)</f>
        <v>1.57077945641857</v>
      </c>
      <c r="K240" s="719" t="n">
        <f aca="false">SQRT(1+(A240/Zero2)^2)</f>
        <v>18.3673335848834</v>
      </c>
      <c r="L240" s="720" t="n">
        <f aca="false">ATAN(A240/Zero2)</f>
        <v>1.51632490941858</v>
      </c>
      <c r="M240" s="707" t="n">
        <f aca="false">SQRT(1+(A240/pole4)^2)</f>
        <v>1.15094501415291</v>
      </c>
      <c r="N240" s="710" t="n">
        <f aca="false">ATAN(A240/pole4)</f>
        <v>0.517919140966968</v>
      </c>
      <c r="O240" s="711" t="n">
        <f aca="false">SQRT((1-(V240/pterm2))^2+(A240/pterm1)^2)</f>
        <v>1.01068292325211</v>
      </c>
      <c r="P240" s="712" t="n">
        <f aca="false">IF((ATAN((A240/pterm1)/(1-A240^2/pterm2))&gt;0),ATAN((A240/pterm1)/(1-A240^2/pterm2)),PI()+ATAN((A240/pterm1)/(1-A240^2/pterm2)))</f>
        <v>0.198056621953553</v>
      </c>
      <c r="Q240" s="713" t="n">
        <f aca="false">20*LOG10(((E240*K240*G240)/(C240*I240*O240*M240))*Adc)</f>
        <v>-9.75662847249235</v>
      </c>
      <c r="R240" s="714" t="n">
        <f aca="false">((F240+L240+H240)-(D240+J240+P240+N240))*radconv</f>
        <v>-133.573382208707</v>
      </c>
      <c r="S240" s="717" t="n">
        <f aca="false">IF(R240&gt;0,R240,R240+180)</f>
        <v>46.4266177912932</v>
      </c>
      <c r="U240" s="644" t="n">
        <f aca="false">IF(Q240&lt;0,A240,1000000000)</f>
        <v>14289.5</v>
      </c>
      <c r="V240" s="644" t="n">
        <f aca="false">A240^2</f>
        <v>204189810.25</v>
      </c>
      <c r="X240" s="716" t="n">
        <f aca="false">20*LOG10((K240/(I240*M240))*AEA)</f>
        <v>16.6990004955224</v>
      </c>
      <c r="Y240" s="717" t="n">
        <f aca="false">(L240-(J240+N240))*radconv</f>
        <v>-32.794596662318</v>
      </c>
      <c r="AA240" s="716" t="n">
        <f aca="false">20*LOG10((E240*G240/(C240*O240))*Acs*Am)</f>
        <v>25.0249963865397</v>
      </c>
      <c r="AB240" s="717" t="n">
        <f aca="false">(F240+H240-(D240+P240))*radconv</f>
        <v>-100.778785546389</v>
      </c>
      <c r="AD240" s="0" t="n">
        <f aca="false">SUM((Q241&lt;0)*(Q240&gt;0))*A240</f>
        <v>0</v>
      </c>
      <c r="AE240" s="0" t="n">
        <f aca="false">IF(AD240&gt;0,S240,0)</f>
        <v>0</v>
      </c>
    </row>
    <row r="241" customFormat="false" ht="12.75" hidden="false" customHeight="false" outlineLevel="0" collapsed="false">
      <c r="A241" s="718" t="n">
        <v>14371.75</v>
      </c>
      <c r="B241" s="706" t="n">
        <f aca="false">A241/1000</f>
        <v>14.37175</v>
      </c>
      <c r="C241" s="707" t="n">
        <f aca="false">SQRT(1+(A241/pole1)^2)</f>
        <v>24.5633422656281</v>
      </c>
      <c r="D241" s="708" t="n">
        <f aca="false">ATAN(A241/pole1)</f>
        <v>1.53007400052076</v>
      </c>
      <c r="E241" s="708" t="n">
        <f aca="false">SQRT(1+(A241/Zero1)^2)</f>
        <v>1.01617745796979</v>
      </c>
      <c r="F241" s="709" t="n">
        <f aca="false">ATAN(A241/Zero1)</f>
        <v>0.17867476086658</v>
      </c>
      <c r="G241" s="708" t="n">
        <f aca="false">IF(VIN_nom&gt;Vout, 1, SQRT(1+(A241/z_RHP)^2))</f>
        <v>1.02243319528624</v>
      </c>
      <c r="H241" s="709" t="n">
        <f aca="false">IF(VIN_nom&gt;Vout, 0, -ATAN(A241/z_RHP))</f>
        <v>-0.209865176154734</v>
      </c>
      <c r="I241" s="707" t="n">
        <f aca="false">SQRT(1+(A241/Pole2)^2)</f>
        <v>59616.6887659083</v>
      </c>
      <c r="J241" s="710" t="n">
        <f aca="false">ATAN(A241/Pole2)</f>
        <v>1.57077955296829</v>
      </c>
      <c r="K241" s="719" t="n">
        <f aca="false">SQRT(1+(A241/Zero2)^2)</f>
        <v>18.4727430047244</v>
      </c>
      <c r="L241" s="720" t="n">
        <f aca="false">ATAN(A241/Zero2)</f>
        <v>1.51663604012025</v>
      </c>
      <c r="M241" s="707" t="n">
        <f aca="false">SQRT(1+(A241/pole4)^2)</f>
        <v>1.15257226151274</v>
      </c>
      <c r="N241" s="710" t="n">
        <f aca="false">ATAN(A241/pole4)</f>
        <v>0.520391551684046</v>
      </c>
      <c r="O241" s="711" t="n">
        <f aca="false">SQRT((1-(V241/pterm2))^2+(A241/pterm1)^2)</f>
        <v>1.01080607494944</v>
      </c>
      <c r="P241" s="712" t="n">
        <f aca="false">IF((ATAN((A241/pterm1)/(1-A241^2/pterm2))&gt;0),ATAN((A241/pterm1)/(1-A241^2/pterm2)),PI()+ATAN((A241/pterm1)/(1-A241^2/pterm2)))</f>
        <v>0.199187311657058</v>
      </c>
      <c r="Q241" s="713" t="n">
        <f aca="false">20*LOG10(((E241*K241*G241)/(C241*I241*O241*M241))*Adc)</f>
        <v>-9.81615706338936</v>
      </c>
      <c r="R241" s="714" t="n">
        <f aca="false">((F241+L241+H241)-(D241+J241+P241+N241))*radconv</f>
        <v>-133.784888553152</v>
      </c>
      <c r="S241" s="717" t="n">
        <f aca="false">IF(R241&gt;0,R241,R241+180)</f>
        <v>46.2151114468482</v>
      </c>
      <c r="U241" s="644" t="n">
        <f aca="false">IF(Q241&lt;0,A241,1000000000)</f>
        <v>14371.75</v>
      </c>
      <c r="V241" s="644" t="n">
        <f aca="false">A241^2</f>
        <v>206547198.0625</v>
      </c>
      <c r="X241" s="716" t="n">
        <f aca="false">20*LOG10((K241/(I241*M241))*AEA)</f>
        <v>16.6865818159422</v>
      </c>
      <c r="Y241" s="717" t="n">
        <f aca="false">(L241-(J241+N241))*radconv</f>
        <v>-32.9184344175797</v>
      </c>
      <c r="AA241" s="716" t="n">
        <f aca="false">20*LOG10((E241*G241/(C241*O241))*Acs*Am)</f>
        <v>24.9778864752228</v>
      </c>
      <c r="AB241" s="717" t="n">
        <f aca="false">(F241+H241-(D241+P241))*radconv</f>
        <v>-100.866454135572</v>
      </c>
      <c r="AD241" s="0" t="n">
        <f aca="false">SUM((Q242&lt;0)*(Q241&gt;0))*A241</f>
        <v>0</v>
      </c>
      <c r="AE241" s="0" t="n">
        <f aca="false">IF(AD241&gt;0,S241,0)</f>
        <v>0</v>
      </c>
    </row>
    <row r="242" customFormat="false" ht="12.75" hidden="false" customHeight="false" outlineLevel="0" collapsed="false">
      <c r="A242" s="718" t="n">
        <v>14454</v>
      </c>
      <c r="B242" s="706" t="n">
        <f aca="false">A242/1000</f>
        <v>14.454</v>
      </c>
      <c r="C242" s="707" t="n">
        <f aca="false">SQRT(1+(A242/pole1)^2)</f>
        <v>24.7036867558386</v>
      </c>
      <c r="D242" s="708" t="n">
        <f aca="false">ATAN(A242/pole1)</f>
        <v>1.53030547562493</v>
      </c>
      <c r="E242" s="708" t="n">
        <f aca="false">SQRT(1+(A242/Zero1)^2)</f>
        <v>1.01636166124016</v>
      </c>
      <c r="F242" s="709" t="n">
        <f aca="false">ATAN(A242/Zero1)</f>
        <v>0.179675516426417</v>
      </c>
      <c r="G242" s="708" t="n">
        <f aca="false">IF(VIN_nom&gt;Vout, 1, SQRT(1+(A242/z_RHP)^2))</f>
        <v>1.02268784519191</v>
      </c>
      <c r="H242" s="709" t="n">
        <f aca="false">IF(VIN_nom&gt;Vout, 0, -ATAN(A242/z_RHP))</f>
        <v>-0.211030994745309</v>
      </c>
      <c r="I242" s="707" t="n">
        <f aca="false">SQRT(1+(A242/Pole2)^2)</f>
        <v>59957.877044971</v>
      </c>
      <c r="J242" s="710" t="n">
        <f aca="false">ATAN(A242/Pole2)</f>
        <v>1.57077964841919</v>
      </c>
      <c r="K242" s="719" t="n">
        <f aca="false">SQRT(1+(A242/Zero2)^2)</f>
        <v>18.5781541924775</v>
      </c>
      <c r="L242" s="720" t="n">
        <f aca="false">ATAN(A242/Zero2)</f>
        <v>1.51694364018239</v>
      </c>
      <c r="M242" s="707" t="n">
        <f aca="false">SQRT(1+(A242/pole4)^2)</f>
        <v>1.15420653444225</v>
      </c>
      <c r="N242" s="710" t="n">
        <f aca="false">ATAN(A242/pole4)</f>
        <v>0.522856975927006</v>
      </c>
      <c r="O242" s="711" t="n">
        <f aca="false">SQRT((1-(V242/pterm2))^2+(A242/pterm1)^2)</f>
        <v>1.01092992929114</v>
      </c>
      <c r="P242" s="712" t="n">
        <f aca="false">IF((ATAN((A242/pterm1)/(1-A242^2/pterm2))&gt;0),ATAN((A242/pterm1)/(1-A242^2/pterm2)),PI()+ATAN((A242/pterm1)/(1-A242^2/pterm2)))</f>
        <v>0.200317842795041</v>
      </c>
      <c r="Q242" s="713" t="n">
        <f aca="false">20*LOG10(((E242*K242*G242)/(C242*I242*O242*M242))*Adc)</f>
        <v>-9.87542184804843</v>
      </c>
      <c r="R242" s="714" t="n">
        <f aca="false">((F242+L242+H242)-(D242+J242+P242+N242))*radconv</f>
        <v>-133.996022865179</v>
      </c>
      <c r="S242" s="717" t="n">
        <f aca="false">IF(R242&gt;0,R242,R242+180)</f>
        <v>46.0039771348207</v>
      </c>
      <c r="U242" s="644" t="n">
        <f aca="false">IF(Q242&lt;0,A242,1000000000)</f>
        <v>14454</v>
      </c>
      <c r="V242" s="644" t="n">
        <f aca="false">A242^2</f>
        <v>208918116</v>
      </c>
      <c r="X242" s="716" t="n">
        <f aca="false">20*LOG10((K242/(I242*M242))*AEA)</f>
        <v>16.6741300756777</v>
      </c>
      <c r="Y242" s="717" t="n">
        <f aca="false">(L242-(J242+N242))*radconv</f>
        <v>-33.0420741051469</v>
      </c>
      <c r="AA242" s="716" t="n">
        <f aca="false">20*LOG10((E242*G242/(C242*O242))*Acs*Am)</f>
        <v>24.9310734308282</v>
      </c>
      <c r="AB242" s="717" t="n">
        <f aca="false">(F242+H242-(D242+P242))*radconv</f>
        <v>-100.953948760032</v>
      </c>
      <c r="AD242" s="0" t="n">
        <f aca="false">SUM((Q243&lt;0)*(Q242&gt;0))*A242</f>
        <v>0</v>
      </c>
      <c r="AE242" s="0" t="n">
        <f aca="false">IF(AD242&gt;0,S242,0)</f>
        <v>0</v>
      </c>
    </row>
    <row r="243" customFormat="false" ht="12.75" hidden="false" customHeight="false" outlineLevel="0" collapsed="false">
      <c r="A243" s="718" t="n">
        <v>14622.5</v>
      </c>
      <c r="B243" s="706" t="n">
        <f aca="false">A243/1000</f>
        <v>14.6225</v>
      </c>
      <c r="C243" s="707" t="n">
        <f aca="false">SQRT(1+(A243/pole1)^2)</f>
        <v>24.9912050628737</v>
      </c>
      <c r="D243" s="708" t="n">
        <f aca="false">ATAN(A243/pole1)</f>
        <v>1.53077156431032</v>
      </c>
      <c r="E243" s="708" t="n">
        <f aca="false">SQRT(1+(A243/Zero1)^2)</f>
        <v>1.01674220288836</v>
      </c>
      <c r="F243" s="709" t="n">
        <f aca="false">ATAN(A243/Zero1)</f>
        <v>0.181724558837929</v>
      </c>
      <c r="G243" s="708" t="n">
        <f aca="false">IF(VIN_nom&gt;Vout, 1, SQRT(1+(A243/z_RHP)^2))</f>
        <v>1.02321386643347</v>
      </c>
      <c r="H243" s="709" t="n">
        <f aca="false">IF(VIN_nom&gt;Vout, 0, -ATAN(A243/z_RHP))</f>
        <v>-0.213417507793364</v>
      </c>
      <c r="I243" s="707" t="n">
        <f aca="false">SQRT(1+(A243/Pole2)^2)</f>
        <v>60656.846346153</v>
      </c>
      <c r="J243" s="710" t="n">
        <f aca="false">ATAN(A243/Pole2)</f>
        <v>1.57077984060974</v>
      </c>
      <c r="K243" s="719" t="n">
        <f aca="false">SQRT(1+(A243/Zero2)^2)</f>
        <v>18.7941083433418</v>
      </c>
      <c r="L243" s="720" t="n">
        <f aca="false">ATAN(A243/Zero2)</f>
        <v>1.51756302435087</v>
      </c>
      <c r="M243" s="707" t="n">
        <f aca="false">SQRT(1+(A243/pole4)^2)</f>
        <v>1.15757637226664</v>
      </c>
      <c r="N243" s="710" t="n">
        <f aca="false">ATAN(A243/pole4)</f>
        <v>0.527885905586117</v>
      </c>
      <c r="O243" s="711" t="n">
        <f aca="false">SQRT((1-(V243/pterm2))^2+(A243/pterm1)^2)</f>
        <v>1.01118585518162</v>
      </c>
      <c r="P243" s="712" t="n">
        <f aca="false">IF((ATAN((A243/pterm1)/(1-A243^2/pterm2))&gt;0),ATAN((A243/pterm1)/(1-A243^2/pterm2)),PI()+ATAN((A243/pterm1)/(1-A243^2/pterm2)))</f>
        <v>0.202633386548238</v>
      </c>
      <c r="Q243" s="713" t="n">
        <f aca="false">20*LOG10(((E243*K243*G243)/(C243*I243*O243*M243))*Adc)</f>
        <v>-9.99602185857403</v>
      </c>
      <c r="R243" s="714" t="n">
        <f aca="false">((F243+L243+H243)-(D243+J243+P243+N243))*radconv</f>
        <v>-134.427393665635</v>
      </c>
      <c r="S243" s="717" t="n">
        <f aca="false">IF(R243&gt;0,R243,R243+180)</f>
        <v>45.572606334365</v>
      </c>
      <c r="U243" s="644" t="n">
        <f aca="false">IF(Q243&lt;0,A243,1000000000)</f>
        <v>14622.5</v>
      </c>
      <c r="V243" s="644" t="n">
        <f aca="false">A243^2</f>
        <v>213817506.25</v>
      </c>
      <c r="X243" s="716" t="n">
        <f aca="false">20*LOG10((K243/(I243*M243))*AEA)</f>
        <v>16.6485192450166</v>
      </c>
      <c r="Y243" s="717" t="n">
        <f aca="false">(L243-(J243+N243))*radconv</f>
        <v>-33.294733463327</v>
      </c>
      <c r="AA243" s="716" t="n">
        <f aca="false">20*LOG10((E243*G243/(C243*O243))*Acs*Am)</f>
        <v>24.8360842509637</v>
      </c>
      <c r="AB243" s="717" t="n">
        <f aca="false">(F243+H243-(D243+P243))*radconv</f>
        <v>-101.132660202308</v>
      </c>
      <c r="AD243" s="0" t="n">
        <f aca="false">SUM((Q244&lt;0)*(Q243&gt;0))*A243</f>
        <v>0</v>
      </c>
      <c r="AE243" s="0" t="n">
        <f aca="false">IF(AD243&gt;0,S243,0)</f>
        <v>0</v>
      </c>
    </row>
    <row r="244" customFormat="false" ht="12.75" hidden="false" customHeight="false" outlineLevel="0" collapsed="false">
      <c r="A244" s="718" t="n">
        <v>14706.75</v>
      </c>
      <c r="B244" s="706" t="n">
        <f aca="false">A244/1000</f>
        <v>14.70675</v>
      </c>
      <c r="C244" s="707" t="n">
        <f aca="false">SQRT(1+(A244/pole1)^2)</f>
        <v>25.1349662173543</v>
      </c>
      <c r="D244" s="708" t="n">
        <f aca="false">ATAN(A244/pole1)</f>
        <v>1.53100060994477</v>
      </c>
      <c r="E244" s="708" t="n">
        <f aca="false">SQRT(1+(A244/Zero1)^2)</f>
        <v>1.01693407363766</v>
      </c>
      <c r="F244" s="709" t="n">
        <f aca="false">ATAN(A244/Zero1)</f>
        <v>0.182748502823049</v>
      </c>
      <c r="G244" s="708" t="n">
        <f aca="false">IF(VIN_nom&gt;Vout, 1, SQRT(1+(A244/z_RHP)^2))</f>
        <v>1.02347906073778</v>
      </c>
      <c r="H244" s="709" t="n">
        <f aca="false">IF(VIN_nom&gt;Vout, 0, -ATAN(A244/z_RHP))</f>
        <v>-0.214609841003584</v>
      </c>
      <c r="I244" s="707" t="n">
        <f aca="false">SQRT(1+(A244/Pole2)^2)</f>
        <v>61006.3309967447</v>
      </c>
      <c r="J244" s="710" t="n">
        <f aca="false">ATAN(A244/Pole2)</f>
        <v>1.57077993505352</v>
      </c>
      <c r="K244" s="719" t="n">
        <f aca="false">SQRT(1+(A244/Zero2)^2)</f>
        <v>18.9020880762293</v>
      </c>
      <c r="L244" s="720" t="n">
        <f aca="false">ATAN(A244/Zero2)</f>
        <v>1.51786740908292</v>
      </c>
      <c r="M244" s="707" t="n">
        <f aca="false">SQRT(1+(A244/pole4)^2)</f>
        <v>1.15927222145851</v>
      </c>
      <c r="N244" s="710" t="n">
        <f aca="false">ATAN(A244/pole4)</f>
        <v>0.530389374988582</v>
      </c>
      <c r="O244" s="711" t="n">
        <f aca="false">SQRT((1-(V244/pterm2))^2+(A244/pterm1)^2)</f>
        <v>1.01131492367284</v>
      </c>
      <c r="P244" s="712" t="n">
        <f aca="false">IF((ATAN((A244/pterm1)/(1-A244^2/pterm2))&gt;0),ATAN((A244/pterm1)/(1-A244^2/pterm2)),PI()+ATAN((A244/pterm1)/(1-A244^2/pterm2)))</f>
        <v>0.20379090523373</v>
      </c>
      <c r="Q244" s="713" t="n">
        <f aca="false">20*LOG10(((E244*K244*G244)/(C244*I244*O244*M244))*Adc)</f>
        <v>-10.0559187330371</v>
      </c>
      <c r="R244" s="714" t="n">
        <f aca="false">((F244+L244+H244)-(D244+J244+P244+N244))*radconv</f>
        <v>-134.642489622988</v>
      </c>
      <c r="S244" s="717" t="n">
        <f aca="false">IF(R244&gt;0,R244,R244+180)</f>
        <v>45.3575103770123</v>
      </c>
      <c r="U244" s="644" t="n">
        <f aca="false">IF(Q244&lt;0,A244,1000000000)</f>
        <v>14706.75</v>
      </c>
      <c r="V244" s="644" t="n">
        <f aca="false">A244^2</f>
        <v>216288495.5625</v>
      </c>
      <c r="X244" s="716" t="n">
        <f aca="false">20*LOG10((K244/(I244*M244))*AEA)</f>
        <v>16.6356632594382</v>
      </c>
      <c r="Y244" s="717" t="n">
        <f aca="false">(L244-(J244+N244))*radconv</f>
        <v>-33.4207371451081</v>
      </c>
      <c r="AA244" s="716" t="n">
        <f aca="false">20*LOG10((E244*G244/(C244*O244))*Acs*Am)</f>
        <v>24.7890433620791</v>
      </c>
      <c r="AB244" s="717" t="n">
        <f aca="false">(F244+H244-(D244+P244))*radconv</f>
        <v>-101.22175247788</v>
      </c>
      <c r="AD244" s="0" t="n">
        <f aca="false">SUM((Q245&lt;0)*(Q244&gt;0))*A244</f>
        <v>0</v>
      </c>
      <c r="AE244" s="0" t="n">
        <f aca="false">IF(AD244&gt;0,S244,0)</f>
        <v>0</v>
      </c>
    </row>
    <row r="245" customFormat="false" ht="12.75" hidden="false" customHeight="false" outlineLevel="0" collapsed="false">
      <c r="A245" s="718" t="n">
        <v>14791</v>
      </c>
      <c r="B245" s="706" t="n">
        <f aca="false">A245/1000</f>
        <v>14.791</v>
      </c>
      <c r="C245" s="707" t="n">
        <f aca="false">SQRT(1+(A245/pole1)^2)</f>
        <v>25.2787286754648</v>
      </c>
      <c r="D245" s="708" t="n">
        <f aca="false">ATAN(A245/pole1)</f>
        <v>1.53122705038375</v>
      </c>
      <c r="E245" s="708" t="n">
        <f aca="false">SQRT(1+(A245/Zero1)^2)</f>
        <v>1.01712701020005</v>
      </c>
      <c r="F245" s="709" t="n">
        <f aca="false">ATAN(A245/Zero1)</f>
        <v>0.183772059421671</v>
      </c>
      <c r="G245" s="708" t="n">
        <f aca="false">IF(VIN_nom&gt;Vout, 1, SQRT(1+(A245/z_RHP)^2))</f>
        <v>1.02374570932475</v>
      </c>
      <c r="H245" s="709" t="n">
        <f aca="false">IF(VIN_nom&gt;Vout, 0, -ATAN(A245/z_RHP))</f>
        <v>-0.215801554788259</v>
      </c>
      <c r="I245" s="707" t="n">
        <f aca="false">SQRT(1+(A245/Pole2)^2)</f>
        <v>61355.8156473371</v>
      </c>
      <c r="J245" s="710" t="n">
        <f aca="false">ATAN(A245/Pole2)</f>
        <v>1.57078002842139</v>
      </c>
      <c r="K245" s="719" t="n">
        <f aca="false">SQRT(1+(A245/Zero2)^2)</f>
        <v>19.0100695405015</v>
      </c>
      <c r="L245" s="720" t="n">
        <f aca="false">ATAN(A245/Zero2)</f>
        <v>1.5181683358953</v>
      </c>
      <c r="M245" s="707" t="n">
        <f aca="false">SQRT(1+(A245/pole4)^2)</f>
        <v>1.16097531497331</v>
      </c>
      <c r="N245" s="710" t="n">
        <f aca="false">ATAN(A245/pole4)</f>
        <v>0.532885515064872</v>
      </c>
      <c r="O245" s="711" t="n">
        <f aca="false">SQRT((1-(V245/pterm2))^2+(A245/pterm1)^2)</f>
        <v>1.01144472909268</v>
      </c>
      <c r="P245" s="712" t="n">
        <f aca="false">IF((ATAN((A245/pterm1)/(1-A245^2/pterm2))&gt;0),ATAN((A245/pterm1)/(1-A245^2/pterm2)),PI()+ATAN((A245/pterm1)/(1-A245^2/pterm2)))</f>
        <v>0.204948253905004</v>
      </c>
      <c r="Q245" s="713" t="n">
        <f aca="false">20*LOG10(((E245*K245*G245)/(C245*I245*O245*M245))*Adc)</f>
        <v>-10.1155507666145</v>
      </c>
      <c r="R245" s="714" t="n">
        <f aca="false">((F245+L245+H245)-(D245+J245+P245+N245))*radconv</f>
        <v>-134.85719140078</v>
      </c>
      <c r="S245" s="717" t="n">
        <f aca="false">IF(R245&gt;0,R245,R245+180)</f>
        <v>45.1428085992199</v>
      </c>
      <c r="U245" s="644" t="n">
        <f aca="false">IF(Q245&lt;0,A245,1000000000)</f>
        <v>14791</v>
      </c>
      <c r="V245" s="644" t="n">
        <f aca="false">A245^2</f>
        <v>218773681</v>
      </c>
      <c r="X245" s="716" t="n">
        <f aca="false">20*LOG10((K245/(I245*M245))*AEA)</f>
        <v>16.6227740514505</v>
      </c>
      <c r="Y245" s="717" t="n">
        <f aca="false">(L245-(J245+N245))*radconv</f>
        <v>-33.5465189499896</v>
      </c>
      <c r="AA245" s="716" t="n">
        <f aca="false">20*LOG10((E245*G245/(C245*O245))*Acs*Am)</f>
        <v>24.7423005364894</v>
      </c>
      <c r="AB245" s="717" t="n">
        <f aca="false">(F245+H245-(D245+P245))*radconv</f>
        <v>-101.310672450791</v>
      </c>
      <c r="AD245" s="0" t="n">
        <f aca="false">SUM((Q246&lt;0)*(Q245&gt;0))*A245</f>
        <v>0</v>
      </c>
      <c r="AE245" s="0" t="n">
        <f aca="false">IF(AD245&gt;0,S245,0)</f>
        <v>0</v>
      </c>
    </row>
    <row r="246" customFormat="false" ht="12.75" hidden="false" customHeight="false" outlineLevel="0" collapsed="false">
      <c r="A246" s="718" t="n">
        <v>14877.25</v>
      </c>
      <c r="B246" s="706" t="n">
        <f aca="false">A246/1000</f>
        <v>14.87725</v>
      </c>
      <c r="C246" s="707" t="n">
        <f aca="false">SQRT(1+(A246/pole1)^2)</f>
        <v>25.4259052195544</v>
      </c>
      <c r="D246" s="708" t="n">
        <f aca="false">ATAN(A246/pole1)</f>
        <v>1.53145621368216</v>
      </c>
      <c r="E246" s="708" t="n">
        <f aca="false">SQRT(1+(A246/Zero1)^2)</f>
        <v>1.01732563029093</v>
      </c>
      <c r="F246" s="709" t="n">
        <f aca="false">ATAN(A246/Zero1)</f>
        <v>0.184819510801501</v>
      </c>
      <c r="G246" s="708" t="n">
        <f aca="false">IF(VIN_nom&gt;Vout, 1, SQRT(1+(A246/z_RHP)^2))</f>
        <v>1.02402019313928</v>
      </c>
      <c r="H246" s="709" t="n">
        <f aca="false">IF(VIN_nom&gt;Vout, 0, -ATAN(A246/z_RHP))</f>
        <v>-0.217020913830176</v>
      </c>
      <c r="I246" s="707" t="n">
        <f aca="false">SQRT(1+(A246/Pole2)^2)</f>
        <v>61713.5966694574</v>
      </c>
      <c r="J246" s="710" t="n">
        <f aca="false">ATAN(A246/Pole2)</f>
        <v>1.57078012291027</v>
      </c>
      <c r="K246" s="719" t="n">
        <f aca="false">SQRT(1+(A246/Zero2)^2)</f>
        <v>19.1206161258735</v>
      </c>
      <c r="L246" s="720" t="n">
        <f aca="false">ATAN(A246/Zero2)</f>
        <v>1.51847288545726</v>
      </c>
      <c r="M246" s="707" t="n">
        <f aca="false">SQRT(1+(A246/pole4)^2)</f>
        <v>1.16272630909252</v>
      </c>
      <c r="N246" s="710" t="n">
        <f aca="false">ATAN(A246/pole4)</f>
        <v>0.535433319540256</v>
      </c>
      <c r="O246" s="711" t="n">
        <f aca="false">SQRT((1-(V246/pterm2))^2+(A246/pterm1)^2)</f>
        <v>1.01157837924345</v>
      </c>
      <c r="P246" s="712" t="n">
        <f aca="false">IF((ATAN((A246/pterm1)/(1-A246^2/pterm2))&gt;0),ATAN((A246/pterm1)/(1-A246^2/pterm2)),PI()+ATAN((A246/pterm1)/(1-A246^2/pterm2)))</f>
        <v>0.206132899658514</v>
      </c>
      <c r="Q246" s="713" t="n">
        <f aca="false">20*LOG10(((E246*K246*G246)/(C246*I246*O246*M246))*Adc)</f>
        <v>-10.1763270433234</v>
      </c>
      <c r="R246" s="714" t="n">
        <f aca="false">((F246+L246+H246)-(D246+J246+P246+N246))*radconv</f>
        <v>-135.076580728973</v>
      </c>
      <c r="S246" s="717" t="n">
        <f aca="false">IF(R246&gt;0,R246,R246+180)</f>
        <v>44.9234192710274</v>
      </c>
      <c r="U246" s="644" t="n">
        <f aca="false">IF(Q246&lt;0,A246,1000000000)</f>
        <v>14877.25</v>
      </c>
      <c r="V246" s="644" t="n">
        <f aca="false">A246^2</f>
        <v>221332567.5625</v>
      </c>
      <c r="X246" s="716" t="n">
        <f aca="false">20*LOG10((K246/(I246*M246))*AEA)</f>
        <v>16.6095448375327</v>
      </c>
      <c r="Y246" s="717" t="n">
        <f aca="false">(L246-(J246+N246))*radconv</f>
        <v>-33.6750534028621</v>
      </c>
      <c r="AA246" s="716" t="n">
        <f aca="false">20*LOG10((E246*G246/(C246*O246))*Acs*Am)</f>
        <v>24.6947534736982</v>
      </c>
      <c r="AB246" s="717" t="n">
        <f aca="false">(F246+H246-(D246+P246))*radconv</f>
        <v>-101.401527326111</v>
      </c>
      <c r="AD246" s="0" t="n">
        <f aca="false">SUM((Q247&lt;0)*(Q246&gt;0))*A246</f>
        <v>0</v>
      </c>
      <c r="AE246" s="0" t="n">
        <f aca="false">IF(AD246&gt;0,S246,0)</f>
        <v>0</v>
      </c>
    </row>
    <row r="247" customFormat="false" ht="12.75" hidden="false" customHeight="false" outlineLevel="0" collapsed="false">
      <c r="A247" s="718" t="n">
        <v>14963.5</v>
      </c>
      <c r="B247" s="706" t="n">
        <f aca="false">A247/1000</f>
        <v>14.9635</v>
      </c>
      <c r="C247" s="707" t="n">
        <f aca="false">SQRT(1+(A247/pole1)^2)</f>
        <v>25.5730830835369</v>
      </c>
      <c r="D247" s="708" t="n">
        <f aca="false">ATAN(A247/pole1)</f>
        <v>1.53168273923729</v>
      </c>
      <c r="E247" s="708" t="n">
        <f aca="false">SQRT(1+(A247/Zero1)^2)</f>
        <v>1.01752536610863</v>
      </c>
      <c r="F247" s="709" t="n">
        <f aca="false">ATAN(A247/Zero1)</f>
        <v>0.185866552109392</v>
      </c>
      <c r="G247" s="708" t="n">
        <f aca="false">IF(VIN_nom&gt;Vout, 1, SQRT(1+(A247/z_RHP)^2))</f>
        <v>1.02429619868706</v>
      </c>
      <c r="H247" s="709" t="n">
        <f aca="false">IF(VIN_nom&gt;Vout, 0, -ATAN(A247/z_RHP))</f>
        <v>-0.218239617549429</v>
      </c>
      <c r="I247" s="707" t="n">
        <f aca="false">SQRT(1+(A247/Pole2)^2)</f>
        <v>62071.3776915782</v>
      </c>
      <c r="J247" s="710" t="n">
        <f aca="false">ATAN(A247/Pole2)</f>
        <v>1.57078021630988</v>
      </c>
      <c r="K247" s="719" t="n">
        <f aca="false">SQRT(1+(A247/Zero2)^2)</f>
        <v>19.2311644643022</v>
      </c>
      <c r="L247" s="720" t="n">
        <f aca="false">ATAN(A247/Zero2)</f>
        <v>1.51877393370423</v>
      </c>
      <c r="M247" s="707" t="n">
        <f aca="false">SQRT(1+(A247/pole4)^2)</f>
        <v>1.16448482809922</v>
      </c>
      <c r="N247" s="710" t="n">
        <f aca="false">ATAN(A247/pole4)</f>
        <v>0.537973445450584</v>
      </c>
      <c r="O247" s="711" t="n">
        <f aca="false">SQRT((1-(V247/pterm2))^2+(A247/pterm1)^2)</f>
        <v>1.01171280156207</v>
      </c>
      <c r="P247" s="712" t="n">
        <f aca="false">IF((ATAN((A247/pterm1)/(1-A247^2/pterm2))&gt;0),ATAN((A247/pterm1)/(1-A247^2/pterm2)),PI()+ATAN((A247/pterm1)/(1-A247^2/pterm2)))</f>
        <v>0.207317365292898</v>
      </c>
      <c r="Q247" s="713" t="n">
        <f aca="false">20*LOG10(((E247*K247*G247)/(C247*I247*O247*M247))*Adc)</f>
        <v>-10.2368317761073</v>
      </c>
      <c r="R247" s="714" t="n">
        <f aca="false">((F247+L247+H247)-(D247+J247+P247+N247))*radconv</f>
        <v>-135.2955551525</v>
      </c>
      <c r="S247" s="717" t="n">
        <f aca="false">IF(R247&gt;0,R247,R247+180)</f>
        <v>44.7044448475003</v>
      </c>
      <c r="U247" s="644" t="n">
        <f aca="false">IF(Q247&lt;0,A247,1000000000)</f>
        <v>14963.5</v>
      </c>
      <c r="V247" s="644" t="n">
        <f aca="false">A247^2</f>
        <v>223906332.25</v>
      </c>
      <c r="X247" s="716" t="n">
        <f aca="false">20*LOG10((K247/(I247*M247))*AEA)</f>
        <v>16.5962815849463</v>
      </c>
      <c r="Y247" s="717" t="n">
        <f aca="false">(L247-(J247+N247))*radconv</f>
        <v>-33.8033484545243</v>
      </c>
      <c r="AA247" s="716" t="n">
        <f aca="false">20*LOG10((E247*G247/(C247*O247))*Acs*Am)</f>
        <v>24.6475119935008</v>
      </c>
      <c r="AB247" s="717" t="n">
        <f aca="false">(F247+H247-(D247+P247))*radconv</f>
        <v>-101.492206697975</v>
      </c>
      <c r="AD247" s="0" t="n">
        <f aca="false">SUM((Q248&lt;0)*(Q247&gt;0))*A247</f>
        <v>0</v>
      </c>
      <c r="AE247" s="0" t="n">
        <f aca="false">IF(AD247&gt;0,S247,0)</f>
        <v>0</v>
      </c>
    </row>
    <row r="248" customFormat="false" ht="12.75" hidden="false" customHeight="false" outlineLevel="0" collapsed="false">
      <c r="A248" s="718" t="n">
        <v>15049.75</v>
      </c>
      <c r="B248" s="706" t="n">
        <f aca="false">A248/1000</f>
        <v>15.04975</v>
      </c>
      <c r="C248" s="707" t="n">
        <f aca="false">SQRT(1+(A248/pole1)^2)</f>
        <v>25.7202622447541</v>
      </c>
      <c r="D248" s="708" t="n">
        <f aca="false">ATAN(A248/pole1)</f>
        <v>1.53190667230759</v>
      </c>
      <c r="E248" s="708" t="n">
        <f aca="false">SQRT(1+(A248/Zero1)^2)</f>
        <v>1.01772621699624</v>
      </c>
      <c r="F248" s="709" t="n">
        <f aca="false">ATAN(A248/Zero1)</f>
        <v>0.18691318129173</v>
      </c>
      <c r="G248" s="708" t="n">
        <f aca="false">IF(VIN_nom&gt;Vout, 1, SQRT(1+(A248/z_RHP)^2))</f>
        <v>1.02457372473828</v>
      </c>
      <c r="H248" s="709" t="n">
        <f aca="false">IF(VIN_nom&gt;Vout, 0, -ATAN(A248/z_RHP))</f>
        <v>-0.219457662856958</v>
      </c>
      <c r="I248" s="707" t="n">
        <f aca="false">SQRT(1+(A248/Pole2)^2)</f>
        <v>62429.1587136996</v>
      </c>
      <c r="J248" s="710" t="n">
        <f aca="false">ATAN(A248/Pole2)</f>
        <v>1.57078030863895</v>
      </c>
      <c r="K248" s="719" t="n">
        <f aca="false">SQRT(1+(A248/Zero2)^2)</f>
        <v>19.3417145257288</v>
      </c>
      <c r="L248" s="720" t="n">
        <f aca="false">ATAN(A248/Zero2)</f>
        <v>1.51907154061783</v>
      </c>
      <c r="M248" s="707" t="n">
        <f aca="false">SQRT(1+(A248/pole4)^2)</f>
        <v>1.16625083795445</v>
      </c>
      <c r="N248" s="710" t="n">
        <f aca="false">ATAN(A248/pole4)</f>
        <v>0.540505894825162</v>
      </c>
      <c r="O248" s="711" t="n">
        <f aca="false">SQRT((1-(V248/pterm2))^2+(A248/pterm1)^2)</f>
        <v>1.01184799596505</v>
      </c>
      <c r="P248" s="712" t="n">
        <f aca="false">IF((ATAN((A248/pterm1)/(1-A248^2/pterm2))&gt;0),ATAN((A248/pterm1)/(1-A248^2/pterm2)),PI()+ATAN((A248/pterm1)/(1-A248^2/pterm2)))</f>
        <v>0.208501649829823</v>
      </c>
      <c r="Q248" s="713" t="n">
        <f aca="false">20*LOG10(((E248*K248*G248)/(C248*I248*O248*M248))*Adc)</f>
        <v>-10.2970679245391</v>
      </c>
      <c r="R248" s="714" t="n">
        <f aca="false">((F248+L248+H248)-(D248+J248+P248+N248))*radconv</f>
        <v>-135.51411382975</v>
      </c>
      <c r="S248" s="717" t="n">
        <f aca="false">IF(R248&gt;0,R248,R248+180)</f>
        <v>44.4858861702503</v>
      </c>
      <c r="U248" s="644" t="n">
        <f aca="false">IF(Q248&lt;0,A248,1000000000)</f>
        <v>15049.75</v>
      </c>
      <c r="V248" s="644" t="n">
        <f aca="false">A248^2</f>
        <v>226494975.0625</v>
      </c>
      <c r="X248" s="716" t="n">
        <f aca="false">20*LOG10((K248/(I248*M248))*AEA)</f>
        <v>16.5829846873694</v>
      </c>
      <c r="Y248" s="717" t="n">
        <f aca="false">(L248-(J248+N248))*radconv</f>
        <v>-33.9314007856269</v>
      </c>
      <c r="AA248" s="716" t="n">
        <f aca="false">20*LOG10((E248*G248/(C248*O248))*Acs*Am)</f>
        <v>24.6005727426459</v>
      </c>
      <c r="AB248" s="717" t="n">
        <f aca="false">(F248+H248-(D248+P248))*radconv</f>
        <v>-101.582713044123</v>
      </c>
      <c r="AD248" s="0" t="n">
        <f aca="false">SUM((Q249&lt;0)*(Q248&gt;0))*A248</f>
        <v>0</v>
      </c>
      <c r="AE248" s="0" t="n">
        <f aca="false">IF(AD248&gt;0,S248,0)</f>
        <v>0</v>
      </c>
    </row>
    <row r="249" customFormat="false" ht="12.75" hidden="false" customHeight="false" outlineLevel="0" collapsed="false">
      <c r="A249" s="718" t="n">
        <v>15136</v>
      </c>
      <c r="B249" s="706" t="n">
        <f aca="false">A249/1000</f>
        <v>15.136</v>
      </c>
      <c r="C249" s="707" t="n">
        <f aca="false">SQRT(1+(A249/pole1)^2)</f>
        <v>25.867442681063</v>
      </c>
      <c r="D249" s="708" t="n">
        <f aca="false">ATAN(A249/pole1)</f>
        <v>1.53212805712253</v>
      </c>
      <c r="E249" s="708" t="n">
        <f aca="false">SQRT(1+(A249/Zero1)^2)</f>
        <v>1.01792818229372</v>
      </c>
      <c r="F249" s="709" t="n">
        <f aca="false">ATAN(A249/Zero1)</f>
        <v>0.187959396300126</v>
      </c>
      <c r="G249" s="708" t="n">
        <f aca="false">IF(VIN_nom&gt;Vout, 1, SQRT(1+(A249/z_RHP)^2))</f>
        <v>1.02485277005771</v>
      </c>
      <c r="H249" s="709" t="n">
        <f aca="false">IF(VIN_nom&gt;Vout, 0, -ATAN(A249/z_RHP))</f>
        <v>-0.220675046674856</v>
      </c>
      <c r="I249" s="707" t="n">
        <f aca="false">SQRT(1+(A249/Pole2)^2)</f>
        <v>62786.9397358215</v>
      </c>
      <c r="J249" s="710" t="n">
        <f aca="false">ATAN(A249/Pole2)</f>
        <v>1.57078039991577</v>
      </c>
      <c r="K249" s="719" t="n">
        <f aca="false">SQRT(1+(A249/Zero2)^2)</f>
        <v>19.4522662807769</v>
      </c>
      <c r="L249" s="720" t="n">
        <f aca="false">ATAN(A249/Zero2)</f>
        <v>1.51936576481859</v>
      </c>
      <c r="M249" s="707" t="n">
        <f aca="false">SQRT(1+(A249/pole4)^2)</f>
        <v>1.16802430468054</v>
      </c>
      <c r="N249" s="710" t="n">
        <f aca="false">ATAN(A249/pole4)</f>
        <v>0.5430306700749</v>
      </c>
      <c r="O249" s="711" t="n">
        <f aca="false">SQRT((1-(V249/pterm2))^2+(A249/pterm1)^2)</f>
        <v>1.01198396236849</v>
      </c>
      <c r="P249" s="712" t="n">
        <f aca="false">IF((ATAN((A249/pterm1)/(1-A249^2/pterm2))&gt;0),ATAN((A249/pterm1)/(1-A249^2/pterm2)),PI()+ATAN((A249/pterm1)/(1-A249^2/pterm2)))</f>
        <v>0.209685752292057</v>
      </c>
      <c r="Q249" s="713" t="n">
        <f aca="false">20*LOG10(((E249*K249*G249)/(C249*I249*O249*M249))*Adc)</f>
        <v>-10.3570383922801</v>
      </c>
      <c r="R249" s="714" t="n">
        <f aca="false">((F249+L249+H249)-(D249+J249+P249+N249))*radconv</f>
        <v>-135.732255960381</v>
      </c>
      <c r="S249" s="717" t="n">
        <f aca="false">IF(R249&gt;0,R249,R249+180)</f>
        <v>44.2677440396191</v>
      </c>
      <c r="U249" s="644" t="n">
        <f aca="false">IF(Q249&lt;0,A249,1000000000)</f>
        <v>15136</v>
      </c>
      <c r="V249" s="644" t="n">
        <f aca="false">A249^2</f>
        <v>229098496</v>
      </c>
      <c r="X249" s="716" t="n">
        <f aca="false">20*LOG10((K249/(I249*M249))*AEA)</f>
        <v>16.5696545378489</v>
      </c>
      <c r="Y249" s="717" t="n">
        <f aca="false">(L249-(J249+N249))*radconv</f>
        <v>-34.0592071766449</v>
      </c>
      <c r="AA249" s="716" t="n">
        <f aca="false">20*LOG10((E249*G249/(C249*O249))*Acs*Am)</f>
        <v>24.5539324244254</v>
      </c>
      <c r="AB249" s="717" t="n">
        <f aca="false">(F249+H249-(D249+P249))*radconv</f>
        <v>-101.673048783736</v>
      </c>
      <c r="AD249" s="0" t="n">
        <f aca="false">SUM((Q250&lt;0)*(Q249&gt;0))*A249</f>
        <v>0</v>
      </c>
      <c r="AE249" s="0" t="n">
        <f aca="false">IF(AD249&gt;0,S249,0)</f>
        <v>0</v>
      </c>
    </row>
    <row r="250" customFormat="false" ht="12.75" hidden="false" customHeight="false" outlineLevel="0" collapsed="false">
      <c r="A250" s="718" t="n">
        <v>15224</v>
      </c>
      <c r="B250" s="706" t="n">
        <f aca="false">A250/1000</f>
        <v>15.224</v>
      </c>
      <c r="C250" s="707" t="n">
        <f aca="false">SQRT(1+(A250/pole1)^2)</f>
        <v>26.0176106788024</v>
      </c>
      <c r="D250" s="708" t="n">
        <f aca="false">ATAN(A250/pole1)</f>
        <v>1.53235135231809</v>
      </c>
      <c r="E250" s="708" t="n">
        <f aca="false">SQRT(1+(A250/Zero1)^2)</f>
        <v>1.01813539330573</v>
      </c>
      <c r="F250" s="709" t="n">
        <f aca="false">ATAN(A250/Zero1)</f>
        <v>0.189026409874969</v>
      </c>
      <c r="G250" s="708" t="n">
        <f aca="false">IF(VIN_nom&gt;Vout, 1, SQRT(1+(A250/z_RHP)^2))</f>
        <v>1.02513904169842</v>
      </c>
      <c r="H250" s="709" t="n">
        <f aca="false">IF(VIN_nom&gt;Vout, 0, -ATAN(A250/z_RHP))</f>
        <v>-0.221916446093894</v>
      </c>
      <c r="I250" s="707" t="n">
        <f aca="false">SQRT(1+(A250/Pole2)^2)</f>
        <v>63151.9800830304</v>
      </c>
      <c r="J250" s="710" t="n">
        <f aca="false">ATAN(A250/Pole2)</f>
        <v>1.57078049197865</v>
      </c>
      <c r="K250" s="719" t="n">
        <f aca="false">SQRT(1+(A250/Zero2)^2)</f>
        <v>19.5650628306392</v>
      </c>
      <c r="L250" s="720" t="n">
        <f aca="false">ATAN(A250/Zero2)</f>
        <v>1.51966253187048</v>
      </c>
      <c r="M250" s="707" t="n">
        <f aca="false">SQRT(1+(A250/pole4)^2)</f>
        <v>1.16984140495363</v>
      </c>
      <c r="N250" s="710" t="n">
        <f aca="false">ATAN(A250/pole4)</f>
        <v>0.545598766278229</v>
      </c>
      <c r="O250" s="711" t="n">
        <f aca="false">SQRT((1-(V250/pterm2))^2+(A250/pterm1)^2)</f>
        <v>1.01212348307807</v>
      </c>
      <c r="P250" s="712" t="n">
        <f aca="false">IF((ATAN((A250/pterm1)/(1-A250^2/pterm2))&gt;0),ATAN((A250/pterm1)/(1-A250^2/pterm2)),PI()+ATAN((A250/pterm1)/(1-A250^2/pterm2)))</f>
        <v>0.210893691355238</v>
      </c>
      <c r="Q250" s="713" t="n">
        <f aca="false">20*LOG10(((E250*K250*G250)/(C250*I250*O250*M250))*Adc)</f>
        <v>-10.4179547867834</v>
      </c>
      <c r="R250" s="714" t="n">
        <f aca="false">((F250+L250+H250)-(D250+J250+P250+N250))*radconv</f>
        <v>-135.954394065112</v>
      </c>
      <c r="S250" s="717" t="n">
        <f aca="false">IF(R250&gt;0,R250,R250+180)</f>
        <v>44.0456059348883</v>
      </c>
      <c r="U250" s="644" t="n">
        <f aca="false">IF(Q250&lt;0,A250,1000000000)</f>
        <v>15224</v>
      </c>
      <c r="V250" s="644" t="n">
        <f aca="false">A250^2</f>
        <v>231770176</v>
      </c>
      <c r="X250" s="716" t="n">
        <f aca="false">20*LOG10((K250/(I250*M250))*AEA)</f>
        <v>16.5560200578181</v>
      </c>
      <c r="Y250" s="717" t="n">
        <f aca="false">(L250-(J250+N250))*radconv</f>
        <v>-34.1893500258708</v>
      </c>
      <c r="AA250" s="716" t="n">
        <f aca="false">20*LOG10((E250*G250/(C250*O250))*Acs*Am)</f>
        <v>24.5066505099529</v>
      </c>
      <c r="AB250" s="717" t="n">
        <f aca="false">(F250+H250-(D250+P250))*radconv</f>
        <v>-101.765044039241</v>
      </c>
      <c r="AD250" s="0" t="n">
        <f aca="false">SUM((Q251&lt;0)*(Q250&gt;0))*A250</f>
        <v>0</v>
      </c>
      <c r="AE250" s="0" t="n">
        <f aca="false">IF(AD250&gt;0,S250,0)</f>
        <v>0</v>
      </c>
    </row>
    <row r="251" customFormat="false" ht="12.75" hidden="false" customHeight="false" outlineLevel="0" collapsed="false">
      <c r="A251" s="718" t="n">
        <v>15312</v>
      </c>
      <c r="B251" s="706" t="n">
        <f aca="false">A251/1000</f>
        <v>15.312</v>
      </c>
      <c r="C251" s="707" t="n">
        <f aca="false">SQRT(1+(A251/pole1)^2)</f>
        <v>26.1677799589101</v>
      </c>
      <c r="D251" s="708" t="n">
        <f aca="false">ATAN(A251/pole1)</f>
        <v>1.53257208467216</v>
      </c>
      <c r="E251" s="708" t="n">
        <f aca="false">SQRT(1+(A251/Zero1)^2)</f>
        <v>1.01834376301068</v>
      </c>
      <c r="F251" s="709" t="n">
        <f aca="false">ATAN(A251/Zero1)</f>
        <v>0.190092988007036</v>
      </c>
      <c r="G251" s="708" t="n">
        <f aca="false">IF(VIN_nom&gt;Vout, 1, SQRT(1+(A251/z_RHP)^2))</f>
        <v>1.02542689226924</v>
      </c>
      <c r="H251" s="709" t="n">
        <f aca="false">IF(VIN_nom&gt;Vout, 0, -ATAN(A251/z_RHP))</f>
        <v>-0.223157150470359</v>
      </c>
      <c r="I251" s="707" t="n">
        <f aca="false">SQRT(1+(A251/Pole2)^2)</f>
        <v>63517.0204302399</v>
      </c>
      <c r="J251" s="710" t="n">
        <f aca="false">ATAN(A251/Pole2)</f>
        <v>1.57078058298334</v>
      </c>
      <c r="K251" s="719" t="n">
        <f aca="false">SQRT(1+(A251/Zero2)^2)</f>
        <v>19.6778610838556</v>
      </c>
      <c r="L251" s="720" t="n">
        <f aca="false">ATAN(A251/Zero2)</f>
        <v>1.5199558966671</v>
      </c>
      <c r="M251" s="707" t="n">
        <f aca="false">SQRT(1+(A251/pole4)^2)</f>
        <v>1.17166619650867</v>
      </c>
      <c r="N251" s="710" t="n">
        <f aca="false">ATAN(A251/pole4)</f>
        <v>0.548158880046741</v>
      </c>
      <c r="O251" s="711" t="n">
        <f aca="false">SQRT((1-(V251/pterm2))^2+(A251/pterm1)^2)</f>
        <v>1.01226380725567</v>
      </c>
      <c r="P251" s="712" t="n">
        <f aca="false">IF((ATAN((A251/pterm1)/(1-A251^2/pterm2))&gt;0),ATAN((A251/pterm1)/(1-A251^2/pterm2)),PI()+ATAN((A251/pterm1)/(1-A251^2/pterm2)))</f>
        <v>0.212101438828546</v>
      </c>
      <c r="Q251" s="713" t="n">
        <f aca="false">20*LOG10(((E251*K251*G251)/(C251*I251*O251*M251))*Adc)</f>
        <v>-10.4786005446208</v>
      </c>
      <c r="R251" s="714" t="n">
        <f aca="false">((F251+L251+H251)-(D251+J251+P251+N251))*radconv</f>
        <v>-136.176096992989</v>
      </c>
      <c r="S251" s="717" t="n">
        <f aca="false">IF(R251&gt;0,R251,R251+180)</f>
        <v>43.8239030070106</v>
      </c>
      <c r="U251" s="644" t="n">
        <f aca="false">IF(Q251&lt;0,A251,1000000000)</f>
        <v>15312</v>
      </c>
      <c r="V251" s="644" t="n">
        <f aca="false">A251^2</f>
        <v>234457344</v>
      </c>
      <c r="X251" s="716" t="n">
        <f aca="false">20*LOG10((K251/(I251*M251))*AEA)</f>
        <v>16.5423517871056</v>
      </c>
      <c r="Y251" s="717" t="n">
        <f aca="false">(L251-(J251+N251))*radconv</f>
        <v>-34.3192303895089</v>
      </c>
      <c r="AA251" s="716" t="n">
        <f aca="false">20*LOG10((E251*G251/(C251*O251))*Acs*Am)</f>
        <v>24.459673022828</v>
      </c>
      <c r="AB251" s="717" t="n">
        <f aca="false">(F251+H251-(D251+P251))*radconv</f>
        <v>-101.856866603481</v>
      </c>
      <c r="AD251" s="0" t="n">
        <f aca="false">SUM((Q252&lt;0)*(Q251&gt;0))*A251</f>
        <v>0</v>
      </c>
      <c r="AE251" s="0" t="n">
        <f aca="false">IF(AD251&gt;0,S251,0)</f>
        <v>0</v>
      </c>
    </row>
    <row r="252" customFormat="false" ht="12.75" hidden="false" customHeight="false" outlineLevel="0" collapsed="false">
      <c r="A252" s="718" t="n">
        <v>15400</v>
      </c>
      <c r="B252" s="706" t="n">
        <f aca="false">A252/1000</f>
        <v>15.4</v>
      </c>
      <c r="C252" s="707" t="n">
        <f aca="false">SQRT(1+(A252/pole1)^2)</f>
        <v>26.3179504994347</v>
      </c>
      <c r="D252" s="708" t="n">
        <f aca="false">ATAN(A252/pole1)</f>
        <v>1.53279029803385</v>
      </c>
      <c r="E252" s="708" t="n">
        <f aca="false">SQRT(1+(A252/Zero1)^2)</f>
        <v>1.01855329069745</v>
      </c>
      <c r="F252" s="709" t="n">
        <f aca="false">ATAN(A252/Zero1)</f>
        <v>0.191159128537662</v>
      </c>
      <c r="G252" s="708" t="n">
        <f aca="false">IF(VIN_nom&gt;Vout, 1, SQRT(1+(A252/z_RHP)^2))</f>
        <v>1.02571632044085</v>
      </c>
      <c r="H252" s="709" t="n">
        <f aca="false">IF(VIN_nom&gt;Vout, 0, -ATAN(A252/z_RHP))</f>
        <v>-0.224397156571272</v>
      </c>
      <c r="I252" s="707" t="n">
        <f aca="false">SQRT(1+(A252/Pole2)^2)</f>
        <v>63882.0607774499</v>
      </c>
      <c r="J252" s="710" t="n">
        <f aca="false">ATAN(A252/Pole2)</f>
        <v>1.57078067294798</v>
      </c>
      <c r="K252" s="719" t="n">
        <f aca="false">SQRT(1+(A252/Zero2)^2)</f>
        <v>19.790661011301</v>
      </c>
      <c r="L252" s="720" t="n">
        <f aca="false">ATAN(A252/Zero2)</f>
        <v>1.52024591733255</v>
      </c>
      <c r="M252" s="707" t="n">
        <f aca="false">SQRT(1+(A252/pole4)^2)</f>
        <v>1.17349864346581</v>
      </c>
      <c r="N252" s="710" t="n">
        <f aca="false">ATAN(A252/pole4)</f>
        <v>0.550711015137916</v>
      </c>
      <c r="O252" s="711" t="n">
        <f aca="false">SQRT((1-(V252/pterm2))^2+(A252/pterm1)^2)</f>
        <v>1.01240493481079</v>
      </c>
      <c r="P252" s="712" t="n">
        <f aca="false">IF((ATAN((A252/pterm1)/(1-A252^2/pterm2))&gt;0),ATAN((A252/pterm1)/(1-A252^2/pterm2)),PI()+ATAN((A252/pterm1)/(1-A252^2/pterm2)))</f>
        <v>0.213308993677636</v>
      </c>
      <c r="Q252" s="713" t="n">
        <f aca="false">20*LOG10(((E252*K252*G252)/(C252*I252*O252*M252))*Adc)</f>
        <v>-10.5389785784407</v>
      </c>
      <c r="R252" s="714" t="n">
        <f aca="false">((F252+L252+H252)-(D252+J252+P252+N252))*radconv</f>
        <v>-136.397364021628</v>
      </c>
      <c r="S252" s="717" t="n">
        <f aca="false">IF(R252&gt;0,R252,R252+180)</f>
        <v>43.6026359783725</v>
      </c>
      <c r="U252" s="644" t="n">
        <f aca="false">IF(Q252&lt;0,A252,1000000000)</f>
        <v>15400</v>
      </c>
      <c r="V252" s="644" t="n">
        <f aca="false">A252^2</f>
        <v>237160000</v>
      </c>
      <c r="X252" s="716" t="n">
        <f aca="false">20*LOG10((K252/(I252*M252))*AEA)</f>
        <v>16.5286501406817</v>
      </c>
      <c r="Y252" s="717" t="n">
        <f aca="false">(L252-(J252+N252))*radconv</f>
        <v>-34.4488451536203</v>
      </c>
      <c r="AA252" s="716" t="n">
        <f aca="false">20*LOG10((E252*G252/(C252*O252))*Acs*Am)</f>
        <v>24.412996635432</v>
      </c>
      <c r="AB252" s="717" t="n">
        <f aca="false">(F252+H252-(D252+P252))*radconv</f>
        <v>-101.948518868007</v>
      </c>
      <c r="AD252" s="0" t="n">
        <f aca="false">SUM((Q253&lt;0)*(Q252&gt;0))*A252</f>
        <v>0</v>
      </c>
      <c r="AE252" s="0" t="n">
        <f aca="false">IF(AD252&gt;0,S252,0)</f>
        <v>0</v>
      </c>
    </row>
    <row r="253" customFormat="false" ht="12.75" hidden="false" customHeight="false" outlineLevel="0" collapsed="false">
      <c r="A253" s="718" t="n">
        <v>15488</v>
      </c>
      <c r="B253" s="706" t="n">
        <f aca="false">A253/1000</f>
        <v>15.488</v>
      </c>
      <c r="C253" s="707" t="n">
        <f aca="false">SQRT(1+(A253/pole1)^2)</f>
        <v>26.4681222789228</v>
      </c>
      <c r="D253" s="708" t="n">
        <f aca="false">ATAN(A253/pole1)</f>
        <v>1.53300603525811</v>
      </c>
      <c r="E253" s="708" t="n">
        <f aca="false">SQRT(1+(A253/Zero1)^2)</f>
        <v>1.01876397565157</v>
      </c>
      <c r="F253" s="709" t="n">
        <f aca="false">ATAN(A253/Zero1)</f>
        <v>0.192224829313931</v>
      </c>
      <c r="G253" s="708" t="n">
        <f aca="false">IF(VIN_nom&gt;Vout, 1, SQRT(1+(A253/z_RHP)^2))</f>
        <v>1.02600732487817</v>
      </c>
      <c r="H253" s="709" t="n">
        <f aca="false">IF(VIN_nom&gt;Vout, 0, -ATAN(A253/z_RHP))</f>
        <v>-0.225636461175883</v>
      </c>
      <c r="I253" s="707" t="n">
        <f aca="false">SQRT(1+(A253/Pole2)^2)</f>
        <v>64247.1011246604</v>
      </c>
      <c r="J253" s="710" t="n">
        <f aca="false">ATAN(A253/Pole2)</f>
        <v>1.57078076189029</v>
      </c>
      <c r="K253" s="719" t="n">
        <f aca="false">SQRT(1+(A253/Zero2)^2)</f>
        <v>19.9034625845099</v>
      </c>
      <c r="L253" s="720" t="n">
        <f aca="false">ATAN(A253/Zero2)</f>
        <v>1.52053265067557</v>
      </c>
      <c r="M253" s="707" t="n">
        <f aca="false">SQRT(1+(A253/pole4)^2)</f>
        <v>1.17533871001889</v>
      </c>
      <c r="N253" s="710" t="n">
        <f aca="false">ATAN(A253/pole4)</f>
        <v>0.553255175701599</v>
      </c>
      <c r="O253" s="711" t="n">
        <f aca="false">SQRT((1-(V253/pterm2))^2+(A253/pterm1)^2)</f>
        <v>1.01254686565249</v>
      </c>
      <c r="P253" s="712" t="n">
        <f aca="false">IF((ATAN((A253/pterm1)/(1-A253^2/pterm2))&gt;0),ATAN((A253/pterm1)/(1-A253^2/pterm2)),PI()+ATAN((A253/pterm1)/(1-A253^2/pterm2)))</f>
        <v>0.214516354869384</v>
      </c>
      <c r="Q253" s="713" t="n">
        <f aca="false">20*LOG10(((E253*K253*G253)/(C253*I253*O253*M253))*Adc)</f>
        <v>-10.5990917459609</v>
      </c>
      <c r="R253" s="714" t="n">
        <f aca="false">((F253+L253+H253)-(D253+J253+P253+N253))*radconv</f>
        <v>-136.618194469941</v>
      </c>
      <c r="S253" s="717" t="n">
        <f aca="false">IF(R253&gt;0,R253,R253+180)</f>
        <v>43.3818055300587</v>
      </c>
      <c r="U253" s="644" t="n">
        <f aca="false">IF(Q253&lt;0,A253,1000000000)</f>
        <v>15488</v>
      </c>
      <c r="V253" s="644" t="n">
        <f aca="false">A253^2</f>
        <v>239878144</v>
      </c>
      <c r="X253" s="716" t="n">
        <f aca="false">20*LOG10((K253/(I253*M253))*AEA)</f>
        <v>16.5149155325334</v>
      </c>
      <c r="Y253" s="717" t="n">
        <f aca="false">(L253-(J253+N253))*radconv</f>
        <v>-34.5781913020892</v>
      </c>
      <c r="AA253" s="716" t="n">
        <f aca="false">20*LOG10((E253*G253/(C253*O253))*Acs*Am)</f>
        <v>24.3666180760601</v>
      </c>
      <c r="AB253" s="717" t="n">
        <f aca="false">(F253+H253-(D253+P253))*radconv</f>
        <v>-102.040003167852</v>
      </c>
      <c r="AD253" s="0" t="n">
        <f aca="false">SUM((Q254&lt;0)*(Q253&gt;0))*A253</f>
        <v>0</v>
      </c>
      <c r="AE253" s="0" t="n">
        <f aca="false">IF(AD253&gt;0,S253,0)</f>
        <v>0</v>
      </c>
    </row>
    <row r="254" customFormat="false" ht="12.75" hidden="false" customHeight="false" outlineLevel="0" collapsed="false">
      <c r="A254" s="718" t="n">
        <v>15578.25</v>
      </c>
      <c r="B254" s="706" t="n">
        <f aca="false">A254/1000</f>
        <v>15.57825</v>
      </c>
      <c r="C254" s="707" t="n">
        <f aca="false">SQRT(1+(A254/pole1)^2)</f>
        <v>26.6221349426953</v>
      </c>
      <c r="D254" s="708" t="n">
        <f aca="false">ATAN(A254/pole1)</f>
        <v>1.53322476045214</v>
      </c>
      <c r="E254" s="708" t="n">
        <f aca="false">SQRT(1+(A254/Zero1)^2)</f>
        <v>1.01898124871437</v>
      </c>
      <c r="F254" s="709" t="n">
        <f aca="false">ATAN(A254/Zero1)</f>
        <v>0.19331731910857</v>
      </c>
      <c r="G254" s="708" t="n">
        <f aca="false">IF(VIN_nom&gt;Vout, 1, SQRT(1+(A254/z_RHP)^2))</f>
        <v>1.02630740559956</v>
      </c>
      <c r="H254" s="709" t="n">
        <f aca="false">IF(VIN_nom&gt;Vout, 0, -ATAN(A254/z_RHP))</f>
        <v>-0.226906720555466</v>
      </c>
      <c r="I254" s="707" t="n">
        <f aca="false">SQRT(1+(A254/Pole2)^2)</f>
        <v>64621.4748898399</v>
      </c>
      <c r="J254" s="710" t="n">
        <f aca="false">ATAN(A254/Pole2)</f>
        <v>1.57078085206298</v>
      </c>
      <c r="K254" s="719" t="n">
        <f aca="false">SQRT(1+(A254/Zero2)^2)</f>
        <v>20.01914996913</v>
      </c>
      <c r="L254" s="720" t="n">
        <f aca="false">ATAN(A254/Zero2)</f>
        <v>1.52082335895699</v>
      </c>
      <c r="M254" s="707" t="n">
        <f aca="false">SQRT(1+(A254/pole4)^2)</f>
        <v>1.17723370061501</v>
      </c>
      <c r="N254" s="710" t="n">
        <f aca="false">ATAN(A254/pole4)</f>
        <v>0.555856107604894</v>
      </c>
      <c r="O254" s="711" t="n">
        <f aca="false">SQRT((1-(V254/pterm2))^2+(A254/pterm1)^2)</f>
        <v>1.01269325966903</v>
      </c>
      <c r="P254" s="712" t="n">
        <f aca="false">IF((ATAN((A254/pterm1)/(1-A254^2/pterm2))&gt;0),ATAN((A254/pterm1)/(1-A254^2/pterm2)),PI()+ATAN((A254/pterm1)/(1-A254^2/pterm2)))</f>
        <v>0.21575438386282</v>
      </c>
      <c r="Q254" s="713" t="n">
        <f aca="false">20*LOG10(((E254*K254*G254)/(C254*I254*O254*M254))*Adc)</f>
        <v>-10.6604697238245</v>
      </c>
      <c r="R254" s="714" t="n">
        <f aca="false">((F254+L254+H254)-(D254+J254+P254+N254))*radconv</f>
        <v>-136.844217013652</v>
      </c>
      <c r="S254" s="717" t="n">
        <f aca="false">IF(R254&gt;0,R254,R254+180)</f>
        <v>43.1557829863482</v>
      </c>
      <c r="U254" s="644" t="n">
        <f aca="false">IF(Q254&lt;0,A254,1000000000)</f>
        <v>15578.25</v>
      </c>
      <c r="V254" s="644" t="n">
        <f aca="false">A254^2</f>
        <v>242681873.0625</v>
      </c>
      <c r="X254" s="716" t="n">
        <f aca="false">20*LOG10((K254/(I254*M254))*AEA)</f>
        <v>16.5007959513269</v>
      </c>
      <c r="Y254" s="717" t="n">
        <f aca="false">(L254-(J254+N254))*radconv</f>
        <v>-34.7105625320198</v>
      </c>
      <c r="AA254" s="716" t="n">
        <f aca="false">20*LOG10((E254*G254/(C254*O254))*Acs*Am)</f>
        <v>24.3193596794029</v>
      </c>
      <c r="AB254" s="717" t="n">
        <f aca="false">(F254+H254-(D254+P254))*radconv</f>
        <v>-102.133654481632</v>
      </c>
      <c r="AD254" s="0" t="n">
        <f aca="false">SUM((Q255&lt;0)*(Q254&gt;0))*A254</f>
        <v>0</v>
      </c>
      <c r="AE254" s="0" t="n">
        <f aca="false">IF(AD254&gt;0,S254,0)</f>
        <v>0</v>
      </c>
    </row>
    <row r="255" customFormat="false" ht="12.75" hidden="false" customHeight="false" outlineLevel="0" collapsed="false">
      <c r="A255" s="718" t="n">
        <v>15668.5</v>
      </c>
      <c r="B255" s="706" t="n">
        <f aca="false">A255/1000</f>
        <v>15.6685</v>
      </c>
      <c r="C255" s="707" t="n">
        <f aca="false">SQRT(1+(A255/pole1)^2)</f>
        <v>26.7761488654382</v>
      </c>
      <c r="D255" s="708" t="n">
        <f aca="false">ATAN(A255/pole1)</f>
        <v>1.53344096948239</v>
      </c>
      <c r="E255" s="708" t="n">
        <f aca="false">SQRT(1+(A255/Zero1)^2)</f>
        <v>1.0191997374465</v>
      </c>
      <c r="F255" s="709" t="n">
        <f aca="false">ATAN(A255/Zero1)</f>
        <v>0.194409341805853</v>
      </c>
      <c r="G255" s="708" t="n">
        <f aca="false">IF(VIN_nom&gt;Vout, 1, SQRT(1+(A255/z_RHP)^2))</f>
        <v>1.02660914135873</v>
      </c>
      <c r="H255" s="709" t="n">
        <f aca="false">IF(VIN_nom&gt;Vout, 0, -ATAN(A255/z_RHP))</f>
        <v>-0.228176235286079</v>
      </c>
      <c r="I255" s="707" t="n">
        <f aca="false">SQRT(1+(A255/Pole2)^2)</f>
        <v>64995.8486550199</v>
      </c>
      <c r="J255" s="710" t="n">
        <f aca="false">ATAN(A255/Pole2)</f>
        <v>1.57078094119688</v>
      </c>
      <c r="K255" s="719" t="n">
        <f aca="false">SQRT(1+(A255/Zero2)^2)</f>
        <v>20.1348390261531</v>
      </c>
      <c r="L255" s="720" t="n">
        <f aca="false">ATAN(A255/Zero2)</f>
        <v>1.5211107266083</v>
      </c>
      <c r="M255" s="707" t="n">
        <f aca="false">SQRT(1+(A255/pole4)^2)</f>
        <v>1.17913662938809</v>
      </c>
      <c r="N255" s="710" t="n">
        <f aca="false">ATAN(A255/pole4)</f>
        <v>0.558448662063562</v>
      </c>
      <c r="O255" s="711" t="n">
        <f aca="false">SQRT((1-(V255/pterm2))^2+(A255/pterm1)^2)</f>
        <v>1.01284049837921</v>
      </c>
      <c r="P255" s="712" t="n">
        <f aca="false">IF((ATAN((A255/pterm1)/(1-A255^2/pterm2))&gt;0),ATAN((A255/pterm1)/(1-A255^2/pterm2)),PI()+ATAN((A255/pterm1)/(1-A255^2/pterm2)))</f>
        <v>0.216992206972296</v>
      </c>
      <c r="Q255" s="713" t="n">
        <f aca="false">20*LOG10(((E255*K255*G255)/(C255*I255*O255*M255))*Adc)</f>
        <v>-10.721575034658</v>
      </c>
      <c r="R255" s="714" t="n">
        <f aca="false">((F255+L255+H255)-(D255+J255+P255+N255))*radconv</f>
        <v>-137.069779045247</v>
      </c>
      <c r="S255" s="717" t="n">
        <f aca="false">IF(R255&gt;0,R255,R255+180)</f>
        <v>42.9302209547533</v>
      </c>
      <c r="U255" s="644" t="n">
        <f aca="false">IF(Q255&lt;0,A255,1000000000)</f>
        <v>15668.5</v>
      </c>
      <c r="V255" s="644" t="n">
        <f aca="false">A255^2</f>
        <v>245501892.25</v>
      </c>
      <c r="X255" s="716" t="n">
        <f aca="false">20*LOG10((K255/(I255*M255))*AEA)</f>
        <v>16.4866425798264</v>
      </c>
      <c r="Y255" s="717" t="n">
        <f aca="false">(L255-(J255+N255))*radconv</f>
        <v>-34.8426451142182</v>
      </c>
      <c r="AA255" s="716" t="n">
        <f aca="false">20*LOG10((E255*G255/(C255*O255))*Acs*Am)</f>
        <v>24.2724077400699</v>
      </c>
      <c r="AB255" s="717" t="n">
        <f aca="false">(F255+H255-(D255+P255))*radconv</f>
        <v>-102.227133931029</v>
      </c>
      <c r="AD255" s="0" t="n">
        <f aca="false">SUM((Q256&lt;0)*(Q255&gt;0))*A255</f>
        <v>0</v>
      </c>
      <c r="AE255" s="0" t="n">
        <f aca="false">IF(AD255&gt;0,S255,0)</f>
        <v>0</v>
      </c>
    </row>
    <row r="256" customFormat="false" ht="12.75" hidden="false" customHeight="false" outlineLevel="0" collapsed="false">
      <c r="A256" s="718" t="n">
        <v>15758.75</v>
      </c>
      <c r="B256" s="706" t="n">
        <f aca="false">A256/1000</f>
        <v>15.75875</v>
      </c>
      <c r="C256" s="707" t="n">
        <f aca="false">SQRT(1+(A256/pole1)^2)</f>
        <v>26.9301640255513</v>
      </c>
      <c r="D256" s="708" t="n">
        <f aca="false">ATAN(A256/pole1)</f>
        <v>1.53365470549873</v>
      </c>
      <c r="E256" s="708" t="n">
        <f aca="false">SQRT(1+(A256/Zero1)^2)</f>
        <v>1.01941944106632</v>
      </c>
      <c r="F256" s="709" t="n">
        <f aca="false">ATAN(A256/Zero1)</f>
        <v>0.195500895102451</v>
      </c>
      <c r="G256" s="708" t="n">
        <f aca="false">IF(VIN_nom&gt;Vout, 1, SQRT(1+(A256/z_RHP)^2))</f>
        <v>1.02691253069677</v>
      </c>
      <c r="H256" s="709" t="n">
        <f aca="false">IF(VIN_nom&gt;Vout, 0, -ATAN(A256/z_RHP))</f>
        <v>-0.229445001933858</v>
      </c>
      <c r="I256" s="707" t="n">
        <f aca="false">SQRT(1+(A256/Pole2)^2)</f>
        <v>65370.2224202004</v>
      </c>
      <c r="J256" s="710" t="n">
        <f aca="false">ATAN(A256/Pole2)</f>
        <v>1.57078102930985</v>
      </c>
      <c r="K256" s="719" t="n">
        <f aca="false">SQRT(1+(A256/Zero2)^2)</f>
        <v>20.2505297269164</v>
      </c>
      <c r="L256" s="720" t="n">
        <f aca="false">ATAN(A256/Zero2)</f>
        <v>1.52139481083639</v>
      </c>
      <c r="M256" s="707" t="n">
        <f aca="false">SQRT(1+(A256/pole4)^2)</f>
        <v>1.18104745796764</v>
      </c>
      <c r="N256" s="710" t="n">
        <f aca="false">ATAN(A256/pole4)</f>
        <v>0.561032844804728</v>
      </c>
      <c r="O256" s="711" t="n">
        <f aca="false">SQRT((1-(V256/pterm2))^2+(A256/pterm1)^2)</f>
        <v>1.01298858168345</v>
      </c>
      <c r="P256" s="712" t="n">
        <f aca="false">IF((ATAN((A256/pterm1)/(1-A256^2/pterm2))&gt;0),ATAN((A256/pterm1)/(1-A256^2/pterm2)),PI()+ATAN((A256/pterm1)/(1-A256^2/pterm2)))</f>
        <v>0.218229823087429</v>
      </c>
      <c r="Q256" s="713" t="n">
        <f aca="false">20*LOG10(((E256*K256*G256)/(C256*I256*O256*M256))*Adc)</f>
        <v>-10.7824105896296</v>
      </c>
      <c r="R256" s="714" t="n">
        <f aca="false">((F256+L256+H256)-(D256+J256+P256+N256))*radconv</f>
        <v>-137.294879960085</v>
      </c>
      <c r="S256" s="717" t="n">
        <f aca="false">IF(R256&gt;0,R256,R256+180)</f>
        <v>42.7051200399149</v>
      </c>
      <c r="U256" s="644" t="n">
        <f aca="false">IF(Q256&lt;0,A256,1000000000)</f>
        <v>15758.75</v>
      </c>
      <c r="V256" s="644" t="n">
        <f aca="false">A256^2</f>
        <v>248338201.5625</v>
      </c>
      <c r="X256" s="716" t="n">
        <f aca="false">20*LOG10((K256/(I256*M256))*AEA)</f>
        <v>16.4724558609291</v>
      </c>
      <c r="Y256" s="717" t="n">
        <f aca="false">(L256-(J256+N256))*radconv</f>
        <v>-34.9744361001333</v>
      </c>
      <c r="AA256" s="716" t="n">
        <f aca="false">20*LOG10((E256*G256/(C256*O256))*Acs*Am)</f>
        <v>24.2257589039956</v>
      </c>
      <c r="AB256" s="717" t="n">
        <f aca="false">(F256+H256-(D256+P256))*radconv</f>
        <v>-102.320443859952</v>
      </c>
      <c r="AD256" s="0" t="n">
        <f aca="false">SUM((Q257&lt;0)*(Q256&gt;0))*A256</f>
        <v>0</v>
      </c>
      <c r="AE256" s="0" t="n">
        <f aca="false">IF(AD256&gt;0,S256,0)</f>
        <v>0</v>
      </c>
    </row>
    <row r="257" customFormat="false" ht="12.75" hidden="false" customHeight="false" outlineLevel="0" collapsed="false">
      <c r="A257" s="718" t="n">
        <v>15849</v>
      </c>
      <c r="B257" s="706" t="n">
        <f aca="false">A257/1000</f>
        <v>15.849</v>
      </c>
      <c r="C257" s="707" t="n">
        <f aca="false">SQRT(1+(A257/pole1)^2)</f>
        <v>27.0841804019256</v>
      </c>
      <c r="D257" s="708" t="n">
        <f aca="false">ATAN(A257/pole1)</f>
        <v>1.53386601067044</v>
      </c>
      <c r="E257" s="708" t="n">
        <f aca="false">SQRT(1+(A257/Zero1)^2)</f>
        <v>1.01964035878851</v>
      </c>
      <c r="F257" s="709" t="n">
        <f aca="false">ATAN(A257/Zero1)</f>
        <v>0.196591976701489</v>
      </c>
      <c r="G257" s="708" t="n">
        <f aca="false">IF(VIN_nom&gt;Vout, 1, SQRT(1+(A257/z_RHP)^2))</f>
        <v>1.02721757214854</v>
      </c>
      <c r="H257" s="709" t="n">
        <f aca="false">IF(VIN_nom&gt;Vout, 0, -ATAN(A257/z_RHP))</f>
        <v>-0.230713017078616</v>
      </c>
      <c r="I257" s="707" t="n">
        <f aca="false">SQRT(1+(A257/Pole2)^2)</f>
        <v>65744.5961853815</v>
      </c>
      <c r="J257" s="710" t="n">
        <f aca="false">ATAN(A257/Pole2)</f>
        <v>1.57078111641932</v>
      </c>
      <c r="K257" s="719" t="n">
        <f aca="false">SQRT(1+(A257/Zero2)^2)</f>
        <v>20.366222043408</v>
      </c>
      <c r="L257" s="720" t="n">
        <f aca="false">ATAN(A257/Zero2)</f>
        <v>1.52167566755044</v>
      </c>
      <c r="M257" s="707" t="n">
        <f aca="false">SQRT(1+(A257/pole4)^2)</f>
        <v>1.18296614807234</v>
      </c>
      <c r="N257" s="710" t="n">
        <f aca="false">ATAN(A257/pole4)</f>
        <v>0.56360866196584</v>
      </c>
      <c r="O257" s="711" t="n">
        <f aca="false">SQRT((1-(V257/pterm2))^2+(A257/pterm1)^2)</f>
        <v>1.01313750948164</v>
      </c>
      <c r="P257" s="712" t="n">
        <f aca="false">IF((ATAN((A257/pterm1)/(1-A257^2/pterm2))&gt;0),ATAN((A257/pterm1)/(1-A257^2/pterm2)),PI()+ATAN((A257/pterm1)/(1-A257^2/pterm2)))</f>
        <v>0.219467231099213</v>
      </c>
      <c r="Q257" s="713" t="n">
        <f aca="false">20*LOG10(((E257*K257*G257)/(C257*I257*O257*M257))*Adc)</f>
        <v>-10.8429792448395</v>
      </c>
      <c r="R257" s="714" t="n">
        <f aca="false">((F257+L257+H257)-(D257+J257+P257+N257))*radconv</f>
        <v>-137.519519195676</v>
      </c>
      <c r="S257" s="717" t="n">
        <f aca="false">IF(R257&gt;0,R257,R257+180)</f>
        <v>42.4804808043241</v>
      </c>
      <c r="U257" s="644" t="n">
        <f aca="false">IF(Q257&lt;0,A257,1000000000)</f>
        <v>15849</v>
      </c>
      <c r="V257" s="644" t="n">
        <f aca="false">A257^2</f>
        <v>251190801</v>
      </c>
      <c r="X257" s="716" t="n">
        <f aca="false">20*LOG10((K257/(I257*M257))*AEA)</f>
        <v>16.4582362361555</v>
      </c>
      <c r="Y257" s="717" t="n">
        <f aca="false">(L257-(J257+N257))*radconv</f>
        <v>-35.1059326390546</v>
      </c>
      <c r="AA257" s="716" t="n">
        <f aca="false">20*LOG10((E257*G257/(C257*O257))*Acs*Am)</f>
        <v>24.1794098735594</v>
      </c>
      <c r="AB257" s="717" t="n">
        <f aca="false">(F257+H257-(D257+P257))*radconv</f>
        <v>-102.413586556621</v>
      </c>
      <c r="AD257" s="0" t="n">
        <f aca="false">SUM((Q258&lt;0)*(Q257&gt;0))*A257</f>
        <v>0</v>
      </c>
      <c r="AE257" s="0" t="n">
        <f aca="false">IF(AD257&gt;0,S257,0)</f>
        <v>0</v>
      </c>
    </row>
    <row r="258" customFormat="false" ht="12.75" hidden="false" customHeight="false" outlineLevel="0" collapsed="false">
      <c r="A258" s="718" t="n">
        <v>15941.25</v>
      </c>
      <c r="B258" s="706" t="n">
        <f aca="false">A258/1000</f>
        <v>15.94125</v>
      </c>
      <c r="C258" s="707" t="n">
        <f aca="false">SQRT(1+(A258/pole1)^2)</f>
        <v>27.2416111191056</v>
      </c>
      <c r="D258" s="708" t="n">
        <f aca="false">ATAN(A258/pole1)</f>
        <v>1.53407952916587</v>
      </c>
      <c r="E258" s="708" t="n">
        <f aca="false">SQRT(1+(A258/Zero1)^2)</f>
        <v>1.01986742613129</v>
      </c>
      <c r="F258" s="709" t="n">
        <f aca="false">ATAN(A258/Zero1)</f>
        <v>0.197706747516509</v>
      </c>
      <c r="G258" s="708" t="n">
        <f aca="false">IF(VIN_nom&gt;Vout, 1, SQRT(1+(A258/z_RHP)^2))</f>
        <v>1.02753107942705</v>
      </c>
      <c r="H258" s="709" t="n">
        <f aca="false">IF(VIN_nom&gt;Vout, 0, -ATAN(A258/z_RHP))</f>
        <v>-0.232008352067259</v>
      </c>
      <c r="I258" s="707" t="n">
        <f aca="false">SQRT(1+(A258/Pole2)^2)</f>
        <v>66127.2663220905</v>
      </c>
      <c r="J258" s="710" t="n">
        <f aca="false">ATAN(A258/Pole2)</f>
        <v>1.57078120443984</v>
      </c>
      <c r="K258" s="719" t="n">
        <f aca="false">SQRT(1+(A258/Zero2)^2)</f>
        <v>20.4844798198794</v>
      </c>
      <c r="L258" s="720" t="n">
        <f aca="false">ATAN(A258/Zero2)</f>
        <v>1.52195946953173</v>
      </c>
      <c r="M258" s="707" t="n">
        <f aca="false">SQRT(1+(A258/pole4)^2)</f>
        <v>1.18493544264554</v>
      </c>
      <c r="N258" s="710" t="n">
        <f aca="false">ATAN(A258/pole4)</f>
        <v>0.566232922046389</v>
      </c>
      <c r="O258" s="711" t="n">
        <f aca="false">SQRT((1-(V258/pterm2))^2+(A258/pterm1)^2)</f>
        <v>1.01329061028726</v>
      </c>
      <c r="P258" s="712" t="n">
        <f aca="false">IF((ATAN((A258/pterm1)/(1-A258^2/pterm2))&gt;0),ATAN((A258/pterm1)/(1-A258^2/pterm2)),PI()+ATAN((A258/pterm1)/(1-A258^2/pterm2)))</f>
        <v>0.220731844670014</v>
      </c>
      <c r="Q258" s="713" t="n">
        <f aca="false">20*LOG10(((E258*K258*G258)/(C258*I258*O258*M258))*Adc)</f>
        <v>-10.9046172217081</v>
      </c>
      <c r="R258" s="714" t="n">
        <f aca="false">((F258+L258+H258)-(D258+J258+P258+N258))*radconv</f>
        <v>-137.748658904395</v>
      </c>
      <c r="S258" s="717" t="n">
        <f aca="false">IF(R258&gt;0,R258,R258+180)</f>
        <v>42.2513410956048</v>
      </c>
      <c r="U258" s="644" t="n">
        <f aca="false">IF(Q258&lt;0,A258,1000000000)</f>
        <v>15941.25</v>
      </c>
      <c r="V258" s="644" t="n">
        <f aca="false">A258^2</f>
        <v>254123451.5625</v>
      </c>
      <c r="X258" s="716" t="n">
        <f aca="false">20*LOG10((K258/(I258*M258))*AEA)</f>
        <v>16.4436679454291</v>
      </c>
      <c r="Y258" s="717" t="n">
        <f aca="false">(L258-(J258+N258))*radconv</f>
        <v>-35.2400360536273</v>
      </c>
      <c r="AA258" s="716" t="n">
        <f aca="false">20*LOG10((E258*G258/(C258*O258))*Acs*Am)</f>
        <v>24.1323401874172</v>
      </c>
      <c r="AB258" s="717" t="n">
        <f aca="false">(F258+H258-(D258+P258))*radconv</f>
        <v>-102.508622850768</v>
      </c>
      <c r="AD258" s="0" t="n">
        <f aca="false">SUM((Q259&lt;0)*(Q258&gt;0))*A258</f>
        <v>0</v>
      </c>
      <c r="AE258" s="0" t="n">
        <f aca="false">IF(AD258&gt;0,S258,0)</f>
        <v>0</v>
      </c>
    </row>
    <row r="259" customFormat="false" ht="12.75" hidden="false" customHeight="false" outlineLevel="0" collapsed="false">
      <c r="A259" s="718" t="n">
        <v>16033.5</v>
      </c>
      <c r="B259" s="706" t="n">
        <f aca="false">A259/1000</f>
        <v>16.0335</v>
      </c>
      <c r="C259" s="707" t="n">
        <f aca="false">SQRT(1+(A259/pole1)^2)</f>
        <v>27.3990430639626</v>
      </c>
      <c r="D259" s="708" t="n">
        <f aca="false">ATAN(A259/pole1)</f>
        <v>1.53429059396237</v>
      </c>
      <c r="E259" s="708" t="n">
        <f aca="false">SQRT(1+(A259/Zero1)^2)</f>
        <v>1.02009576031243</v>
      </c>
      <c r="F259" s="709" t="n">
        <f aca="false">ATAN(A259/Zero1)</f>
        <v>0.198821020663999</v>
      </c>
      <c r="G259" s="708" t="n">
        <f aca="false">IF(VIN_nom&gt;Vout, 1, SQRT(1+(A259/z_RHP)^2))</f>
        <v>1.02784630973906</v>
      </c>
      <c r="H259" s="709" t="n">
        <f aca="false">IF(VIN_nom&gt;Vout, 0, -ATAN(A259/z_RHP))</f>
        <v>-0.233302894694003</v>
      </c>
      <c r="I259" s="707" t="n">
        <f aca="false">SQRT(1+(A259/Pole2)^2)</f>
        <v>66509.9364588002</v>
      </c>
      <c r="J259" s="710" t="n">
        <f aca="false">ATAN(A259/Pole2)</f>
        <v>1.5707812914475</v>
      </c>
      <c r="K259" s="719" t="n">
        <f aca="false">SQRT(1+(A259/Zero2)^2)</f>
        <v>20.6027392273032</v>
      </c>
      <c r="L259" s="720" t="n">
        <f aca="false">ATAN(A259/Zero2)</f>
        <v>1.52224001349735</v>
      </c>
      <c r="M259" s="707" t="n">
        <f aca="false">SQRT(1+(A259/pole4)^2)</f>
        <v>1.18691287045063</v>
      </c>
      <c r="N259" s="710" t="n">
        <f aca="false">ATAN(A259/pole4)</f>
        <v>0.568848455918046</v>
      </c>
      <c r="O259" s="711" t="n">
        <f aca="false">SQRT((1-(V259/pterm2))^2+(A259/pterm1)^2)</f>
        <v>1.01344459321757</v>
      </c>
      <c r="P259" s="712" t="n">
        <f aca="false">IF((ATAN((A259/pterm1)/(1-A259^2/pterm2))&gt;0),ATAN((A259/pterm1)/(1-A259^2/pterm2)),PI()+ATAN((A259/pterm1)/(1-A259^2/pterm2)))</f>
        <v>0.221996238473182</v>
      </c>
      <c r="Q259" s="713" t="n">
        <f aca="false">20*LOG10(((E259*K259*G259)/(C259*I259*O259*M259))*Adc)</f>
        <v>-10.9659822023853</v>
      </c>
      <c r="R259" s="714" t="n">
        <f aca="false">((F259+L259+H259)-(D259+J259+P259+N259))*radconv</f>
        <v>-137.977315187593</v>
      </c>
      <c r="S259" s="717" t="n">
        <f aca="false">IF(R259&gt;0,R259,R259+180)</f>
        <v>42.0226848124071</v>
      </c>
      <c r="U259" s="644" t="n">
        <f aca="false">IF(Q259&lt;0,A259,1000000000)</f>
        <v>16033.5</v>
      </c>
      <c r="V259" s="644" t="n">
        <f aca="false">A259^2</f>
        <v>257073122.25</v>
      </c>
      <c r="X259" s="716" t="n">
        <f aca="false">20*LOG10((K259/(I259*M259))*AEA)</f>
        <v>16.4290662023896</v>
      </c>
      <c r="Y259" s="717" t="n">
        <f aca="false">(L259-(J259+N259))*radconv</f>
        <v>-35.3738261057732</v>
      </c>
      <c r="AA259" s="716" t="n">
        <f aca="false">20*LOG10((E259*G259/(C259*O259))*Acs*Am)</f>
        <v>24.0855769497795</v>
      </c>
      <c r="AB259" s="717" t="n">
        <f aca="false">(F259+H259-(D259+P259))*radconv</f>
        <v>-102.60348908182</v>
      </c>
      <c r="AD259" s="0" t="n">
        <f aca="false">SUM((Q260&lt;0)*(Q259&gt;0))*A259</f>
        <v>0</v>
      </c>
      <c r="AE259" s="0" t="n">
        <f aca="false">IF(AD259&gt;0,S259,0)</f>
        <v>0</v>
      </c>
    </row>
    <row r="260" customFormat="false" ht="12.75" hidden="false" customHeight="false" outlineLevel="0" collapsed="false">
      <c r="A260" s="718" t="n">
        <v>16125.75</v>
      </c>
      <c r="B260" s="706" t="n">
        <f aca="false">A260/1000</f>
        <v>16.12575</v>
      </c>
      <c r="C260" s="707" t="n">
        <f aca="false">SQRT(1+(A260/pole1)^2)</f>
        <v>27.5564762154551</v>
      </c>
      <c r="D260" s="708" t="n">
        <f aca="false">ATAN(A260/pole1)</f>
        <v>1.53449924709571</v>
      </c>
      <c r="E260" s="708" t="n">
        <f aca="false">SQRT(1+(A260/Zero1)^2)</f>
        <v>1.02032536048141</v>
      </c>
      <c r="F260" s="709" t="n">
        <f aca="false">ATAN(A260/Zero1)</f>
        <v>0.19993479371203</v>
      </c>
      <c r="G260" s="708" t="n">
        <f aca="false">IF(VIN_nom&gt;Vout, 1, SQRT(1+(A260/z_RHP)^2))</f>
        <v>1.02816326149975</v>
      </c>
      <c r="H260" s="709" t="n">
        <f aca="false">IF(VIN_nom&gt;Vout, 0, -ATAN(A260/z_RHP))</f>
        <v>-0.23459664135076</v>
      </c>
      <c r="I260" s="707" t="n">
        <f aca="false">SQRT(1+(A260/Pole2)^2)</f>
        <v>66892.6065955102</v>
      </c>
      <c r="J260" s="710" t="n">
        <f aca="false">ATAN(A260/Pole2)</f>
        <v>1.57078137745967</v>
      </c>
      <c r="K260" s="719" t="n">
        <f aca="false">SQRT(1+(A260/Zero2)^2)</f>
        <v>20.721000237755</v>
      </c>
      <c r="L260" s="720" t="n">
        <f aca="false">ATAN(A260/Zero2)</f>
        <v>1.5225173551862</v>
      </c>
      <c r="M260" s="707" t="n">
        <f aca="false">SQRT(1+(A260/pole4)^2)</f>
        <v>1.18889839090497</v>
      </c>
      <c r="N260" s="710" t="n">
        <f aca="false">ATAN(A260/pole4)</f>
        <v>0.57145527142571</v>
      </c>
      <c r="O260" s="711" t="n">
        <f aca="false">SQRT((1-(V260/pterm2))^2+(A260/pterm1)^2)</f>
        <v>1.01359945816407</v>
      </c>
      <c r="P260" s="712" t="n">
        <f aca="false">IF((ATAN((A260/pterm1)/(1-A260^2/pterm2))&gt;0),ATAN((A260/pterm1)/(1-A260^2/pterm2)),PI()+ATAN((A260/pterm1)/(1-A260^2/pterm2)))</f>
        <v>0.223260411328826</v>
      </c>
      <c r="Q260" s="713" t="n">
        <f aca="false">20*LOG10(((E260*K260*G260)/(C260*I260*O260*M260))*Adc)</f>
        <v>-11.0270770673006</v>
      </c>
      <c r="R260" s="714" t="n">
        <f aca="false">((F260+L260+H260)-(D260+J260+P260+N260))*radconv</f>
        <v>-138.205487575622</v>
      </c>
      <c r="S260" s="717" t="n">
        <f aca="false">IF(R260&gt;0,R260,R260+180)</f>
        <v>41.794512424378</v>
      </c>
      <c r="U260" s="644" t="n">
        <f aca="false">IF(Q260&lt;0,A260,1000000000)</f>
        <v>16125.75</v>
      </c>
      <c r="V260" s="644" t="n">
        <f aca="false">A260^2</f>
        <v>260039813.0625</v>
      </c>
      <c r="X260" s="716" t="n">
        <f aca="false">20*LOG10((K260/(I260*M260))*AEA)</f>
        <v>16.4144314736875</v>
      </c>
      <c r="Y260" s="717" t="n">
        <f aca="false">(L260-(J260+N260))*radconv</f>
        <v>-35.5073000523645</v>
      </c>
      <c r="AA260" s="716" t="n">
        <f aca="false">20*LOG10((E260*G260/(C260*O260))*Acs*Am)</f>
        <v>24.0391168135663</v>
      </c>
      <c r="AB260" s="717" t="n">
        <f aca="false">(F260+H260-(D260+P260))*radconv</f>
        <v>-102.698187523258</v>
      </c>
      <c r="AD260" s="0" t="n">
        <f aca="false">SUM((Q261&lt;0)*(Q260&gt;0))*A260</f>
        <v>0</v>
      </c>
      <c r="AE260" s="0" t="n">
        <f aca="false">IF(AD260&gt;0,S260,0)</f>
        <v>0</v>
      </c>
    </row>
    <row r="261" customFormat="false" ht="12.75" hidden="false" customHeight="false" outlineLevel="0" collapsed="false">
      <c r="A261" s="718" t="n">
        <v>16218</v>
      </c>
      <c r="B261" s="706" t="n">
        <f aca="false">A261/1000</f>
        <v>16.218</v>
      </c>
      <c r="C261" s="707" t="n">
        <f aca="false">SQRT(1+(A261/pole1)^2)</f>
        <v>27.7139105530197</v>
      </c>
      <c r="D261" s="708" t="n">
        <f aca="false">ATAN(A261/pole1)</f>
        <v>1.53470552964735</v>
      </c>
      <c r="E261" s="708" t="n">
        <f aca="false">SQRT(1+(A261/Zero1)^2)</f>
        <v>1.02055622578379</v>
      </c>
      <c r="F261" s="709" t="n">
        <f aca="false">ATAN(A261/Zero1)</f>
        <v>0.201048064235819</v>
      </c>
      <c r="G261" s="708" t="n">
        <f aca="false">IF(VIN_nom&gt;Vout, 1, SQRT(1+(A261/z_RHP)^2))</f>
        <v>1.02848193311761</v>
      </c>
      <c r="H261" s="709" t="n">
        <f aca="false">IF(VIN_nom&gt;Vout, 0, -ATAN(A261/z_RHP))</f>
        <v>-0.235889588444536</v>
      </c>
      <c r="I261" s="707" t="n">
        <f aca="false">SQRT(1+(A261/Pole2)^2)</f>
        <v>67275.2767322208</v>
      </c>
      <c r="J261" s="710" t="n">
        <f aca="false">ATAN(A261/Pole2)</f>
        <v>1.57078146249335</v>
      </c>
      <c r="K261" s="719" t="n">
        <f aca="false">SQRT(1+(A261/Zero2)^2)</f>
        <v>20.8392628239434</v>
      </c>
      <c r="L261" s="720" t="n">
        <f aca="false">ATAN(A261/Zero2)</f>
        <v>1.5227915490739</v>
      </c>
      <c r="M261" s="707" t="n">
        <f aca="false">SQRT(1+(A261/pole4)^2)</f>
        <v>1.19089196353102</v>
      </c>
      <c r="N261" s="710" t="n">
        <f aca="false">ATAN(A261/pole4)</f>
        <v>0.574053376836032</v>
      </c>
      <c r="O261" s="711" t="n">
        <f aca="false">SQRT((1-(V261/pterm2))^2+(A261/pterm1)^2)</f>
        <v>1.01375520501769</v>
      </c>
      <c r="P261" s="712" t="n">
        <f aca="false">IF((ATAN((A261/pterm1)/(1-A261^2/pterm2))&gt;0),ATAN((A261/pterm1)/(1-A261^2/pterm2)),PI()+ATAN((A261/pterm1)/(1-A261^2/pterm2)))</f>
        <v>0.224524362058587</v>
      </c>
      <c r="Q261" s="713" t="n">
        <f aca="false">20*LOG10(((E261*K261*G261)/(C261*I261*O261*M261))*Adc)</f>
        <v>-11.0879046424378</v>
      </c>
      <c r="R261" s="714" t="n">
        <f aca="false">((F261+L261+H261)-(D261+J261+P261+N261))*radconv</f>
        <v>-138.433175641223</v>
      </c>
      <c r="S261" s="717" t="n">
        <f aca="false">IF(R261&gt;0,R261,R261+180)</f>
        <v>41.5668243587775</v>
      </c>
      <c r="U261" s="644" t="n">
        <f aca="false">IF(Q261&lt;0,A261,1000000000)</f>
        <v>16218</v>
      </c>
      <c r="V261" s="644" t="n">
        <f aca="false">A261^2</f>
        <v>263023524</v>
      </c>
      <c r="X261" s="716" t="n">
        <f aca="false">20*LOG10((K261/(I261*M261))*AEA)</f>
        <v>16.3997642241967</v>
      </c>
      <c r="Y261" s="717" t="n">
        <f aca="false">(L261-(J261+N261))*radconv</f>
        <v>-35.6404552467952</v>
      </c>
      <c r="AA261" s="716" t="n">
        <f aca="false">20*LOG10((E261*G261/(C261*O261))*Acs*Am)</f>
        <v>23.9929564879198</v>
      </c>
      <c r="AB261" s="717" t="n">
        <f aca="false">(F261+H261-(D261+P261))*radconv</f>
        <v>-102.792720394427</v>
      </c>
      <c r="AD261" s="0" t="n">
        <f aca="false">SUM((Q262&lt;0)*(Q261&gt;0))*A261</f>
        <v>0</v>
      </c>
      <c r="AE261" s="0" t="n">
        <f aca="false">IF(AD261&gt;0,S261,0)</f>
        <v>0</v>
      </c>
    </row>
    <row r="262" customFormat="false" ht="12.75" hidden="false" customHeight="false" outlineLevel="0" collapsed="false">
      <c r="A262" s="718" t="n">
        <v>16312.5</v>
      </c>
      <c r="B262" s="706" t="n">
        <f aca="false">A262/1000</f>
        <v>16.3125</v>
      </c>
      <c r="C262" s="707" t="n">
        <f aca="false">SQRT(1+(A262/pole1)^2)</f>
        <v>27.8751859612871</v>
      </c>
      <c r="D262" s="708" t="n">
        <f aca="false">ATAN(A262/pole1)</f>
        <v>1.53491442743311</v>
      </c>
      <c r="E262" s="708" t="n">
        <f aca="false">SQRT(1+(A262/Zero1)^2)</f>
        <v>1.02079403284496</v>
      </c>
      <c r="F262" s="709" t="n">
        <f aca="false">ATAN(A262/Zero1)</f>
        <v>0.20218796411335</v>
      </c>
      <c r="G262" s="708" t="n">
        <f aca="false">IF(VIN_nom&gt;Vout, 1, SQRT(1+(A262/z_RHP)^2))</f>
        <v>1.02881015883363</v>
      </c>
      <c r="H262" s="709" t="n">
        <f aca="false">IF(VIN_nom&gt;Vout, 0, -ATAN(A262/z_RHP))</f>
        <v>-0.237213238040289</v>
      </c>
      <c r="I262" s="707" t="n">
        <f aca="false">SQRT(1+(A262/Pole2)^2)</f>
        <v>67667.2802869005</v>
      </c>
      <c r="J262" s="710" t="n">
        <f aca="false">ATAN(A262/Pole2)</f>
        <v>1.57078154860379</v>
      </c>
      <c r="K262" s="719" t="n">
        <f aca="false">SQRT(1+(A262/Zero2)^2)</f>
        <v>20.9604114694275</v>
      </c>
      <c r="L262" s="720" t="n">
        <f aca="false">ATAN(A262/Zero2)</f>
        <v>1.52306922236959</v>
      </c>
      <c r="M262" s="707" t="n">
        <f aca="false">SQRT(1+(A262/pole4)^2)</f>
        <v>1.19294246683892</v>
      </c>
      <c r="N262" s="710" t="n">
        <f aca="false">ATAN(A262/pole4)</f>
        <v>0.576705828398673</v>
      </c>
      <c r="O262" s="711" t="n">
        <f aca="false">SQRT((1-(V262/pterm2))^2+(A262/pterm1)^2)</f>
        <v>1.01391566489482</v>
      </c>
      <c r="P262" s="712" t="n">
        <f aca="false">IF((ATAN((A262/pterm1)/(1-A262^2/pterm2))&gt;0),ATAN((A262/pterm1)/(1-A262^2/pterm2)),PI()+ATAN((A262/pterm1)/(1-A262^2/pterm2)))</f>
        <v>0.225818909306273</v>
      </c>
      <c r="Q262" s="713" t="n">
        <f aca="false">20*LOG10(((E262*K262*G262)/(C262*I262*O262*M262))*Adc)</f>
        <v>-11.1499415669764</v>
      </c>
      <c r="R262" s="714" t="n">
        <f aca="false">((F262+L262+H262)-(D262+J262+P262+N262))*radconv</f>
        <v>-138.665914485716</v>
      </c>
      <c r="S262" s="717" t="n">
        <f aca="false">IF(R262&gt;0,R262,R262+180)</f>
        <v>41.3340855142839</v>
      </c>
      <c r="U262" s="644" t="n">
        <f aca="false">IF(Q262&lt;0,A262,1000000000)</f>
        <v>16312.5</v>
      </c>
      <c r="V262" s="644" t="n">
        <f aca="false">A262^2</f>
        <v>266097656.25</v>
      </c>
      <c r="X262" s="716" t="n">
        <f aca="false">20*LOG10((K262/(I262*M262))*AEA)</f>
        <v>16.3847060006718</v>
      </c>
      <c r="Y262" s="717" t="n">
        <f aca="false">(L262-(J262+N262))*radconv</f>
        <v>-35.7765249526915</v>
      </c>
      <c r="AA262" s="716" t="n">
        <f aca="false">20*LOG10((E262*G262/(C262*O262))*Acs*Am)</f>
        <v>23.9459777869062</v>
      </c>
      <c r="AB262" s="717" t="n">
        <f aca="false">(F262+H262-(D262+P262))*radconv</f>
        <v>-102.889389533025</v>
      </c>
      <c r="AD262" s="0" t="n">
        <f aca="false">SUM((Q263&lt;0)*(Q262&gt;0))*A262</f>
        <v>0</v>
      </c>
      <c r="AE262" s="0" t="n">
        <f aca="false">IF(AD262&gt;0,S262,0)</f>
        <v>0</v>
      </c>
    </row>
    <row r="263" customFormat="false" ht="12.75" hidden="false" customHeight="false" outlineLevel="0" collapsed="false">
      <c r="A263" s="718" t="n">
        <v>16407</v>
      </c>
      <c r="B263" s="706" t="n">
        <f aca="false">A263/1000</f>
        <v>16.407</v>
      </c>
      <c r="C263" s="707" t="n">
        <f aca="false">SQRT(1+(A263/pole1)^2)</f>
        <v>28.0364625719851</v>
      </c>
      <c r="D263" s="708" t="n">
        <f aca="false">ATAN(A263/pole1)</f>
        <v>1.53512092190556</v>
      </c>
      <c r="E263" s="708" t="n">
        <f aca="false">SQRT(1+(A263/Zero1)^2)</f>
        <v>1.02103316567819</v>
      </c>
      <c r="F263" s="709" t="n">
        <f aca="false">ATAN(A263/Zero1)</f>
        <v>0.203327331526334</v>
      </c>
      <c r="G263" s="708" t="n">
        <f aca="false">IF(VIN_nom&gt;Vout, 1, SQRT(1+(A263/z_RHP)^2))</f>
        <v>1.02914018592308</v>
      </c>
      <c r="H263" s="709" t="n">
        <f aca="false">IF(VIN_nom&gt;Vout, 0, -ATAN(A263/z_RHP))</f>
        <v>-0.238536041010304</v>
      </c>
      <c r="I263" s="707" t="n">
        <f aca="false">SQRT(1+(A263/Pole2)^2)</f>
        <v>68059.2838415806</v>
      </c>
      <c r="J263" s="710" t="n">
        <f aca="false">ATAN(A263/Pole2)</f>
        <v>1.57078163372228</v>
      </c>
      <c r="K263" s="719" t="n">
        <f aca="false">SQRT(1+(A263/Zero2)^2)</f>
        <v>21.0815617124364</v>
      </c>
      <c r="L263" s="720" t="n">
        <f aca="false">ATAN(A263/Zero2)</f>
        <v>1.52334370425405</v>
      </c>
      <c r="M263" s="707" t="n">
        <f aca="false">SQRT(1+(A263/pole4)^2)</f>
        <v>1.19500133425541</v>
      </c>
      <c r="N263" s="710" t="n">
        <f aca="false">ATAN(A263/pole4)</f>
        <v>0.579349158689297</v>
      </c>
      <c r="O263" s="711" t="n">
        <f aca="false">SQRT((1-(V263/pterm2))^2+(A263/pterm1)^2)</f>
        <v>1.01407704999015</v>
      </c>
      <c r="P263" s="712" t="n">
        <f aca="false">IF((ATAN((A263/pterm1)/(1-A263^2/pterm2))&gt;0),ATAN((A263/pterm1)/(1-A263^2/pterm2)),PI()+ATAN((A263/pterm1)/(1-A263^2/pterm2)))</f>
        <v>0.227113220962225</v>
      </c>
      <c r="Q263" s="713" t="n">
        <f aca="false">20*LOG10(((E263*K263*G263)/(C263*I263*O263*M263))*Adc)</f>
        <v>-11.2117038381429</v>
      </c>
      <c r="R263" s="714" t="n">
        <f aca="false">((F263+L263+H263)-(D263+J263+P263+N263))*radconv</f>
        <v>-138.898144319147</v>
      </c>
      <c r="S263" s="717" t="n">
        <f aca="false">IF(R263&gt;0,R263,R263+180)</f>
        <v>41.1018556808534</v>
      </c>
      <c r="U263" s="644" t="n">
        <f aca="false">IF(Q263&lt;0,A263,1000000000)</f>
        <v>16407</v>
      </c>
      <c r="V263" s="644" t="n">
        <f aca="false">A263^2</f>
        <v>269189649</v>
      </c>
      <c r="X263" s="716" t="n">
        <f aca="false">20*LOG10((K263/(I263*M263))*AEA)</f>
        <v>16.3696146322052</v>
      </c>
      <c r="Y263" s="717" t="n">
        <f aca="false">(L263-(J263+N263))*radconv</f>
        <v>-35.9122548457563</v>
      </c>
      <c r="AA263" s="716" t="n">
        <f aca="false">20*LOG10((E263*G263/(C263*O263))*Acs*Am)</f>
        <v>23.8993068842062</v>
      </c>
      <c r="AB263" s="717" t="n">
        <f aca="false">(F263+H263-(D263+P263))*radconv</f>
        <v>-102.98588947339</v>
      </c>
      <c r="AD263" s="0" t="n">
        <f aca="false">SUM((Q264&lt;0)*(Q263&gt;0))*A263</f>
        <v>0</v>
      </c>
      <c r="AE263" s="0" t="n">
        <f aca="false">IF(AD263&gt;0,S263,0)</f>
        <v>0</v>
      </c>
    </row>
    <row r="264" customFormat="false" ht="12.75" hidden="false" customHeight="false" outlineLevel="0" collapsed="false">
      <c r="A264" s="718" t="n">
        <v>16501.5</v>
      </c>
      <c r="B264" s="706" t="n">
        <f aca="false">A264/1000</f>
        <v>16.5015</v>
      </c>
      <c r="C264" s="707" t="n">
        <f aca="false">SQRT(1+(A264/pole1)^2)</f>
        <v>28.197740364482</v>
      </c>
      <c r="D264" s="708" t="n">
        <f aca="false">ATAN(A264/pole1)</f>
        <v>1.5353250542844</v>
      </c>
      <c r="E264" s="708" t="n">
        <f aca="false">SQRT(1+(A264/Zero1)^2)</f>
        <v>1.02127362335217</v>
      </c>
      <c r="F264" s="709" t="n">
        <f aca="false">ATAN(A264/Zero1)</f>
        <v>0.204466163891688</v>
      </c>
      <c r="G264" s="708" t="n">
        <f aca="false">IF(VIN_nom&gt;Vout, 1, SQRT(1+(A264/z_RHP)^2))</f>
        <v>1.02947201265353</v>
      </c>
      <c r="H264" s="709" t="n">
        <f aca="false">IF(VIN_nom&gt;Vout, 0, -ATAN(A264/z_RHP))</f>
        <v>-0.239857993541748</v>
      </c>
      <c r="I264" s="707" t="n">
        <f aca="false">SQRT(1+(A264/Pole2)^2)</f>
        <v>68451.2873962612</v>
      </c>
      <c r="J264" s="710" t="n">
        <f aca="false">ATAN(A264/Pole2)</f>
        <v>1.57078171786586</v>
      </c>
      <c r="K264" s="719" t="n">
        <f aca="false">SQRT(1+(A264/Zero2)^2)</f>
        <v>21.2027135255858</v>
      </c>
      <c r="L264" s="720" t="n">
        <f aca="false">ATAN(A264/Zero2)</f>
        <v>1.52361504939252</v>
      </c>
      <c r="M264" s="707" t="n">
        <f aca="false">SQRT(1+(A264/pole4)^2)</f>
        <v>1.19706852262359</v>
      </c>
      <c r="N264" s="710" t="n">
        <f aca="false">ATAN(A264/pole4)</f>
        <v>0.581983377927964</v>
      </c>
      <c r="O264" s="711" t="n">
        <f aca="false">SQRT((1-(V264/pterm2))^2+(A264/pterm1)^2)</f>
        <v>1.01423936018467</v>
      </c>
      <c r="P264" s="712" t="n">
        <f aca="false">IF((ATAN((A264/pterm1)/(1-A264^2/pterm2))&gt;0),ATAN((A264/pterm1)/(1-A264^2/pterm2)),PI()+ATAN((A264/pterm1)/(1-A264^2/pterm2)))</f>
        <v>0.228407295764773</v>
      </c>
      <c r="Q264" s="713" t="n">
        <f aca="false">20*LOG10(((E264*K264*G264)/(C264*I264*O264*M264))*Adc)</f>
        <v>-11.2731943246702</v>
      </c>
      <c r="R264" s="714" t="n">
        <f aca="false">((F264+L264+H264)-(D264+J264+P264+N264))*radconv</f>
        <v>-139.129864814936</v>
      </c>
      <c r="S264" s="717" t="n">
        <f aca="false">IF(R264&gt;0,R264,R264+180)</f>
        <v>40.8701351850638</v>
      </c>
      <c r="U264" s="644" t="n">
        <f aca="false">IF(Q264&lt;0,A264,1000000000)</f>
        <v>16501.5</v>
      </c>
      <c r="V264" s="644" t="n">
        <f aca="false">A264^2</f>
        <v>272299502.25</v>
      </c>
      <c r="X264" s="716" t="n">
        <f aca="false">20*LOG10((K264/(I264*M264))*AEA)</f>
        <v>16.3544906123256</v>
      </c>
      <c r="Y264" s="717" t="n">
        <f aca="false">(L264-(J264+N264))*radconv</f>
        <v>-36.0476423804452</v>
      </c>
      <c r="AA264" s="716" t="n">
        <f aca="false">20*LOG10((E264*G264/(C264*O264))*Acs*Am)</f>
        <v>23.8529404175586</v>
      </c>
      <c r="AB264" s="717" t="n">
        <f aca="false">(F264+H264-(D264+P264))*radconv</f>
        <v>-103.082222434491</v>
      </c>
      <c r="AD264" s="0" t="n">
        <f aca="false">SUM((Q265&lt;0)*(Q264&gt;0))*A264</f>
        <v>0</v>
      </c>
      <c r="AE264" s="0" t="n">
        <f aca="false">IF(AD264&gt;0,S264,0)</f>
        <v>0</v>
      </c>
    </row>
    <row r="265" customFormat="false" ht="12.75" hidden="false" customHeight="false" outlineLevel="0" collapsed="false">
      <c r="A265" s="718" t="n">
        <v>16596</v>
      </c>
      <c r="B265" s="706" t="n">
        <f aca="false">A265/1000</f>
        <v>16.596</v>
      </c>
      <c r="C265" s="707" t="n">
        <f aca="false">SQRT(1+(A265/pole1)^2)</f>
        <v>28.359019318615</v>
      </c>
      <c r="D265" s="708" t="n">
        <f aca="false">ATAN(A265/pole1)</f>
        <v>1.53552686485246</v>
      </c>
      <c r="E265" s="708" t="n">
        <f aca="false">SQRT(1+(A265/Zero1)^2)</f>
        <v>1.02151540493133</v>
      </c>
      <c r="F265" s="709" t="n">
        <f aca="false">ATAN(A265/Zero1)</f>
        <v>0.205604458634307</v>
      </c>
      <c r="G265" s="708" t="n">
        <f aca="false">IF(VIN_nom&gt;Vout, 1, SQRT(1+(A265/z_RHP)^2))</f>
        <v>1.0298056372853</v>
      </c>
      <c r="H265" s="709" t="n">
        <f aca="false">IF(VIN_nom&gt;Vout, 0, -ATAN(A265/z_RHP))</f>
        <v>-0.241179091838573</v>
      </c>
      <c r="I265" s="707" t="n">
        <f aca="false">SQRT(1+(A265/Pole2)^2)</f>
        <v>68843.2909509423</v>
      </c>
      <c r="J265" s="710" t="n">
        <f aca="false">ATAN(A265/Pole2)</f>
        <v>1.57078180105119</v>
      </c>
      <c r="K265" s="719" t="n">
        <f aca="false">SQRT(1+(A265/Zero2)^2)</f>
        <v>21.3238668821134</v>
      </c>
      <c r="L265" s="720" t="n">
        <f aca="false">ATAN(A265/Zero2)</f>
        <v>1.52388331120976</v>
      </c>
      <c r="M265" s="707" t="n">
        <f aca="false">SQRT(1+(A265/pole4)^2)</f>
        <v>1.19914398891031</v>
      </c>
      <c r="N265" s="710" t="n">
        <f aca="false">ATAN(A265/pole4)</f>
        <v>0.584608496770178</v>
      </c>
      <c r="O265" s="711" t="n">
        <f aca="false">SQRT((1-(V265/pterm2))^2+(A265/pterm1)^2)</f>
        <v>1.01440259535881</v>
      </c>
      <c r="P265" s="712" t="n">
        <f aca="false">IF((ATAN((A265/pterm1)/(1-A265^2/pterm2))&gt;0),ATAN((A265/pterm1)/(1-A265^2/pterm2)),PI()+ATAN((A265/pterm1)/(1-A265^2/pterm2)))</f>
        <v>0.229701132453962</v>
      </c>
      <c r="Q265" s="713" t="n">
        <f aca="false">20*LOG10(((E265*K265*G265)/(C265*I265*O265*M265))*Adc)</f>
        <v>-11.3344158410173</v>
      </c>
      <c r="R265" s="714" t="n">
        <f aca="false">((F265+L265+H265)-(D265+J265+P265+N265))*radconv</f>
        <v>-139.361075689432</v>
      </c>
      <c r="S265" s="717" t="n">
        <f aca="false">IF(R265&gt;0,R265,R265+180)</f>
        <v>40.6389243105678</v>
      </c>
      <c r="U265" s="644" t="n">
        <f aca="false">IF(Q265&lt;0,A265,1000000000)</f>
        <v>16596</v>
      </c>
      <c r="V265" s="644" t="n">
        <f aca="false">A265^2</f>
        <v>275427216</v>
      </c>
      <c r="X265" s="716" t="n">
        <f aca="false">20*LOG10((K265/(I265*M265))*AEA)</f>
        <v>16.339334432346</v>
      </c>
      <c r="Y265" s="717" t="n">
        <f aca="false">(L265-(J265+N265))*radconv</f>
        <v>-36.1826851072146</v>
      </c>
      <c r="AA265" s="716" t="n">
        <f aca="false">20*LOG10((E265*G265/(C265*O265))*Acs*Am)</f>
        <v>23.806875081191</v>
      </c>
      <c r="AB265" s="717" t="n">
        <f aca="false">(F265+H265-(D265+P265))*radconv</f>
        <v>-103.178390582218</v>
      </c>
      <c r="AD265" s="0" t="n">
        <f aca="false">SUM((Q266&lt;0)*(Q265&gt;0))*A265</f>
        <v>0</v>
      </c>
      <c r="AE265" s="0" t="n">
        <f aca="false">IF(AD265&gt;0,S265,0)</f>
        <v>0</v>
      </c>
    </row>
    <row r="266" customFormat="false" ht="12.75" hidden="false" customHeight="false" outlineLevel="0" collapsed="false">
      <c r="A266" s="718" t="n">
        <v>16692.5</v>
      </c>
      <c r="B266" s="706" t="n">
        <f aca="false">A266/1000</f>
        <v>16.6925</v>
      </c>
      <c r="C266" s="707" t="n">
        <f aca="false">SQRT(1+(A266/pole1)^2)</f>
        <v>28.5237127622425</v>
      </c>
      <c r="D266" s="708" t="n">
        <f aca="false">ATAN(A266/pole1)</f>
        <v>1.53573059141749</v>
      </c>
      <c r="E266" s="708" t="n">
        <f aca="false">SQRT(1+(A266/Zero1)^2)</f>
        <v>1.02176366883461</v>
      </c>
      <c r="F266" s="709" t="n">
        <f aca="false">ATAN(A266/Zero1)</f>
        <v>0.206766286792602</v>
      </c>
      <c r="G266" s="708" t="n">
        <f aca="false">IF(VIN_nom&gt;Vout, 1, SQRT(1+(A266/z_RHP)^2))</f>
        <v>1.03014817632063</v>
      </c>
      <c r="H266" s="709" t="n">
        <f aca="false">IF(VIN_nom&gt;Vout, 0, -ATAN(A266/z_RHP))</f>
        <v>-0.242527264415767</v>
      </c>
      <c r="I266" s="707" t="n">
        <f aca="false">SQRT(1+(A266/Pole2)^2)</f>
        <v>69243.5908771515</v>
      </c>
      <c r="J266" s="710" t="n">
        <f aca="false">ATAN(A266/Pole2)</f>
        <v>1.57078188502509</v>
      </c>
      <c r="K266" s="719" t="n">
        <f aca="false">SQRT(1+(A266/Zero2)^2)</f>
        <v>21.4475858963814</v>
      </c>
      <c r="L266" s="720" t="n">
        <f aca="false">ATAN(A266/Zero2)</f>
        <v>1.5241541228932</v>
      </c>
      <c r="M266" s="707" t="n">
        <f aca="false">SQRT(1+(A266/pole4)^2)</f>
        <v>1.20127187838208</v>
      </c>
      <c r="N266" s="710" t="n">
        <f aca="false">ATAN(A266/pole4)</f>
        <v>0.587279793868171</v>
      </c>
      <c r="O266" s="711" t="n">
        <f aca="false">SQRT((1-(V266/pterm2))^2+(A266/pterm1)^2)</f>
        <v>1.01457023967191</v>
      </c>
      <c r="P266" s="712" t="n">
        <f aca="false">IF((ATAN((A266/pterm1)/(1-A266^2/pterm2))&gt;0),ATAN((A266/pterm1)/(1-A266^2/pterm2)),PI()+ATAN((A266/pterm1)/(1-A266^2/pterm2)))</f>
        <v>0.231022104896772</v>
      </c>
      <c r="Q266" s="713" t="n">
        <f aca="false">20*LOG10(((E266*K266*G266)/(C266*I266*O266*M266))*Adc)</f>
        <v>-11.3966583513046</v>
      </c>
      <c r="R266" s="714" t="n">
        <f aca="false">((F266+L266+H266)-(D266+J266+P266+N266))*radconv</f>
        <v>-139.596653751003</v>
      </c>
      <c r="S266" s="717" t="n">
        <f aca="false">IF(R266&gt;0,R266,R266+180)</f>
        <v>40.4033462489966</v>
      </c>
      <c r="U266" s="644" t="n">
        <f aca="false">IF(Q266&lt;0,A266,1000000000)</f>
        <v>16692.5</v>
      </c>
      <c r="V266" s="644" t="n">
        <f aca="false">A266^2</f>
        <v>278639556.25</v>
      </c>
      <c r="X266" s="716" t="n">
        <f aca="false">20*LOG10((K266/(I266*M266))*AEA)</f>
        <v>16.323824806615</v>
      </c>
      <c r="Y266" s="717" t="n">
        <f aca="false">(L266-(J266+N266))*radconv</f>
        <v>-36.3202276017583</v>
      </c>
      <c r="AA266" s="716" t="n">
        <f aca="false">20*LOG10((E266*G266/(C266*O266))*Acs*Am)</f>
        <v>23.7601421966348</v>
      </c>
      <c r="AB266" s="717" t="n">
        <f aca="false">(F266+H266-(D266+P266))*radconv</f>
        <v>-103.276426149245</v>
      </c>
      <c r="AD266" s="0" t="n">
        <f aca="false">SUM((Q267&lt;0)*(Q266&gt;0))*A266</f>
        <v>0</v>
      </c>
      <c r="AE266" s="0" t="n">
        <f aca="false">IF(AD266&gt;0,S266,0)</f>
        <v>0</v>
      </c>
    </row>
    <row r="267" customFormat="false" ht="12.75" hidden="false" customHeight="false" outlineLevel="0" collapsed="false">
      <c r="A267" s="718" t="n">
        <v>16789</v>
      </c>
      <c r="B267" s="706" t="n">
        <f aca="false">A267/1000</f>
        <v>16.789</v>
      </c>
      <c r="C267" s="707" t="n">
        <f aca="false">SQRT(1+(A267/pole1)^2)</f>
        <v>28.6884073761402</v>
      </c>
      <c r="D267" s="708" t="n">
        <f aca="false">ATAN(A267/pole1)</f>
        <v>1.53593197888095</v>
      </c>
      <c r="E267" s="708" t="n">
        <f aca="false">SQRT(1+(A267/Zero1)^2)</f>
        <v>1.02201331128898</v>
      </c>
      <c r="F267" s="709" t="n">
        <f aca="false">ATAN(A267/Zero1)</f>
        <v>0.207927548929027</v>
      </c>
      <c r="G267" s="708" t="n">
        <f aca="false">IF(VIN_nom&gt;Vout, 1, SQRT(1+(A267/z_RHP)^2))</f>
        <v>1.03049258647492</v>
      </c>
      <c r="H267" s="709" t="n">
        <f aca="false">IF(VIN_nom&gt;Vout, 0, -ATAN(A267/z_RHP))</f>
        <v>-0.243874538270708</v>
      </c>
      <c r="I267" s="707" t="n">
        <f aca="false">SQRT(1+(A267/Pole2)^2)</f>
        <v>69643.8908033612</v>
      </c>
      <c r="J267" s="710" t="n">
        <f aca="false">ATAN(A267/Pole2)</f>
        <v>1.57078196803365</v>
      </c>
      <c r="K267" s="719" t="n">
        <f aca="false">SQRT(1+(A267/Zero2)^2)</f>
        <v>21.5713064655503</v>
      </c>
      <c r="L267" s="720" t="n">
        <f aca="false">ATAN(A267/Zero2)</f>
        <v>1.52442182815692</v>
      </c>
      <c r="M267" s="707" t="n">
        <f aca="false">SQRT(1+(A267/pole4)^2)</f>
        <v>1.20340830957338</v>
      </c>
      <c r="N267" s="710" t="n">
        <f aca="false">ATAN(A267/pole4)</f>
        <v>0.589941625106344</v>
      </c>
      <c r="O267" s="711" t="n">
        <f aca="false">SQRT((1-(V267/pterm2))^2+(A267/pterm1)^2)</f>
        <v>1.01473884827759</v>
      </c>
      <c r="P267" s="712" t="n">
        <f aca="false">IF((ATAN((A267/pterm1)/(1-A267^2/pterm2))&gt;0),ATAN((A267/pterm1)/(1-A267^2/pterm2)),PI()+ATAN((A267/pterm1)/(1-A267^2/pterm2)))</f>
        <v>0.232342826390685</v>
      </c>
      <c r="Q267" s="713" t="n">
        <f aca="false">20*LOG10(((E267*K267*G267)/(C267*I267*O267*M267))*Adc)</f>
        <v>-11.458626150447</v>
      </c>
      <c r="R267" s="714" t="n">
        <f aca="false">((F267+L267+H267)-(D267+J267+P267+N267))*radconv</f>
        <v>-139.831699926899</v>
      </c>
      <c r="S267" s="717" t="n">
        <f aca="false">IF(R267&gt;0,R267,R267+180)</f>
        <v>40.168300073101</v>
      </c>
      <c r="U267" s="644" t="n">
        <f aca="false">IF(Q267&lt;0,A267,1000000000)</f>
        <v>16789</v>
      </c>
      <c r="V267" s="644" t="n">
        <f aca="false">A267^2</f>
        <v>281870521</v>
      </c>
      <c r="X267" s="716" t="n">
        <f aca="false">20*LOG10((K267/(I267*M267))*AEA)</f>
        <v>16.3082826732958</v>
      </c>
      <c r="Y267" s="717" t="n">
        <f aca="false">(L267-(J267+N267))*radconv</f>
        <v>-36.4574056719142</v>
      </c>
      <c r="AA267" s="716" t="n">
        <f aca="false">20*LOG10((E267*G267/(C267*O267))*Acs*Am)</f>
        <v>23.7137165308117</v>
      </c>
      <c r="AB267" s="717" t="n">
        <f aca="false">(F267+H267-(D267+P267))*radconv</f>
        <v>-103.374294254985</v>
      </c>
      <c r="AD267" s="0" t="n">
        <f aca="false">SUM((Q268&lt;0)*(Q267&gt;0))*A267</f>
        <v>0</v>
      </c>
      <c r="AE267" s="0" t="n">
        <f aca="false">IF(AD267&gt;0,S267,0)</f>
        <v>0</v>
      </c>
    </row>
    <row r="268" customFormat="false" ht="12.75" hidden="false" customHeight="false" outlineLevel="0" collapsed="false">
      <c r="A268" s="718" t="n">
        <v>16885.5</v>
      </c>
      <c r="B268" s="706" t="n">
        <f aca="false">A268/1000</f>
        <v>16.8855</v>
      </c>
      <c r="C268" s="707" t="n">
        <f aca="false">SQRT(1+(A268/pole1)^2)</f>
        <v>28.8531031402683</v>
      </c>
      <c r="D268" s="708" t="n">
        <f aca="false">ATAN(A268/pole1)</f>
        <v>1.53613106728171</v>
      </c>
      <c r="E268" s="708" t="n">
        <f aca="false">SQRT(1+(A268/Zero1)^2)</f>
        <v>1.02226433128448</v>
      </c>
      <c r="F268" s="709" t="n">
        <f aca="false">ATAN(A268/Zero1)</f>
        <v>0.209088242327416</v>
      </c>
      <c r="G268" s="708" t="n">
        <f aca="false">IF(VIN_nom&gt;Vout, 1, SQRT(1+(A268/z_RHP)^2))</f>
        <v>1.0308388658727</v>
      </c>
      <c r="H268" s="709" t="n">
        <f aca="false">IF(VIN_nom&gt;Vout, 0, -ATAN(A268/z_RHP))</f>
        <v>-0.245220909415662</v>
      </c>
      <c r="I268" s="707" t="n">
        <f aca="false">SQRT(1+(A268/Pole2)^2)</f>
        <v>70044.1907295714</v>
      </c>
      <c r="J268" s="710" t="n">
        <f aca="false">ATAN(A268/Pole2)</f>
        <v>1.57078205009344</v>
      </c>
      <c r="K268" s="719" t="n">
        <f aca="false">SQRT(1+(A268/Zero2)^2)</f>
        <v>21.6950285630187</v>
      </c>
      <c r="L268" s="720" t="n">
        <f aca="false">ATAN(A268/Zero2)</f>
        <v>1.52468648010796</v>
      </c>
      <c r="M268" s="707" t="n">
        <f aca="false">SQRT(1+(A268/pole4)^2)</f>
        <v>1.20555323707237</v>
      </c>
      <c r="N268" s="710" t="n">
        <f aca="false">ATAN(A268/pole4)</f>
        <v>0.592594003189962</v>
      </c>
      <c r="O268" s="711" t="n">
        <f aca="false">SQRT((1-(V268/pterm2))^2+(A268/pterm1)^2)</f>
        <v>1.01490842104658</v>
      </c>
      <c r="P268" s="712" t="n">
        <f aca="false">IF((ATAN((A268/pterm1)/(1-A268^2/pterm2))&gt;0),ATAN((A268/pterm1)/(1-A268^2/pterm2)),PI()+ATAN((A268/pterm1)/(1-A268^2/pterm2)))</f>
        <v>0.233663295599625</v>
      </c>
      <c r="Q268" s="713" t="n">
        <f aca="false">20*LOG10(((E268*K268*G268)/(C268*I268*O268*M268))*Adc)</f>
        <v>-11.520322068726</v>
      </c>
      <c r="R268" s="714" t="n">
        <f aca="false">((F268+L268+H268)-(D268+J268+P268+N268))*radconv</f>
        <v>-140.066214047866</v>
      </c>
      <c r="S268" s="717" t="n">
        <f aca="false">IF(R268&gt;0,R268,R268+180)</f>
        <v>39.9337859521337</v>
      </c>
      <c r="U268" s="644" t="n">
        <f aca="false">IF(Q268&lt;0,A268,1000000000)</f>
        <v>16885.5</v>
      </c>
      <c r="V268" s="644" t="n">
        <f aca="false">A268^2</f>
        <v>285120110.25</v>
      </c>
      <c r="X268" s="716" t="n">
        <f aca="false">20*LOG10((K268/(I268*M268))*AEA)</f>
        <v>16.2927085480367</v>
      </c>
      <c r="Y268" s="717" t="n">
        <f aca="false">(L268-(J268+N268))*radconv</f>
        <v>-36.5942170037796</v>
      </c>
      <c r="AA268" s="716" t="n">
        <f aca="false">20*LOG10((E268*G268/(C268*O268))*Acs*Am)</f>
        <v>23.6675947377916</v>
      </c>
      <c r="AB268" s="717" t="n">
        <f aca="false">(F268+H268-(D268+P268))*radconv</f>
        <v>-103.471997044087</v>
      </c>
      <c r="AD268" s="0" t="n">
        <f aca="false">SUM((Q269&lt;0)*(Q268&gt;0))*A268</f>
        <v>0</v>
      </c>
      <c r="AE268" s="0" t="n">
        <f aca="false">IF(AD268&gt;0,S268,0)</f>
        <v>0</v>
      </c>
    </row>
    <row r="269" customFormat="false" ht="12.75" hidden="false" customHeight="false" outlineLevel="0" collapsed="false">
      <c r="A269" s="718" t="n">
        <v>16982</v>
      </c>
      <c r="B269" s="706" t="n">
        <f aca="false">A269/1000</f>
        <v>16.982</v>
      </c>
      <c r="C269" s="707" t="n">
        <f aca="false">SQRT(1+(A269/pole1)^2)</f>
        <v>29.0178000350417</v>
      </c>
      <c r="D269" s="708" t="n">
        <f aca="false">ATAN(A269/pole1)</f>
        <v>1.53632789575034</v>
      </c>
      <c r="E269" s="708" t="n">
        <f aca="false">SQRT(1+(A269/Zero1)^2)</f>
        <v>1.02251672780659</v>
      </c>
      <c r="F269" s="709" t="n">
        <f aca="false">ATAN(A269/Zero1)</f>
        <v>0.210248364280395</v>
      </c>
      <c r="G269" s="708" t="n">
        <f aca="false">IF(VIN_nom&gt;Vout, 1, SQRT(1+(A269/z_RHP)^2))</f>
        <v>1.03118701263086</v>
      </c>
      <c r="H269" s="709" t="n">
        <f aca="false">IF(VIN_nom&gt;Vout, 0, -ATAN(A269/z_RHP))</f>
        <v>-0.246566373881332</v>
      </c>
      <c r="I269" s="707" t="n">
        <f aca="false">SQRT(1+(A269/Pole2)^2)</f>
        <v>70444.490655782</v>
      </c>
      <c r="J269" s="710" t="n">
        <f aca="false">ATAN(A269/Pole2)</f>
        <v>1.57078213122061</v>
      </c>
      <c r="K269" s="719" t="n">
        <f aca="false">SQRT(1+(A269/Zero2)^2)</f>
        <v>21.8187521627882</v>
      </c>
      <c r="L269" s="720" t="n">
        <f aca="false">ATAN(A269/Zero2)</f>
        <v>1.5249481306505</v>
      </c>
      <c r="M269" s="707" t="n">
        <f aca="false">SQRT(1+(A269/pole4)^2)</f>
        <v>1.20770661560987</v>
      </c>
      <c r="N269" s="710" t="n">
        <f aca="false">ATAN(A269/pole4)</f>
        <v>0.595236941266235</v>
      </c>
      <c r="O269" s="711" t="n">
        <f aca="false">SQRT((1-(V269/pterm2))^2+(A269/pterm1)^2)</f>
        <v>1.01507895784902</v>
      </c>
      <c r="P269" s="712" t="n">
        <f aca="false">IF((ATAN((A269/pterm1)/(1-A269^2/pterm2))&gt;0),ATAN((A269/pterm1)/(1-A269^2/pterm2)),PI()+ATAN((A269/pterm1)/(1-A269^2/pterm2)))</f>
        <v>0.234983511189418</v>
      </c>
      <c r="Q269" s="713" t="n">
        <f aca="false">20*LOG10(((E269*K269*G269)/(C269*I269*O269*M269))*Adc)</f>
        <v>-11.5817488830265</v>
      </c>
      <c r="R269" s="714" t="n">
        <f aca="false">((F269+L269+H269)-(D269+J269+P269+N269))*radconv</f>
        <v>-140.300195987493</v>
      </c>
      <c r="S269" s="717" t="n">
        <f aca="false">IF(R269&gt;0,R269,R269+180)</f>
        <v>39.6998040125075</v>
      </c>
      <c r="U269" s="644" t="n">
        <f aca="false">IF(Q269&lt;0,A269,1000000000)</f>
        <v>16982</v>
      </c>
      <c r="V269" s="644" t="n">
        <f aca="false">A269^2</f>
        <v>288388324</v>
      </c>
      <c r="X269" s="716" t="n">
        <f aca="false">20*LOG10((K269/(I269*M269))*AEA)</f>
        <v>16.2771029438367</v>
      </c>
      <c r="Y269" s="717" t="n">
        <f aca="false">(L269-(J269+N269))*radconv</f>
        <v>-36.73065937767</v>
      </c>
      <c r="AA269" s="716" t="n">
        <f aca="false">20*LOG10((E269*G269/(C269*O269))*Acs*Am)</f>
        <v>23.6217735276912</v>
      </c>
      <c r="AB269" s="717" t="n">
        <f aca="false">(F269+H269-(D269+P269))*radconv</f>
        <v>-103.569536609822</v>
      </c>
      <c r="AD269" s="0" t="n">
        <f aca="false">SUM((Q270&lt;0)*(Q269&gt;0))*A269</f>
        <v>0</v>
      </c>
      <c r="AE269" s="0" t="n">
        <f aca="false">IF(AD269&gt;0,S269,0)</f>
        <v>0</v>
      </c>
    </row>
    <row r="270" customFormat="false" ht="12.75" hidden="false" customHeight="false" outlineLevel="0" collapsed="false">
      <c r="A270" s="718" t="n">
        <v>17081</v>
      </c>
      <c r="B270" s="706" t="n">
        <f aca="false">A270/1000</f>
        <v>17.081</v>
      </c>
      <c r="C270" s="707" t="n">
        <f aca="false">SQRT(1+(A270/pole1)^2)</f>
        <v>29.1867648436467</v>
      </c>
      <c r="D270" s="708" t="n">
        <f aca="false">ATAN(A270/pole1)</f>
        <v>1.53652751497484</v>
      </c>
      <c r="E270" s="708" t="n">
        <f aca="false">SQRT(1+(A270/Zero1)^2)</f>
        <v>1.02277709251101</v>
      </c>
      <c r="F270" s="709" t="n">
        <f aca="false">ATAN(A270/Zero1)</f>
        <v>0.211437944534161</v>
      </c>
      <c r="G270" s="708" t="n">
        <f aca="false">IF(VIN_nom&gt;Vout, 1, SQRT(1+(A270/z_RHP)^2))</f>
        <v>1.03154611730608</v>
      </c>
      <c r="H270" s="709" t="n">
        <f aca="false">IF(VIN_nom&gt;Vout, 0, -ATAN(A270/z_RHP))</f>
        <v>-0.247945748581169</v>
      </c>
      <c r="I270" s="707" t="n">
        <f aca="false">SQRT(1+(A270/Pole2)^2)</f>
        <v>70855.1610464028</v>
      </c>
      <c r="J270" s="710" t="n">
        <f aca="false">ATAN(A270/Pole2)</f>
        <v>1.57078221349693</v>
      </c>
      <c r="K270" s="719" t="n">
        <f aca="false">SQRT(1+(A270/Zero2)^2)</f>
        <v>21.9456825717154</v>
      </c>
      <c r="L270" s="720" t="n">
        <f aca="false">ATAN(A270/Zero2)</f>
        <v>1.52521349382509</v>
      </c>
      <c r="M270" s="707" t="n">
        <f aca="false">SQRT(1+(A270/pole4)^2)</f>
        <v>1.20992451614157</v>
      </c>
      <c r="N270" s="710" t="n">
        <f aca="false">ATAN(A270/pole4)</f>
        <v>0.597938553464402</v>
      </c>
      <c r="O270" s="711" t="n">
        <f aca="false">SQRT((1-(V270/pterm2))^2+(A270/pterm1)^2)</f>
        <v>1.01525491438593</v>
      </c>
      <c r="P270" s="712" t="n">
        <f aca="false">IF((ATAN((A270/pterm1)/(1-A270^2/pterm2))&gt;0),ATAN((A270/pterm1)/(1-A270^2/pterm2)),PI()+ATAN((A270/pterm1)/(1-A270^2/pterm2)))</f>
        <v>0.236337664299275</v>
      </c>
      <c r="Q270" s="713" t="n">
        <f aca="false">20*LOG10(((E270*K270*G270)/(C270*I270*O270*M270))*Adc)</f>
        <v>-11.6444902695934</v>
      </c>
      <c r="R270" s="714" t="n">
        <f aca="false">((F270+L270+H270)-(D270+J270+P270+N270))*radconv</f>
        <v>-140.539686506564</v>
      </c>
      <c r="S270" s="717" t="n">
        <f aca="false">IF(R270&gt;0,R270,R270+180)</f>
        <v>39.4603134934359</v>
      </c>
      <c r="U270" s="644" t="n">
        <f aca="false">IF(Q270&lt;0,A270,1000000000)</f>
        <v>17081</v>
      </c>
      <c r="V270" s="644" t="n">
        <f aca="false">A270^2</f>
        <v>291760561</v>
      </c>
      <c r="X270" s="716" t="n">
        <f aca="false">20*LOG10((K270/(I270*M270))*AEA)</f>
        <v>16.2610608714499</v>
      </c>
      <c r="Y270" s="717" t="n">
        <f aca="false">(L270-(J270+N270))*radconv</f>
        <v>-36.8702508788094</v>
      </c>
      <c r="AA270" s="716" t="n">
        <f aca="false">20*LOG10((E270*G270/(C270*O270))*Acs*Am)</f>
        <v>23.5750742135111</v>
      </c>
      <c r="AB270" s="717" t="n">
        <f aca="false">(F270+H270-(D270+P270))*radconv</f>
        <v>-103.669435627755</v>
      </c>
      <c r="AD270" s="0" t="n">
        <f aca="false">SUM((Q271&lt;0)*(Q270&gt;0))*A270</f>
        <v>0</v>
      </c>
      <c r="AE270" s="0" t="n">
        <f aca="false">IF(AD270&gt;0,S270,0)</f>
        <v>0</v>
      </c>
    </row>
    <row r="271" customFormat="false" ht="12.75" hidden="false" customHeight="false" outlineLevel="0" collapsed="false">
      <c r="A271" s="718" t="n">
        <v>17180</v>
      </c>
      <c r="B271" s="706" t="n">
        <f aca="false">A271/1000</f>
        <v>17.18</v>
      </c>
      <c r="C271" s="707" t="n">
        <f aca="false">SQRT(1+(A271/pole1)^2)</f>
        <v>29.3557308018928</v>
      </c>
      <c r="D271" s="708" t="n">
        <f aca="false">ATAN(A271/pole1)</f>
        <v>1.53672483626717</v>
      </c>
      <c r="E271" s="708" t="n">
        <f aca="false">SQRT(1+(A271/Zero1)^2)</f>
        <v>1.0230389038106</v>
      </c>
      <c r="F271" s="709" t="n">
        <f aca="false">ATAN(A271/Zero1)</f>
        <v>0.212626917606172</v>
      </c>
      <c r="G271" s="708" t="n">
        <f aca="false">IF(VIN_nom&gt;Vout, 1, SQRT(1+(A271/z_RHP)^2))</f>
        <v>1.03190718330965</v>
      </c>
      <c r="H271" s="709" t="n">
        <f aca="false">IF(VIN_nom&gt;Vout, 0, -ATAN(A271/z_RHP))</f>
        <v>-0.249324160611244</v>
      </c>
      <c r="I271" s="707" t="n">
        <f aca="false">SQRT(1+(A271/Pole2)^2)</f>
        <v>71265.831437024</v>
      </c>
      <c r="J271" s="710" t="n">
        <f aca="false">ATAN(A271/Pole2)</f>
        <v>1.57078229482502</v>
      </c>
      <c r="K271" s="719" t="n">
        <f aca="false">SQRT(1+(A271/Zero2)^2)</f>
        <v>22.0726145082316</v>
      </c>
      <c r="L271" s="720" t="n">
        <f aca="false">ATAN(A271/Zero2)</f>
        <v>1.52547580499516</v>
      </c>
      <c r="M271" s="707" t="n">
        <f aca="false">SQRT(1+(A271/pole4)^2)</f>
        <v>1.21215121520592</v>
      </c>
      <c r="N271" s="710" t="n">
        <f aca="false">ATAN(A271/pole4)</f>
        <v>0.6006302596266</v>
      </c>
      <c r="O271" s="711" t="n">
        <f aca="false">SQRT((1-(V271/pterm2))^2+(A271/pterm1)^2)</f>
        <v>1.01543188527423</v>
      </c>
      <c r="P271" s="712" t="n">
        <f aca="false">IF((ATAN((A271/pterm1)/(1-A271^2/pterm2))&gt;0),ATAN((A271/pterm1)/(1-A271^2/pterm2)),PI()+ATAN((A271/pterm1)/(1-A271^2/pterm2)))</f>
        <v>0.237691547640268</v>
      </c>
      <c r="Q271" s="713" t="n">
        <f aca="false">20*LOG10(((E271*K271*G271)/(C271*I271*O271*M271))*Adc)</f>
        <v>-11.706954182513</v>
      </c>
      <c r="R271" s="714" t="n">
        <f aca="false">((F271+L271+H271)-(D271+J271+P271+N271))*radconv</f>
        <v>-140.778616777836</v>
      </c>
      <c r="S271" s="717" t="n">
        <f aca="false">IF(R271&gt;0,R271,R271+180)</f>
        <v>39.2213832221644</v>
      </c>
      <c r="U271" s="644" t="n">
        <f aca="false">IF(Q271&lt;0,A271,1000000000)</f>
        <v>17180</v>
      </c>
      <c r="V271" s="644" t="n">
        <f aca="false">A271^2</f>
        <v>295152400</v>
      </c>
      <c r="X271" s="716" t="n">
        <f aca="false">20*LOG10((K271/(I271*M271))*AEA)</f>
        <v>16.2449867530044</v>
      </c>
      <c r="Y271" s="717" t="n">
        <f aca="false">(L271-(J271+N271))*radconv</f>
        <v>-37.0094496185441</v>
      </c>
      <c r="AA271" s="716" t="n">
        <f aca="false">20*LOG10((E271*G271/(C271*O271))*Acs*Am)</f>
        <v>23.5286844190369</v>
      </c>
      <c r="AB271" s="717" t="n">
        <f aca="false">(F271+H271-(D271+P271))*radconv</f>
        <v>-103.769167159291</v>
      </c>
      <c r="AD271" s="0" t="n">
        <f aca="false">SUM((Q272&lt;0)*(Q271&gt;0))*A271</f>
        <v>0</v>
      </c>
      <c r="AE271" s="0" t="n">
        <f aca="false">IF(AD271&gt;0,S271,0)</f>
        <v>0</v>
      </c>
    </row>
    <row r="272" customFormat="false" ht="12.75" hidden="false" customHeight="false" outlineLevel="0" collapsed="false">
      <c r="A272" s="718" t="n">
        <v>17279</v>
      </c>
      <c r="B272" s="706" t="n">
        <f aca="false">A272/1000</f>
        <v>17.279</v>
      </c>
      <c r="C272" s="707" t="n">
        <f aca="false">SQRT(1+(A272/pole1)^2)</f>
        <v>29.5246978900422</v>
      </c>
      <c r="D272" s="708" t="n">
        <f aca="false">ATAN(A272/pole1)</f>
        <v>1.53691989906437</v>
      </c>
      <c r="E272" s="708" t="n">
        <f aca="false">SQRT(1+(A272/Zero1)^2)</f>
        <v>1.02330216059505</v>
      </c>
      <c r="F272" s="709" t="n">
        <f aca="false">ATAN(A272/Zero1)</f>
        <v>0.213815280602166</v>
      </c>
      <c r="G272" s="708" t="n">
        <f aca="false">IF(VIN_nom&gt;Vout, 1, SQRT(1+(A272/z_RHP)^2))</f>
        <v>1.03227020858346</v>
      </c>
      <c r="H272" s="709" t="n">
        <f aca="false">IF(VIN_nom&gt;Vout, 0, -ATAN(A272/z_RHP))</f>
        <v>-0.250701605746459</v>
      </c>
      <c r="I272" s="707" t="n">
        <f aca="false">SQRT(1+(A272/Pole2)^2)</f>
        <v>71676.5018276456</v>
      </c>
      <c r="J272" s="710" t="n">
        <f aca="false">ATAN(A272/Pole2)</f>
        <v>1.57078237522117</v>
      </c>
      <c r="K272" s="719" t="n">
        <f aca="false">SQRT(1+(A272/Zero2)^2)</f>
        <v>22.1995479461337</v>
      </c>
      <c r="L272" s="720" t="n">
        <f aca="false">ATAN(A272/Zero2)</f>
        <v>1.52573511647689</v>
      </c>
      <c r="M272" s="707" t="n">
        <f aca="false">SQRT(1+(A272/pole4)^2)</f>
        <v>1.21438666440396</v>
      </c>
      <c r="N272" s="710" t="n">
        <f aca="false">ATAN(A272/pole4)</f>
        <v>0.603312075346838</v>
      </c>
      <c r="O272" s="711" t="n">
        <f aca="false">SQRT((1-(V272/pterm2))^2+(A272/pterm1)^2)</f>
        <v>1.01560987037161</v>
      </c>
      <c r="P272" s="712" t="n">
        <f aca="false">IF((ATAN((A272/pterm1)/(1-A272^2/pterm2))&gt;0),ATAN((A272/pterm1)/(1-A272^2/pterm2)),PI()+ATAN((A272/pterm1)/(1-A272^2/pterm2)))</f>
        <v>0.239045159778103</v>
      </c>
      <c r="Q272" s="713" t="n">
        <f aca="false">20*LOG10(((E272*K272*G272)/(C272*I272*O272*M272))*Adc)</f>
        <v>-11.7691434534993</v>
      </c>
      <c r="R272" s="714" t="n">
        <f aca="false">((F272+L272+H272)-(D272+J272+P272+N272))*radconv</f>
        <v>-141.016986799361</v>
      </c>
      <c r="S272" s="717" t="n">
        <f aca="false">IF(R272&gt;0,R272,R272+180)</f>
        <v>38.9830132006393</v>
      </c>
      <c r="U272" s="644" t="n">
        <f aca="false">IF(Q272&lt;0,A272,1000000000)</f>
        <v>17279</v>
      </c>
      <c r="V272" s="644" t="n">
        <f aca="false">A272^2</f>
        <v>298563841</v>
      </c>
      <c r="X272" s="716" t="n">
        <f aca="false">20*LOG10((K272/(I272*M272))*AEA)</f>
        <v>16.2288811333713</v>
      </c>
      <c r="Y272" s="717" t="n">
        <f aca="false">(L272-(J272+N272))*radconv</f>
        <v>-37.1482534937816</v>
      </c>
      <c r="AA272" s="716" t="n">
        <f aca="false">20*LOG10((E272*G272/(C272*O272))*Acs*Am)</f>
        <v>23.4826007676838</v>
      </c>
      <c r="AB272" s="717" t="n">
        <f aca="false">(F272+H272-(D272+P272))*radconv</f>
        <v>-103.868733305579</v>
      </c>
      <c r="AD272" s="0" t="n">
        <f aca="false">SUM((Q273&lt;0)*(Q272&gt;0))*A272</f>
        <v>0</v>
      </c>
      <c r="AE272" s="0" t="n">
        <f aca="false">IF(AD272&gt;0,S272,0)</f>
        <v>0</v>
      </c>
    </row>
    <row r="273" customFormat="false" ht="12.75" hidden="false" customHeight="false" outlineLevel="0" collapsed="false">
      <c r="A273" s="718" t="n">
        <v>17378</v>
      </c>
      <c r="B273" s="706" t="n">
        <f aca="false">A273/1000</f>
        <v>17.378</v>
      </c>
      <c r="C273" s="707" t="n">
        <f aca="false">SQRT(1+(A273/pole1)^2)</f>
        <v>29.6936660888064</v>
      </c>
      <c r="D273" s="708" t="n">
        <f aca="false">ATAN(A273/pole1)</f>
        <v>1.53711274190655</v>
      </c>
      <c r="E273" s="708" t="n">
        <f aca="false">SQRT(1+(A273/Zero1)^2)</f>
        <v>1.02356686174902</v>
      </c>
      <c r="F273" s="709" t="n">
        <f aca="false">ATAN(A273/Zero1)</f>
        <v>0.215003030637741</v>
      </c>
      <c r="G273" s="708" t="n">
        <f aca="false">IF(VIN_nom&gt;Vout, 1, SQRT(1+(A273/z_RHP)^2))</f>
        <v>1.03263519106116</v>
      </c>
      <c r="H273" s="709" t="n">
        <f aca="false">IF(VIN_nom&gt;Vout, 0, -ATAN(A273/z_RHP))</f>
        <v>-0.252078079782317</v>
      </c>
      <c r="I273" s="707" t="n">
        <f aca="false">SQRT(1+(A273/Pole2)^2)</f>
        <v>72087.1722182677</v>
      </c>
      <c r="J273" s="710" t="n">
        <f aca="false">ATAN(A273/Pole2)</f>
        <v>1.5707824547013</v>
      </c>
      <c r="K273" s="719" t="n">
        <f aca="false">SQRT(1+(A273/Zero2)^2)</f>
        <v>22.326482859814</v>
      </c>
      <c r="L273" s="720" t="n">
        <f aca="false">ATAN(A273/Zero2)</f>
        <v>1.52599147939837</v>
      </c>
      <c r="M273" s="707" t="n">
        <f aca="false">SQRT(1+(A273/pole4)^2)</f>
        <v>1.21663081550295</v>
      </c>
      <c r="N273" s="710" t="n">
        <f aca="false">ATAN(A273/pole4)</f>
        <v>0.605984016673803</v>
      </c>
      <c r="O273" s="711" t="n">
        <f aca="false">SQRT((1-(V273/pterm2))^2+(A273/pterm1)^2)</f>
        <v>1.01578886953507</v>
      </c>
      <c r="P273" s="712" t="n">
        <f aca="false">IF((ATAN((A273/pterm1)/(1-A273^2/pterm2))&gt;0),ATAN((A273/pterm1)/(1-A273^2/pterm2)),PI()+ATAN((A273/pterm1)/(1-A273^2/pterm2)))</f>
        <v>0.240398499280627</v>
      </c>
      <c r="Q273" s="713" t="n">
        <f aca="false">20*LOG10(((E273*K273*G273)/(C273*I273*O273*M273))*Adc)</f>
        <v>-11.8310608607805</v>
      </c>
      <c r="R273" s="714" t="n">
        <f aca="false">((F273+L273+H273)-(D273+J273+P273+N273))*radconv</f>
        <v>-141.254796612644</v>
      </c>
      <c r="S273" s="717" t="n">
        <f aca="false">IF(R273&gt;0,R273,R273+180)</f>
        <v>38.745203387356</v>
      </c>
      <c r="U273" s="644" t="n">
        <f aca="false">IF(Q273&lt;0,A273,1000000000)</f>
        <v>17378</v>
      </c>
      <c r="V273" s="644" t="n">
        <f aca="false">A273^2</f>
        <v>301994884</v>
      </c>
      <c r="X273" s="716" t="n">
        <f aca="false">20*LOG10((K273/(I273*M273))*AEA)</f>
        <v>16.2127445542623</v>
      </c>
      <c r="Y273" s="717" t="n">
        <f aca="false">(L273-(J273+N273))*radconv</f>
        <v>-37.2866604955332</v>
      </c>
      <c r="AA273" s="716" t="n">
        <f aca="false">20*LOG10((E273*G273/(C273*O273))*Acs*Am)</f>
        <v>23.4368199395116</v>
      </c>
      <c r="AB273" s="717" t="n">
        <f aca="false">(F273+H273-(D273+P273))*radconv</f>
        <v>-103.968136117111</v>
      </c>
      <c r="AD273" s="0" t="n">
        <f aca="false">SUM((Q274&lt;0)*(Q273&gt;0))*A273</f>
        <v>0</v>
      </c>
      <c r="AE273" s="0" t="n">
        <f aca="false">IF(AD273&gt;0,S273,0)</f>
        <v>0</v>
      </c>
    </row>
    <row r="274" customFormat="false" ht="12.75" hidden="false" customHeight="false" outlineLevel="0" collapsed="false">
      <c r="A274" s="718" t="n">
        <v>17479.25</v>
      </c>
      <c r="B274" s="706" t="n">
        <f aca="false">A274/1000</f>
        <v>17.47925</v>
      </c>
      <c r="C274" s="707" t="n">
        <f aca="false">SQRT(1+(A274/pole1)^2)</f>
        <v>29.8664756030247</v>
      </c>
      <c r="D274" s="708" t="n">
        <f aca="false">ATAN(A274/pole1)</f>
        <v>1.53730771058446</v>
      </c>
      <c r="E274" s="708" t="n">
        <f aca="false">SQRT(1+(A274/Zero1)^2)</f>
        <v>1.02383907165318</v>
      </c>
      <c r="F274" s="709" t="n">
        <f aca="false">ATAN(A274/Zero1)</f>
        <v>0.216217137981491</v>
      </c>
      <c r="G274" s="708" t="n">
        <f aca="false">IF(VIN_nom&gt;Vout, 1, SQRT(1+(A274/z_RHP)^2))</f>
        <v>1.03301049086527</v>
      </c>
      <c r="H274" s="709" t="n">
        <f aca="false">IF(VIN_nom&gt;Vout, 0, -ATAN(A274/z_RHP))</f>
        <v>-0.253484828502949</v>
      </c>
      <c r="I274" s="707" t="n">
        <f aca="false">SQRT(1+(A274/Pole2)^2)</f>
        <v>72507.176026859</v>
      </c>
      <c r="J274" s="710" t="n">
        <f aca="false">ATAN(A274/Pole2)</f>
        <v>1.57078253505655</v>
      </c>
      <c r="K274" s="719" t="n">
        <f aca="false">SQRT(1+(A274/Zero2)^2)</f>
        <v>22.4563041582848</v>
      </c>
      <c r="L274" s="720" t="n">
        <f aca="false">ATAN(A274/Zero2)</f>
        <v>1.52625067098396</v>
      </c>
      <c r="M274" s="707" t="n">
        <f aca="false">SQRT(1+(A274/pole4)^2)</f>
        <v>1.21893492074887</v>
      </c>
      <c r="N274" s="710" t="n">
        <f aca="false">ATAN(A274/pole4)</f>
        <v>0.608706487562622</v>
      </c>
      <c r="O274" s="711" t="n">
        <f aca="false">SQRT((1-(V274/pterm2))^2+(A274/pterm1)^2)</f>
        <v>1.01597298560997</v>
      </c>
      <c r="P274" s="712" t="n">
        <f aca="false">IF((ATAN((A274/pterm1)/(1-A274^2/pterm2))&gt;0),ATAN((A274/pterm1)/(1-A274^2/pterm2)),PI()+ATAN((A274/pterm1)/(1-A274^2/pterm2)))</f>
        <v>0.241782313008692</v>
      </c>
      <c r="Q274" s="713" t="n">
        <f aca="false">20*LOG10(((E274*K274*G274)/(C274*I274*O274*M274))*Adc)</f>
        <v>-11.8941071206364</v>
      </c>
      <c r="R274" s="714" t="n">
        <f aca="false">((F274+L274+H274)-(D274+J274+P274+N274))*radconv</f>
        <v>-141.497431831261</v>
      </c>
      <c r="S274" s="717" t="n">
        <f aca="false">IF(R274&gt;0,R274,R274+180)</f>
        <v>38.5025681687386</v>
      </c>
      <c r="U274" s="644" t="n">
        <f aca="false">IF(Q274&lt;0,A274,1000000000)</f>
        <v>17479.25</v>
      </c>
      <c r="V274" s="644" t="n">
        <f aca="false">A274^2</f>
        <v>305524180.5625</v>
      </c>
      <c r="X274" s="716" t="n">
        <f aca="false">20*LOG10((K274/(I274*M274))*AEA)</f>
        <v>16.1962097730112</v>
      </c>
      <c r="Y274" s="717" t="n">
        <f aca="false">(L274-(J274+N274))*radconv</f>
        <v>-37.4278006075478</v>
      </c>
      <c r="AA274" s="716" t="n">
        <f aca="false">20*LOG10((E274*G274/(C274*O274))*Acs*Am)</f>
        <v>23.3903084609067</v>
      </c>
      <c r="AB274" s="717" t="n">
        <f aca="false">(F274+H274-(D274+P274))*radconv</f>
        <v>-104.069631223714</v>
      </c>
      <c r="AD274" s="0" t="n">
        <f aca="false">SUM((Q275&lt;0)*(Q274&gt;0))*A274</f>
        <v>0</v>
      </c>
      <c r="AE274" s="0" t="n">
        <f aca="false">IF(AD274&gt;0,S274,0)</f>
        <v>0</v>
      </c>
    </row>
    <row r="275" customFormat="false" ht="12.75" hidden="false" customHeight="false" outlineLevel="0" collapsed="false">
      <c r="A275" s="718" t="n">
        <v>17580.5</v>
      </c>
      <c r="B275" s="706" t="n">
        <f aca="false">A275/1000</f>
        <v>17.5805</v>
      </c>
      <c r="C275" s="707" t="n">
        <f aca="false">SQRT(1+(A275/pole1)^2)</f>
        <v>30.0392862394885</v>
      </c>
      <c r="D275" s="708" t="n">
        <f aca="false">ATAN(A275/pole1)</f>
        <v>1.53750043602982</v>
      </c>
      <c r="E275" s="708" t="n">
        <f aca="false">SQRT(1+(A275/Zero1)^2)</f>
        <v>1.02411278995053</v>
      </c>
      <c r="F275" s="709" t="n">
        <f aca="false">ATAN(A275/Zero1)</f>
        <v>0.21743059811551</v>
      </c>
      <c r="G275" s="708" t="n">
        <f aca="false">IF(VIN_nom&gt;Vout, 1, SQRT(1+(A275/z_RHP)^2))</f>
        <v>1.03338783344997</v>
      </c>
      <c r="H275" s="709" t="n">
        <f aca="false">IF(VIN_nom&gt;Vout, 0, -ATAN(A275/z_RHP))</f>
        <v>-0.254890552652379</v>
      </c>
      <c r="I275" s="707" t="n">
        <f aca="false">SQRT(1+(A275/Pole2)^2)</f>
        <v>72927.1798354507</v>
      </c>
      <c r="J275" s="710" t="n">
        <f aca="false">ATAN(A275/Pole2)</f>
        <v>1.57078261448623</v>
      </c>
      <c r="K275" s="719" t="n">
        <f aca="false">SQRT(1+(A275/Zero2)^2)</f>
        <v>22.5861269480337</v>
      </c>
      <c r="L275" s="720" t="n">
        <f aca="false">ATAN(A275/Zero2)</f>
        <v>1.52650688297219</v>
      </c>
      <c r="M275" s="707" t="n">
        <f aca="false">SQRT(1+(A275/pole4)^2)</f>
        <v>1.22124802642519</v>
      </c>
      <c r="N275" s="710" t="n">
        <f aca="false">ATAN(A275/pole4)</f>
        <v>0.611418665494619</v>
      </c>
      <c r="O275" s="711" t="n">
        <f aca="false">SQRT((1-(V275/pterm2))^2+(A275/pterm1)^2)</f>
        <v>1.01615816206385</v>
      </c>
      <c r="P275" s="712" t="n">
        <f aca="false">IF((ATAN((A275/pterm1)/(1-A275^2/pterm2))&gt;0),ATAN((A275/pterm1)/(1-A275^2/pterm2)),PI()+ATAN((A275/pterm1)/(1-A275^2/pterm2)))</f>
        <v>0.243165838544974</v>
      </c>
      <c r="Q275" s="713" t="n">
        <f aca="false">20*LOG10(((E275*K275*G275)/(C275*I275*O275*M275))*Adc)</f>
        <v>-11.9568747312998</v>
      </c>
      <c r="R275" s="714" t="n">
        <f aca="false">((F275+L275+H275)-(D275+J275+P275+N275))*radconv</f>
        <v>-141.739481311066</v>
      </c>
      <c r="S275" s="717" t="n">
        <f aca="false">IF(R275&gt;0,R275,R275+180)</f>
        <v>38.2605186889337</v>
      </c>
      <c r="U275" s="644" t="n">
        <f aca="false">IF(Q275&lt;0,A275,1000000000)</f>
        <v>17580.5</v>
      </c>
      <c r="V275" s="644" t="n">
        <f aca="false">A275^2</f>
        <v>309073980.25</v>
      </c>
      <c r="X275" s="716" t="n">
        <f aca="false">20*LOG10((K275/(I275*M275))*AEA)</f>
        <v>16.1796437448259</v>
      </c>
      <c r="Y275" s="717" t="n">
        <f aca="false">(L275-(J275+N275))*radconv</f>
        <v>-37.5685216419001</v>
      </c>
      <c r="AA275" s="716" t="n">
        <f aca="false">20*LOG10((E275*G275/(C275*O275))*Acs*Am)</f>
        <v>23.3441068784287</v>
      </c>
      <c r="AB275" s="717" t="n">
        <f aca="false">(F275+H275-(D275+P275))*radconv</f>
        <v>-104.170959669166</v>
      </c>
      <c r="AD275" s="0" t="n">
        <f aca="false">SUM((Q276&lt;0)*(Q275&gt;0))*A275</f>
        <v>0</v>
      </c>
      <c r="AE275" s="0" t="n">
        <f aca="false">IF(AD275&gt;0,S275,0)</f>
        <v>0</v>
      </c>
    </row>
    <row r="276" customFormat="false" ht="12.75" hidden="false" customHeight="false" outlineLevel="0" collapsed="false">
      <c r="A276" s="718" t="n">
        <v>17681.75</v>
      </c>
      <c r="B276" s="706" t="n">
        <f aca="false">A276/1000</f>
        <v>17.68175</v>
      </c>
      <c r="C276" s="707" t="n">
        <f aca="false">SQRT(1+(A276/pole1)^2)</f>
        <v>30.2120979789404</v>
      </c>
      <c r="D276" s="708" t="n">
        <f aca="false">ATAN(A276/pole1)</f>
        <v>1.53769095672173</v>
      </c>
      <c r="E276" s="708" t="n">
        <f aca="false">SQRT(1+(A276/Zero1)^2)</f>
        <v>1.02438801543194</v>
      </c>
      <c r="F276" s="709" t="n">
        <f aca="false">ATAN(A276/Zero1)</f>
        <v>0.218643407986437</v>
      </c>
      <c r="G276" s="708" t="n">
        <f aca="false">IF(VIN_nom&gt;Vout, 1, SQRT(1+(A276/z_RHP)^2))</f>
        <v>1.03376721657832</v>
      </c>
      <c r="H276" s="709" t="n">
        <f aca="false">IF(VIN_nom&gt;Vout, 0, -ATAN(A276/z_RHP))</f>
        <v>-0.256295247800025</v>
      </c>
      <c r="I276" s="707" t="n">
        <f aca="false">SQRT(1+(A276/Pole2)^2)</f>
        <v>73347.1836440429</v>
      </c>
      <c r="J276" s="710" t="n">
        <f aca="false">ATAN(A276/Pole2)</f>
        <v>1.57078269300624</v>
      </c>
      <c r="K276" s="719" t="n">
        <f aca="false">SQRT(1+(A276/Zero2)^2)</f>
        <v>22.7159512034925</v>
      </c>
      <c r="L276" s="720" t="n">
        <f aca="false">ATAN(A276/Zero2)</f>
        <v>1.52676016641533</v>
      </c>
      <c r="M276" s="707" t="n">
        <f aca="false">SQRT(1+(A276/pole4)^2)</f>
        <v>1.22357008148714</v>
      </c>
      <c r="N276" s="710" t="n">
        <f aca="false">ATAN(A276/pole4)</f>
        <v>0.614120569056962</v>
      </c>
      <c r="O276" s="711" t="n">
        <f aca="false">SQRT((1-(V276/pterm2))^2+(A276/pterm1)^2)</f>
        <v>1.01634439874148</v>
      </c>
      <c r="P276" s="712" t="n">
        <f aca="false">IF((ATAN((A276/pterm1)/(1-A276^2/pterm2))&gt;0),ATAN((A276/pterm1)/(1-A276^2/pterm2)),PI()+ATAN((A276/pterm1)/(1-A276^2/pterm2)))</f>
        <v>0.244549074364446</v>
      </c>
      <c r="Q276" s="713" t="n">
        <f aca="false">20*LOG10(((E276*K276*G276)/(C276*I276*O276*M276))*Adc)</f>
        <v>-12.0193664997179</v>
      </c>
      <c r="R276" s="714" t="n">
        <f aca="false">((F276+L276+H276)-(D276+J276+P276+N276))*radconv</f>
        <v>-141.980945231259</v>
      </c>
      <c r="S276" s="717" t="n">
        <f aca="false">IF(R276&gt;0,R276,R276+180)</f>
        <v>38.0190547687413</v>
      </c>
      <c r="U276" s="644" t="n">
        <f aca="false">IF(Q276&lt;0,A276,1000000000)</f>
        <v>17681.75</v>
      </c>
      <c r="V276" s="644" t="n">
        <f aca="false">A276^2</f>
        <v>312644283.0625</v>
      </c>
      <c r="X276" s="716" t="n">
        <f aca="false">20*LOG10((K276/(I276*M276))*AEA)</f>
        <v>16.1630470386311</v>
      </c>
      <c r="Y276" s="717" t="n">
        <f aca="false">(L276-(J276+N276))*radconv</f>
        <v>-37.7088217393865</v>
      </c>
      <c r="AA276" s="716" t="n">
        <f aca="false">20*LOG10((E276*G276/(C276*O276))*Acs*Am)</f>
        <v>23.2982118162054</v>
      </c>
      <c r="AB276" s="717" t="n">
        <f aca="false">(F276+H276-(D276+P276))*radconv</f>
        <v>-104.272123491872</v>
      </c>
      <c r="AD276" s="0" t="n">
        <f aca="false">SUM((Q277&lt;0)*(Q276&gt;0))*A276</f>
        <v>0</v>
      </c>
      <c r="AE276" s="0" t="n">
        <f aca="false">IF(AD276&gt;0,S276,0)</f>
        <v>0</v>
      </c>
    </row>
    <row r="277" customFormat="false" ht="12.75" hidden="false" customHeight="false" outlineLevel="0" collapsed="false">
      <c r="A277" s="718" t="n">
        <v>17783</v>
      </c>
      <c r="B277" s="706" t="n">
        <f aca="false">A277/1000</f>
        <v>17.783</v>
      </c>
      <c r="C277" s="707" t="n">
        <f aca="false">SQRT(1+(A277/pole1)^2)</f>
        <v>30.3849108025609</v>
      </c>
      <c r="D277" s="708" t="n">
        <f aca="false">ATAN(A277/pole1)</f>
        <v>1.53787931026456</v>
      </c>
      <c r="E277" s="708" t="n">
        <f aca="false">SQRT(1+(A277/Zero1)^2)</f>
        <v>1.02466474688292</v>
      </c>
      <c r="F277" s="709" t="n">
        <f aca="false">ATAN(A277/Zero1)</f>
        <v>0.219855564551835</v>
      </c>
      <c r="G277" s="708" t="n">
        <f aca="false">IF(VIN_nom&gt;Vout, 1, SQRT(1+(A277/z_RHP)^2))</f>
        <v>1.03414863800457</v>
      </c>
      <c r="H277" s="709" t="n">
        <f aca="false">IF(VIN_nom&gt;Vout, 0, -ATAN(A277/z_RHP))</f>
        <v>-0.257698909538035</v>
      </c>
      <c r="I277" s="707" t="n">
        <f aca="false">SQRT(1+(A277/Pole2)^2)</f>
        <v>73767.1874526356</v>
      </c>
      <c r="J277" s="710" t="n">
        <f aca="false">ATAN(A277/Pole2)</f>
        <v>1.57078277063213</v>
      </c>
      <c r="K277" s="719" t="n">
        <f aca="false">SQRT(1+(A277/Zero2)^2)</f>
        <v>22.8457768996739</v>
      </c>
      <c r="L277" s="720" t="n">
        <f aca="false">ATAN(A277/Zero2)</f>
        <v>1.52701057120675</v>
      </c>
      <c r="M277" s="707" t="n">
        <f aca="false">SQRT(1+(A277/pole4)^2)</f>
        <v>1.22590103507998</v>
      </c>
      <c r="N277" s="710" t="n">
        <f aca="false">ATAN(A277/pole4)</f>
        <v>0.616812217296307</v>
      </c>
      <c r="O277" s="711" t="n">
        <f aca="false">SQRT((1-(V277/pterm2))^2+(A277/pterm1)^2)</f>
        <v>1.01653169548688</v>
      </c>
      <c r="P277" s="712" t="n">
        <f aca="false">IF((ATAN((A277/pterm1)/(1-A277^2/pterm2))&gt;0),ATAN((A277/pterm1)/(1-A277^2/pterm2)),PI()+ATAN((A277/pterm1)/(1-A277^2/pterm2)))</f>
        <v>0.245932018944463</v>
      </c>
      <c r="Q277" s="713" t="n">
        <f aca="false">20*LOG10(((E277*K277*G277)/(C277*I277*O277*M277))*Adc)</f>
        <v>-12.0815851799603</v>
      </c>
      <c r="R277" s="714" t="n">
        <f aca="false">((F277+L277+H277)-(D277+J277+P277+N277))*radconv</f>
        <v>-142.221823814441</v>
      </c>
      <c r="S277" s="717" t="n">
        <f aca="false">IF(R277&gt;0,R277,R277+180)</f>
        <v>37.7781761855589</v>
      </c>
      <c r="U277" s="644" t="n">
        <f aca="false">IF(Q277&lt;0,A277,1000000000)</f>
        <v>17783</v>
      </c>
      <c r="V277" s="644" t="n">
        <f aca="false">A277^2</f>
        <v>316235089</v>
      </c>
      <c r="X277" s="716" t="n">
        <f aca="false">20*LOG10((K277/(I277*M277))*AEA)</f>
        <v>16.1464202196928</v>
      </c>
      <c r="Y277" s="717" t="n">
        <f aca="false">(L277-(J277+N277))*radconv</f>
        <v>-37.848699133512</v>
      </c>
      <c r="AA277" s="716" t="n">
        <f aca="false">20*LOG10((E277*G277/(C277*O277))*Acs*Am)</f>
        <v>23.2526199549013</v>
      </c>
      <c r="AB277" s="717" t="n">
        <f aca="false">(F277+H277-(D277+P277))*radconv</f>
        <v>-104.373124680929</v>
      </c>
      <c r="AD277" s="0" t="n">
        <f aca="false">SUM((Q278&lt;0)*(Q277&gt;0))*A277</f>
        <v>0</v>
      </c>
      <c r="AE277" s="0" t="n">
        <f aca="false">IF(AD277&gt;0,S277,0)</f>
        <v>0</v>
      </c>
    </row>
    <row r="278" customFormat="false" ht="12.75" hidden="false" customHeight="false" outlineLevel="0" collapsed="false">
      <c r="A278" s="718" t="n">
        <v>17886.5</v>
      </c>
      <c r="B278" s="706" t="n">
        <f aca="false">A278/1000</f>
        <v>17.8865</v>
      </c>
      <c r="C278" s="707" t="n">
        <f aca="false">SQRT(1+(A278/pole1)^2)</f>
        <v>30.5615650125761</v>
      </c>
      <c r="D278" s="708" t="n">
        <f aca="false">ATAN(A278/pole1)</f>
        <v>1.53806964778432</v>
      </c>
      <c r="E278" s="708" t="n">
        <f aca="false">SQRT(1+(A278/Zero1)^2)</f>
        <v>1.02494918319195</v>
      </c>
      <c r="F278" s="709" t="n">
        <f aca="false">ATAN(A278/Zero1)</f>
        <v>0.221093979529685</v>
      </c>
      <c r="G278" s="708" t="n">
        <f aca="false">IF(VIN_nom&gt;Vout, 1, SQRT(1+(A278/z_RHP)^2))</f>
        <v>1.03454063985944</v>
      </c>
      <c r="H278" s="709" t="n">
        <f aca="false">IF(VIN_nom&gt;Vout, 0, -ATAN(A278/z_RHP))</f>
        <v>-0.259132691081549</v>
      </c>
      <c r="I278" s="707" t="n">
        <f aca="false">SQRT(1+(A278/Pole2)^2)</f>
        <v>74196.5246791974</v>
      </c>
      <c r="J278" s="710" t="n">
        <f aca="false">ATAN(A278/Pole2)</f>
        <v>1.57078284907469</v>
      </c>
      <c r="K278" s="719" t="n">
        <f aca="false">SQRT(1+(A278/Zero2)^2)</f>
        <v>22.9784890750017</v>
      </c>
      <c r="L278" s="720" t="n">
        <f aca="false">ATAN(A278/Zero2)</f>
        <v>1.52726361600324</v>
      </c>
      <c r="M278" s="707" t="n">
        <f aca="false">SQRT(1+(A278/pole4)^2)</f>
        <v>1.22829293223641</v>
      </c>
      <c r="N278" s="710" t="n">
        <f aca="false">ATAN(A278/pole4)</f>
        <v>0.619553100544969</v>
      </c>
      <c r="O278" s="711" t="n">
        <f aca="false">SQRT((1-(V278/pterm2))^2+(A278/pterm1)^2)</f>
        <v>1.01672424988408</v>
      </c>
      <c r="P278" s="712" t="n">
        <f aca="false">IF((ATAN((A278/pterm1)/(1-A278^2/pterm2))&gt;0),ATAN((A278/pterm1)/(1-A278^2/pterm2)),PI()+ATAN((A278/pterm1)/(1-A278^2/pterm2)))</f>
        <v>0.247345393023988</v>
      </c>
      <c r="Q278" s="713" t="n">
        <f aca="false">20*LOG10(((E278*K278*G278)/(C278*I278*O278*M278))*Adc)</f>
        <v>-12.1449070526623</v>
      </c>
      <c r="R278" s="714" t="n">
        <f aca="false">((F278+L278+H278)-(D278+J278+P278+N278))*radconv</f>
        <v>-142.467450538435</v>
      </c>
      <c r="S278" s="717" t="n">
        <f aca="false">IF(R278&gt;0,R278,R278+180)</f>
        <v>37.5325494615646</v>
      </c>
      <c r="U278" s="644" t="n">
        <f aca="false">IF(Q278&lt;0,A278,1000000000)</f>
        <v>17886.5</v>
      </c>
      <c r="V278" s="644" t="n">
        <f aca="false">A278^2</f>
        <v>319926882.25</v>
      </c>
      <c r="X278" s="716" t="n">
        <f aca="false">20*LOG10((K278/(I278*M278))*AEA)</f>
        <v>16.1293933766504</v>
      </c>
      <c r="Y278" s="717" t="n">
        <f aca="false">(L278-(J278+N278))*radconv</f>
        <v>-37.9912462715228</v>
      </c>
      <c r="AA278" s="716" t="n">
        <f aca="false">20*LOG10((E278*G278/(C278*O278))*Acs*Am)</f>
        <v>23.2063249252417</v>
      </c>
      <c r="AB278" s="717" t="n">
        <f aca="false">(F278+H278-(D278+P278))*radconv</f>
        <v>-104.476204266913</v>
      </c>
      <c r="AD278" s="0" t="n">
        <f aca="false">SUM((Q279&lt;0)*(Q278&gt;0))*A278</f>
        <v>0</v>
      </c>
      <c r="AE278" s="0" t="n">
        <f aca="false">IF(AD278&gt;0,S278,0)</f>
        <v>0</v>
      </c>
    </row>
    <row r="279" customFormat="false" ht="12.75" hidden="false" customHeight="false" outlineLevel="0" collapsed="false">
      <c r="A279" s="718" t="n">
        <v>17990</v>
      </c>
      <c r="B279" s="706" t="n">
        <f aca="false">A279/1000</f>
        <v>17.99</v>
      </c>
      <c r="C279" s="707" t="n">
        <f aca="false">SQRT(1+(A279/pole1)^2)</f>
        <v>30.7382203170607</v>
      </c>
      <c r="D279" s="708" t="n">
        <f aca="false">ATAN(A279/pole1)</f>
        <v>1.53825779753729</v>
      </c>
      <c r="E279" s="708" t="n">
        <f aca="false">SQRT(1+(A279/Zero1)^2)</f>
        <v>1.02523519056286</v>
      </c>
      <c r="F279" s="709" t="n">
        <f aca="false">ATAN(A279/Zero1)</f>
        <v>0.222331705449682</v>
      </c>
      <c r="G279" s="708" t="n">
        <f aca="false">IF(VIN_nom&gt;Vout, 1, SQRT(1+(A279/z_RHP)^2))</f>
        <v>1.03493476683641</v>
      </c>
      <c r="H279" s="709" t="n">
        <f aca="false">IF(VIN_nom&gt;Vout, 0, -ATAN(A279/z_RHP))</f>
        <v>-0.260565383534411</v>
      </c>
      <c r="I279" s="707" t="n">
        <f aca="false">SQRT(1+(A279/Pole2)^2)</f>
        <v>74625.8619057597</v>
      </c>
      <c r="J279" s="710" t="n">
        <f aca="false">ATAN(A279/Pole2)</f>
        <v>1.57078292661466</v>
      </c>
      <c r="K279" s="719" t="n">
        <f aca="false">SQRT(1+(A279/Zero2)^2)</f>
        <v>23.1112027047826</v>
      </c>
      <c r="L279" s="720" t="n">
        <f aca="false">ATAN(A279/Zero2)</f>
        <v>1.52751375464978</v>
      </c>
      <c r="M279" s="707" t="n">
        <f aca="false">SQRT(1+(A279/pole4)^2)</f>
        <v>1.23069402096281</v>
      </c>
      <c r="N279" s="710" t="n">
        <f aca="false">ATAN(A279/pole4)</f>
        <v>0.622283309290304</v>
      </c>
      <c r="O279" s="711" t="n">
        <f aca="false">SQRT((1-(V279/pterm2))^2+(A279/pterm1)^2)</f>
        <v>1.01691791165463</v>
      </c>
      <c r="P279" s="712" t="n">
        <f aca="false">IF((ATAN((A279/pterm1)/(1-A279^2/pterm2))&gt;0),ATAN((A279/pterm1)/(1-A279^2/pterm2)),PI()+ATAN((A279/pterm1)/(1-A279^2/pterm2)))</f>
        <v>0.248758459566433</v>
      </c>
      <c r="Q279" s="713" t="n">
        <f aca="false">20*LOG10(((E279*K279*G279)/(C279*I279*O279*M279))*Adc)</f>
        <v>-12.2079492212812</v>
      </c>
      <c r="R279" s="714" t="n">
        <f aca="false">((F279+L279+H279)-(D279+J279+P279+N279))*radconv</f>
        <v>-142.71246622628</v>
      </c>
      <c r="S279" s="717" t="n">
        <f aca="false">IF(R279&gt;0,R279,R279+180)</f>
        <v>37.2875337737201</v>
      </c>
      <c r="U279" s="644" t="n">
        <f aca="false">IF(Q279&lt;0,A279,1000000000)</f>
        <v>17990</v>
      </c>
      <c r="V279" s="644" t="n">
        <f aca="false">A279^2</f>
        <v>323640100</v>
      </c>
      <c r="X279" s="716" t="n">
        <f aca="false">20*LOG10((K279/(I279*M279))*AEA)</f>
        <v>16.1123362502277</v>
      </c>
      <c r="Y279" s="717" t="n">
        <f aca="false">(L279-(J279+N279))*radconv</f>
        <v>-38.1333482639553</v>
      </c>
      <c r="AA279" s="716" t="n">
        <f aca="false">20*LOG10((E279*G279/(C279*O279))*Acs*Am)</f>
        <v>23.1603398830454</v>
      </c>
      <c r="AB279" s="717" t="n">
        <f aca="false">(F279+H279-(D279+P279))*radconv</f>
        <v>-104.579117962325</v>
      </c>
      <c r="AD279" s="0" t="n">
        <f aca="false">SUM((Q280&lt;0)*(Q279&gt;0))*A279</f>
        <v>0</v>
      </c>
      <c r="AE279" s="0" t="n">
        <f aca="false">IF(AD279&gt;0,S279,0)</f>
        <v>0</v>
      </c>
    </row>
    <row r="280" customFormat="false" ht="12.75" hidden="false" customHeight="false" outlineLevel="0" collapsed="false">
      <c r="A280" s="718" t="n">
        <v>18093.5</v>
      </c>
      <c r="B280" s="706" t="n">
        <f aca="false">A280/1000</f>
        <v>18.0935</v>
      </c>
      <c r="C280" s="707" t="n">
        <f aca="false">SQRT(1+(A280/pole1)^2)</f>
        <v>30.9148766972527</v>
      </c>
      <c r="D280" s="708" t="n">
        <f aca="false">ATAN(A280/pole1)</f>
        <v>1.5384437970146</v>
      </c>
      <c r="E280" s="708" t="n">
        <f aca="false">SQRT(1+(A280/Zero1)^2)</f>
        <v>1.0255227676812</v>
      </c>
      <c r="F280" s="709" t="n">
        <f aca="false">ATAN(A280/Zero1)</f>
        <v>0.223568739097626</v>
      </c>
      <c r="G280" s="708" t="n">
        <f aca="false">IF(VIN_nom&gt;Vout, 1, SQRT(1+(A280/z_RHP)^2))</f>
        <v>1.0353310165085</v>
      </c>
      <c r="H280" s="709" t="n">
        <f aca="false">IF(VIN_nom&gt;Vout, 0, -ATAN(A280/z_RHP))</f>
        <v>-0.261996982262255</v>
      </c>
      <c r="I280" s="707" t="n">
        <f aca="false">SQRT(1+(A280/Pole2)^2)</f>
        <v>75055.1991323224</v>
      </c>
      <c r="J280" s="710" t="n">
        <f aca="false">ATAN(A280/Pole2)</f>
        <v>1.57078300326753</v>
      </c>
      <c r="K280" s="719" t="n">
        <f aca="false">SQRT(1+(A280/Zero2)^2)</f>
        <v>23.2439177641033</v>
      </c>
      <c r="L280" s="720" t="n">
        <f aca="false">ATAN(A280/Zero2)</f>
        <v>1.52776103689428</v>
      </c>
      <c r="M280" s="707" t="n">
        <f aca="false">SQRT(1+(A280/pole4)^2)</f>
        <v>1.23310424756595</v>
      </c>
      <c r="N280" s="710" t="n">
        <f aca="false">ATAN(A280/pole4)</f>
        <v>0.625002865304807</v>
      </c>
      <c r="O280" s="711" t="n">
        <f aca="false">SQRT((1-(V280/pterm2))^2+(A280/pterm1)^2)</f>
        <v>1.01711268062951</v>
      </c>
      <c r="P280" s="712" t="n">
        <f aca="false">IF((ATAN((A280/pterm1)/(1-A280^2/pterm2))&gt;0),ATAN((A280/pterm1)/(1-A280^2/pterm2)),PI()+ATAN((A280/pterm1)/(1-A280^2/pterm2)))</f>
        <v>0.250171216953165</v>
      </c>
      <c r="Q280" s="713" t="n">
        <f aca="false">20*LOG10(((E280*K280*G280)/(C280*I280*O280*M280))*Adc)</f>
        <v>-12.2707144647578</v>
      </c>
      <c r="R280" s="714" t="n">
        <f aca="false">((F280+L280+H280)-(D280+J280+P280+N280))*radconv</f>
        <v>-142.956871249963</v>
      </c>
      <c r="S280" s="717" t="n">
        <f aca="false">IF(R280&gt;0,R280,R280+180)</f>
        <v>37.0431287500365</v>
      </c>
      <c r="U280" s="644" t="n">
        <f aca="false">IF(Q280&lt;0,A280,1000000000)</f>
        <v>18093.5</v>
      </c>
      <c r="V280" s="644" t="n">
        <f aca="false">A280^2</f>
        <v>327374742.25</v>
      </c>
      <c r="X280" s="716" t="n">
        <f aca="false">20*LOG10((K280/(I280*M280))*AEA)</f>
        <v>16.0952494320865</v>
      </c>
      <c r="Y280" s="717" t="n">
        <f aca="false">(L280-(J280+N280))*radconv</f>
        <v>-38.2750035088253</v>
      </c>
      <c r="AA280" s="716" t="n">
        <f aca="false">20*LOG10((E280*G280/(C280*O280))*Acs*Am)</f>
        <v>23.1146614577101</v>
      </c>
      <c r="AB280" s="717" t="n">
        <f aca="false">(F280+H280-(D280+P280))*radconv</f>
        <v>-104.681867741138</v>
      </c>
      <c r="AD280" s="0" t="n">
        <f aca="false">SUM((Q281&lt;0)*(Q280&gt;0))*A280</f>
        <v>0</v>
      </c>
      <c r="AE280" s="0" t="n">
        <f aca="false">IF(AD280&gt;0,S280,0)</f>
        <v>0</v>
      </c>
    </row>
    <row r="281" customFormat="false" ht="12.75" hidden="false" customHeight="false" outlineLevel="0" collapsed="false">
      <c r="A281" s="718" t="n">
        <v>18197</v>
      </c>
      <c r="B281" s="706" t="n">
        <f aca="false">A281/1000</f>
        <v>18.197</v>
      </c>
      <c r="C281" s="707" t="n">
        <f aca="false">SQRT(1+(A281/pole1)^2)</f>
        <v>31.0915341348159</v>
      </c>
      <c r="D281" s="708" t="n">
        <f aca="false">ATAN(A281/pole1)</f>
        <v>1.5386276828559</v>
      </c>
      <c r="E281" s="708" t="n">
        <f aca="false">SQRT(1+(A281/Zero1)^2)</f>
        <v>1.02581191322678</v>
      </c>
      <c r="F281" s="709" t="n">
        <f aca="false">ATAN(A281/Zero1)</f>
        <v>0.224805077271385</v>
      </c>
      <c r="G281" s="708" t="n">
        <f aca="false">IF(VIN_nom&gt;Vout, 1, SQRT(1+(A281/z_RHP)^2))</f>
        <v>1.03572938643943</v>
      </c>
      <c r="H281" s="709" t="n">
        <f aca="false">IF(VIN_nom&gt;Vout, 0, -ATAN(A281/z_RHP))</f>
        <v>-0.263427482655723</v>
      </c>
      <c r="I281" s="707" t="n">
        <f aca="false">SQRT(1+(A281/Pole2)^2)</f>
        <v>75484.5363588855</v>
      </c>
      <c r="J281" s="710" t="n">
        <f aca="false">ATAN(A281/Pole2)</f>
        <v>1.57078307904843</v>
      </c>
      <c r="K281" s="719" t="n">
        <f aca="false">SQRT(1+(A281/Zero2)^2)</f>
        <v>23.3766342286164</v>
      </c>
      <c r="L281" s="720" t="n">
        <f aca="false">ATAN(A281/Zero2)</f>
        <v>1.52800551135628</v>
      </c>
      <c r="M281" s="707" t="n">
        <f aca="false">SQRT(1+(A281/pole4)^2)</f>
        <v>1.23552355856806</v>
      </c>
      <c r="N281" s="710" t="n">
        <f aca="false">ATAN(A281/pole4)</f>
        <v>0.627711790821703</v>
      </c>
      <c r="O281" s="711" t="n">
        <f aca="false">SQRT((1-(V281/pterm2))^2+(A281/pterm1)^2)</f>
        <v>1.01730855663885</v>
      </c>
      <c r="P281" s="712" t="n">
        <f aca="false">IF((ATAN((A281/pterm1)/(1-A281^2/pterm2))&gt;0),ATAN((A281/pterm1)/(1-A281^2/pterm2)),PI()+ATAN((A281/pterm1)/(1-A281^2/pterm2)))</f>
        <v>0.251583663568199</v>
      </c>
      <c r="Q281" s="713" t="n">
        <f aca="false">20*LOG10(((E281*K281*G281)/(C281*I281*O281*M281))*Adc)</f>
        <v>-12.3332055098855</v>
      </c>
      <c r="R281" s="714" t="n">
        <f aca="false">((F281+L281+H281)-(D281+J281+P281+N281))*radconv</f>
        <v>-143.200666024608</v>
      </c>
      <c r="S281" s="717" t="n">
        <f aca="false">IF(R281&gt;0,R281,R281+180)</f>
        <v>36.7993339753924</v>
      </c>
      <c r="U281" s="644" t="n">
        <f aca="false">IF(Q281&lt;0,A281,1000000000)</f>
        <v>18197</v>
      </c>
      <c r="V281" s="644" t="n">
        <f aca="false">A281^2</f>
        <v>331130809</v>
      </c>
      <c r="X281" s="716" t="n">
        <f aca="false">20*LOG10((K281/(I281*M281))*AEA)</f>
        <v>16.0781335097159</v>
      </c>
      <c r="Y281" s="717" t="n">
        <f aca="false">(L281-(J281+N281))*radconv</f>
        <v>-38.4162104951745</v>
      </c>
      <c r="AA281" s="716" t="n">
        <f aca="false">20*LOG10((E281*G281/(C281*O281))*Acs*Am)</f>
        <v>23.069286334953</v>
      </c>
      <c r="AB281" s="717" t="n">
        <f aca="false">(F281+H281-(D281+P281))*radconv</f>
        <v>-104.784455529433</v>
      </c>
      <c r="AD281" s="0" t="n">
        <f aca="false">SUM((Q282&lt;0)*(Q281&gt;0))*A281</f>
        <v>0</v>
      </c>
      <c r="AE281" s="0" t="n">
        <f aca="false">IF(AD281&gt;0,S281,0)</f>
        <v>0</v>
      </c>
    </row>
    <row r="282" customFormat="false" ht="12.75" hidden="false" customHeight="false" outlineLevel="0" collapsed="false">
      <c r="A282" s="718" t="n">
        <v>18303</v>
      </c>
      <c r="B282" s="706" t="n">
        <f aca="false">A282/1000</f>
        <v>18.303</v>
      </c>
      <c r="C282" s="707" t="n">
        <f aca="false">SQRT(1+(A282/pole1)^2)</f>
        <v>31.2724597375102</v>
      </c>
      <c r="D282" s="708" t="n">
        <f aca="false">ATAN(A282/pole1)</f>
        <v>1.53881385696454</v>
      </c>
      <c r="E282" s="708" t="n">
        <f aca="false">SQRT(1+(A282/Zero1)^2)</f>
        <v>1.0261096672907</v>
      </c>
      <c r="F282" s="709" t="n">
        <f aca="false">ATAN(A282/Zero1)</f>
        <v>0.226070554477561</v>
      </c>
      <c r="G282" s="708" t="n">
        <f aca="false">IF(VIN_nom&gt;Vout, 1, SQRT(1+(A282/z_RHP)^2))</f>
        <v>1.03613957397542</v>
      </c>
      <c r="H282" s="709" t="n">
        <f aca="false">IF(VIN_nom&gt;Vout, 0, -ATAN(A282/z_RHP))</f>
        <v>-0.26489139295944</v>
      </c>
      <c r="I282" s="707" t="n">
        <f aca="false">SQRT(1+(A282/Pole2)^2)</f>
        <v>75924.2440498588</v>
      </c>
      <c r="J282" s="710" t="n">
        <f aca="false">ATAN(A282/Pole2)</f>
        <v>1.57078315577143</v>
      </c>
      <c r="K282" s="719" t="n">
        <f aca="false">SQRT(1+(A282/Zero2)^2)</f>
        <v>23.5125578364853</v>
      </c>
      <c r="L282" s="720" t="n">
        <f aca="false">ATAN(A282/Zero2)</f>
        <v>1.52825303031428</v>
      </c>
      <c r="M282" s="707" t="n">
        <f aca="false">SQRT(1+(A282/pole4)^2)</f>
        <v>1.23801066757907</v>
      </c>
      <c r="N282" s="710" t="n">
        <f aca="false">ATAN(A282/pole4)</f>
        <v>0.630475154264811</v>
      </c>
      <c r="O282" s="711" t="n">
        <f aca="false">SQRT((1-(V282/pterm2))^2+(A282/pterm1)^2)</f>
        <v>1.01751031124179</v>
      </c>
      <c r="P282" s="712" t="n">
        <f aca="false">IF((ATAN((A282/pterm1)/(1-A282^2/pterm2))&gt;0),ATAN((A282/pterm1)/(1-A282^2/pterm2)),PI()+ATAN((A282/pterm1)/(1-A282^2/pterm2)))</f>
        <v>0.253029903443331</v>
      </c>
      <c r="Q282" s="713" t="n">
        <f aca="false">20*LOG10(((E282*K282*G282)/(C282*I282*O282*M282))*Adc)</f>
        <v>-12.396924583198</v>
      </c>
      <c r="R282" s="714" t="n">
        <f aca="false">((F282+L282+H282)-(D282+J282+P282+N282))*radconv</f>
        <v>-143.449717502397</v>
      </c>
      <c r="S282" s="717" t="n">
        <f aca="false">IF(R282&gt;0,R282,R282+180)</f>
        <v>36.5502824976026</v>
      </c>
      <c r="U282" s="644" t="n">
        <f aca="false">IF(Q282&lt;0,A282,1000000000)</f>
        <v>18303</v>
      </c>
      <c r="V282" s="644" t="n">
        <f aca="false">A282^2</f>
        <v>334999809</v>
      </c>
      <c r="X282" s="716" t="n">
        <f aca="false">20*LOG10((K282/(I282*M282))*AEA)</f>
        <v>16.0605746014705</v>
      </c>
      <c r="Y282" s="717" t="n">
        <f aca="false">(L282-(J282+N282))*radconv</f>
        <v>-38.5603621621514</v>
      </c>
      <c r="AA282" s="716" t="n">
        <f aca="false">20*LOG10((E282*G282/(C282*O282))*Acs*Am)</f>
        <v>23.0231261698859</v>
      </c>
      <c r="AB282" s="717" t="n">
        <f aca="false">(F282+H282-(D282+P282))*radconv</f>
        <v>-104.889355340246</v>
      </c>
      <c r="AD282" s="0" t="n">
        <f aca="false">SUM((Q283&lt;0)*(Q282&gt;0))*A282</f>
        <v>0</v>
      </c>
      <c r="AE282" s="0" t="n">
        <f aca="false">IF(AD282&gt;0,S282,0)</f>
        <v>0</v>
      </c>
    </row>
    <row r="283" customFormat="false" ht="12.75" hidden="false" customHeight="false" outlineLevel="0" collapsed="false">
      <c r="A283" s="718" t="n">
        <v>18409</v>
      </c>
      <c r="B283" s="706" t="n">
        <f aca="false">A283/1000</f>
        <v>18.409</v>
      </c>
      <c r="C283" s="707" t="n">
        <f aca="false">SQRT(1+(A283/pole1)^2)</f>
        <v>31.453386411663</v>
      </c>
      <c r="D283" s="708" t="n">
        <f aca="false">ATAN(A283/pole1)</f>
        <v>1.5389978892521</v>
      </c>
      <c r="E283" s="708" t="n">
        <f aca="false">SQRT(1+(A283/Zero1)^2)</f>
        <v>1.02640906364513</v>
      </c>
      <c r="F283" s="709" t="n">
        <f aca="false">ATAN(A283/Zero1)</f>
        <v>0.227335295446428</v>
      </c>
      <c r="G283" s="708" t="n">
        <f aca="false">IF(VIN_nom&gt;Vout, 1, SQRT(1+(A283/z_RHP)^2))</f>
        <v>1.03655198023293</v>
      </c>
      <c r="H283" s="709" t="n">
        <f aca="false">IF(VIN_nom&gt;Vout, 0, -ATAN(A283/z_RHP))</f>
        <v>-0.266354141522682</v>
      </c>
      <c r="I283" s="707" t="n">
        <f aca="false">SQRT(1+(A283/Pole2)^2)</f>
        <v>76363.9517408326</v>
      </c>
      <c r="J283" s="710" t="n">
        <f aca="false">ATAN(A283/Pole2)</f>
        <v>1.57078323161088</v>
      </c>
      <c r="K283" s="719" t="n">
        <f aca="false">SQRT(1+(A283/Zero2)^2)</f>
        <v>23.6484828683068</v>
      </c>
      <c r="L283" s="720" t="n">
        <f aca="false">ATAN(A283/Zero2)</f>
        <v>1.52849770394416</v>
      </c>
      <c r="M283" s="707" t="n">
        <f aca="false">SQRT(1+(A283/pole4)^2)</f>
        <v>1.24050719230973</v>
      </c>
      <c r="N283" s="710" t="n">
        <f aca="false">ATAN(A283/pole4)</f>
        <v>0.633227416098654</v>
      </c>
      <c r="O283" s="711" t="n">
        <f aca="false">SQRT((1-(V283/pterm2))^2+(A283/pterm1)^2)</f>
        <v>1.01771322664178</v>
      </c>
      <c r="P283" s="712" t="n">
        <f aca="false">IF((ATAN((A283/pterm1)/(1-A283^2/pterm2))&gt;0),ATAN((A283/pterm1)/(1-A283^2/pterm2)),PI()+ATAN((A283/pterm1)/(1-A283^2/pterm2)))</f>
        <v>0.254475813929953</v>
      </c>
      <c r="Q283" s="713" t="n">
        <f aca="false">20*LOG10(((E283*K283*G283)/(C283*I283*O283*M283))*Adc)</f>
        <v>-12.4603616791862</v>
      </c>
      <c r="R283" s="714" t="n">
        <f aca="false">((F283+L283+H283)-(D283+J283+P283+N283))*radconv</f>
        <v>-143.698129910084</v>
      </c>
      <c r="S283" s="717" t="n">
        <f aca="false">IF(R283&gt;0,R283,R283+180)</f>
        <v>36.3018700899163</v>
      </c>
      <c r="U283" s="644" t="n">
        <f aca="false">IF(Q283&lt;0,A283,1000000000)</f>
        <v>18409</v>
      </c>
      <c r="V283" s="644" t="n">
        <f aca="false">A283^2</f>
        <v>338891281</v>
      </c>
      <c r="X283" s="716" t="n">
        <f aca="false">20*LOG10((K283/(I283*M283))*AEA)</f>
        <v>16.0429863997487</v>
      </c>
      <c r="Y283" s="717" t="n">
        <f aca="false">(L283-(J283+N283))*radconv</f>
        <v>-38.7040407284402</v>
      </c>
      <c r="AA283" s="716" t="n">
        <f aca="false">20*LOG10((E283*G283/(C283*O283))*Acs*Am)</f>
        <v>22.9772772756195</v>
      </c>
      <c r="AB283" s="717" t="n">
        <f aca="false">(F283+H283-(D283+P283))*radconv</f>
        <v>-104.994089181644</v>
      </c>
      <c r="AD283" s="0" t="n">
        <f aca="false">SUM((Q284&lt;0)*(Q283&gt;0))*A283</f>
        <v>0</v>
      </c>
      <c r="AE283" s="0" t="n">
        <f aca="false">IF(AD283&gt;0,S283,0)</f>
        <v>0</v>
      </c>
    </row>
    <row r="284" customFormat="false" ht="12.75" hidden="false" customHeight="false" outlineLevel="0" collapsed="false">
      <c r="A284" s="718" t="n">
        <v>18515</v>
      </c>
      <c r="B284" s="706" t="n">
        <f aca="false">A284/1000</f>
        <v>18.515</v>
      </c>
      <c r="C284" s="707" t="n">
        <f aca="false">SQRT(1+(A284/pole1)^2)</f>
        <v>31.6343141388902</v>
      </c>
      <c r="D284" s="708" t="n">
        <f aca="false">ATAN(A284/pole1)</f>
        <v>1.5391798164555</v>
      </c>
      <c r="E284" s="708" t="n">
        <f aca="false">SQRT(1+(A284/Zero1)^2)</f>
        <v>1.02671010085336</v>
      </c>
      <c r="F284" s="709" t="n">
        <f aca="false">ATAN(A284/Zero1)</f>
        <v>0.228599296777758</v>
      </c>
      <c r="G284" s="708" t="n">
        <f aca="false">IF(VIN_nom&gt;Vout, 1, SQRT(1+(A284/z_RHP)^2))</f>
        <v>1.03696660256478</v>
      </c>
      <c r="H284" s="709" t="n">
        <f aca="false">IF(VIN_nom&gt;Vout, 0, -ATAN(A284/z_RHP))</f>
        <v>-0.267815723475795</v>
      </c>
      <c r="I284" s="707" t="n">
        <f aca="false">SQRT(1+(A284/Pole2)^2)</f>
        <v>76803.6594318068</v>
      </c>
      <c r="J284" s="710" t="n">
        <f aca="false">ATAN(A284/Pole2)</f>
        <v>1.57078330658196</v>
      </c>
      <c r="K284" s="719" t="n">
        <f aca="false">SQRT(1+(A284/Zero2)^2)</f>
        <v>23.7844092996676</v>
      </c>
      <c r="L284" s="720" t="n">
        <f aca="false">ATAN(A284/Zero2)</f>
        <v>1.52873958099899</v>
      </c>
      <c r="M284" s="707" t="n">
        <f aca="false">SQRT(1+(A284/pole4)^2)</f>
        <v>1.24301307602714</v>
      </c>
      <c r="N284" s="710" t="n">
        <f aca="false">ATAN(A284/pole4)</f>
        <v>0.635968601643222</v>
      </c>
      <c r="O284" s="711" t="n">
        <f aca="false">SQRT((1-(V284/pterm2))^2+(A284/pterm1)^2)</f>
        <v>1.01791730265372</v>
      </c>
      <c r="P284" s="712" t="n">
        <f aca="false">IF((ATAN((A284/pterm1)/(1-A284^2/pterm2))&gt;0),ATAN((A284/pterm1)/(1-A284^2/pterm2)),PI()+ATAN((A284/pterm1)/(1-A284^2/pterm2)))</f>
        <v>0.255921393300842</v>
      </c>
      <c r="Q284" s="713" t="n">
        <f aca="false">20*LOG10(((E284*K284*G284)/(C284*I284*O284*M284))*Adc)</f>
        <v>-12.5235195654338</v>
      </c>
      <c r="R284" s="714" t="n">
        <f aca="false">((F284+L284+H284)-(D284+J284+P284+N284))*radconv</f>
        <v>-143.945903827634</v>
      </c>
      <c r="S284" s="717" t="n">
        <f aca="false">IF(R284&gt;0,R284,R284+180)</f>
        <v>36.0540961723657</v>
      </c>
      <c r="U284" s="644" t="n">
        <f aca="false">IF(Q284&lt;0,A284,1000000000)</f>
        <v>18515</v>
      </c>
      <c r="V284" s="644" t="n">
        <f aca="false">A284^2</f>
        <v>342805225</v>
      </c>
      <c r="X284" s="716" t="n">
        <f aca="false">20*LOG10((K284/(I284*M284))*AEA)</f>
        <v>16.025369521799</v>
      </c>
      <c r="Y284" s="717" t="n">
        <f aca="false">(L284-(J284+N284))*radconv</f>
        <v>-38.8472448522935</v>
      </c>
      <c r="AA284" s="716" t="n">
        <f aca="false">20*LOG10((E284*G284/(C284*O284))*Acs*Am)</f>
        <v>22.9317362673216</v>
      </c>
      <c r="AB284" s="717" t="n">
        <f aca="false">(F284+H284-(D284+P284))*radconv</f>
        <v>-105.098658975341</v>
      </c>
      <c r="AD284" s="0" t="n">
        <f aca="false">SUM((Q285&lt;0)*(Q284&gt;0))*A284</f>
        <v>0</v>
      </c>
      <c r="AE284" s="0" t="n">
        <f aca="false">IF(AD284&gt;0,S284,0)</f>
        <v>0</v>
      </c>
    </row>
    <row r="285" customFormat="false" ht="12.75" hidden="false" customHeight="false" outlineLevel="0" collapsed="false">
      <c r="A285" s="718" t="n">
        <v>18621</v>
      </c>
      <c r="B285" s="706" t="n">
        <f aca="false">A285/1000</f>
        <v>18.621</v>
      </c>
      <c r="C285" s="707" t="n">
        <f aca="false">SQRT(1+(A285/pole1)^2)</f>
        <v>31.815242901226</v>
      </c>
      <c r="D285" s="708" t="n">
        <f aca="false">ATAN(A285/pole1)</f>
        <v>1.53935967447651</v>
      </c>
      <c r="E285" s="708" t="n">
        <f aca="false">SQRT(1+(A285/Zero1)^2)</f>
        <v>1.02701277747248</v>
      </c>
      <c r="F285" s="709" t="n">
        <f aca="false">ATAN(A285/Zero1)</f>
        <v>0.229862555084752</v>
      </c>
      <c r="G285" s="708" t="n">
        <f aca="false">IF(VIN_nom&gt;Vout, 1, SQRT(1+(A285/z_RHP)^2))</f>
        <v>1.0373834383138</v>
      </c>
      <c r="H285" s="709" t="n">
        <f aca="false">IF(VIN_nom&gt;Vout, 0, -ATAN(A285/z_RHP))</f>
        <v>-0.269276133976824</v>
      </c>
      <c r="I285" s="707" t="n">
        <f aca="false">SQRT(1+(A285/Pole2)^2)</f>
        <v>77243.3671227815</v>
      </c>
      <c r="J285" s="710" t="n">
        <f aca="false">ATAN(A285/Pole2)</f>
        <v>1.57078338069949</v>
      </c>
      <c r="K285" s="719" t="n">
        <f aca="false">SQRT(1+(A285/Zero2)^2)</f>
        <v>23.9203371067094</v>
      </c>
      <c r="L285" s="720" t="n">
        <f aca="false">ATAN(A285/Zero2)</f>
        <v>1.528978709125</v>
      </c>
      <c r="M285" s="707" t="n">
        <f aca="false">SQRT(1+(A285/pole4)^2)</f>
        <v>1.24552826224315</v>
      </c>
      <c r="N285" s="710" t="n">
        <f aca="false">ATAN(A285/pole4)</f>
        <v>0.638698736680946</v>
      </c>
      <c r="O285" s="711" t="n">
        <f aca="false">SQRT((1-(V285/pterm2))^2+(A285/pterm1)^2)</f>
        <v>1.01812253909165</v>
      </c>
      <c r="P285" s="712" t="n">
        <f aca="false">IF((ATAN((A285/pterm1)/(1-A285^2/pterm2))&gt;0),ATAN((A285/pterm1)/(1-A285^2/pterm2)),PI()+ATAN((A285/pterm1)/(1-A285^2/pterm2)))</f>
        <v>0.25736663983174</v>
      </c>
      <c r="Q285" s="713" t="n">
        <f aca="false">20*LOG10(((E285*K285*G285)/(C285*I285*O285*M285))*Adc)</f>
        <v>-12.5864009577388</v>
      </c>
      <c r="R285" s="714" t="n">
        <f aca="false">((F285+L285+H285)-(D285+J285+P285+N285))*radconv</f>
        <v>-144.193039878049</v>
      </c>
      <c r="S285" s="717" t="n">
        <f aca="false">IF(R285&gt;0,R285,R285+180)</f>
        <v>35.8069601219508</v>
      </c>
      <c r="U285" s="644" t="n">
        <f aca="false">IF(Q285&lt;0,A285,1000000000)</f>
        <v>18621</v>
      </c>
      <c r="V285" s="644" t="n">
        <f aca="false">A285^2</f>
        <v>346741641</v>
      </c>
      <c r="X285" s="716" t="n">
        <f aca="false">20*LOG10((K285/(I285*M285))*AEA)</f>
        <v>16.0077245801272</v>
      </c>
      <c r="Y285" s="717" t="n">
        <f aca="false">(L285-(J285+N285))*radconv</f>
        <v>-38.989973281857</v>
      </c>
      <c r="AA285" s="716" t="n">
        <f aca="false">20*LOG10((E285*G285/(C285*O285))*Acs*Am)</f>
        <v>22.8864998166883</v>
      </c>
      <c r="AB285" s="717" t="n">
        <f aca="false">(F285+H285-(D285+P285))*radconv</f>
        <v>-105.203066596192</v>
      </c>
      <c r="AD285" s="0" t="n">
        <f aca="false">SUM((Q286&lt;0)*(Q285&gt;0))*A285</f>
        <v>0</v>
      </c>
      <c r="AE285" s="0" t="n">
        <f aca="false">IF(AD285&gt;0,S285,0)</f>
        <v>0</v>
      </c>
    </row>
    <row r="286" customFormat="false" ht="12.75" hidden="false" customHeight="false" outlineLevel="0" collapsed="false">
      <c r="A286" s="718" t="n">
        <v>18729.5</v>
      </c>
      <c r="B286" s="706" t="n">
        <f aca="false">A286/1000</f>
        <v>18.7295</v>
      </c>
      <c r="C286" s="707" t="n">
        <f aca="false">SQRT(1+(A286/pole1)^2)</f>
        <v>32.0004399050422</v>
      </c>
      <c r="D286" s="708" t="n">
        <f aca="false">ATAN(A286/pole1)</f>
        <v>1.53954166809417</v>
      </c>
      <c r="E286" s="708" t="n">
        <f aca="false">SQRT(1+(A286/Zero1)^2)</f>
        <v>1.02732428904344</v>
      </c>
      <c r="F286" s="709" t="n">
        <f aca="false">ATAN(A286/Zero1)</f>
        <v>0.23115483418152</v>
      </c>
      <c r="G286" s="708" t="n">
        <f aca="false">IF(VIN_nom&gt;Vout, 1, SQRT(1+(A286/z_RHP)^2))</f>
        <v>1.03781239464831</v>
      </c>
      <c r="H286" s="709" t="n">
        <f aca="false">IF(VIN_nom&gt;Vout, 0, -ATAN(A286/z_RHP))</f>
        <v>-0.270769769876087</v>
      </c>
      <c r="I286" s="707" t="n">
        <f aca="false">SQRT(1+(A286/Pole2)^2)</f>
        <v>77693.4452781663</v>
      </c>
      <c r="J286" s="710" t="n">
        <f aca="false">ATAN(A286/Pole2)</f>
        <v>1.57078345569623</v>
      </c>
      <c r="K286" s="719" t="n">
        <f aca="false">SQRT(1+(A286/Zero2)^2)</f>
        <v>24.0594721586508</v>
      </c>
      <c r="L286" s="720" t="n">
        <f aca="false">ATAN(A286/Zero2)</f>
        <v>1.52922067872595</v>
      </c>
      <c r="M286" s="707" t="n">
        <f aca="false">SQRT(1+(A286/pole4)^2)</f>
        <v>1.24811234436908</v>
      </c>
      <c r="N286" s="710" t="n">
        <f aca="false">ATAN(A286/pole4)</f>
        <v>0.641481844563596</v>
      </c>
      <c r="O286" s="711" t="n">
        <f aca="false">SQRT((1-(V286/pterm2))^2+(A286/pterm1)^2)</f>
        <v>1.01833381761808</v>
      </c>
      <c r="P286" s="712" t="n">
        <f aca="false">IF((ATAN((A286/pterm1)/(1-A286^2/pterm2))&gt;0),ATAN((A286/pterm1)/(1-A286^2/pterm2)),PI()+ATAN((A286/pterm1)/(1-A286^2/pterm2)))</f>
        <v>0.258845625861514</v>
      </c>
      <c r="Q286" s="713" t="n">
        <f aca="false">20*LOG10(((E286*K286*G286)/(C286*I286*O286*M286))*Adc)</f>
        <v>-12.6504818310339</v>
      </c>
      <c r="R286" s="714" t="n">
        <f aca="false">((F286+L286+H286)-(D286+J286+P286+N286))*radconv</f>
        <v>-144.445344692649</v>
      </c>
      <c r="S286" s="717" t="n">
        <f aca="false">IF(R286&gt;0,R286,R286+180)</f>
        <v>35.5546553073507</v>
      </c>
      <c r="U286" s="644" t="n">
        <f aca="false">IF(Q286&lt;0,A286,1000000000)</f>
        <v>18729.5</v>
      </c>
      <c r="V286" s="644" t="n">
        <f aca="false">A286^2</f>
        <v>350794170.25</v>
      </c>
      <c r="X286" s="716" t="n">
        <f aca="false">20*LOG10((K286/(I286*M286))*AEA)</f>
        <v>15.9896350541423</v>
      </c>
      <c r="Y286" s="717" t="n">
        <f aca="false">(L286-(J286+N286))*radconv</f>
        <v>-39.1355740777206</v>
      </c>
      <c r="AA286" s="716" t="n">
        <f aca="false">20*LOG10((E286*G286/(C286*O286))*Acs*Am)</f>
        <v>22.8405084693782</v>
      </c>
      <c r="AB286" s="717" t="n">
        <f aca="false">(F286+H286-(D286+P286))*radconv</f>
        <v>-105.309770614929</v>
      </c>
      <c r="AD286" s="0" t="n">
        <f aca="false">SUM((Q287&lt;0)*(Q286&gt;0))*A286</f>
        <v>0</v>
      </c>
      <c r="AE286" s="0" t="n">
        <f aca="false">IF(AD286&gt;0,S286,0)</f>
        <v>0</v>
      </c>
    </row>
    <row r="287" customFormat="false" ht="12.75" hidden="false" customHeight="false" outlineLevel="0" collapsed="false">
      <c r="A287" s="718" t="n">
        <v>18838</v>
      </c>
      <c r="B287" s="706" t="n">
        <f aca="false">A287/1000</f>
        <v>18.838</v>
      </c>
      <c r="C287" s="707" t="n">
        <f aca="false">SQRT(1+(A287/pole1)^2)</f>
        <v>32.1856379565691</v>
      </c>
      <c r="D287" s="708" t="n">
        <f aca="false">ATAN(A287/pole1)</f>
        <v>1.53972156731381</v>
      </c>
      <c r="E287" s="708" t="n">
        <f aca="false">SQRT(1+(A287/Zero1)^2)</f>
        <v>1.02763751518904</v>
      </c>
      <c r="F287" s="709" t="n">
        <f aca="false">ATAN(A287/Zero1)</f>
        <v>0.232446327655021</v>
      </c>
      <c r="G287" s="708" t="n">
        <f aca="false">IF(VIN_nom&gt;Vout, 1, SQRT(1+(A287/z_RHP)^2))</f>
        <v>1.03824366437235</v>
      </c>
      <c r="H287" s="709" t="n">
        <f aca="false">IF(VIN_nom&gt;Vout, 0, -ATAN(A287/z_RHP))</f>
        <v>-0.272262168237842</v>
      </c>
      <c r="I287" s="707" t="n">
        <f aca="false">SQRT(1+(A287/Pole2)^2)</f>
        <v>78143.5234335516</v>
      </c>
      <c r="J287" s="710" t="n">
        <f aca="false">ATAN(A287/Pole2)</f>
        <v>1.57078352982906</v>
      </c>
      <c r="K287" s="719" t="n">
        <f aca="false">SQRT(1+(A287/Zero2)^2)</f>
        <v>24.1986086030582</v>
      </c>
      <c r="L287" s="720" t="n">
        <f aca="false">ATAN(A287/Zero2)</f>
        <v>1.52945986580145</v>
      </c>
      <c r="M287" s="707" t="n">
        <f aca="false">SQRT(1+(A287/pole4)^2)</f>
        <v>1.25070605399411</v>
      </c>
      <c r="N287" s="710" t="n">
        <f aca="false">ATAN(A287/pole4)</f>
        <v>0.644253430642249</v>
      </c>
      <c r="O287" s="711" t="n">
        <f aca="false">SQRT((1-(V287/pterm2))^2+(A287/pterm1)^2)</f>
        <v>1.01854631155592</v>
      </c>
      <c r="P287" s="712" t="n">
        <f aca="false">IF((ATAN((A287/pterm1)/(1-A287^2/pterm2))&gt;0),ATAN((A287/pterm1)/(1-A287^2/pterm2)),PI()+ATAN((A287/pterm1)/(1-A287^2/pterm2)))</f>
        <v>0.260324259520017</v>
      </c>
      <c r="Q287" s="713" t="n">
        <f aca="false">20*LOG10(((E287*K287*G287)/(C287*I287*O287*M287))*Adc)</f>
        <v>-12.7142786117583</v>
      </c>
      <c r="R287" s="714" t="n">
        <f aca="false">((F287+L287+H287)-(D287+J287+P287+N287))*radconv</f>
        <v>-144.69698265164</v>
      </c>
      <c r="S287" s="717" t="n">
        <f aca="false">IF(R287&gt;0,R287,R287+180)</f>
        <v>35.3030173483598</v>
      </c>
      <c r="U287" s="644" t="n">
        <f aca="false">IF(Q287&lt;0,A287,1000000000)</f>
        <v>18838</v>
      </c>
      <c r="V287" s="644" t="n">
        <f aca="false">A287^2</f>
        <v>354870244</v>
      </c>
      <c r="X287" s="716" t="n">
        <f aca="false">20*LOG10((K287/(I287*M287))*AEA)</f>
        <v>15.9715174083223</v>
      </c>
      <c r="Y287" s="717" t="n">
        <f aca="false">(L287-(J287+N287))*radconv</f>
        <v>-39.2806741003085</v>
      </c>
      <c r="AA287" s="716" t="n">
        <f aca="false">20*LOG10((E287*G287/(C287*O287))*Acs*Am)</f>
        <v>22.7948293344738</v>
      </c>
      <c r="AB287" s="717" t="n">
        <f aca="false">(F287+H287-(D287+P287))*radconv</f>
        <v>-105.416308551332</v>
      </c>
      <c r="AD287" s="0" t="n">
        <f aca="false">SUM((Q288&lt;0)*(Q287&gt;0))*A287</f>
        <v>0</v>
      </c>
      <c r="AE287" s="0" t="n">
        <f aca="false">IF(AD287&gt;0,S287,0)</f>
        <v>0</v>
      </c>
    </row>
    <row r="288" customFormat="false" ht="12.75" hidden="false" customHeight="false" outlineLevel="0" collapsed="false">
      <c r="A288" s="718" t="n">
        <v>18946.5</v>
      </c>
      <c r="B288" s="706" t="n">
        <f aca="false">A288/1000</f>
        <v>18.9465</v>
      </c>
      <c r="C288" s="707" t="n">
        <f aca="false">SQRT(1+(A288/pole1)^2)</f>
        <v>32.3708370378245</v>
      </c>
      <c r="D288" s="708" t="n">
        <f aca="false">ATAN(A288/pole1)</f>
        <v>1.53989940807088</v>
      </c>
      <c r="E288" s="708" t="n">
        <f aca="false">SQRT(1+(A288/Zero1)^2)</f>
        <v>1.02795245434193</v>
      </c>
      <c r="F288" s="709" t="n">
        <f aca="false">ATAN(A288/Zero1)</f>
        <v>0.233737031917086</v>
      </c>
      <c r="G288" s="708" t="n">
        <f aca="false">IF(VIN_nom&gt;Vout, 1, SQRT(1+(A288/z_RHP)^2))</f>
        <v>1.03867724460427</v>
      </c>
      <c r="H288" s="709" t="n">
        <f aca="false">IF(VIN_nom&gt;Vout, 0, -ATAN(A288/z_RHP))</f>
        <v>-0.273753323959863</v>
      </c>
      <c r="I288" s="707" t="n">
        <f aca="false">SQRT(1+(A288/Pole2)^2)</f>
        <v>78593.6015889373</v>
      </c>
      <c r="J288" s="710" t="n">
        <f aca="false">ATAN(A288/Pole2)</f>
        <v>1.57078360311282</v>
      </c>
      <c r="K288" s="719" t="n">
        <f aca="false">SQRT(1+(A288/Zero2)^2)</f>
        <v>24.33774641605</v>
      </c>
      <c r="L288" s="720" t="n">
        <f aca="false">ATAN(A288/Zero2)</f>
        <v>1.52969631804661</v>
      </c>
      <c r="M288" s="707" t="n">
        <f aca="false">SQRT(1+(A288/pole4)^2)</f>
        <v>1.25330933134626</v>
      </c>
      <c r="N288" s="710" t="n">
        <f aca="false">ATAN(A288/pole4)</f>
        <v>0.64701352400075</v>
      </c>
      <c r="O288" s="711" t="n">
        <f aca="false">SQRT((1-(V288/pterm2))^2+(A288/pterm1)^2)</f>
        <v>1.01876002070288</v>
      </c>
      <c r="P288" s="712" t="n">
        <f aca="false">IF((ATAN((A288/pterm1)/(1-A288^2/pterm2))&gt;0),ATAN((A288/pterm1)/(1-A288^2/pterm2)),PI()+ATAN((A288/pterm1)/(1-A288^2/pterm2)))</f>
        <v>0.261802538967825</v>
      </c>
      <c r="Q288" s="713" t="n">
        <f aca="false">20*LOG10(((E288*K288*G288)/(C288*I288*O288*M288))*Adc)</f>
        <v>-12.7777940523025</v>
      </c>
      <c r="R288" s="714" t="n">
        <f aca="false">((F288+L288+H288)-(D288+J288+P288+N288))*radconv</f>
        <v>-144.947954556336</v>
      </c>
      <c r="S288" s="717" t="n">
        <f aca="false">IF(R288&gt;0,R288,R288+180)</f>
        <v>35.052045443664</v>
      </c>
      <c r="U288" s="644" t="n">
        <f aca="false">IF(Q288&lt;0,A288,1000000000)</f>
        <v>18946.5</v>
      </c>
      <c r="V288" s="644" t="n">
        <f aca="false">A288^2</f>
        <v>358969862.25</v>
      </c>
      <c r="X288" s="716" t="n">
        <f aca="false">20*LOG10((K288/(I288*M288))*AEA)</f>
        <v>15.9533722839066</v>
      </c>
      <c r="Y288" s="717" t="n">
        <f aca="false">(L288-(J288+N288))*radconv</f>
        <v>-39.4252722841237</v>
      </c>
      <c r="AA288" s="716" t="n">
        <f aca="false">20*LOG10((E288*G288/(C288*O288))*Acs*Am)</f>
        <v>22.7494590183453</v>
      </c>
      <c r="AB288" s="717" t="n">
        <f aca="false">(F288+H288-(D288+P288))*radconv</f>
        <v>-105.522682272212</v>
      </c>
      <c r="AD288" s="0" t="n">
        <f aca="false">SUM((Q289&lt;0)*(Q288&gt;0))*A288</f>
        <v>0</v>
      </c>
      <c r="AE288" s="0" t="n">
        <f aca="false">IF(AD288&gt;0,S288,0)</f>
        <v>0</v>
      </c>
    </row>
    <row r="289" customFormat="false" ht="12.75" hidden="false" customHeight="false" outlineLevel="0" collapsed="false">
      <c r="A289" s="718" t="n">
        <v>19055</v>
      </c>
      <c r="B289" s="706" t="n">
        <f aca="false">A289/1000</f>
        <v>19.055</v>
      </c>
      <c r="C289" s="707" t="n">
        <f aca="false">SQRT(1+(A289/pole1)^2)</f>
        <v>32.5560371312351</v>
      </c>
      <c r="D289" s="708" t="n">
        <f aca="false">ATAN(A289/pole1)</f>
        <v>1.54007522548372</v>
      </c>
      <c r="E289" s="708" t="n">
        <f aca="false">SQRT(1+(A289/Zero1)^2)</f>
        <v>1.02826910492812</v>
      </c>
      <c r="F289" s="709" t="n">
        <f aca="false">ATAN(A289/Zero1)</f>
        <v>0.235026943394444</v>
      </c>
      <c r="G289" s="708" t="n">
        <f aca="false">IF(VIN_nom&gt;Vout, 1, SQRT(1+(A289/z_RHP)^2))</f>
        <v>1.03911313245184</v>
      </c>
      <c r="H289" s="709" t="n">
        <f aca="false">IF(VIN_nom&gt;Vout, 0, -ATAN(A289/z_RHP))</f>
        <v>-0.275243231970522</v>
      </c>
      <c r="I289" s="707" t="n">
        <f aca="false">SQRT(1+(A289/Pole2)^2)</f>
        <v>79043.6797443234</v>
      </c>
      <c r="J289" s="710" t="n">
        <f aca="false">ATAN(A289/Pole2)</f>
        <v>1.57078367556202</v>
      </c>
      <c r="K289" s="719" t="n">
        <f aca="false">SQRT(1+(A289/Zero2)^2)</f>
        <v>24.4768855742871</v>
      </c>
      <c r="L289" s="720" t="n">
        <f aca="false">ATAN(A289/Zero2)</f>
        <v>1.52993008207331</v>
      </c>
      <c r="M289" s="707" t="n">
        <f aca="false">SQRT(1+(A289/pole4)^2)</f>
        <v>1.2559221169295</v>
      </c>
      <c r="N289" s="710" t="n">
        <f aca="false">ATAN(A289/pole4)</f>
        <v>0.64976215418267</v>
      </c>
      <c r="O289" s="711" t="n">
        <f aca="false">SQRT((1-(V289/pterm2))^2+(A289/pterm1)^2)</f>
        <v>1.01897494485569</v>
      </c>
      <c r="P289" s="712" t="n">
        <f aca="false">IF((ATAN((A289/pterm1)/(1-A289^2/pterm2))&gt;0),ATAN((A289/pterm1)/(1-A289^2/pterm2)),PI()+ATAN((A289/pterm1)/(1-A289^2/pterm2)))</f>
        <v>0.263280462368824</v>
      </c>
      <c r="Q289" s="713" t="n">
        <f aca="false">20*LOG10(((E289*K289*G289)/(C289*I289*O289*M289))*Adc)</f>
        <v>-12.8410308537772</v>
      </c>
      <c r="R289" s="714" t="n">
        <f aca="false">((F289+L289+H289)-(D289+J289+P289+N289))*radconv</f>
        <v>-145.198261250707</v>
      </c>
      <c r="S289" s="717" t="n">
        <f aca="false">IF(R289&gt;0,R289,R289+180)</f>
        <v>34.8017387492935</v>
      </c>
      <c r="U289" s="644" t="n">
        <f aca="false">IF(Q289&lt;0,A289,1000000000)</f>
        <v>19055</v>
      </c>
      <c r="V289" s="644" t="n">
        <f aca="false">A289^2</f>
        <v>363093025</v>
      </c>
      <c r="X289" s="716" t="n">
        <f aca="false">20*LOG10((K289/(I289*M289))*AEA)</f>
        <v>15.9352003168058</v>
      </c>
      <c r="Y289" s="717" t="n">
        <f aca="false">(L289-(J289+N289))*radconv</f>
        <v>-39.5693676520562</v>
      </c>
      <c r="AA289" s="716" t="n">
        <f aca="false">20*LOG10((E289*G289/(C289*O289))*Acs*Am)</f>
        <v>22.7043941839713</v>
      </c>
      <c r="AB289" s="717" t="n">
        <f aca="false">(F289+H289-(D289+P289))*radconv</f>
        <v>-105.62889359865</v>
      </c>
      <c r="AD289" s="0" t="n">
        <f aca="false">SUM((Q290&lt;0)*(Q289&gt;0))*A289</f>
        <v>0</v>
      </c>
      <c r="AE289" s="0" t="n">
        <f aca="false">IF(AD289&gt;0,S289,0)</f>
        <v>0</v>
      </c>
    </row>
    <row r="290" customFormat="false" ht="12.75" hidden="false" customHeight="false" outlineLevel="0" collapsed="false">
      <c r="A290" s="718" t="n">
        <v>19165.75</v>
      </c>
      <c r="B290" s="706" t="n">
        <f aca="false">A290/1000</f>
        <v>19.16575</v>
      </c>
      <c r="C290" s="707" t="n">
        <f aca="false">SQRT(1+(A290/pole1)^2)</f>
        <v>32.7450788056011</v>
      </c>
      <c r="D290" s="708" t="n">
        <f aca="false">ATAN(A290/pole1)</f>
        <v>1.54025263780216</v>
      </c>
      <c r="E290" s="708" t="n">
        <f aca="false">SQRT(1+(A290/Zero1)^2)</f>
        <v>1.02859408539685</v>
      </c>
      <c r="F290" s="709" t="n">
        <f aca="false">ATAN(A290/Zero1)</f>
        <v>0.236342782877564</v>
      </c>
      <c r="G290" s="708" t="n">
        <f aca="false">IF(VIN_nom&gt;Vout, 1, SQRT(1+(A290/z_RHP)^2))</f>
        <v>1.03956043632636</v>
      </c>
      <c r="H290" s="709" t="n">
        <f aca="false">IF(VIN_nom&gt;Vout, 0, -ATAN(A290/z_RHP))</f>
        <v>-0.276762744665492</v>
      </c>
      <c r="I290" s="707" t="n">
        <f aca="false">SQRT(1+(A290/Pole2)^2)</f>
        <v>79503.0913176788</v>
      </c>
      <c r="J290" s="710" t="n">
        <f aca="false">ATAN(A290/Pole2)</f>
        <v>1.57078374866764</v>
      </c>
      <c r="K290" s="719" t="n">
        <f aca="false">SQRT(1+(A290/Zero2)^2)</f>
        <v>24.6189114704673</v>
      </c>
      <c r="L290" s="720" t="n">
        <f aca="false">ATAN(A290/Zero2)</f>
        <v>1.53016596863032</v>
      </c>
      <c r="M290" s="707" t="n">
        <f aca="false">SQRT(1+(A290/pole4)^2)</f>
        <v>1.25859882924699</v>
      </c>
      <c r="N290" s="710" t="n">
        <f aca="false">ATAN(A290/pole4)</f>
        <v>0.652555992540208</v>
      </c>
      <c r="O290" s="711" t="n">
        <f aca="false">SQRT((1-(V290/pterm2))^2+(A290/pterm1)^2)</f>
        <v>1.01919557880998</v>
      </c>
      <c r="P290" s="712" t="n">
        <f aca="false">IF((ATAN((A290/pterm1)/(1-A290^2/pterm2))&gt;0),ATAN((A290/pterm1)/(1-A290^2/pterm2)),PI()+ATAN((A290/pterm1)/(1-A290^2/pterm2)))</f>
        <v>0.264788664849152</v>
      </c>
      <c r="Q290" s="713" t="n">
        <f aca="false">20*LOG10(((E290*K290*G290)/(C290*I290*O290*M290))*Adc)</f>
        <v>-12.9052944039776</v>
      </c>
      <c r="R290" s="714" t="n">
        <f aca="false">((F290+L290+H290)-(D290+J290+P290+N290))*radconv</f>
        <v>-145.453073511303</v>
      </c>
      <c r="S290" s="717" t="n">
        <f aca="false">IF(R290&gt;0,R290,R290+180)</f>
        <v>34.5469264886974</v>
      </c>
      <c r="U290" s="644" t="n">
        <f aca="false">IF(Q290&lt;0,A290,1000000000)</f>
        <v>19165.75</v>
      </c>
      <c r="V290" s="644" t="n">
        <f aca="false">A290^2</f>
        <v>367325973.0625</v>
      </c>
      <c r="X290" s="716" t="n">
        <f aca="false">20*LOG10((K290/(I290*M290))*AEA)</f>
        <v>15.9166244830263</v>
      </c>
      <c r="Y290" s="717" t="n">
        <f aca="false">(L290-(J290+N290))*radconv</f>
        <v>-39.7159316832357</v>
      </c>
      <c r="AA290" s="716" t="n">
        <f aca="false">20*LOG10((E290*G290/(C290*O290))*Acs*Am)</f>
        <v>22.6587064675504</v>
      </c>
      <c r="AB290" s="717" t="n">
        <f aca="false">(F290+H290-(D290+P290))*radconv</f>
        <v>-105.737141828067</v>
      </c>
      <c r="AD290" s="0" t="n">
        <f aca="false">SUM((Q291&lt;0)*(Q290&gt;0))*A290</f>
        <v>0</v>
      </c>
      <c r="AE290" s="0" t="n">
        <f aca="false">IF(AD290&gt;0,S290,0)</f>
        <v>0</v>
      </c>
    </row>
    <row r="291" customFormat="false" ht="12.75" hidden="false" customHeight="false" outlineLevel="0" collapsed="false">
      <c r="A291" s="718" t="n">
        <v>19276.5</v>
      </c>
      <c r="B291" s="706" t="n">
        <f aca="false">A291/1000</f>
        <v>19.2765</v>
      </c>
      <c r="C291" s="707" t="n">
        <f aca="false">SQRT(1+(A291/pole1)^2)</f>
        <v>32.9341214987908</v>
      </c>
      <c r="D291" s="708" t="n">
        <f aca="false">ATAN(A291/pole1)</f>
        <v>1.54042801342364</v>
      </c>
      <c r="E291" s="708" t="n">
        <f aca="false">SQRT(1+(A291/Zero1)^2)</f>
        <v>1.02892084568108</v>
      </c>
      <c r="F291" s="709" t="n">
        <f aca="false">ATAN(A291/Zero1)</f>
        <v>0.237657788878971</v>
      </c>
      <c r="G291" s="708" t="n">
        <f aca="false">IF(VIN_nom&gt;Vout, 1, SQRT(1+(A291/z_RHP)^2))</f>
        <v>1.04001013839363</v>
      </c>
      <c r="H291" s="709" t="n">
        <f aca="false">IF(VIN_nom&gt;Vout, 0, -ATAN(A291/z_RHP))</f>
        <v>-0.278280946783849</v>
      </c>
      <c r="I291" s="707" t="n">
        <f aca="false">SQRT(1+(A291/Pole2)^2)</f>
        <v>79962.5028910346</v>
      </c>
      <c r="J291" s="710" t="n">
        <f aca="false">ATAN(A291/Pole2)</f>
        <v>1.57078382093323</v>
      </c>
      <c r="K291" s="719" t="n">
        <f aca="false">SQRT(1+(A291/Zero2)^2)</f>
        <v>24.7609387207897</v>
      </c>
      <c r="L291" s="720" t="n">
        <f aca="false">ATAN(A291/Zero2)</f>
        <v>1.53039914913806</v>
      </c>
      <c r="M291" s="707" t="n">
        <f aca="false">SQRT(1+(A291/pole4)^2)</f>
        <v>1.26128532385692</v>
      </c>
      <c r="N291" s="710" t="n">
        <f aca="false">ATAN(A291/pole4)</f>
        <v>0.655337950975188</v>
      </c>
      <c r="O291" s="711" t="n">
        <f aca="false">SQRT((1-(V291/pterm2))^2+(A291/pterm1)^2)</f>
        <v>1.01941747825361</v>
      </c>
      <c r="P291" s="712" t="n">
        <f aca="false">IF((ATAN((A291/pterm1)/(1-A291^2/pterm2))&gt;0),ATAN((A291/pterm1)/(1-A291^2/pterm2)),PI()+ATAN((A291/pterm1)/(1-A291^2/pterm2)))</f>
        <v>0.266296492507453</v>
      </c>
      <c r="Q291" s="713" t="n">
        <f aca="false">20*LOG10(((E291*K291*G291)/(C291*I291*O291*M291))*Adc)</f>
        <v>-12.9692731680688</v>
      </c>
      <c r="R291" s="714" t="n">
        <f aca="false">((F291+L291+H291)-(D291+J291+P291+N291))*radconv</f>
        <v>-145.707194594162</v>
      </c>
      <c r="S291" s="717" t="n">
        <f aca="false">IF(R291&gt;0,R291,R291+180)</f>
        <v>34.292805405838</v>
      </c>
      <c r="U291" s="644" t="n">
        <f aca="false">IF(Q291&lt;0,A291,1000000000)</f>
        <v>19276.5</v>
      </c>
      <c r="V291" s="644" t="n">
        <f aca="false">A291^2</f>
        <v>371583452.25</v>
      </c>
      <c r="X291" s="716" t="n">
        <f aca="false">20*LOG10((K291/(I291*M291))*AEA)</f>
        <v>15.8980220035186</v>
      </c>
      <c r="Y291" s="717" t="n">
        <f aca="false">(L291-(J291+N291))*radconv</f>
        <v>-39.8619700420626</v>
      </c>
      <c r="AA291" s="716" t="n">
        <f aca="false">20*LOG10((E291*G291/(C291*O291))*Acs*Am)</f>
        <v>22.613330182967</v>
      </c>
      <c r="AB291" s="717" t="n">
        <f aca="false">(F291+H291-(D291+P291))*radconv</f>
        <v>-105.845224552099</v>
      </c>
      <c r="AD291" s="0" t="n">
        <f aca="false">SUM((Q292&lt;0)*(Q291&gt;0))*A291</f>
        <v>0</v>
      </c>
      <c r="AE291" s="0" t="n">
        <f aca="false">IF(AD291&gt;0,S291,0)</f>
        <v>0</v>
      </c>
    </row>
    <row r="292" customFormat="false" ht="12.75" hidden="false" customHeight="false" outlineLevel="0" collapsed="false">
      <c r="A292" s="718" t="n">
        <v>19387.25</v>
      </c>
      <c r="B292" s="706" t="n">
        <f aca="false">A292/1000</f>
        <v>19.38725</v>
      </c>
      <c r="C292" s="707" t="n">
        <f aca="false">SQRT(1+(A292/pole1)^2)</f>
        <v>33.1231651933601</v>
      </c>
      <c r="D292" s="708" t="n">
        <f aca="false">ATAN(A292/pole1)</f>
        <v>1.54060138720939</v>
      </c>
      <c r="E292" s="708" t="n">
        <f aca="false">SQRT(1+(A292/Zero1)^2)</f>
        <v>1.02924938408568</v>
      </c>
      <c r="F292" s="709" t="n">
        <f aca="false">ATAN(A292/Zero1)</f>
        <v>0.238971957646741</v>
      </c>
      <c r="G292" s="708" t="n">
        <f aca="false">IF(VIN_nom&gt;Vout, 1, SQRT(1+(A292/z_RHP)^2))</f>
        <v>1.04046223554406</v>
      </c>
      <c r="H292" s="709" t="n">
        <f aca="false">IF(VIN_nom&gt;Vout, 0, -ATAN(A292/z_RHP))</f>
        <v>-0.279797833030773</v>
      </c>
      <c r="I292" s="707" t="n">
        <f aca="false">SQRT(1+(A292/Pole2)^2)</f>
        <v>80421.9144643908</v>
      </c>
      <c r="J292" s="710" t="n">
        <f aca="false">ATAN(A292/Pole2)</f>
        <v>1.57078389237318</v>
      </c>
      <c r="K292" s="719" t="n">
        <f aca="false">SQRT(1+(A292/Zero2)^2)</f>
        <v>24.9029673020855</v>
      </c>
      <c r="L292" s="720" t="n">
        <f aca="false">ATAN(A292/Zero2)</f>
        <v>1.53062966987103</v>
      </c>
      <c r="M292" s="707" t="n">
        <f aca="false">SQRT(1+(A292/pole4)^2)</f>
        <v>1.2639815383848</v>
      </c>
      <c r="N292" s="710" t="n">
        <f aca="false">ATAN(A292/pole4)</f>
        <v>0.6581080623135</v>
      </c>
      <c r="O292" s="711" t="n">
        <f aca="false">SQRT((1-(V292/pterm2))^2+(A292/pterm1)^2)</f>
        <v>1.01964064296736</v>
      </c>
      <c r="P292" s="712" t="n">
        <f aca="false">IF((ATAN((A292/pterm1)/(1-A292^2/pterm2))&gt;0),ATAN((A292/pterm1)/(1-A292^2/pterm2)),PI()+ATAN((A292/pterm1)/(1-A292^2/pterm2)))</f>
        <v>0.267803943401758</v>
      </c>
      <c r="Q292" s="713" t="n">
        <f aca="false">20*LOG10(((E292*K292*G292)/(C292*I292*O292*M292))*Adc)</f>
        <v>-13.0329698617276</v>
      </c>
      <c r="R292" s="714" t="n">
        <f aca="false">((F292+L292+H292)-(D292+J292+P292+N292))*radconv</f>
        <v>-145.960625527294</v>
      </c>
      <c r="S292" s="717" t="n">
        <f aca="false">IF(R292&gt;0,R292,R292+180)</f>
        <v>34.0393744727061</v>
      </c>
      <c r="U292" s="644" t="n">
        <f aca="false">IF(Q292&lt;0,A292,1000000000)</f>
        <v>19387.25</v>
      </c>
      <c r="V292" s="644" t="n">
        <f aca="false">A292^2</f>
        <v>375865462.5625</v>
      </c>
      <c r="X292" s="716" t="n">
        <f aca="false">20*LOG10((K292/(I292*M292))*AEA)</f>
        <v>15.8793935372572</v>
      </c>
      <c r="Y292" s="717" t="n">
        <f aca="false">(L292-(J292+N292))*radconv</f>
        <v>-40.0074819588138</v>
      </c>
      <c r="AA292" s="716" t="n">
        <f aca="false">20*LOG10((E292*G292/(C292*O292))*Acs*Am)</f>
        <v>22.5682619555697</v>
      </c>
      <c r="AB292" s="717" t="n">
        <f aca="false">(F292+H292-(D292+P292))*radconv</f>
        <v>-105.95314356848</v>
      </c>
      <c r="AD292" s="0" t="n">
        <f aca="false">SUM((Q293&lt;0)*(Q292&gt;0))*A292</f>
        <v>0</v>
      </c>
      <c r="AE292" s="0" t="n">
        <f aca="false">IF(AD292&gt;0,S292,0)</f>
        <v>0</v>
      </c>
    </row>
    <row r="293" customFormat="false" ht="12.75" hidden="false" customHeight="false" outlineLevel="0" collapsed="false">
      <c r="A293" s="718" t="n">
        <v>19498</v>
      </c>
      <c r="B293" s="706" t="n">
        <f aca="false">A293/1000</f>
        <v>19.498</v>
      </c>
      <c r="C293" s="707" t="n">
        <f aca="false">SQRT(1+(A293/pole1)^2)</f>
        <v>33.3122098722608</v>
      </c>
      <c r="D293" s="708" t="n">
        <f aca="false">ATAN(A293/pole1)</f>
        <v>1.54077279322975</v>
      </c>
      <c r="E293" s="708" t="n">
        <f aca="false">SQRT(1+(A293/Zero1)^2)</f>
        <v>1.02957969890844</v>
      </c>
      <c r="F293" s="709" t="n">
        <f aca="false">ATAN(A293/Zero1)</f>
        <v>0.240285285445295</v>
      </c>
      <c r="G293" s="708" t="n">
        <f aca="false">IF(VIN_nom&gt;Vout, 1, SQRT(1+(A293/z_RHP)^2))</f>
        <v>1.04091672465691</v>
      </c>
      <c r="H293" s="709" t="n">
        <f aca="false">IF(VIN_nom&gt;Vout, 0, -ATAN(A293/z_RHP))</f>
        <v>-0.281313398144839</v>
      </c>
      <c r="I293" s="707" t="n">
        <f aca="false">SQRT(1+(A293/Pole2)^2)</f>
        <v>80881.3260377474</v>
      </c>
      <c r="J293" s="710" t="n">
        <f aca="false">ATAN(A293/Pole2)</f>
        <v>1.57078396300156</v>
      </c>
      <c r="K293" s="719" t="n">
        <f aca="false">SQRT(1+(A293/Zero2)^2)</f>
        <v>25.0449971917109</v>
      </c>
      <c r="L293" s="720" t="n">
        <f aca="false">ATAN(A293/Zero2)</f>
        <v>1.53085757605517</v>
      </c>
      <c r="M293" s="707" t="n">
        <f aca="false">SQRT(1+(A293/pole4)^2)</f>
        <v>1.26668741076248</v>
      </c>
      <c r="N293" s="710" t="n">
        <f aca="false">ATAN(A293/pole4)</f>
        <v>0.660866359829322</v>
      </c>
      <c r="O293" s="711" t="n">
        <f aca="false">SQRT((1-(V293/pterm2))^2+(A293/pterm1)^2)</f>
        <v>1.01986507273098</v>
      </c>
      <c r="P293" s="712" t="n">
        <f aca="false">IF((ATAN((A293/pterm1)/(1-A293^2/pterm2))&gt;0),ATAN((A293/pterm1)/(1-A293^2/pterm2)),PI()+ATAN((A293/pterm1)/(1-A293^2/pterm2)))</f>
        <v>0.269311015593755</v>
      </c>
      <c r="Q293" s="713" t="n">
        <f aca="false">20*LOG10(((E293*K293*G293)/(C293*I293*O293*M293))*Adc)</f>
        <v>-13.0963871504396</v>
      </c>
      <c r="R293" s="714" t="n">
        <f aca="false">((F293+L293+H293)-(D293+J293+P293+N293))*radconv</f>
        <v>-146.213367380325</v>
      </c>
      <c r="S293" s="717" t="n">
        <f aca="false">IF(R293&gt;0,R293,R293+180)</f>
        <v>33.7866326196753</v>
      </c>
      <c r="U293" s="644" t="n">
        <f aca="false">IF(Q293&lt;0,A293,1000000000)</f>
        <v>19498</v>
      </c>
      <c r="V293" s="644" t="n">
        <f aca="false">A293^2</f>
        <v>380172004</v>
      </c>
      <c r="X293" s="716" t="n">
        <f aca="false">20*LOG10((K293/(I293*M293))*AEA)</f>
        <v>15.8607397373427</v>
      </c>
      <c r="Y293" s="717" t="n">
        <f aca="false">(L293-(J293+N293))*radconv</f>
        <v>-40.1524667495096</v>
      </c>
      <c r="AA293" s="716" t="n">
        <f aca="false">20*LOG10((E293*G293/(C293*O293))*Acs*Am)</f>
        <v>22.5234984667721</v>
      </c>
      <c r="AB293" s="717" t="n">
        <f aca="false">(F293+H293-(D293+P293))*radconv</f>
        <v>-106.060900630815</v>
      </c>
      <c r="AD293" s="0" t="n">
        <f aca="false">SUM((Q294&lt;0)*(Q293&gt;0))*A293</f>
        <v>0</v>
      </c>
      <c r="AE293" s="0" t="n">
        <f aca="false">IF(AD293&gt;0,S293,0)</f>
        <v>0</v>
      </c>
    </row>
    <row r="294" customFormat="false" ht="12.75" hidden="false" customHeight="false" outlineLevel="0" collapsed="false">
      <c r="A294" s="718" t="n">
        <v>19611.75</v>
      </c>
      <c r="B294" s="706" t="n">
        <f aca="false">A294/1000</f>
        <v>19.61175</v>
      </c>
      <c r="C294" s="707" t="n">
        <f aca="false">SQRT(1+(A294/pole1)^2)</f>
        <v>33.5063764074387</v>
      </c>
      <c r="D294" s="708" t="n">
        <f aca="false">ATAN(A294/pole1)</f>
        <v>1.54094682883574</v>
      </c>
      <c r="E294" s="708" t="n">
        <f aca="false">SQRT(1+(A294/Zero1)^2)</f>
        <v>1.02992080876508</v>
      </c>
      <c r="F294" s="709" t="n">
        <f aca="false">ATAN(A294/Zero1)</f>
        <v>0.241633309360112</v>
      </c>
      <c r="G294" s="708" t="n">
        <f aca="false">IF(VIN_nom&gt;Vout, 1, SQRT(1+(A294/z_RHP)^2))</f>
        <v>1.04138601172788</v>
      </c>
      <c r="H294" s="709" t="n">
        <f aca="false">IF(VIN_nom&gt;Vout, 0, -ATAN(A294/z_RHP))</f>
        <v>-0.282868636152322</v>
      </c>
      <c r="I294" s="707" t="n">
        <f aca="false">SQRT(1+(A294/Pole2)^2)</f>
        <v>81353.1821683963</v>
      </c>
      <c r="J294" s="710" t="n">
        <f aca="false">ATAN(A294/Pole2)</f>
        <v>1.57078403471273</v>
      </c>
      <c r="K294" s="719" t="n">
        <f aca="false">SQRT(1+(A294/Zero2)^2)</f>
        <v>25.1908757308412</v>
      </c>
      <c r="L294" s="720" t="n">
        <f aca="false">ATAN(A294/Zero2)</f>
        <v>1.5310889804555</v>
      </c>
      <c r="M294" s="707" t="n">
        <f aca="false">SQRT(1+(A294/pole4)^2)</f>
        <v>1.26947656884945</v>
      </c>
      <c r="N294" s="710" t="n">
        <f aca="false">ATAN(A294/pole4)</f>
        <v>0.663687111443245</v>
      </c>
      <c r="O294" s="711" t="n">
        <f aca="false">SQRT((1-(V294/pterm2))^2+(A294/pterm1)^2)</f>
        <v>1.0200968985393</v>
      </c>
      <c r="P294" s="712" t="n">
        <f aca="false">IF((ATAN((A294/pterm1)/(1-A294^2/pterm2))&gt;0),ATAN((A294/pterm1)/(1-A294^2/pterm2)),PI()+ATAN((A294/pterm1)/(1-A294^2/pterm2)))</f>
        <v>0.270858515150898</v>
      </c>
      <c r="Q294" s="713" t="n">
        <f aca="false">20*LOG10(((E294*K294*G294)/(C294*I294*O294*M294))*Adc)</f>
        <v>-13.1612341768136</v>
      </c>
      <c r="R294" s="714" t="n">
        <f aca="false">((F294+L294+H294)-(D294+J294+P294+N294))*radconv</f>
        <v>-146.472239348497</v>
      </c>
      <c r="S294" s="717" t="n">
        <f aca="false">IF(R294&gt;0,R294,R294+180)</f>
        <v>33.5277606515035</v>
      </c>
      <c r="U294" s="644" t="n">
        <f aca="false">IF(Q294&lt;0,A294,1000000000)</f>
        <v>19611.75</v>
      </c>
      <c r="V294" s="644" t="n">
        <f aca="false">A294^2</f>
        <v>384620738.0625</v>
      </c>
      <c r="X294" s="716" t="n">
        <f aca="false">20*LOG10((K294/(I294*M294))*AEA)</f>
        <v>15.8415549501046</v>
      </c>
      <c r="Y294" s="717" t="n">
        <f aca="false">(L294-(J294+N294))*radconv</f>
        <v>-40.3008295254589</v>
      </c>
      <c r="AA294" s="716" t="n">
        <f aca="false">20*LOG10((E294*G294/(C294*O294))*Acs*Am)</f>
        <v>22.4778362276361</v>
      </c>
      <c r="AB294" s="717" t="n">
        <f aca="false">(F294+H294-(D294+P294))*radconv</f>
        <v>-106.171409823038</v>
      </c>
      <c r="AD294" s="0" t="n">
        <f aca="false">SUM((Q295&lt;0)*(Q294&gt;0))*A294</f>
        <v>0</v>
      </c>
      <c r="AE294" s="0" t="n">
        <f aca="false">IF(AD294&gt;0,S294,0)</f>
        <v>0</v>
      </c>
    </row>
    <row r="295" customFormat="false" ht="12.75" hidden="false" customHeight="false" outlineLevel="0" collapsed="false">
      <c r="A295" s="718" t="n">
        <v>19725.5</v>
      </c>
      <c r="B295" s="706" t="n">
        <f aca="false">A295/1000</f>
        <v>19.7255</v>
      </c>
      <c r="C295" s="707" t="n">
        <f aca="false">SQRT(1+(A295/pole1)^2)</f>
        <v>33.7005439457766</v>
      </c>
      <c r="D295" s="708" t="n">
        <f aca="false">ATAN(A295/pole1)</f>
        <v>1.54111885901545</v>
      </c>
      <c r="E295" s="708" t="n">
        <f aca="false">SQRT(1+(A295/Zero1)^2)</f>
        <v>1.03026378892006</v>
      </c>
      <c r="F295" s="709" t="n">
        <f aca="false">ATAN(A295/Zero1)</f>
        <v>0.242980438193238</v>
      </c>
      <c r="G295" s="708" t="n">
        <f aca="false">IF(VIN_nom&gt;Vout, 1, SQRT(1+(A295/z_RHP)^2))</f>
        <v>1.04185781539445</v>
      </c>
      <c r="H295" s="709" t="n">
        <f aca="false">IF(VIN_nom&gt;Vout, 0, -ATAN(A295/z_RHP))</f>
        <v>-0.284422469341181</v>
      </c>
      <c r="I295" s="707" t="n">
        <f aca="false">SQRT(1+(A295/Pole2)^2)</f>
        <v>81825.0382990455</v>
      </c>
      <c r="J295" s="710" t="n">
        <f aca="false">ATAN(A295/Pole2)</f>
        <v>1.57078410559683</v>
      </c>
      <c r="K295" s="719" t="n">
        <f aca="false">SQRT(1+(A295/Zero2)^2)</f>
        <v>25.3367556033594</v>
      </c>
      <c r="L295" s="720" t="n">
        <f aca="false">ATAN(A295/Zero2)</f>
        <v>1.53131772018233</v>
      </c>
      <c r="M295" s="707" t="n">
        <f aca="false">SQRT(1+(A295/pole4)^2)</f>
        <v>1.27227578337029</v>
      </c>
      <c r="N295" s="710" t="n">
        <f aca="false">ATAN(A295/pole4)</f>
        <v>0.666495473092044</v>
      </c>
      <c r="O295" s="711" t="n">
        <f aca="false">SQRT((1-(V295/pterm2))^2+(A295/pterm1)^2)</f>
        <v>1.02033005838692</v>
      </c>
      <c r="P295" s="712" t="n">
        <f aca="false">IF((ATAN((A295/pterm1)/(1-A295^2/pterm2))&gt;0),ATAN((A295/pterm1)/(1-A295^2/pterm2)),PI()+ATAN((A295/pterm1)/(1-A295^2/pterm2)))</f>
        <v>0.272405611078278</v>
      </c>
      <c r="Q295" s="713" t="n">
        <f aca="false">20*LOG10(((E295*K295*G295)/(C295*I295*O295*M295))*Adc)</f>
        <v>-13.2257919988793</v>
      </c>
      <c r="R295" s="714" t="n">
        <f aca="false">((F295+L295+H295)-(D295+J295+P295+N295))*radconv</f>
        <v>-146.730386816597</v>
      </c>
      <c r="S295" s="717" t="n">
        <f aca="false">IF(R295&gt;0,R295,R295+180)</f>
        <v>33.2696131834028</v>
      </c>
      <c r="U295" s="644" t="n">
        <f aca="false">IF(Q295&lt;0,A295,1000000000)</f>
        <v>19725.5</v>
      </c>
      <c r="V295" s="644" t="n">
        <f aca="false">A295^2</f>
        <v>389095350.25</v>
      </c>
      <c r="X295" s="716" t="n">
        <f aca="false">20*LOG10((K295/(I295*M295))*AEA)</f>
        <v>15.8223448156302</v>
      </c>
      <c r="Y295" s="717" t="n">
        <f aca="false">(L295-(J295+N295))*radconv</f>
        <v>-40.448635035856</v>
      </c>
      <c r="AA295" s="716" t="n">
        <f aca="false">20*LOG10((E295*G295/(C295*O295))*Acs*Am)</f>
        <v>22.4324885400448</v>
      </c>
      <c r="AB295" s="717" t="n">
        <f aca="false">(F295+H295-(D295+P295))*radconv</f>
        <v>-106.281751780741</v>
      </c>
      <c r="AD295" s="0" t="n">
        <f aca="false">SUM((Q296&lt;0)*(Q295&gt;0))*A295</f>
        <v>0</v>
      </c>
      <c r="AE295" s="0" t="n">
        <f aca="false">IF(AD295&gt;0,S295,0)</f>
        <v>0</v>
      </c>
    </row>
    <row r="296" customFormat="false" ht="12.75" hidden="false" customHeight="false" outlineLevel="0" collapsed="false">
      <c r="A296" s="718" t="n">
        <v>19839.25</v>
      </c>
      <c r="B296" s="706" t="n">
        <f aca="false">A296/1000</f>
        <v>19.83925</v>
      </c>
      <c r="C296" s="707" t="n">
        <f aca="false">SQRT(1+(A296/pole1)^2)</f>
        <v>33.8947124700346</v>
      </c>
      <c r="D296" s="708" t="n">
        <f aca="false">ATAN(A296/pole1)</f>
        <v>1.54128891822334</v>
      </c>
      <c r="E296" s="708" t="n">
        <f aca="false">SQRT(1+(A296/Zero1)^2)</f>
        <v>1.03060863750612</v>
      </c>
      <c r="F296" s="709" t="n">
        <f aca="false">ATAN(A296/Zero1)</f>
        <v>0.244326667951337</v>
      </c>
      <c r="G296" s="708" t="n">
        <f aca="false">IF(VIN_nom&gt;Vout, 1, SQRT(1+(A296/z_RHP)^2))</f>
        <v>1.04233213223925</v>
      </c>
      <c r="H296" s="709" t="n">
        <f aca="false">IF(VIN_nom&gt;Vout, 0, -ATAN(A296/z_RHP))</f>
        <v>-0.285974892121028</v>
      </c>
      <c r="I296" s="707" t="n">
        <f aca="false">SQRT(1+(A296/Pole2)^2)</f>
        <v>82296.8944296952</v>
      </c>
      <c r="J296" s="710" t="n">
        <f aca="false">ATAN(A296/Pole2)</f>
        <v>1.57078417566809</v>
      </c>
      <c r="K296" s="719" t="n">
        <f aca="false">SQRT(1+(A296/Zero2)^2)</f>
        <v>25.4826367863657</v>
      </c>
      <c r="L296" s="720" t="n">
        <f aca="false">ATAN(A296/Zero2)</f>
        <v>1.5315438409751</v>
      </c>
      <c r="M296" s="707" t="n">
        <f aca="false">SQRT(1+(A296/pole4)^2)</f>
        <v>1.27508498809384</v>
      </c>
      <c r="N296" s="710" t="n">
        <f aca="false">ATAN(A296/pole4)</f>
        <v>0.669291482222541</v>
      </c>
      <c r="O296" s="711" t="n">
        <f aca="false">SQRT((1-(V296/pterm2))^2+(A296/pterm1)^2)</f>
        <v>1.02056455203186</v>
      </c>
      <c r="P296" s="712" t="n">
        <f aca="false">IF((ATAN((A296/pterm1)/(1-A296^2/pterm2))&gt;0),ATAN((A296/pterm1)/(1-A296^2/pterm2)),PI()+ATAN((A296/pterm1)/(1-A296^2/pterm2)))</f>
        <v>0.273952301287899</v>
      </c>
      <c r="Q296" s="713" t="n">
        <f aca="false">20*LOG10(((E296*K296*G296)/(C296*I296*O296*M296))*Adc)</f>
        <v>-13.2900633476672</v>
      </c>
      <c r="R296" s="714" t="n">
        <f aca="false">((F296+L296+H296)-(D296+J296+P296+N296))*radconv</f>
        <v>-146.987811073266</v>
      </c>
      <c r="S296" s="717" t="n">
        <f aca="false">IF(R296&gt;0,R296,R296+180)</f>
        <v>33.0121889267337</v>
      </c>
      <c r="U296" s="644" t="n">
        <f aca="false">IF(Q296&lt;0,A296,1000000000)</f>
        <v>19839.25</v>
      </c>
      <c r="V296" s="644" t="n">
        <f aca="false">A296^2</f>
        <v>393595840.5625</v>
      </c>
      <c r="X296" s="716" t="n">
        <f aca="false">20*LOG10((K296/(I296*M296))*AEA)</f>
        <v>15.8031100221009</v>
      </c>
      <c r="Y296" s="717" t="n">
        <f aca="false">(L296-(J296+N296))*radconv</f>
        <v>-40.5958828063834</v>
      </c>
      <c r="AA296" s="716" t="n">
        <f aca="false">20*LOG10((E296*G296/(C296*O296))*Acs*Am)</f>
        <v>22.3874519847863</v>
      </c>
      <c r="AB296" s="717" t="n">
        <f aca="false">(F296+H296-(D296+P296))*radconv</f>
        <v>-106.391928266883</v>
      </c>
      <c r="AD296" s="0" t="n">
        <f aca="false">SUM((Q297&lt;0)*(Q296&gt;0))*A296</f>
        <v>0</v>
      </c>
      <c r="AE296" s="0" t="n">
        <f aca="false">IF(AD296&gt;0,S296,0)</f>
        <v>0</v>
      </c>
    </row>
    <row r="297" customFormat="false" ht="12.75" hidden="false" customHeight="false" outlineLevel="0" collapsed="false">
      <c r="A297" s="718" t="n">
        <v>19953</v>
      </c>
      <c r="B297" s="706" t="n">
        <f aca="false">A297/1000</f>
        <v>19.953</v>
      </c>
      <c r="C297" s="707" t="n">
        <f aca="false">SQRT(1+(A297/pole1)^2)</f>
        <v>34.0888819633654</v>
      </c>
      <c r="D297" s="708" t="n">
        <f aca="false">ATAN(A297/pole1)</f>
        <v>1.54145704012931</v>
      </c>
      <c r="E297" s="708" t="n">
        <f aca="false">SQRT(1+(A297/Zero1)^2)</f>
        <v>1.03095535264831</v>
      </c>
      <c r="F297" s="709" t="n">
        <f aca="false">ATAN(A297/Zero1)</f>
        <v>0.245671994659435</v>
      </c>
      <c r="G297" s="708" t="n">
        <f aca="false">IF(VIN_nom&gt;Vout, 1, SQRT(1+(A297/z_RHP)^2))</f>
        <v>1.04280895883297</v>
      </c>
      <c r="H297" s="709" t="n">
        <f aca="false">IF(VIN_nom&gt;Vout, 0, -ATAN(A297/z_RHP))</f>
        <v>-0.287525898938812</v>
      </c>
      <c r="I297" s="707" t="n">
        <f aca="false">SQRT(1+(A297/Pole2)^2)</f>
        <v>82768.7505603453</v>
      </c>
      <c r="J297" s="710" t="n">
        <f aca="false">ATAN(A297/Pole2)</f>
        <v>1.57078424494041</v>
      </c>
      <c r="K297" s="719" t="n">
        <f aca="false">SQRT(1+(A297/Zero2)^2)</f>
        <v>25.6285192574817</v>
      </c>
      <c r="L297" s="720" t="n">
        <f aca="false">ATAN(A297/Zero2)</f>
        <v>1.53176738753293</v>
      </c>
      <c r="M297" s="707" t="n">
        <f aca="false">SQRT(1+(A297/pole4)^2)</f>
        <v>1.27790411713599</v>
      </c>
      <c r="N297" s="710" t="n">
        <f aca="false">ATAN(A297/pole4)</f>
        <v>0.672075176725418</v>
      </c>
      <c r="O297" s="711" t="n">
        <f aca="false">SQRT((1-(V297/pterm2))^2+(A297/pterm1)^2)</f>
        <v>1.02080037923105</v>
      </c>
      <c r="P297" s="712" t="n">
        <f aca="false">IF((ATAN((A297/pterm1)/(1-A297^2/pterm2))&gt;0),ATAN((A297/pterm1)/(1-A297^2/pterm2)),PI()+ATAN((A297/pterm1)/(1-A297^2/pterm2)))</f>
        <v>0.275498583695895</v>
      </c>
      <c r="Q297" s="713" t="n">
        <f aca="false">20*LOG10(((E297*K297*G297)/(C297*I297*O297*M297))*Adc)</f>
        <v>-13.3540509038804</v>
      </c>
      <c r="R297" s="714" t="n">
        <f aca="false">((F297+L297+H297)-(D297+J297+P297+N297))*radconv</f>
        <v>-147.244513448536</v>
      </c>
      <c r="S297" s="717" t="n">
        <f aca="false">IF(R297&gt;0,R297,R297+180)</f>
        <v>32.755486551464</v>
      </c>
      <c r="U297" s="644" t="n">
        <f aca="false">IF(Q297&lt;0,A297,1000000000)</f>
        <v>19953</v>
      </c>
      <c r="V297" s="644" t="n">
        <f aca="false">A297^2</f>
        <v>398122209</v>
      </c>
      <c r="X297" s="716" t="n">
        <f aca="false">20*LOG10((K297/(I297*M297))*AEA)</f>
        <v>15.7838512511078</v>
      </c>
      <c r="Y297" s="717" t="n">
        <f aca="false">(L297-(J297+N297))*radconv</f>
        <v>-40.7425724477433</v>
      </c>
      <c r="AA297" s="716" t="n">
        <f aca="false">20*LOG10((E297*G297/(C297*O297))*Acs*Am)</f>
        <v>22.3427231995662</v>
      </c>
      <c r="AB297" s="717" t="n">
        <f aca="false">(F297+H297-(D297+P297))*radconv</f>
        <v>-106.501941000793</v>
      </c>
      <c r="AD297" s="0" t="n">
        <f aca="false">SUM((Q298&lt;0)*(Q297&gt;0))*A297</f>
        <v>0</v>
      </c>
      <c r="AE297" s="0" t="n">
        <f aca="false">IF(AD297&gt;0,S297,0)</f>
        <v>0</v>
      </c>
    </row>
    <row r="298" customFormat="false" ht="12.75" hidden="false" customHeight="false" outlineLevel="0" collapsed="false">
      <c r="A298" s="718" t="n">
        <v>20069</v>
      </c>
      <c r="B298" s="706" t="n">
        <f aca="false">A298/1000</f>
        <v>20.069</v>
      </c>
      <c r="C298" s="707" t="n">
        <f aca="false">SQRT(1+(A298/pole1)^2)</f>
        <v>34.2868931528967</v>
      </c>
      <c r="D298" s="708" t="n">
        <f aca="false">ATAN(A298/pole1)</f>
        <v>1.54162652647225</v>
      </c>
      <c r="E298" s="708" t="n">
        <f aca="false">SQRT(1+(A298/Zero1)^2)</f>
        <v>1.03131084624324</v>
      </c>
      <c r="F298" s="709" t="n">
        <f aca="false">ATAN(A298/Zero1)</f>
        <v>0.247042998103535</v>
      </c>
      <c r="G298" s="708" t="n">
        <f aca="false">IF(VIN_nom&gt;Vout, 1, SQRT(1+(A298/z_RHP)^2))</f>
        <v>1.04329779829911</v>
      </c>
      <c r="H298" s="709" t="n">
        <f aca="false">IF(VIN_nom&gt;Vout, 0, -ATAN(A298/z_RHP))</f>
        <v>-0.289106121043535</v>
      </c>
      <c r="I298" s="707" t="n">
        <f aca="false">SQRT(1+(A298/Pole2)^2)</f>
        <v>83249.9401089647</v>
      </c>
      <c r="J298" s="710" t="n">
        <f aca="false">ATAN(A298/Pole2)</f>
        <v>1.57078431477424</v>
      </c>
      <c r="K298" s="719" t="n">
        <f aca="false">SQRT(1+(A298/Zero2)^2)</f>
        <v>25.7772886198476</v>
      </c>
      <c r="L298" s="720" t="n">
        <f aca="false">ATAN(A298/Zero2)</f>
        <v>1.5319927500584</v>
      </c>
      <c r="M298" s="707" t="n">
        <f aca="false">SQRT(1+(A298/pole4)^2)</f>
        <v>1.28078916195183</v>
      </c>
      <c r="N298" s="710" t="n">
        <f aca="false">ATAN(A298/pole4)</f>
        <v>0.674901290629508</v>
      </c>
      <c r="O298" s="711" t="n">
        <f aca="false">SQRT((1-(V298/pterm2))^2+(A298/pterm1)^2)</f>
        <v>1.02104224427304</v>
      </c>
      <c r="P298" s="712" t="n">
        <f aca="false">IF((ATAN((A298/pterm1)/(1-A298^2/pterm2))&gt;0),ATAN((A298/pterm1)/(1-A298^2/pterm2)),PI()+ATAN((A298/pterm1)/(1-A298^2/pterm2)))</f>
        <v>0.277075029772825</v>
      </c>
      <c r="Q298" s="713" t="n">
        <f aca="false">20*LOG10(((E298*K298*G298)/(C298*I298*O298*M298))*Adc)</f>
        <v>-13.4190146076007</v>
      </c>
      <c r="R298" s="714" t="n">
        <f aca="false">((F298+L298+H298)-(D298+J298+P298+N298))*radconv</f>
        <v>-147.505551432798</v>
      </c>
      <c r="S298" s="717" t="n">
        <f aca="false">IF(R298&gt;0,R298,R298+180)</f>
        <v>32.4944485672017</v>
      </c>
      <c r="U298" s="644" t="n">
        <f aca="false">IF(Q298&lt;0,A298,1000000000)</f>
        <v>20069</v>
      </c>
      <c r="V298" s="644" t="n">
        <f aca="false">A298^2</f>
        <v>402764761</v>
      </c>
      <c r="X298" s="716" t="n">
        <f aca="false">20*LOG10((K298/(I298*M298))*AEA)</f>
        <v>15.7641875435215</v>
      </c>
      <c r="Y298" s="717" t="n">
        <f aca="false">(L298-(J298+N298))*radconv</f>
        <v>-40.8915885266548</v>
      </c>
      <c r="AA298" s="716" t="n">
        <f aca="false">20*LOG10((E298*G298/(C298*O298))*Acs*Am)</f>
        <v>22.2974232034322</v>
      </c>
      <c r="AB298" s="717" t="n">
        <f aca="false">(F298+H298-(D298+P298))*radconv</f>
        <v>-106.613962906143</v>
      </c>
      <c r="AD298" s="0" t="n">
        <f aca="false">SUM((Q299&lt;0)*(Q298&gt;0))*A298</f>
        <v>0</v>
      </c>
      <c r="AE298" s="0" t="n">
        <f aca="false">IF(AD298&gt;0,S298,0)</f>
        <v>0</v>
      </c>
    </row>
    <row r="299" customFormat="false" ht="12.75" hidden="false" customHeight="false" outlineLevel="0" collapsed="false">
      <c r="A299" s="718" t="n">
        <v>20185</v>
      </c>
      <c r="B299" s="706" t="n">
        <f aca="false">A299/1000</f>
        <v>20.185</v>
      </c>
      <c r="C299" s="707" t="n">
        <f aca="false">SQRT(1+(A299/pole1)^2)</f>
        <v>34.4849053160296</v>
      </c>
      <c r="D299" s="708" t="n">
        <f aca="false">ATAN(A299/pole1)</f>
        <v>1.5417940664404</v>
      </c>
      <c r="E299" s="708" t="n">
        <f aca="false">SQRT(1+(A299/Zero1)^2)</f>
        <v>1.031668277004</v>
      </c>
      <c r="F299" s="709" t="n">
        <f aca="false">ATAN(A299/Zero1)</f>
        <v>0.24841305412841</v>
      </c>
      <c r="G299" s="708" t="n">
        <f aca="false">IF(VIN_nom&gt;Vout, 1, SQRT(1+(A299/z_RHP)^2))</f>
        <v>1.04378924054215</v>
      </c>
      <c r="H299" s="709" t="n">
        <f aca="false">IF(VIN_nom&gt;Vout, 0, -ATAN(A299/z_RHP))</f>
        <v>-0.290684859070771</v>
      </c>
      <c r="I299" s="707" t="n">
        <f aca="false">SQRT(1+(A299/Pole2)^2)</f>
        <v>83731.1296575845</v>
      </c>
      <c r="J299" s="710" t="n">
        <f aca="false">ATAN(A299/Pole2)</f>
        <v>1.57078438380542</v>
      </c>
      <c r="K299" s="719" t="n">
        <f aca="false">SQRT(1+(A299/Zero2)^2)</f>
        <v>25.9260592763726</v>
      </c>
      <c r="L299" s="720" t="n">
        <f aca="false">ATAN(A299/Zero2)</f>
        <v>1.53221552621429</v>
      </c>
      <c r="M299" s="707" t="n">
        <f aca="false">SQRT(1+(A299/pole4)^2)</f>
        <v>1.28368439029914</v>
      </c>
      <c r="N299" s="710" t="n">
        <f aca="false">ATAN(A299/pole4)</f>
        <v>0.677714678856106</v>
      </c>
      <c r="O299" s="711" t="n">
        <f aca="false">SQRT((1-(V299/pterm2))^2+(A299/pterm1)^2)</f>
        <v>1.02128549563289</v>
      </c>
      <c r="P299" s="712" t="n">
        <f aca="false">IF((ATAN((A299/pterm1)/(1-A299^2/pterm2))&gt;0),ATAN((A299/pterm1)/(1-A299^2/pterm2)),PI()+ATAN((A299/pterm1)/(1-A299^2/pterm2)))</f>
        <v>0.278651047391853</v>
      </c>
      <c r="Q299" s="713" t="n">
        <f aca="false">20*LOG10(((E299*K299*G299)/(C299*I299*O299*M299))*Adc)</f>
        <v>-13.4836886571944</v>
      </c>
      <c r="R299" s="714" t="n">
        <f aca="false">((F299+L299+H299)-(D299+J299+P299+N299))*radconv</f>
        <v>-147.765841615377</v>
      </c>
      <c r="S299" s="717" t="n">
        <f aca="false">IF(R299&gt;0,R299,R299+180)</f>
        <v>32.2341583846226</v>
      </c>
      <c r="U299" s="644" t="n">
        <f aca="false">IF(Q299&lt;0,A299,1000000000)</f>
        <v>20185</v>
      </c>
      <c r="V299" s="644" t="n">
        <f aca="false">A299^2</f>
        <v>407434225</v>
      </c>
      <c r="X299" s="716" t="n">
        <f aca="false">20*LOG10((K299/(I299*M299))*AEA)</f>
        <v>15.7445003112461</v>
      </c>
      <c r="Y299" s="717" t="n">
        <f aca="false">(L299-(J299+N299))*radconv</f>
        <v>-41.0400236200272</v>
      </c>
      <c r="AA299" s="716" t="n">
        <f aca="false">20*LOG10((E299*G299/(C299*O299))*Acs*Am)</f>
        <v>22.252436386114</v>
      </c>
      <c r="AB299" s="717" t="n">
        <f aca="false">(F299+H299-(D299+P299))*radconv</f>
        <v>-106.72581799535</v>
      </c>
      <c r="AD299" s="0" t="n">
        <f aca="false">SUM((Q300&lt;0)*(Q299&gt;0))*A299</f>
        <v>0</v>
      </c>
      <c r="AE299" s="0" t="n">
        <f aca="false">IF(AD299&gt;0,S299,0)</f>
        <v>0</v>
      </c>
    </row>
    <row r="300" customFormat="false" ht="12.75" hidden="false" customHeight="false" outlineLevel="0" collapsed="false">
      <c r="A300" s="718" t="n">
        <v>20301</v>
      </c>
      <c r="B300" s="706" t="n">
        <f aca="false">A300/1000</f>
        <v>20.301</v>
      </c>
      <c r="C300" s="707" t="n">
        <f aca="false">SQRT(1+(A300/pole1)^2)</f>
        <v>34.6829184360886</v>
      </c>
      <c r="D300" s="708" t="n">
        <f aca="false">ATAN(A300/pole1)</f>
        <v>1.54195969336123</v>
      </c>
      <c r="E300" s="708" t="n">
        <f aca="false">SQRT(1+(A300/Zero1)^2)</f>
        <v>1.03202764291782</v>
      </c>
      <c r="F300" s="709" t="n">
        <f aca="false">ATAN(A300/Zero1)</f>
        <v>0.249782158577789</v>
      </c>
      <c r="G300" s="708" t="n">
        <f aca="false">IF(VIN_nom&gt;Vout, 1, SQRT(1+(A300/z_RHP)^2))</f>
        <v>1.04428328188747</v>
      </c>
      <c r="H300" s="709" t="n">
        <f aca="false">IF(VIN_nom&gt;Vout, 0, -ATAN(A300/z_RHP))</f>
        <v>-0.29226210725159</v>
      </c>
      <c r="I300" s="707" t="n">
        <f aca="false">SQRT(1+(A300/Pole2)^2)</f>
        <v>84212.3192062046</v>
      </c>
      <c r="J300" s="710" t="n">
        <f aca="false">ATAN(A300/Pole2)</f>
        <v>1.57078445204772</v>
      </c>
      <c r="K300" s="719" t="n">
        <f aca="false">SQRT(1+(A300/Zero2)^2)</f>
        <v>26.074831204905</v>
      </c>
      <c r="L300" s="720" t="n">
        <f aca="false">ATAN(A300/Zero2)</f>
        <v>1.53243576024847</v>
      </c>
      <c r="M300" s="707" t="n">
        <f aca="false">SQRT(1+(A300/pole4)^2)</f>
        <v>1.28658973342957</v>
      </c>
      <c r="N300" s="710" t="n">
        <f aca="false">ATAN(A300/pole4)</f>
        <v>0.680515382928738</v>
      </c>
      <c r="O300" s="711" t="n">
        <f aca="false">SQRT((1-(V300/pterm2))^2+(A300/pterm1)^2)</f>
        <v>1.02153013304924</v>
      </c>
      <c r="P300" s="712" t="n">
        <f aca="false">IF((ATAN((A300/pterm1)/(1-A300^2/pterm2))&gt;0),ATAN((A300/pterm1)/(1-A300^2/pterm2)),PI()+ATAN((A300/pterm1)/(1-A300^2/pterm2)))</f>
        <v>0.280226634356384</v>
      </c>
      <c r="Q300" s="713" t="n">
        <f aca="false">20*LOG10(((E300*K300*G300)/(C300*I300*O300*M300))*Adc)</f>
        <v>-13.5480757421373</v>
      </c>
      <c r="R300" s="714" t="n">
        <f aca="false">((F300+L300+H300)-(D300+J300+P300+N300))*radconv</f>
        <v>-148.025385532237</v>
      </c>
      <c r="S300" s="717" t="n">
        <f aca="false">IF(R300&gt;0,R300,R300+180)</f>
        <v>31.9746144677629</v>
      </c>
      <c r="U300" s="644" t="n">
        <f aca="false">IF(Q300&lt;0,A300,1000000000)</f>
        <v>20301</v>
      </c>
      <c r="V300" s="644" t="n">
        <f aca="false">A300^2</f>
        <v>412130601</v>
      </c>
      <c r="X300" s="716" t="n">
        <f aca="false">20*LOG10((K300/(I300*M300))*AEA)</f>
        <v>15.7247902559169</v>
      </c>
      <c r="Y300" s="717" t="n">
        <f aca="false">(L300-(J300+N300))*radconv</f>
        <v>-41.1878775725547</v>
      </c>
      <c r="AA300" s="716" t="n">
        <f aca="false">20*LOG10((E300*G300/(C300*O300))*Acs*Am)</f>
        <v>22.2077593565002</v>
      </c>
      <c r="AB300" s="717" t="n">
        <f aca="false">(F300+H300-(D300+P300))*radconv</f>
        <v>-106.837507959682</v>
      </c>
      <c r="AD300" s="0" t="n">
        <f aca="false">SUM((Q301&lt;0)*(Q300&gt;0))*A300</f>
        <v>0</v>
      </c>
      <c r="AE300" s="0" t="n">
        <f aca="false">IF(AD300&gt;0,S300,0)</f>
        <v>0</v>
      </c>
    </row>
    <row r="301" customFormat="false" ht="12.75" hidden="false" customHeight="false" outlineLevel="0" collapsed="false">
      <c r="A301" s="718" t="n">
        <v>20417</v>
      </c>
      <c r="B301" s="706" t="n">
        <f aca="false">A301/1000</f>
        <v>20.417</v>
      </c>
      <c r="C301" s="707" t="n">
        <f aca="false">SQRT(1+(A301/pole1)^2)</f>
        <v>34.8809324967768</v>
      </c>
      <c r="D301" s="708" t="n">
        <f aca="false">ATAN(A301/pole1)</f>
        <v>1.54212343980587</v>
      </c>
      <c r="E301" s="708" t="n">
        <f aca="false">SQRT(1+(A301/Zero1)^2)</f>
        <v>1.0323889419639</v>
      </c>
      <c r="F301" s="709" t="n">
        <f aca="false">ATAN(A301/Zero1)</f>
        <v>0.251150307315441</v>
      </c>
      <c r="G301" s="708" t="n">
        <f aca="false">IF(VIN_nom&gt;Vout, 1, SQRT(1+(A301/z_RHP)^2))</f>
        <v>1.04477991864801</v>
      </c>
      <c r="H301" s="709" t="n">
        <f aca="false">IF(VIN_nom&gt;Vout, 0, -ATAN(A301/z_RHP))</f>
        <v>-0.293837859857592</v>
      </c>
      <c r="I301" s="707" t="n">
        <f aca="false">SQRT(1+(A301/Pole2)^2)</f>
        <v>84693.5087548252</v>
      </c>
      <c r="J301" s="710" t="n">
        <f aca="false">ATAN(A301/Pole2)</f>
        <v>1.57078451951457</v>
      </c>
      <c r="K301" s="719" t="n">
        <f aca="false">SQRT(1+(A301/Zero2)^2)</f>
        <v>26.2236043837958</v>
      </c>
      <c r="L301" s="720" t="n">
        <f aca="false">ATAN(A301/Zero2)</f>
        <v>1.5326534954057</v>
      </c>
      <c r="M301" s="707" t="n">
        <f aca="false">SQRT(1+(A301/pole4)^2)</f>
        <v>1.28950512297521</v>
      </c>
      <c r="N301" s="710" t="n">
        <f aca="false">ATAN(A301/pole4)</f>
        <v>0.683303444793319</v>
      </c>
      <c r="O301" s="711" t="n">
        <f aca="false">SQRT((1-(V301/pterm2))^2+(A301/pterm1)^2)</f>
        <v>1.02177615625955</v>
      </c>
      <c r="P301" s="712" t="n">
        <f aca="false">IF((ATAN((A301/pterm1)/(1-A301^2/pterm2))&gt;0),ATAN((A301/pterm1)/(1-A301^2/pterm2)),PI()+ATAN((A301/pterm1)/(1-A301^2/pterm2)))</f>
        <v>0.281801788474363</v>
      </c>
      <c r="Q301" s="713" t="n">
        <f aca="false">20*LOG10(((E301*K301*G301)/(C301*I301*O301*M301))*Adc)</f>
        <v>-13.6121785028904</v>
      </c>
      <c r="R301" s="714" t="n">
        <f aca="false">((F301+L301+H301)-(D301+J301+P301+N301))*radconv</f>
        <v>-148.284184759098</v>
      </c>
      <c r="S301" s="717" t="n">
        <f aca="false">IF(R301&gt;0,R301,R301+180)</f>
        <v>31.7158152409025</v>
      </c>
      <c r="U301" s="644" t="n">
        <f aca="false">IF(Q301&lt;0,A301,1000000000)</f>
        <v>20417</v>
      </c>
      <c r="V301" s="644" t="n">
        <f aca="false">A301^2</f>
        <v>416853889</v>
      </c>
      <c r="X301" s="716" t="n">
        <f aca="false">20*LOG10((K301/(I301*M301))*AEA)</f>
        <v>15.7050580720286</v>
      </c>
      <c r="Y301" s="717" t="n">
        <f aca="false">(L301-(J301+N301))*radconv</f>
        <v>-41.3351503105894</v>
      </c>
      <c r="AA301" s="716" t="n">
        <f aca="false">20*LOG10((E301*G301/(C301*O301))*Acs*Am)</f>
        <v>22.1633887796354</v>
      </c>
      <c r="AB301" s="717" t="n">
        <f aca="false">(F301+H301-(D301+P301))*radconv</f>
        <v>-106.949034448508</v>
      </c>
      <c r="AD301" s="0" t="n">
        <f aca="false">SUM((Q302&lt;0)*(Q301&gt;0))*A301</f>
        <v>0</v>
      </c>
      <c r="AE301" s="0" t="n">
        <f aca="false">IF(AD301&gt;0,S301,0)</f>
        <v>0</v>
      </c>
    </row>
    <row r="302" customFormat="false" ht="12.75" hidden="false" customHeight="false" outlineLevel="0" collapsed="false">
      <c r="A302" s="718" t="n">
        <v>20536</v>
      </c>
      <c r="B302" s="706" t="n">
        <f aca="false">A302/1000</f>
        <v>20.536</v>
      </c>
      <c r="C302" s="707" t="n">
        <f aca="false">SQRT(1+(A302/pole1)^2)</f>
        <v>35.0840685714998</v>
      </c>
      <c r="D302" s="708" t="n">
        <f aca="false">ATAN(A302/pole1)</f>
        <v>1.54228950037987</v>
      </c>
      <c r="E302" s="708" t="n">
        <f aca="false">SQRT(1+(A302/Zero1)^2)</f>
        <v>1.03276159159526</v>
      </c>
      <c r="F302" s="709" t="n">
        <f aca="false">ATAN(A302/Zero1)</f>
        <v>0.2525528417898</v>
      </c>
      <c r="G302" s="708" t="n">
        <f aca="false">IF(VIN_nom&gt;Vout, 1, SQRT(1+(A302/z_RHP)^2))</f>
        <v>1.04529209255267</v>
      </c>
      <c r="H302" s="709" t="n">
        <f aca="false">IF(VIN_nom&gt;Vout, 0, -ATAN(A302/z_RHP))</f>
        <v>-0.295452804632146</v>
      </c>
      <c r="I302" s="707" t="n">
        <f aca="false">SQRT(1+(A302/Pole2)^2)</f>
        <v>85187.1428607381</v>
      </c>
      <c r="J302" s="710" t="n">
        <f aca="false">ATAN(A302/Pole2)</f>
        <v>1.57078458793424</v>
      </c>
      <c r="K302" s="719" t="n">
        <f aca="false">SQRT(1+(A302/Zero2)^2)</f>
        <v>26.3762264220061</v>
      </c>
      <c r="L302" s="720" t="n">
        <f aca="false">ATAN(A302/Zero2)</f>
        <v>1.53287430928878</v>
      </c>
      <c r="M302" s="707" t="n">
        <f aca="false">SQRT(1+(A302/pole4)^2)</f>
        <v>1.29250627878001</v>
      </c>
      <c r="N302" s="710" t="n">
        <f aca="false">ATAN(A302/pole4)</f>
        <v>0.686150519233323</v>
      </c>
      <c r="O302" s="711" t="n">
        <f aca="false">SQRT((1-(V302/pterm2))^2+(A302/pterm1)^2)</f>
        <v>1.02202998187929</v>
      </c>
      <c r="P302" s="712" t="n">
        <f aca="false">IF((ATAN((A302/pterm1)/(1-A302^2/pterm2))&gt;0),ATAN((A302/pterm1)/(1-A302^2/pterm2)),PI()+ATAN((A302/pterm1)/(1-A302^2/pterm2)))</f>
        <v>0.283417227261355</v>
      </c>
      <c r="Q302" s="713" t="n">
        <f aca="false">20*LOG10(((E302*K302*G302)/(C302*I302*O302*M302))*Adc)</f>
        <v>-13.6776463616377</v>
      </c>
      <c r="R302" s="714" t="n">
        <f aca="false">((F302+L302+H302)-(D302+J302+P302+N302))*radconv</f>
        <v>-148.548904933688</v>
      </c>
      <c r="S302" s="717" t="n">
        <f aca="false">IF(R302&gt;0,R302,R302+180)</f>
        <v>31.451095066312</v>
      </c>
      <c r="U302" s="644" t="n">
        <f aca="false">IF(Q302&lt;0,A302,1000000000)</f>
        <v>20536</v>
      </c>
      <c r="V302" s="644" t="n">
        <f aca="false">A302^2</f>
        <v>421727296</v>
      </c>
      <c r="X302" s="716" t="n">
        <f aca="false">20*LOG10((K302/(I302*M302))*AEA)</f>
        <v>15.6847932990057</v>
      </c>
      <c r="Y302" s="717" t="n">
        <f aca="false">(L302-(J302+N302))*radconv</f>
        <v>-41.4856278767332</v>
      </c>
      <c r="AA302" s="716" t="n">
        <f aca="false">20*LOG10((E302*G302/(C302*O302))*Acs*Am)</f>
        <v>22.1181856939109</v>
      </c>
      <c r="AB302" s="717" t="n">
        <f aca="false">(F302+H302-(D302+P302))*radconv</f>
        <v>-107.063277056955</v>
      </c>
      <c r="AD302" s="0" t="n">
        <f aca="false">SUM((Q303&lt;0)*(Q302&gt;0))*A302</f>
        <v>0</v>
      </c>
      <c r="AE302" s="0" t="n">
        <f aca="false">IF(AD302&gt;0,S302,0)</f>
        <v>0</v>
      </c>
    </row>
    <row r="303" customFormat="false" ht="12.75" hidden="false" customHeight="false" outlineLevel="0" collapsed="false">
      <c r="A303" s="718" t="n">
        <v>20655</v>
      </c>
      <c r="B303" s="706" t="n">
        <f aca="false">A303/1000</f>
        <v>20.655</v>
      </c>
      <c r="C303" s="707" t="n">
        <f aca="false">SQRT(1+(A303/pole1)^2)</f>
        <v>35.2872056025661</v>
      </c>
      <c r="D303" s="708" t="n">
        <f aca="false">ATAN(A303/pole1)</f>
        <v>1.54245364904431</v>
      </c>
      <c r="E303" s="708" t="n">
        <f aca="false">SQRT(1+(A303/Zero1)^2)</f>
        <v>1.03313627130713</v>
      </c>
      <c r="F303" s="709" t="n">
        <f aca="false">ATAN(A303/Zero1)</f>
        <v>0.253954361726306</v>
      </c>
      <c r="G303" s="708" t="n">
        <f aca="false">IF(VIN_nom&gt;Vout, 1, SQRT(1+(A303/z_RHP)^2))</f>
        <v>1.04580698995347</v>
      </c>
      <c r="H303" s="709" t="n">
        <f aca="false">IF(VIN_nom&gt;Vout, 0, -ATAN(A303/z_RHP))</f>
        <v>-0.297066163392365</v>
      </c>
      <c r="I303" s="707" t="n">
        <f aca="false">SQRT(1+(A303/Pole2)^2)</f>
        <v>85680.7769666514</v>
      </c>
      <c r="J303" s="710" t="n">
        <f aca="false">ATAN(A303/Pole2)</f>
        <v>1.57078465556553</v>
      </c>
      <c r="K303" s="719" t="n">
        <f aca="false">SQRT(1+(A303/Zero2)^2)</f>
        <v>26.528849731491</v>
      </c>
      <c r="L303" s="720" t="n">
        <f aca="false">ATAN(A303/Zero2)</f>
        <v>1.53309258245063</v>
      </c>
      <c r="M303" s="707" t="n">
        <f aca="false">SQRT(1+(A303/pole4)^2)</f>
        <v>1.29551786283466</v>
      </c>
      <c r="N303" s="710" t="n">
        <f aca="false">ATAN(A303/pole4)</f>
        <v>0.68898437983476</v>
      </c>
      <c r="O303" s="711" t="n">
        <f aca="false">SQRT((1-(V303/pterm2))^2+(A303/pterm1)^2)</f>
        <v>1.02228526533527</v>
      </c>
      <c r="P303" s="712" t="n">
        <f aca="false">IF((ATAN((A303/pterm1)/(1-A303^2/pterm2))&gt;0),ATAN((A303/pterm1)/(1-A303^2/pterm2)),PI()+ATAN((A303/pterm1)/(1-A303^2/pterm2)))</f>
        <v>0.285032205864957</v>
      </c>
      <c r="Q303" s="713" t="n">
        <f aca="false">20*LOG10(((E303*K303*G303)/(C303*I303*O303*M303))*Adc)</f>
        <v>-13.7428204761999</v>
      </c>
      <c r="R303" s="714" t="n">
        <f aca="false">((F303+L303+H303)-(D303+J303+P303+N303))*radconv</f>
        <v>-148.812844884424</v>
      </c>
      <c r="S303" s="717" t="n">
        <f aca="false">IF(R303&gt;0,R303,R303+180)</f>
        <v>31.1871551155759</v>
      </c>
      <c r="U303" s="644" t="n">
        <f aca="false">IF(Q303&lt;0,A303,1000000000)</f>
        <v>20655</v>
      </c>
      <c r="V303" s="644" t="n">
        <f aca="false">A303^2</f>
        <v>426629025</v>
      </c>
      <c r="X303" s="716" t="n">
        <f aca="false">20*LOG10((K303/(I303*M303))*AEA)</f>
        <v>15.6645066956588</v>
      </c>
      <c r="Y303" s="717" t="n">
        <f aca="false">(L303-(J303+N303))*radconv</f>
        <v>-41.6354938731279</v>
      </c>
      <c r="AA303" s="716" t="n">
        <f aca="false">20*LOG10((E303*G303/(C303*O303))*Acs*Am)</f>
        <v>22.0732981826957</v>
      </c>
      <c r="AB303" s="717" t="n">
        <f aca="false">(F303+H303-(D303+P303))*radconv</f>
        <v>-107.177351011296</v>
      </c>
      <c r="AD303" s="0" t="n">
        <f aca="false">SUM((Q304&lt;0)*(Q303&gt;0))*A303</f>
        <v>0</v>
      </c>
      <c r="AE303" s="0" t="n">
        <f aca="false">IF(AD303&gt;0,S303,0)</f>
        <v>0</v>
      </c>
    </row>
    <row r="304" customFormat="false" ht="12.75" hidden="false" customHeight="false" outlineLevel="0" collapsed="false">
      <c r="A304" s="718" t="n">
        <v>20774</v>
      </c>
      <c r="B304" s="706" t="n">
        <f aca="false">A304/1000</f>
        <v>20.774</v>
      </c>
      <c r="C304" s="707" t="n">
        <f aca="false">SQRT(1+(A304/pole1)^2)</f>
        <v>35.4903435735543</v>
      </c>
      <c r="D304" s="708" t="n">
        <f aca="false">ATAN(A304/pole1)</f>
        <v>1.54261591862016</v>
      </c>
      <c r="E304" s="708" t="n">
        <f aca="false">SQRT(1+(A304/Zero1)^2)</f>
        <v>1.03351297889159</v>
      </c>
      <c r="F304" s="709" t="n">
        <f aca="false">ATAN(A304/Zero1)</f>
        <v>0.255354862725473</v>
      </c>
      <c r="G304" s="708" t="n">
        <f aca="false">IF(VIN_nom&gt;Vout, 1, SQRT(1+(A304/z_RHP)^2))</f>
        <v>1.0463246068297</v>
      </c>
      <c r="H304" s="709" t="n">
        <f aca="false">IF(VIN_nom&gt;Vout, 0, -ATAN(A304/z_RHP))</f>
        <v>-0.298677930086999</v>
      </c>
      <c r="I304" s="707" t="n">
        <f aca="false">SQRT(1+(A304/Pole2)^2)</f>
        <v>86174.411072565</v>
      </c>
      <c r="J304" s="710" t="n">
        <f aca="false">ATAN(A304/Pole2)</f>
        <v>1.570784722422</v>
      </c>
      <c r="K304" s="719" t="n">
        <f aca="false">SQRT(1+(A304/Zero2)^2)</f>
        <v>26.6814742904347</v>
      </c>
      <c r="L304" s="720" t="n">
        <f aca="false">ATAN(A304/Zero2)</f>
        <v>1.53330835847092</v>
      </c>
      <c r="M304" s="707" t="n">
        <f aca="false">SQRT(1+(A304/pole4)^2)</f>
        <v>1.29853980258329</v>
      </c>
      <c r="N304" s="710" t="n">
        <f aca="false">ATAN(A304/pole4)</f>
        <v>0.691805073176471</v>
      </c>
      <c r="O304" s="711" t="n">
        <f aca="false">SQRT((1-(V304/pterm2))^2+(A304/pterm1)^2)</f>
        <v>1.02254200634016</v>
      </c>
      <c r="P304" s="712" t="n">
        <f aca="false">IF((ATAN((A304/pterm1)/(1-A304^2/pterm2))&gt;0),ATAN((A304/pterm1)/(1-A304^2/pterm2)),PI()+ATAN((A304/pterm1)/(1-A304^2/pterm2)))</f>
        <v>0.286646721933626</v>
      </c>
      <c r="Q304" s="713" t="n">
        <f aca="false">20*LOG10(((E304*K304*G304)/(C304*I304*O304*M304))*Adc)</f>
        <v>-13.8077035446644</v>
      </c>
      <c r="R304" s="714" t="n">
        <f aca="false">((F304+L304+H304)-(D304+J304+P304+N304))*radconv</f>
        <v>-149.076006435053</v>
      </c>
      <c r="S304" s="717" t="n">
        <f aca="false">IF(R304&gt;0,R304,R304+180)</f>
        <v>30.9239935649473</v>
      </c>
      <c r="U304" s="644" t="n">
        <f aca="false">IF(Q304&lt;0,A304,1000000000)</f>
        <v>20774</v>
      </c>
      <c r="V304" s="644" t="n">
        <f aca="false">A304^2</f>
        <v>431559076</v>
      </c>
      <c r="X304" s="716" t="n">
        <f aca="false">20*LOG10((K304/(I304*M304))*AEA)</f>
        <v>15.6441989883772</v>
      </c>
      <c r="Y304" s="717" t="n">
        <f aca="false">(L304-(J304+N304))*radconv</f>
        <v>-41.7847484723899</v>
      </c>
      <c r="AA304" s="716" t="n">
        <f aca="false">20*LOG10((E304*G304/(C304*O304))*Acs*Am)</f>
        <v>22.0287228215127</v>
      </c>
      <c r="AB304" s="717" t="n">
        <f aca="false">(F304+H304-(D304+P304))*radconv</f>
        <v>-107.291257962663</v>
      </c>
      <c r="AD304" s="0" t="n">
        <f aca="false">SUM((Q305&lt;0)*(Q304&gt;0))*A304</f>
        <v>0</v>
      </c>
      <c r="AE304" s="0" t="n">
        <f aca="false">IF(AD304&gt;0,S304,0)</f>
        <v>0</v>
      </c>
    </row>
    <row r="305" customFormat="false" ht="12.75" hidden="false" customHeight="false" outlineLevel="0" collapsed="false">
      <c r="A305" s="718" t="n">
        <v>20893</v>
      </c>
      <c r="B305" s="706" t="n">
        <f aca="false">A305/1000</f>
        <v>20.893</v>
      </c>
      <c r="C305" s="707" t="n">
        <f aca="false">SQRT(1+(A305/pole1)^2)</f>
        <v>35.6934824684164</v>
      </c>
      <c r="D305" s="708" t="n">
        <f aca="false">ATAN(A305/pole1)</f>
        <v>1.54277634118163</v>
      </c>
      <c r="E305" s="708" t="n">
        <f aca="false">SQRT(1+(A305/Zero1)^2)</f>
        <v>1.03389171213203</v>
      </c>
      <c r="F305" s="709" t="n">
        <f aca="false">ATAN(A305/Zero1)</f>
        <v>0.256754340410198</v>
      </c>
      <c r="G305" s="708" t="n">
        <f aca="false">IF(VIN_nom&gt;Vout, 1, SQRT(1+(A305/z_RHP)^2))</f>
        <v>1.0468449391474</v>
      </c>
      <c r="H305" s="709" t="n">
        <f aca="false">IF(VIN_nom&gt;Vout, 0, -ATAN(A305/z_RHP))</f>
        <v>-0.300288098709822</v>
      </c>
      <c r="I305" s="707" t="n">
        <f aca="false">SQRT(1+(A305/Pole2)^2)</f>
        <v>86668.0451784791</v>
      </c>
      <c r="J305" s="710" t="n">
        <f aca="false">ATAN(A305/Pole2)</f>
        <v>1.57078478851688</v>
      </c>
      <c r="K305" s="719" t="n">
        <f aca="false">SQRT(1+(A305/Zero2)^2)</f>
        <v>26.8341000775176</v>
      </c>
      <c r="L305" s="720" t="n">
        <f aca="false">ATAN(A305/Zero2)</f>
        <v>1.53352167993877</v>
      </c>
      <c r="M305" s="707" t="n">
        <f aca="false">SQRT(1+(A305/pole4)^2)</f>
        <v>1.30157202589557</v>
      </c>
      <c r="N305" s="710" t="n">
        <f aca="false">ATAN(A305/pole4)</f>
        <v>0.694612646243567</v>
      </c>
      <c r="O305" s="711" t="n">
        <f aca="false">SQRT((1-(V305/pterm2))^2+(A305/pterm1)^2)</f>
        <v>1.02280020460533</v>
      </c>
      <c r="P305" s="712" t="n">
        <f aca="false">IF((ATAN((A305/pterm1)/(1-A305^2/pterm2))&gt;0),ATAN((A305/pterm1)/(1-A305^2/pterm2)),PI()+ATAN((A305/pterm1)/(1-A305^2/pterm2)))</f>
        <v>0.28826077312093</v>
      </c>
      <c r="Q305" s="713" t="n">
        <f aca="false">20*LOG10(((E305*K305*G305)/(C305*I305*O305*M305))*Adc)</f>
        <v>-13.8722982162572</v>
      </c>
      <c r="R305" s="714" t="n">
        <f aca="false">((F305+L305+H305)-(D305+J305+P305+N305))*radconv</f>
        <v>-149.338391448139</v>
      </c>
      <c r="S305" s="717" t="n">
        <f aca="false">IF(R305&gt;0,R305,R305+180)</f>
        <v>30.6616085518614</v>
      </c>
      <c r="U305" s="644" t="n">
        <f aca="false">IF(Q305&lt;0,A305,1000000000)</f>
        <v>20893</v>
      </c>
      <c r="V305" s="644" t="n">
        <f aca="false">A305^2</f>
        <v>436517449</v>
      </c>
      <c r="X305" s="716" t="n">
        <f aca="false">20*LOG10((K305/(I305*M305))*AEA)</f>
        <v>15.6238708956727</v>
      </c>
      <c r="Y305" s="717" t="n">
        <f aca="false">(L305-(J305+N305))*radconv</f>
        <v>-41.9333919271495</v>
      </c>
      <c r="AA305" s="716" t="n">
        <f aca="false">20*LOG10((E305*G305/(C305*O305))*Acs*Am)</f>
        <v>21.9844562426245</v>
      </c>
      <c r="AB305" s="717" t="n">
        <f aca="false">(F305+H305-(D305+P305))*radconv</f>
        <v>-107.404999520989</v>
      </c>
      <c r="AD305" s="0" t="n">
        <f aca="false">SUM((Q306&lt;0)*(Q305&gt;0))*A305</f>
        <v>0</v>
      </c>
      <c r="AE305" s="0" t="n">
        <f aca="false">IF(AD305&gt;0,S305,0)</f>
        <v>0</v>
      </c>
    </row>
    <row r="306" customFormat="false" ht="12.75" hidden="false" customHeight="false" outlineLevel="0" collapsed="false">
      <c r="A306" s="718" t="n">
        <v>21014.75</v>
      </c>
      <c r="B306" s="706" t="n">
        <f aca="false">A306/1000</f>
        <v>21.01475</v>
      </c>
      <c r="C306" s="707" t="n">
        <f aca="false">SQRT(1+(A306/pole1)^2)</f>
        <v>35.9013166892948</v>
      </c>
      <c r="D306" s="708" t="n">
        <f aca="false">ATAN(A306/pole1)</f>
        <v>1.54293859214419</v>
      </c>
      <c r="E306" s="708" t="n">
        <f aca="false">SQRT(1+(A306/Zero1)^2)</f>
        <v>1.03428129170436</v>
      </c>
      <c r="F306" s="709" t="n">
        <f aca="false">ATAN(A306/Zero1)</f>
        <v>0.258185095364698</v>
      </c>
      <c r="G306" s="708" t="n">
        <f aca="false">IF(VIN_nom&gt;Vout, 1, SQRT(1+(A306/z_RHP)^2))</f>
        <v>1.04738010202486</v>
      </c>
      <c r="H306" s="709" t="n">
        <f aca="false">IF(VIN_nom&gt;Vout, 0, -ATAN(A306/z_RHP))</f>
        <v>-0.301933817001214</v>
      </c>
      <c r="I306" s="707" t="n">
        <f aca="false">SQRT(1+(A306/Pole2)^2)</f>
        <v>87173.0867952444</v>
      </c>
      <c r="J306" s="710" t="n">
        <f aca="false">ATAN(A306/Pole2)</f>
        <v>1.57078485536447</v>
      </c>
      <c r="K306" s="719" t="n">
        <f aca="false">SQRT(1+(A306/Zero2)^2)</f>
        <v>26.9902541804191</v>
      </c>
      <c r="L306" s="720" t="n">
        <f aca="false">ATAN(A306/Zero2)</f>
        <v>1.53373743421907</v>
      </c>
      <c r="M306" s="707" t="n">
        <f aca="false">SQRT(1+(A306/pole4)^2)</f>
        <v>1.30468488959509</v>
      </c>
      <c r="N306" s="710" t="n">
        <f aca="false">ATAN(A306/pole4)</f>
        <v>0.697471571034746</v>
      </c>
      <c r="O306" s="711" t="n">
        <f aca="false">SQRT((1-(V306/pterm2))^2+(A306/pterm1)^2)</f>
        <v>1.02306587749843</v>
      </c>
      <c r="P306" s="712" t="n">
        <f aca="false">IF((ATAN((A306/pterm1)/(1-A306^2/pterm2))&gt;0),ATAN((A306/pterm1)/(1-A306^2/pterm2)),PI()+ATAN((A306/pterm1)/(1-A306^2/pterm2)))</f>
        <v>0.289911640248661</v>
      </c>
      <c r="Q306" s="713" t="n">
        <f aca="false">20*LOG10(((E306*K306*G306)/(C306*I306*O306*M306))*Adc)</f>
        <v>-13.9380898640007</v>
      </c>
      <c r="R306" s="714" t="n">
        <f aca="false">((F306+L306+H306)-(D306+J306+P306+N306))*radconv</f>
        <v>-149.606038299622</v>
      </c>
      <c r="S306" s="717" t="n">
        <f aca="false">IF(R306&gt;0,R306,R306+180)</f>
        <v>30.3939617003777</v>
      </c>
      <c r="U306" s="644" t="n">
        <f aca="false">IF(Q306&lt;0,A306,1000000000)</f>
        <v>21014.75</v>
      </c>
      <c r="V306" s="644" t="n">
        <f aca="false">A306^2</f>
        <v>441619717.5625</v>
      </c>
      <c r="X306" s="716" t="n">
        <f aca="false">20*LOG10((K306/(I306*M306))*AEA)</f>
        <v>15.603052679706</v>
      </c>
      <c r="Y306" s="717" t="n">
        <f aca="false">(L306-(J306+N306))*radconv</f>
        <v>-42.0848382722141</v>
      </c>
      <c r="AA306" s="716" t="n">
        <f aca="false">20*LOG10((E306*G306/(C306*O306))*Acs*Am)</f>
        <v>21.9394828108477</v>
      </c>
      <c r="AB306" s="717" t="n">
        <f aca="false">(F306+H306-(D306+P306))*radconv</f>
        <v>-107.521200027408</v>
      </c>
      <c r="AD306" s="0" t="n">
        <f aca="false">SUM((Q307&lt;0)*(Q306&gt;0))*A306</f>
        <v>0</v>
      </c>
      <c r="AE306" s="0" t="n">
        <f aca="false">IF(AD306&gt;0,S306,0)</f>
        <v>0</v>
      </c>
    </row>
    <row r="307" customFormat="false" ht="12.75" hidden="false" customHeight="false" outlineLevel="0" collapsed="false">
      <c r="A307" s="718" t="n">
        <v>21136.5</v>
      </c>
      <c r="B307" s="706" t="n">
        <f aca="false">A307/1000</f>
        <v>21.1365</v>
      </c>
      <c r="C307" s="707" t="n">
        <f aca="false">SQRT(1+(A307/pole1)^2)</f>
        <v>36.1091518444091</v>
      </c>
      <c r="D307" s="708" t="n">
        <f aca="false">ATAN(A307/pole1)</f>
        <v>1.54309897535983</v>
      </c>
      <c r="E307" s="708" t="n">
        <f aca="false">SQRT(1+(A307/Zero1)^2)</f>
        <v>1.03467298691536</v>
      </c>
      <c r="F307" s="709" t="n">
        <f aca="false">ATAN(A307/Zero1)</f>
        <v>0.259614769964783</v>
      </c>
      <c r="G307" s="708" t="n">
        <f aca="false">IF(VIN_nom&gt;Vout, 1, SQRT(1+(A307/z_RHP)^2))</f>
        <v>1.0479180987129</v>
      </c>
      <c r="H307" s="709" t="n">
        <f aca="false">IF(VIN_nom&gt;Vout, 0, -ATAN(A307/z_RHP))</f>
        <v>-0.303577849931964</v>
      </c>
      <c r="I307" s="707" t="n">
        <f aca="false">SQRT(1+(A307/Pole2)^2)</f>
        <v>87678.1284120102</v>
      </c>
      <c r="J307" s="710" t="n">
        <f aca="false">ATAN(A307/Pole2)</f>
        <v>1.57078492144195</v>
      </c>
      <c r="K307" s="719" t="n">
        <f aca="false">SQRT(1+(A307/Zero2)^2)</f>
        <v>27.1464095252601</v>
      </c>
      <c r="L307" s="720" t="n">
        <f aca="false">ATAN(A307/Zero2)</f>
        <v>1.53395070632576</v>
      </c>
      <c r="M307" s="707" t="n">
        <f aca="false">SQRT(1+(A307/pole4)^2)</f>
        <v>1.30780836625773</v>
      </c>
      <c r="N307" s="710" t="n">
        <f aca="false">ATAN(A307/pole4)</f>
        <v>0.700316862883395</v>
      </c>
      <c r="O307" s="711" t="n">
        <f aca="false">SQRT((1-(V307/pterm2))^2+(A307/pterm1)^2)</f>
        <v>1.02333307516706</v>
      </c>
      <c r="P307" s="712" t="n">
        <f aca="false">IF((ATAN((A307/pterm1)/(1-A307^2/pterm2))&gt;0),ATAN((A307/pterm1)/(1-A307^2/pterm2)),PI()+ATAN((A307/pterm1)/(1-A307^2/pterm2)))</f>
        <v>0.29156201580809</v>
      </c>
      <c r="Q307" s="713" t="n">
        <f aca="false">20*LOG10(((E307*K307*G307)/(C307*I307*O307*M307))*Adc)</f>
        <v>-14.0035850906658</v>
      </c>
      <c r="R307" s="714" t="n">
        <f aca="false">((F307+L307+H307)-(D307+J307+P307+N307))*radconv</f>
        <v>-149.872876371875</v>
      </c>
      <c r="S307" s="717" t="n">
        <f aca="false">IF(R307&gt;0,R307,R307+180)</f>
        <v>30.1271236281245</v>
      </c>
      <c r="U307" s="644" t="n">
        <f aca="false">IF(Q307&lt;0,A307,1000000000)</f>
        <v>21136.5</v>
      </c>
      <c r="V307" s="644" t="n">
        <f aca="false">A307^2</f>
        <v>446751632.25</v>
      </c>
      <c r="X307" s="716" t="n">
        <f aca="false">20*LOG10((K307/(I307*M307))*AEA)</f>
        <v>15.5822146216497</v>
      </c>
      <c r="Y307" s="717" t="n">
        <f aca="false">(L307-(J307+N307))*radconv</f>
        <v>-42.2356456811563</v>
      </c>
      <c r="AA307" s="716" t="n">
        <f aca="false">20*LOG10((E307*G307/(C307*O307))*Acs*Am)</f>
        <v>21.8948256422389</v>
      </c>
      <c r="AB307" s="717" t="n">
        <f aca="false">(F307+H307-(D307+P307))*radconv</f>
        <v>-107.637230690719</v>
      </c>
      <c r="AD307" s="0" t="n">
        <f aca="false">SUM((Q308&lt;0)*(Q307&gt;0))*A307</f>
        <v>0</v>
      </c>
      <c r="AE307" s="0" t="n">
        <f aca="false">IF(AD307&gt;0,S307,0)</f>
        <v>0</v>
      </c>
    </row>
    <row r="308" customFormat="false" ht="12.75" hidden="false" customHeight="false" outlineLevel="0" collapsed="false">
      <c r="A308" s="718" t="n">
        <v>21258.25</v>
      </c>
      <c r="B308" s="706" t="n">
        <f aca="false">A308/1000</f>
        <v>21.25825</v>
      </c>
      <c r="C308" s="707" t="n">
        <f aca="false">SQRT(1+(A308/pole1)^2)</f>
        <v>36.31698791772</v>
      </c>
      <c r="D308" s="708" t="n">
        <f aca="false">ATAN(A308/pole1)</f>
        <v>1.54325752288664</v>
      </c>
      <c r="E308" s="708" t="n">
        <f aca="false">SQRT(1+(A308/Zero1)^2)</f>
        <v>1.03506679536321</v>
      </c>
      <c r="F308" s="709" t="n">
        <f aca="false">ATAN(A308/Zero1)</f>
        <v>0.261043359595861</v>
      </c>
      <c r="G308" s="708" t="n">
        <f aca="false">IF(VIN_nom&gt;Vout, 1, SQRT(1+(A308/z_RHP)^2))</f>
        <v>1.04845892484917</v>
      </c>
      <c r="H308" s="709" t="n">
        <f aca="false">IF(VIN_nom&gt;Vout, 0, -ATAN(A308/z_RHP))</f>
        <v>-0.30522019121624</v>
      </c>
      <c r="I308" s="707" t="n">
        <f aca="false">SQRT(1+(A308/Pole2)^2)</f>
        <v>88183.1700287763</v>
      </c>
      <c r="J308" s="710" t="n">
        <f aca="false">ATAN(A308/Pole2)</f>
        <v>1.57078498676256</v>
      </c>
      <c r="K308" s="719" t="n">
        <f aca="false">SQRT(1+(A308/Zero2)^2)</f>
        <v>27.3025660907312</v>
      </c>
      <c r="L308" s="720" t="n">
        <f aca="false">ATAN(A308/Zero2)</f>
        <v>1.53416153882954</v>
      </c>
      <c r="M308" s="707" t="n">
        <f aca="false">SQRT(1+(A308/pole4)^2)</f>
        <v>1.31094238002353</v>
      </c>
      <c r="N308" s="710" t="n">
        <f aca="false">ATAN(A308/pole4)</f>
        <v>0.703148573330999</v>
      </c>
      <c r="O308" s="711" t="n">
        <f aca="false">SQRT((1-(V308/pterm2))^2+(A308/pterm1)^2)</f>
        <v>1.02360179729794</v>
      </c>
      <c r="P308" s="712" t="n">
        <f aca="false">IF((ATAN((A308/pterm1)/(1-A308^2/pterm2))&gt;0),ATAN((A308/pterm1)/(1-A308^2/pterm2)),PI()+ATAN((A308/pterm1)/(1-A308^2/pterm2)))</f>
        <v>0.293211897303064</v>
      </c>
      <c r="Q308" s="713" t="n">
        <f aca="false">20*LOG10(((E308*K308*G308)/(C308*I308*O308*M308))*Adc)</f>
        <v>-14.0687865827926</v>
      </c>
      <c r="R308" s="714" t="n">
        <f aca="false">((F308+L308+H308)-(D308+J308+P308+N308))*radconv</f>
        <v>-150.138907777665</v>
      </c>
      <c r="S308" s="717" t="n">
        <f aca="false">IF(R308&gt;0,R308,R308+180)</f>
        <v>29.8610922223353</v>
      </c>
      <c r="U308" s="644" t="n">
        <f aca="false">IF(Q308&lt;0,A308,1000000000)</f>
        <v>21258.25</v>
      </c>
      <c r="V308" s="644" t="n">
        <f aca="false">A308^2</f>
        <v>451913193.0625</v>
      </c>
      <c r="X308" s="716" t="n">
        <f aca="false">20*LOG10((K308/(I308*M308))*AEA)</f>
        <v>15.5613574654898</v>
      </c>
      <c r="Y308" s="717" t="n">
        <f aca="false">(L308-(J308+N308))*radconv</f>
        <v>-42.3858146687234</v>
      </c>
      <c r="AA308" s="716" t="n">
        <f aca="false">20*LOG10((E308*G308/(C308*O308))*Acs*Am)</f>
        <v>21.850481306272</v>
      </c>
      <c r="AB308" s="717" t="n">
        <f aca="false">(F308+H308-(D308+P308))*radconv</f>
        <v>-107.753093108941</v>
      </c>
      <c r="AD308" s="0" t="n">
        <f aca="false">SUM((Q309&lt;0)*(Q308&gt;0))*A308</f>
        <v>0</v>
      </c>
      <c r="AE308" s="0" t="n">
        <f aca="false">IF(AD308&gt;0,S308,0)</f>
        <v>0</v>
      </c>
    </row>
    <row r="309" customFormat="false" ht="12.75" hidden="false" customHeight="false" outlineLevel="0" collapsed="false">
      <c r="A309" s="718" t="n">
        <v>21380</v>
      </c>
      <c r="B309" s="706" t="n">
        <f aca="false">A309/1000</f>
        <v>21.38</v>
      </c>
      <c r="C309" s="707" t="n">
        <f aca="false">SQRT(1+(A309/pole1)^2)</f>
        <v>36.5248248935531</v>
      </c>
      <c r="D309" s="708" t="n">
        <f aca="false">ATAN(A309/pole1)</f>
        <v>1.54341426605342</v>
      </c>
      <c r="E309" s="708" t="n">
        <f aca="false">SQRT(1+(A309/Zero1)^2)</f>
        <v>1.03546271463679</v>
      </c>
      <c r="F309" s="709" t="n">
        <f aca="false">ATAN(A309/Zero1)</f>
        <v>0.262470859668054</v>
      </c>
      <c r="G309" s="708" t="n">
        <f aca="false">IF(VIN_nom&gt;Vout, 1, SQRT(1+(A309/z_RHP)^2))</f>
        <v>1.04900257605739</v>
      </c>
      <c r="H309" s="709" t="n">
        <f aca="false">IF(VIN_nom&gt;Vout, 0, -ATAN(A309/z_RHP))</f>
        <v>-0.306860834617636</v>
      </c>
      <c r="I309" s="707" t="n">
        <f aca="false">SQRT(1+(A309/Pole2)^2)</f>
        <v>88688.2116455429</v>
      </c>
      <c r="J309" s="710" t="n">
        <f aca="false">ATAN(A309/Pole2)</f>
        <v>1.57078505133921</v>
      </c>
      <c r="K309" s="719" t="n">
        <f aca="false">SQRT(1+(A309/Zero2)^2)</f>
        <v>27.4587238560072</v>
      </c>
      <c r="L309" s="720" t="n">
        <f aca="false">ATAN(A309/Zero2)</f>
        <v>1.53436997333354</v>
      </c>
      <c r="M309" s="707" t="n">
        <f aca="false">SQRT(1+(A309/pole4)^2)</f>
        <v>1.31408685550154</v>
      </c>
      <c r="N309" s="710" t="n">
        <f aca="false">ATAN(A309/pole4)</f>
        <v>0.70596675429941</v>
      </c>
      <c r="O309" s="711" t="n">
        <f aca="false">SQRT((1-(V309/pterm2))^2+(A309/pterm1)^2)</f>
        <v>1.02387204357639</v>
      </c>
      <c r="P309" s="712" t="n">
        <f aca="false">IF((ATAN((A309/pterm1)/(1-A309^2/pterm2))&gt;0),ATAN((A309/pterm1)/(1-A309^2/pterm2)),PI()+ATAN((A309/pterm1)/(1-A309^2/pterm2)))</f>
        <v>0.294861282243116</v>
      </c>
      <c r="Q309" s="713" t="n">
        <f aca="false">20*LOG10(((E309*K309*G309)/(C309*I309*O309*M309))*Adc)</f>
        <v>-14.1336969787638</v>
      </c>
      <c r="R309" s="714" t="n">
        <f aca="false">((F309+L309+H309)-(D309+J309+P309+N309))*radconv</f>
        <v>-150.404134666923</v>
      </c>
      <c r="S309" s="717" t="n">
        <f aca="false">IF(R309&gt;0,R309,R309+180)</f>
        <v>29.5958653330768</v>
      </c>
      <c r="U309" s="644" t="n">
        <f aca="false">IF(Q309&lt;0,A309,1000000000)</f>
        <v>21380</v>
      </c>
      <c r="V309" s="644" t="n">
        <f aca="false">A309^2</f>
        <v>457104400</v>
      </c>
      <c r="X309" s="716" t="n">
        <f aca="false">20*LOG10((K309/(I309*M309))*AEA)</f>
        <v>15.5404819466594</v>
      </c>
      <c r="Y309" s="717" t="n">
        <f aca="false">(L309-(J309+N309))*radconv</f>
        <v>-42.5353458268736</v>
      </c>
      <c r="AA309" s="716" t="n">
        <f aca="false">20*LOG10((E309*G309/(C309*O309))*Acs*Am)</f>
        <v>21.8064464291311</v>
      </c>
      <c r="AB309" s="717" t="n">
        <f aca="false">(F309+H309-(D309+P309))*radconv</f>
        <v>-107.86878884005</v>
      </c>
      <c r="AD309" s="0" t="n">
        <f aca="false">SUM((Q310&lt;0)*(Q309&gt;0))*A309</f>
        <v>0</v>
      </c>
      <c r="AE309" s="0" t="n">
        <f aca="false">IF(AD309&gt;0,S309,0)</f>
        <v>0</v>
      </c>
    </row>
    <row r="310" customFormat="false" ht="12.75" hidden="false" customHeight="false" outlineLevel="0" collapsed="false">
      <c r="A310" s="718" t="n">
        <v>21504.5</v>
      </c>
      <c r="B310" s="706" t="n">
        <f aca="false">A310/1000</f>
        <v>21.5045</v>
      </c>
      <c r="C310" s="707" t="n">
        <f aca="false">SQRT(1+(A310/pole1)^2)</f>
        <v>36.7373572564371</v>
      </c>
      <c r="D310" s="708" t="n">
        <f aca="false">ATAN(A310/pole1)</f>
        <v>1.54357271556629</v>
      </c>
      <c r="E310" s="708" t="n">
        <f aca="false">SQRT(1+(A310/Zero1)^2)</f>
        <v>1.03586975700449</v>
      </c>
      <c r="F310" s="709" t="n">
        <f aca="false">ATAN(A310/Zero1)</f>
        <v>0.263929471559954</v>
      </c>
      <c r="G310" s="708" t="n">
        <f aca="false">IF(VIN_nom&gt;Vout, 1, SQRT(1+(A310/z_RHP)^2))</f>
        <v>1.04956142379615</v>
      </c>
      <c r="H310" s="709" t="n">
        <f aca="false">IF(VIN_nom&gt;Vout, 0, -ATAN(A310/z_RHP))</f>
        <v>-0.308536773385029</v>
      </c>
      <c r="I310" s="707" t="n">
        <f aca="false">SQRT(1+(A310/Pole2)^2)</f>
        <v>89204.6607731608</v>
      </c>
      <c r="J310" s="710" t="n">
        <f aca="false">ATAN(A310/Pole2)</f>
        <v>1.57078511661831</v>
      </c>
      <c r="K310" s="719" t="n">
        <f aca="false">SQRT(1+(A310/Zero2)^2)</f>
        <v>27.6184100182898</v>
      </c>
      <c r="L310" s="720" t="n">
        <f aca="false">ATAN(A310/Zero2)</f>
        <v>1.53458067830812</v>
      </c>
      <c r="M310" s="707" t="n">
        <f aca="false">SQRT(1+(A310/pole4)^2)</f>
        <v>1.31731309686652</v>
      </c>
      <c r="N310" s="710" t="n">
        <f aca="false">ATAN(A310/pole4)</f>
        <v>0.708834653438555</v>
      </c>
      <c r="O310" s="711" t="n">
        <f aca="false">SQRT((1-(V310/pterm2))^2+(A310/pterm1)^2)</f>
        <v>1.02414996982679</v>
      </c>
      <c r="P310" s="712" t="n">
        <f aca="false">IF((ATAN((A310/pterm1)/(1-A310^2/pterm2))&gt;0),ATAN((A310/pterm1)/(1-A310^2/pterm2)),PI()+ATAN((A310/pterm1)/(1-A310^2/pterm2)))</f>
        <v>0.296547406190276</v>
      </c>
      <c r="Q310" s="713" t="n">
        <f aca="false">20*LOG10(((E310*K310*G310)/(C310*I310*O310*M310))*Adc)</f>
        <v>-14.19977519015</v>
      </c>
      <c r="R310" s="714" t="n">
        <f aca="false">((F310+L310+H310)-(D310+J310+P310+N310))*radconv</f>
        <v>-150.674522605427</v>
      </c>
      <c r="S310" s="717" t="n">
        <f aca="false">IF(R310&gt;0,R310,R310+180)</f>
        <v>29.3254773945731</v>
      </c>
      <c r="U310" s="644" t="n">
        <f aca="false">IF(Q310&lt;0,A310,1000000000)</f>
        <v>21504.5</v>
      </c>
      <c r="V310" s="644" t="n">
        <f aca="false">A310^2</f>
        <v>462443520.25</v>
      </c>
      <c r="X310" s="716" t="n">
        <f aca="false">20*LOG10((K310/(I310*M310))*AEA)</f>
        <v>15.5191166747013</v>
      </c>
      <c r="Y310" s="717" t="n">
        <f aca="false">(L310-(J310+N310))*radconv</f>
        <v>-42.6875955782405</v>
      </c>
      <c r="AA310" s="716" t="n">
        <f aca="false">20*LOG10((E310*G310/(C310*O310))*Acs*Am)</f>
        <v>21.7617334897031</v>
      </c>
      <c r="AB310" s="717" t="n">
        <f aca="false">(F310+H310-(D310+P310))*radconv</f>
        <v>-107.986927027186</v>
      </c>
      <c r="AD310" s="0" t="n">
        <f aca="false">SUM((Q311&lt;0)*(Q310&gt;0))*A310</f>
        <v>0</v>
      </c>
      <c r="AE310" s="0" t="n">
        <f aca="false">IF(AD310&gt;0,S310,0)</f>
        <v>0</v>
      </c>
    </row>
    <row r="311" customFormat="false" ht="12.75" hidden="false" customHeight="false" outlineLevel="0" collapsed="false">
      <c r="A311" s="718" t="n">
        <v>21629</v>
      </c>
      <c r="B311" s="706" t="n">
        <f aca="false">A311/1000</f>
        <v>21.629</v>
      </c>
      <c r="C311" s="707" t="n">
        <f aca="false">SQRT(1+(A311/pole1)^2)</f>
        <v>36.949890531048</v>
      </c>
      <c r="D311" s="708" t="n">
        <f aca="false">ATAN(A311/pole1)</f>
        <v>1.54372934230126</v>
      </c>
      <c r="E311" s="708" t="n">
        <f aca="false">SQRT(1+(A311/Zero1)^2)</f>
        <v>1.03627900150144</v>
      </c>
      <c r="F311" s="709" t="n">
        <f aca="false">ATAN(A311/Zero1)</f>
        <v>0.265386934488524</v>
      </c>
      <c r="G311" s="708" t="n">
        <f aca="false">IF(VIN_nom&gt;Vout, 1, SQRT(1+(A311/z_RHP)^2))</f>
        <v>1.05012321636984</v>
      </c>
      <c r="H311" s="709" t="n">
        <f aca="false">IF(VIN_nom&gt;Vout, 0, -ATAN(A311/z_RHP))</f>
        <v>-0.310210923670583</v>
      </c>
      <c r="I311" s="707" t="n">
        <f aca="false">SQRT(1+(A311/Pole2)^2)</f>
        <v>89721.109900779</v>
      </c>
      <c r="J311" s="710" t="n">
        <f aca="false">ATAN(A311/Pole2)</f>
        <v>1.57078518114588</v>
      </c>
      <c r="K311" s="719" t="n">
        <f aca="false">SQRT(1+(A311/Zero2)^2)</f>
        <v>27.7780973926379</v>
      </c>
      <c r="L311" s="720" t="n">
        <f aca="false">ATAN(A311/Zero2)</f>
        <v>1.53478896074119</v>
      </c>
      <c r="M311" s="707" t="n">
        <f aca="false">SQRT(1+(A311/pole4)^2)</f>
        <v>1.32055011993574</v>
      </c>
      <c r="N311" s="710" t="n">
        <f aca="false">ATAN(A311/pole4)</f>
        <v>0.711688515972292</v>
      </c>
      <c r="O311" s="711" t="n">
        <f aca="false">SQRT((1-(V311/pterm2))^2+(A311/pterm1)^2)</f>
        <v>1.02442948918506</v>
      </c>
      <c r="P311" s="712" t="n">
        <f aca="false">IF((ATAN((A311/pterm1)/(1-A311^2/pterm2))&gt;0),ATAN((A311/pterm1)/(1-A311^2/pterm2)),PI()+ATAN((A311/pterm1)/(1-A311^2/pterm2)))</f>
        <v>0.298233005648527</v>
      </c>
      <c r="Q311" s="713" t="n">
        <f aca="false">20*LOG10(((E311*K311*G311)/(C311*I311*O311*M311))*Adc)</f>
        <v>-14.2655544381256</v>
      </c>
      <c r="R311" s="714" t="n">
        <f aca="false">((F311+L311+H311)-(D311+J311+P311+N311))*radconv</f>
        <v>-150.944073933834</v>
      </c>
      <c r="S311" s="717" t="n">
        <f aca="false">IF(R311&gt;0,R311,R311+180)</f>
        <v>29.0559260661664</v>
      </c>
      <c r="U311" s="644" t="n">
        <f aca="false">IF(Q311&lt;0,A311,1000000000)</f>
        <v>21629</v>
      </c>
      <c r="V311" s="644" t="n">
        <f aca="false">A311^2</f>
        <v>467813641</v>
      </c>
      <c r="X311" s="716" t="n">
        <f aca="false">20*LOG10((K311/(I311*M311))*AEA)</f>
        <v>15.4977337293549</v>
      </c>
      <c r="Y311" s="717" t="n">
        <f aca="false">(L311-(J311+N311))*radconv</f>
        <v>-42.8391798497035</v>
      </c>
      <c r="AA311" s="716" t="n">
        <f aca="false">20*LOG10((E311*G311/(C311*O311))*Acs*Am)</f>
        <v>21.7173371870738</v>
      </c>
      <c r="AB311" s="717" t="n">
        <f aca="false">(F311+H311-(D311+P311))*radconv</f>
        <v>-108.10489408413</v>
      </c>
      <c r="AD311" s="0" t="n">
        <f aca="false">SUM((Q312&lt;0)*(Q311&gt;0))*A311</f>
        <v>0</v>
      </c>
      <c r="AE311" s="0" t="n">
        <f aca="false">IF(AD311&gt;0,S311,0)</f>
        <v>0</v>
      </c>
    </row>
    <row r="312" customFormat="false" ht="12.75" hidden="false" customHeight="false" outlineLevel="0" collapsed="false">
      <c r="A312" s="718" t="n">
        <v>21753.5</v>
      </c>
      <c r="B312" s="706" t="n">
        <f aca="false">A312/1000</f>
        <v>21.7535</v>
      </c>
      <c r="C312" s="707" t="n">
        <f aca="false">SQRT(1+(A312/pole1)^2)</f>
        <v>37.162424701743</v>
      </c>
      <c r="D312" s="708" t="n">
        <f aca="false">ATAN(A312/pole1)</f>
        <v>1.54388417752431</v>
      </c>
      <c r="E312" s="708" t="n">
        <f aca="false">SQRT(1+(A312/Zero1)^2)</f>
        <v>1.0366904455197</v>
      </c>
      <c r="F312" s="709" t="n">
        <f aca="false">ATAN(A312/Zero1)</f>
        <v>0.266843243626261</v>
      </c>
      <c r="G312" s="708" t="n">
        <f aca="false">IF(VIN_nom&gt;Vout, 1, SQRT(1+(A312/z_RHP)^2))</f>
        <v>1.05068794905473</v>
      </c>
      <c r="H312" s="709" t="n">
        <f aca="false">IF(VIN_nom&gt;Vout, 0, -ATAN(A312/z_RHP))</f>
        <v>-0.311883278966157</v>
      </c>
      <c r="I312" s="707" t="n">
        <f aca="false">SQRT(1+(A312/Pole2)^2)</f>
        <v>90237.5590283977</v>
      </c>
      <c r="J312" s="710" t="n">
        <f aca="false">ATAN(A312/Pole2)</f>
        <v>1.57078524493485</v>
      </c>
      <c r="K312" s="719" t="n">
        <f aca="false">SQRT(1+(A312/Zero2)^2)</f>
        <v>27.9377859582678</v>
      </c>
      <c r="L312" s="720" t="n">
        <f aca="false">ATAN(A312/Zero2)</f>
        <v>1.53499486215528</v>
      </c>
      <c r="M312" s="707" t="n">
        <f aca="false">SQRT(1+(A312/pole4)^2)</f>
        <v>1.32379784561716</v>
      </c>
      <c r="N312" s="710" t="n">
        <f aca="false">ATAN(A312/pole4)</f>
        <v>0.714528398553248</v>
      </c>
      <c r="O312" s="711" t="n">
        <f aca="false">SQRT((1-(V312/pterm2))^2+(A312/pterm1)^2)</f>
        <v>1.02471060131024</v>
      </c>
      <c r="P312" s="712" t="n">
        <f aca="false">IF((ATAN((A312/pterm1)/(1-A312^2/pterm2))&gt;0),ATAN((A312/pterm1)/(1-A312^2/pterm2)),PI()+ATAN((A312/pterm1)/(1-A312^2/pterm2)))</f>
        <v>0.299918077973393</v>
      </c>
      <c r="Q312" s="713" t="n">
        <f aca="false">20*LOG10(((E312*K312*G312)/(C312*I312*O312*M312))*Adc)</f>
        <v>-14.3310373957626</v>
      </c>
      <c r="R312" s="714" t="n">
        <f aca="false">((F312+L312+H312)-(D312+J312+P312+N312))*radconv</f>
        <v>-151.212791063372</v>
      </c>
      <c r="S312" s="717" t="n">
        <f aca="false">IF(R312&gt;0,R312,R312+180)</f>
        <v>28.787208936628</v>
      </c>
      <c r="U312" s="644" t="n">
        <f aca="false">IF(Q312&lt;0,A312,1000000000)</f>
        <v>21753.5</v>
      </c>
      <c r="V312" s="644" t="n">
        <f aca="false">A312^2</f>
        <v>473214762.25</v>
      </c>
      <c r="X312" s="716" t="n">
        <f aca="false">20*LOG10((K312/(I312*M312))*AEA)</f>
        <v>15.4763338694567</v>
      </c>
      <c r="Y312" s="717" t="n">
        <f aca="false">(L312-(J312+N312))*radconv</f>
        <v>-42.9900995088931</v>
      </c>
      <c r="AA312" s="716" t="n">
        <f aca="false">20*LOG10((E312*G312/(C312*O312))*Acs*Am)</f>
        <v>21.6732540893351</v>
      </c>
      <c r="AB312" s="717" t="n">
        <f aca="false">(F312+H312-(D312+P312))*radconv</f>
        <v>-108.222691554479</v>
      </c>
      <c r="AD312" s="0" t="n">
        <f aca="false">SUM((Q313&lt;0)*(Q312&gt;0))*A312</f>
        <v>0</v>
      </c>
      <c r="AE312" s="0" t="n">
        <f aca="false">IF(AD312&gt;0,S312,0)</f>
        <v>0</v>
      </c>
    </row>
    <row r="313" customFormat="false" ht="12.75" hidden="false" customHeight="false" outlineLevel="0" collapsed="false">
      <c r="A313" s="718" t="n">
        <v>21878</v>
      </c>
      <c r="B313" s="706" t="n">
        <f aca="false">A313/1000</f>
        <v>21.878</v>
      </c>
      <c r="C313" s="707" t="n">
        <f aca="false">SQRT(1+(A313/pole1)^2)</f>
        <v>37.3749597532354</v>
      </c>
      <c r="D313" s="708" t="n">
        <f aca="false">ATAN(A313/pole1)</f>
        <v>1.5440372517906</v>
      </c>
      <c r="E313" s="708" t="n">
        <f aca="false">SQRT(1+(A313/Zero1)^2)</f>
        <v>1.03710408644146</v>
      </c>
      <c r="F313" s="709" t="n">
        <f aca="false">ATAN(A313/Zero1)</f>
        <v>0.268298394172877</v>
      </c>
      <c r="G313" s="708" t="n">
        <f aca="false">IF(VIN_nom&gt;Vout, 1, SQRT(1+(A313/z_RHP)^2))</f>
        <v>1.05125561711257</v>
      </c>
      <c r="H313" s="709" t="n">
        <f aca="false">IF(VIN_nom&gt;Vout, 0, -ATAN(A313/z_RHP))</f>
        <v>-0.313553832817713</v>
      </c>
      <c r="I313" s="707" t="n">
        <f aca="false">SQRT(1+(A313/Pole2)^2)</f>
        <v>90754.0081560166</v>
      </c>
      <c r="J313" s="710" t="n">
        <f aca="false">ATAN(A313/Pole2)</f>
        <v>1.57078530799782</v>
      </c>
      <c r="K313" s="719" t="n">
        <f aca="false">SQRT(1+(A313/Zero2)^2)</f>
        <v>28.0974756948679</v>
      </c>
      <c r="L313" s="720" t="n">
        <f aca="false">ATAN(A313/Zero2)</f>
        <v>1.53519842312976</v>
      </c>
      <c r="M313" s="707" t="n">
        <f aca="false">SQRT(1+(A313/pole4)^2)</f>
        <v>1.32705619533277</v>
      </c>
      <c r="N313" s="710" t="n">
        <f aca="false">ATAN(A313/pole4)</f>
        <v>0.717354358182364</v>
      </c>
      <c r="O313" s="711" t="n">
        <f aca="false">SQRT((1-(V313/pterm2))^2+(A313/pterm1)^2)</f>
        <v>1.02499330585987</v>
      </c>
      <c r="P313" s="712" t="n">
        <f aca="false">IF((ATAN((A313/pterm1)/(1-A313^2/pterm2))&gt;0),ATAN((A313/pterm1)/(1-A313^2/pterm2)),PI()+ATAN((A313/pterm1)/(1-A313^2/pterm2)))</f>
        <v>0.301602620526715</v>
      </c>
      <c r="Q313" s="713" t="n">
        <f aca="false">20*LOG10(((E313*K313*G313)/(C313*I313*O313*M313))*Adc)</f>
        <v>-14.3962266887849</v>
      </c>
      <c r="R313" s="714" t="n">
        <f aca="false">((F313+L313+H313)-(D313+J313+P313+N313))*radconv</f>
        <v>-151.480676440423</v>
      </c>
      <c r="S313" s="717" t="n">
        <f aca="false">IF(R313&gt;0,R313,R313+180)</f>
        <v>28.5193235595767</v>
      </c>
      <c r="U313" s="644" t="n">
        <f aca="false">IF(Q313&lt;0,A313,1000000000)</f>
        <v>21878</v>
      </c>
      <c r="V313" s="644" t="n">
        <f aca="false">A313^2</f>
        <v>478646884</v>
      </c>
      <c r="X313" s="716" t="n">
        <f aca="false">20*LOG10((K313/(I313*M313))*AEA)</f>
        <v>15.4549178446218</v>
      </c>
      <c r="Y313" s="717" t="n">
        <f aca="false">(L313-(J313+N313))*radconv</f>
        <v>-43.1403554974181</v>
      </c>
      <c r="AA313" s="716" t="n">
        <f aca="false">20*LOG10((E313*G313/(C313*O313))*Acs*Am)</f>
        <v>21.6294808211476</v>
      </c>
      <c r="AB313" s="717" t="n">
        <f aca="false">(F313+H313-(D313+P313))*radconv</f>
        <v>-108.340320943005</v>
      </c>
      <c r="AD313" s="0" t="n">
        <f aca="false">SUM((Q314&lt;0)*(Q313&gt;0))*A313</f>
        <v>0</v>
      </c>
      <c r="AE313" s="0" t="n">
        <f aca="false">IF(AD313&gt;0,S313,0)</f>
        <v>0</v>
      </c>
    </row>
    <row r="314" customFormat="false" ht="12.75" hidden="false" customHeight="false" outlineLevel="0" collapsed="false">
      <c r="A314" s="718" t="n">
        <v>22005.25</v>
      </c>
      <c r="B314" s="706" t="n">
        <f aca="false">A314/1000</f>
        <v>22.00525</v>
      </c>
      <c r="C314" s="707" t="n">
        <f aca="false">SQRT(1+(A314/pole1)^2)</f>
        <v>37.5921902487016</v>
      </c>
      <c r="D314" s="708" t="n">
        <f aca="false">ATAN(A314/pole1)</f>
        <v>1.54419191856857</v>
      </c>
      <c r="E314" s="708" t="n">
        <f aca="false">SQRT(1+(A314/Zero1)^2)</f>
        <v>1.03752913150313</v>
      </c>
      <c r="F314" s="709" t="n">
        <f aca="false">ATAN(A314/Zero1)</f>
        <v>0.269784484369733</v>
      </c>
      <c r="G314" s="708" t="n">
        <f aca="false">IF(VIN_nom&gt;Vout, 1, SQRT(1+(A314/z_RHP)^2))</f>
        <v>1.05183885242093</v>
      </c>
      <c r="H314" s="709" t="n">
        <f aca="false">IF(VIN_nom&gt;Vout, 0, -ATAN(A314/z_RHP))</f>
        <v>-0.315259418221358</v>
      </c>
      <c r="I314" s="707" t="n">
        <f aca="false">SQRT(1+(A314/Pole2)^2)</f>
        <v>91281.864794487</v>
      </c>
      <c r="J314" s="710" t="n">
        <f aca="false">ATAN(A314/Pole2)</f>
        <v>1.57078537171634</v>
      </c>
      <c r="K314" s="719" t="n">
        <f aca="false">SQRT(1+(A314/Zero2)^2)</f>
        <v>28.2606939041959</v>
      </c>
      <c r="L314" s="720" t="n">
        <f aca="false">ATAN(A314/Zero2)</f>
        <v>1.53540410315903</v>
      </c>
      <c r="M314" s="707" t="n">
        <f aca="false">SQRT(1+(A314/pole4)^2)</f>
        <v>1.330397413995</v>
      </c>
      <c r="N314" s="710" t="n">
        <f aca="false">ATAN(A314/pole4)</f>
        <v>0.720228410640125</v>
      </c>
      <c r="O314" s="711" t="n">
        <f aca="false">SQRT((1-(V314/pterm2))^2+(A314/pterm1)^2)</f>
        <v>1.02528390010344</v>
      </c>
      <c r="P314" s="712" t="n">
        <f aca="false">IF((ATAN((A314/pterm1)/(1-A314^2/pterm2))&gt;0),ATAN((A314/pterm1)/(1-A314^2/pterm2)),PI()+ATAN((A314/pterm1)/(1-A314^2/pterm2)))</f>
        <v>0.303323821658187</v>
      </c>
      <c r="Q314" s="713" t="n">
        <f aca="false">20*LOG10(((E314*K314*G314)/(C314*I314*O314*M314))*Adc)</f>
        <v>-14.4625551249289</v>
      </c>
      <c r="R314" s="714" t="n">
        <f aca="false">((F314+L314+H314)-(D314+J314+P314+N314))*radconv</f>
        <v>-151.753622032967</v>
      </c>
      <c r="S314" s="717" t="n">
        <f aca="false">IF(R314&gt;0,R314,R314+180)</f>
        <v>28.2463779670334</v>
      </c>
      <c r="U314" s="644" t="n">
        <f aca="false">IF(Q314&lt;0,A314,1000000000)</f>
        <v>22005.25</v>
      </c>
      <c r="V314" s="644" t="n">
        <f aca="false">A314^2</f>
        <v>484231027.5625</v>
      </c>
      <c r="X314" s="716" t="n">
        <f aca="false">20*LOG10((K314/(I314*M314))*AEA)</f>
        <v>15.433012841323</v>
      </c>
      <c r="Y314" s="717" t="n">
        <f aca="false">(L314-(J314+N314))*radconv</f>
        <v>-43.2932456267163</v>
      </c>
      <c r="AA314" s="716" t="n">
        <f aca="false">20*LOG10((E314*G314/(C314*O314))*Acs*Am)</f>
        <v>21.5850573883025</v>
      </c>
      <c r="AB314" s="717" t="n">
        <f aca="false">(F314+H314-(D314+P314))*radconv</f>
        <v>-108.46037640625</v>
      </c>
      <c r="AD314" s="0" t="n">
        <f aca="false">SUM((Q315&lt;0)*(Q314&gt;0))*A314</f>
        <v>0</v>
      </c>
      <c r="AE314" s="0" t="n">
        <f aca="false">IF(AD314&gt;0,S314,0)</f>
        <v>0</v>
      </c>
    </row>
    <row r="315" customFormat="false" ht="12.75" hidden="false" customHeight="false" outlineLevel="0" collapsed="false">
      <c r="A315" s="718" t="n">
        <v>22132.5</v>
      </c>
      <c r="B315" s="706" t="n">
        <f aca="false">A315/1000</f>
        <v>22.1325</v>
      </c>
      <c r="C315" s="707" t="n">
        <f aca="false">SQRT(1+(A315/pole1)^2)</f>
        <v>37.8094216331077</v>
      </c>
      <c r="D315" s="708" t="n">
        <f aca="false">ATAN(A315/pole1)</f>
        <v>1.54434480809589</v>
      </c>
      <c r="E315" s="708" t="n">
        <f aca="false">SQRT(1+(A315/Zero1)^2)</f>
        <v>1.03795646603105</v>
      </c>
      <c r="F315" s="709" t="n">
        <f aca="false">ATAN(A315/Zero1)</f>
        <v>0.271269354174477</v>
      </c>
      <c r="G315" s="708" t="n">
        <f aca="false">IF(VIN_nom&gt;Vout, 1, SQRT(1+(A315/z_RHP)^2))</f>
        <v>1.05242514415461</v>
      </c>
      <c r="H315" s="709" t="n">
        <f aca="false">IF(VIN_nom&gt;Vout, 0, -ATAN(A315/z_RHP))</f>
        <v>-0.316963108259622</v>
      </c>
      <c r="I315" s="707" t="n">
        <f aca="false">SQRT(1+(A315/Pole2)^2)</f>
        <v>91809.7214329578</v>
      </c>
      <c r="J315" s="710" t="n">
        <f aca="false">ATAN(A315/Pole2)</f>
        <v>1.57078543470216</v>
      </c>
      <c r="K315" s="719" t="n">
        <f aca="false">SQRT(1+(A315/Zero2)^2)</f>
        <v>28.4239132953418</v>
      </c>
      <c r="L315" s="720" t="n">
        <f aca="false">ATAN(A315/Zero2)</f>
        <v>1.53560742103305</v>
      </c>
      <c r="M315" s="707" t="n">
        <f aca="false">SQRT(1+(A315/pole4)^2)</f>
        <v>1.33374956686387</v>
      </c>
      <c r="N315" s="710" t="n">
        <f aca="false">ATAN(A315/pole4)</f>
        <v>0.723088039735399</v>
      </c>
      <c r="O315" s="711" t="n">
        <f aca="false">SQRT((1-(V315/pterm2))^2+(A315/pterm1)^2)</f>
        <v>1.0255761571683</v>
      </c>
      <c r="P315" s="712" t="n">
        <f aca="false">IF((ATAN((A315/pterm1)/(1-A315^2/pterm2))&gt;0),ATAN((A315/pterm1)/(1-A315^2/pterm2)),PI()+ATAN((A315/pterm1)/(1-A315^2/pterm2)))</f>
        <v>0.30504446380349</v>
      </c>
      <c r="Q315" s="713" t="n">
        <f aca="false">20*LOG10(((E315*K315*G315)/(C315*I315*O315*M315))*Adc)</f>
        <v>-14.5285821806034</v>
      </c>
      <c r="R315" s="714" t="n">
        <f aca="false">((F315+L315+H315)-(D315+J315+P315+N315))*radconv</f>
        <v>-152.025703997628</v>
      </c>
      <c r="S315" s="717" t="n">
        <f aca="false">IF(R315&gt;0,R315,R315+180)</f>
        <v>27.9742960023715</v>
      </c>
      <c r="U315" s="644" t="n">
        <f aca="false">IF(Q315&lt;0,A315,1000000000)</f>
        <v>22132.5</v>
      </c>
      <c r="V315" s="644" t="n">
        <f aca="false">A315^2</f>
        <v>489847556.25</v>
      </c>
      <c r="X315" s="716" t="n">
        <f aca="false">20*LOG10((K315/(I315*M315))*AEA)</f>
        <v>15.4110925052768</v>
      </c>
      <c r="Y315" s="717" t="n">
        <f aca="false">(L315-(J315+N315))*radconv</f>
        <v>-43.4454446577632</v>
      </c>
      <c r="AA315" s="716" t="n">
        <f aca="false">20*LOG10((E315*G315/(C315*O315))*Acs*Am)</f>
        <v>21.5409506686742</v>
      </c>
      <c r="AB315" s="717" t="n">
        <f aca="false">(F315+H315-(D315+P315))*radconv</f>
        <v>-108.580259339865</v>
      </c>
      <c r="AD315" s="0" t="n">
        <f aca="false">SUM((Q316&lt;0)*(Q315&gt;0))*A315</f>
        <v>0</v>
      </c>
      <c r="AE315" s="0" t="n">
        <f aca="false">IF(AD315&gt;0,S315,0)</f>
        <v>0</v>
      </c>
    </row>
    <row r="316" customFormat="false" ht="12.75" hidden="false" customHeight="false" outlineLevel="0" collapsed="false">
      <c r="A316" s="718" t="n">
        <v>22259.75</v>
      </c>
      <c r="B316" s="706" t="n">
        <f aca="false">A316/1000</f>
        <v>22.25975</v>
      </c>
      <c r="C316" s="707" t="n">
        <f aca="false">SQRT(1+(A316/pole1)^2)</f>
        <v>38.0266538912192</v>
      </c>
      <c r="D316" s="708" t="n">
        <f aca="false">ATAN(A316/pole1)</f>
        <v>1.54449595082367</v>
      </c>
      <c r="E316" s="708" t="n">
        <f aca="false">SQRT(1+(A316/Zero1)^2)</f>
        <v>1.03838608719861</v>
      </c>
      <c r="F316" s="709" t="n">
        <f aca="false">ATAN(A316/Zero1)</f>
        <v>0.272752998550081</v>
      </c>
      <c r="G316" s="708" t="n">
        <f aca="false">IF(VIN_nom&gt;Vout, 1, SQRT(1+(A316/z_RHP)^2))</f>
        <v>1.05301448720839</v>
      </c>
      <c r="H316" s="709" t="n">
        <f aca="false">IF(VIN_nom&gt;Vout, 0, -ATAN(A316/z_RHP))</f>
        <v>-0.318664896216543</v>
      </c>
      <c r="I316" s="707" t="n">
        <f aca="false">SQRT(1+(A316/Pole2)^2)</f>
        <v>92337.5780714289</v>
      </c>
      <c r="J316" s="710" t="n">
        <f aca="false">ATAN(A316/Pole2)</f>
        <v>1.57078549696785</v>
      </c>
      <c r="K316" s="719" t="n">
        <f aca="false">SQRT(1+(A316/Zero2)^2)</f>
        <v>28.5871338480625</v>
      </c>
      <c r="L316" s="720" t="n">
        <f aca="false">ATAN(A316/Zero2)</f>
        <v>1.53580841719561</v>
      </c>
      <c r="M316" s="707" t="n">
        <f aca="false">SQRT(1+(A316/pole4)^2)</f>
        <v>1.33711257170293</v>
      </c>
      <c r="N316" s="710" t="n">
        <f aca="false">ATAN(A316/pole4)</f>
        <v>0.725933307353024</v>
      </c>
      <c r="O316" s="711" t="n">
        <f aca="false">SQRT((1-(V316/pterm2))^2+(A316/pterm1)^2)</f>
        <v>1.02587007668402</v>
      </c>
      <c r="P316" s="712" t="n">
        <f aca="false">IF((ATAN((A316/pterm1)/(1-A316^2/pterm2))&gt;0),ATAN((A316/pterm1)/(1-A316^2/pterm2)),PI()+ATAN((A316/pterm1)/(1-A316^2/pterm2)))</f>
        <v>0.306764544166354</v>
      </c>
      <c r="Q316" s="713" t="n">
        <f aca="false">20*LOG10(((E316*K316*G316)/(C316*I316*O316*M316))*Adc)</f>
        <v>-14.5943105140009</v>
      </c>
      <c r="R316" s="714" t="n">
        <f aca="false">((F316+L316+H316)-(D316+J316+P316+N316))*radconv</f>
        <v>-152.296925051921</v>
      </c>
      <c r="S316" s="717" t="n">
        <f aca="false">IF(R316&gt;0,R316,R316+180)</f>
        <v>27.7030749480792</v>
      </c>
      <c r="U316" s="644" t="n">
        <f aca="false">IF(Q316&lt;0,A316,1000000000)</f>
        <v>22259.75</v>
      </c>
      <c r="V316" s="644" t="n">
        <f aca="false">A316^2</f>
        <v>495496470.0625</v>
      </c>
      <c r="X316" s="716" t="n">
        <f aca="false">20*LOG10((K316/(I316*M316))*AEA)</f>
        <v>15.3891576072771</v>
      </c>
      <c r="Y316" s="717" t="n">
        <f aca="false">(L316-(J316+N316))*radconv</f>
        <v>-43.5969538197601</v>
      </c>
      <c r="AA316" s="716" t="n">
        <f aca="false">20*LOG10((E316*G316/(C316*O316))*Acs*Am)</f>
        <v>21.4971572332763</v>
      </c>
      <c r="AB316" s="717" t="n">
        <f aca="false">(F316+H316-(D316+P316))*radconv</f>
        <v>-108.699971232161</v>
      </c>
      <c r="AD316" s="0" t="n">
        <f aca="false">SUM((Q317&lt;0)*(Q316&gt;0))*A316</f>
        <v>0</v>
      </c>
      <c r="AE316" s="0" t="n">
        <f aca="false">IF(AD316&gt;0,S316,0)</f>
        <v>0</v>
      </c>
    </row>
    <row r="317" customFormat="false" ht="12.75" hidden="false" customHeight="false" outlineLevel="0" collapsed="false">
      <c r="A317" s="718" t="n">
        <v>22387</v>
      </c>
      <c r="B317" s="706" t="n">
        <f aca="false">A317/1000</f>
        <v>22.387</v>
      </c>
      <c r="C317" s="707" t="n">
        <f aca="false">SQRT(1+(A317/pole1)^2)</f>
        <v>38.2438870081478</v>
      </c>
      <c r="D317" s="708" t="n">
        <f aca="false">ATAN(A317/pole1)</f>
        <v>1.54464537651148</v>
      </c>
      <c r="E317" s="708" t="n">
        <f aca="false">SQRT(1+(A317/Zero1)^2)</f>
        <v>1.03881799216876</v>
      </c>
      <c r="F317" s="709" t="n">
        <f aca="false">ATAN(A317/Zero1)</f>
        <v>0.274235412489405</v>
      </c>
      <c r="G317" s="708" t="n">
        <f aca="false">IF(VIN_nom&gt;Vout, 1, SQRT(1+(A317/z_RHP)^2))</f>
        <v>1.05360687646194</v>
      </c>
      <c r="H317" s="709" t="n">
        <f aca="false">IF(VIN_nom&gt;Vout, 0, -ATAN(A317/z_RHP))</f>
        <v>-0.320364775435213</v>
      </c>
      <c r="I317" s="707" t="n">
        <f aca="false">SQRT(1+(A317/Pole2)^2)</f>
        <v>92865.4347099003</v>
      </c>
      <c r="J317" s="710" t="n">
        <f aca="false">ATAN(A317/Pole2)</f>
        <v>1.5707855585257</v>
      </c>
      <c r="K317" s="719" t="n">
        <f aca="false">SQRT(1+(A317/Zero2)^2)</f>
        <v>28.7503555425747</v>
      </c>
      <c r="L317" s="720" t="n">
        <f aca="false">ATAN(A317/Zero2)</f>
        <v>1.53600713117283</v>
      </c>
      <c r="M317" s="707" t="n">
        <f aca="false">SQRT(1+(A317/pole4)^2)</f>
        <v>1.34048634683609</v>
      </c>
      <c r="N317" s="710" t="n">
        <f aca="false">ATAN(A317/pole4)</f>
        <v>0.728764275687944</v>
      </c>
      <c r="O317" s="711" t="n">
        <f aca="false">SQRT((1-(V317/pterm2))^2+(A317/pterm1)^2)</f>
        <v>1.02616565827854</v>
      </c>
      <c r="P317" s="712" t="n">
        <f aca="false">IF((ATAN((A317/pterm1)/(1-A317^2/pterm2))&gt;0),ATAN((A317/pterm1)/(1-A317^2/pterm2)),PI()+ATAN((A317/pterm1)/(1-A317^2/pterm2)))</f>
        <v>0.308484059957498</v>
      </c>
      <c r="Q317" s="713" t="n">
        <f aca="false">20*LOG10(((E317*K317*G317)/(C317*I317*O317*M317))*Adc)</f>
        <v>-14.6597427368674</v>
      </c>
      <c r="R317" s="714" t="n">
        <f aca="false">((F317+L317+H317)-(D317+J317+P317+N317))*radconv</f>
        <v>-152.567287946134</v>
      </c>
      <c r="S317" s="717" t="n">
        <f aca="false">IF(R317&gt;0,R317,R317+180)</f>
        <v>27.4327120538662</v>
      </c>
      <c r="U317" s="644" t="n">
        <f aca="false">IF(Q317&lt;0,A317,1000000000)</f>
        <v>22387</v>
      </c>
      <c r="V317" s="644" t="n">
        <f aca="false">A317^2</f>
        <v>501177769</v>
      </c>
      <c r="X317" s="716" t="n">
        <f aca="false">20*LOG10((K317/(I317*M317))*AEA)</f>
        <v>15.3672089082406</v>
      </c>
      <c r="Y317" s="717" t="n">
        <f aca="false">(L317-(J317+N317))*radconv</f>
        <v>-43.7477744122382</v>
      </c>
      <c r="AA317" s="716" t="n">
        <f aca="false">20*LOG10((E317*G317/(C317*O317))*Acs*Am)</f>
        <v>21.4536737094464</v>
      </c>
      <c r="AB317" s="717" t="n">
        <f aca="false">(F317+H317-(D317+P317))*radconv</f>
        <v>-108.819513533896</v>
      </c>
      <c r="AD317" s="0" t="n">
        <f aca="false">SUM((Q318&lt;0)*(Q317&gt;0))*A317</f>
        <v>0</v>
      </c>
      <c r="AE317" s="0" t="n">
        <f aca="false">IF(AD317&gt;0,S317,0)</f>
        <v>0</v>
      </c>
    </row>
    <row r="318" customFormat="false" ht="12.75" hidden="false" customHeight="false" outlineLevel="0" collapsed="false">
      <c r="A318" s="718" t="n">
        <v>22517.5</v>
      </c>
      <c r="B318" s="706" t="n">
        <f aca="false">A318/1000</f>
        <v>22.5175</v>
      </c>
      <c r="C318" s="707" t="n">
        <f aca="false">SQRT(1+(A318/pole1)^2)</f>
        <v>38.4666691953904</v>
      </c>
      <c r="D318" s="708" t="n">
        <f aca="false">ATAN(A318/pole1)</f>
        <v>1.54479686565616</v>
      </c>
      <c r="E318" s="708" t="n">
        <f aca="false">SQRT(1+(A318/Zero1)^2)</f>
        <v>1.03926329716889</v>
      </c>
      <c r="F318" s="709" t="n">
        <f aca="false">ATAN(A318/Zero1)</f>
        <v>0.275754404499047</v>
      </c>
      <c r="G318" s="708" t="n">
        <f aca="false">IF(VIN_nom&gt;Vout, 1, SQRT(1+(A318/z_RHP)^2))</f>
        <v>1.05421755401524</v>
      </c>
      <c r="H318" s="709" t="n">
        <f aca="false">IF(VIN_nom&gt;Vout, 0, -ATAN(A318/z_RHP))</f>
        <v>-0.322106080640611</v>
      </c>
      <c r="I318" s="707" t="n">
        <f aca="false">SQRT(1+(A318/Pole2)^2)</f>
        <v>93406.7729521052</v>
      </c>
      <c r="J318" s="710" t="n">
        <f aca="false">ATAN(A318/Pole2)</f>
        <v>1.57078562093312</v>
      </c>
      <c r="K318" s="719" t="n">
        <f aca="false">SQRT(1+(A318/Zero2)^2)</f>
        <v>28.9177471297132</v>
      </c>
      <c r="L318" s="720" t="n">
        <f aca="false">ATAN(A318/Zero2)</f>
        <v>1.53620859046136</v>
      </c>
      <c r="M318" s="707" t="n">
        <f aca="false">SQRT(1+(A318/pole4)^2)</f>
        <v>1.34395739057165</v>
      </c>
      <c r="N318" s="710" t="n">
        <f aca="false">ATAN(A318/pole4)</f>
        <v>0.73165276143185</v>
      </c>
      <c r="O318" s="711" t="n">
        <f aca="false">SQRT((1-(V318/pterm2))^2+(A318/pterm1)^2)</f>
        <v>1.0264705150127</v>
      </c>
      <c r="P318" s="712" t="n">
        <f aca="false">IF((ATAN((A318/pterm1)/(1-A318^2/pterm2))&gt;0),ATAN((A318/pterm1)/(1-A318^2/pterm2)),PI()+ATAN((A318/pterm1)/(1-A318^2/pterm2)))</f>
        <v>0.310246903355751</v>
      </c>
      <c r="Q318" s="713" t="n">
        <f aca="false">20*LOG10(((E318*K318*G318)/(C318*I318*O318*M318))*Adc)</f>
        <v>-14.726541253557</v>
      </c>
      <c r="R318" s="714" t="n">
        <f aca="false">((F318+L318+H318)-(D318+J318+P318+N318))*radconv</f>
        <v>-152.843667580606</v>
      </c>
      <c r="S318" s="717" t="n">
        <f aca="false">IF(R318&gt;0,R318,R318+180)</f>
        <v>27.1563324193937</v>
      </c>
      <c r="U318" s="644" t="n">
        <f aca="false">IF(Q318&lt;0,A318,1000000000)</f>
        <v>22517.5</v>
      </c>
      <c r="V318" s="644" t="n">
        <f aca="false">A318^2</f>
        <v>507037806.25</v>
      </c>
      <c r="X318" s="716" t="n">
        <f aca="false">20*LOG10((K318/(I318*M318))*AEA)</f>
        <v>15.3446860858199</v>
      </c>
      <c r="Y318" s="717" t="n">
        <f aca="false">(L318-(J318+N318))*radconv</f>
        <v>-43.9017332634294</v>
      </c>
      <c r="AA318" s="716" t="n">
        <f aca="false">20*LOG10((E318*G318/(C318*O318))*Acs*Am)</f>
        <v>21.4093980151775</v>
      </c>
      <c r="AB318" s="717" t="n">
        <f aca="false">(F318+H318-(D318+P318))*radconv</f>
        <v>-108.941934317177</v>
      </c>
      <c r="AD318" s="0" t="n">
        <f aca="false">SUM((Q319&lt;0)*(Q318&gt;0))*A318</f>
        <v>0</v>
      </c>
      <c r="AE318" s="0" t="n">
        <f aca="false">IF(AD318&gt;0,S318,0)</f>
        <v>0</v>
      </c>
    </row>
    <row r="319" customFormat="false" ht="12.75" hidden="false" customHeight="false" outlineLevel="0" collapsed="false">
      <c r="A319" s="718" t="n">
        <v>22648</v>
      </c>
      <c r="B319" s="706" t="n">
        <f aca="false">A319/1000</f>
        <v>22.648</v>
      </c>
      <c r="C319" s="707" t="n">
        <f aca="false">SQRT(1+(A319/pole1)^2)</f>
        <v>38.6894522552367</v>
      </c>
      <c r="D319" s="708" t="n">
        <f aca="false">ATAN(A319/pole1)</f>
        <v>1.54494661018326</v>
      </c>
      <c r="E319" s="708" t="n">
        <f aca="false">SQRT(1+(A319/Zero1)^2)</f>
        <v>1.03971099804212</v>
      </c>
      <c r="F319" s="709" t="n">
        <f aca="false">ATAN(A319/Zero1)</f>
        <v>0.27727209184823</v>
      </c>
      <c r="G319" s="708" t="n">
        <f aca="false">IF(VIN_nom&gt;Vout, 1, SQRT(1+(A319/z_RHP)^2))</f>
        <v>1.05483142440096</v>
      </c>
      <c r="H319" s="709" t="n">
        <f aca="false">IF(VIN_nom&gt;Vout, 0, -ATAN(A319/z_RHP))</f>
        <v>-0.323845364372434</v>
      </c>
      <c r="I319" s="707" t="n">
        <f aca="false">SQRT(1+(A319/Pole2)^2)</f>
        <v>93948.1111943105</v>
      </c>
      <c r="J319" s="710" t="n">
        <f aca="false">ATAN(A319/Pole2)</f>
        <v>1.57078568262135</v>
      </c>
      <c r="K319" s="719" t="n">
        <f aca="false">SQRT(1+(A319/Zero2)^2)</f>
        <v>29.0851398769936</v>
      </c>
      <c r="L319" s="720" t="n">
        <f aca="false">ATAN(A319/Zero2)</f>
        <v>1.53640773085388</v>
      </c>
      <c r="M319" s="707" t="n">
        <f aca="false">SQRT(1+(A319/pole4)^2)</f>
        <v>1.34743958958896</v>
      </c>
      <c r="N319" s="710" t="n">
        <f aca="false">ATAN(A319/pole4)</f>
        <v>0.734526341573941</v>
      </c>
      <c r="O319" s="711" t="n">
        <f aca="false">SQRT((1-(V319/pterm2))^2+(A319/pterm1)^2)</f>
        <v>1.02677711901202</v>
      </c>
      <c r="P319" s="712" t="n">
        <f aca="false">IF((ATAN((A319/pterm1)/(1-A319^2/pterm2))&gt;0),ATAN((A319/pterm1)/(1-A319^2/pterm2)),PI()+ATAN((A319/pterm1)/(1-A319^2/pterm2)))</f>
        <v>0.312009147055971</v>
      </c>
      <c r="Q319" s="713" t="n">
        <f aca="false">20*LOG10(((E319*K319*G319)/(C319*I319*O319*M319))*Adc)</f>
        <v>-14.7930337603021</v>
      </c>
      <c r="R319" s="714" t="n">
        <f aca="false">((F319+L319+H319)-(D319+J319+P319+N319))*radconv</f>
        <v>-153.119150618993</v>
      </c>
      <c r="S319" s="717" t="n">
        <f aca="false">IF(R319&gt;0,R319,R319+180)</f>
        <v>26.8808493810068</v>
      </c>
      <c r="U319" s="644" t="n">
        <f aca="false">IF(Q319&lt;0,A319,1000000000)</f>
        <v>22648</v>
      </c>
      <c r="V319" s="644" t="n">
        <f aca="false">A319^2</f>
        <v>512931904</v>
      </c>
      <c r="X319" s="716" t="n">
        <f aca="false">20*LOG10((K319/(I319*M319))*AEA)</f>
        <v>15.3221503377513</v>
      </c>
      <c r="Y319" s="717" t="n">
        <f aca="false">(L319-(J319+N319))*radconv</f>
        <v>-44.0549709082921</v>
      </c>
      <c r="AA319" s="716" t="n">
        <f aca="false">20*LOG10((E319*G319/(C319*O319))*Acs*Am)</f>
        <v>21.365441256501</v>
      </c>
      <c r="AB319" s="717" t="n">
        <f aca="false">(F319+H319-(D319+P319))*radconv</f>
        <v>-109.064179710701</v>
      </c>
      <c r="AD319" s="0" t="n">
        <f aca="false">SUM((Q320&lt;0)*(Q319&gt;0))*A319</f>
        <v>0</v>
      </c>
      <c r="AE319" s="0" t="n">
        <f aca="false">IF(AD319&gt;0,S319,0)</f>
        <v>0</v>
      </c>
    </row>
    <row r="320" customFormat="false" ht="12.75" hidden="false" customHeight="false" outlineLevel="0" collapsed="false">
      <c r="A320" s="718" t="n">
        <v>22778.5</v>
      </c>
      <c r="B320" s="706" t="n">
        <f aca="false">A320/1000</f>
        <v>22.7785</v>
      </c>
      <c r="C320" s="707" t="n">
        <f aca="false">SQRT(1+(A320/pole1)^2)</f>
        <v>38.912236172699</v>
      </c>
      <c r="D320" s="708" t="n">
        <f aca="false">ATAN(A320/pole1)</f>
        <v>1.54509464005133</v>
      </c>
      <c r="E320" s="708" t="n">
        <f aca="false">SQRT(1+(A320/Zero1)^2)</f>
        <v>1.04016109169477</v>
      </c>
      <c r="F320" s="709" t="n">
        <f aca="false">ATAN(A320/Zero1)</f>
        <v>0.278788469234514</v>
      </c>
      <c r="G320" s="708" t="n">
        <f aca="false">IF(VIN_nom&gt;Vout, 1, SQRT(1+(A320/z_RHP)^2))</f>
        <v>1.05544848204805</v>
      </c>
      <c r="H320" s="709" t="n">
        <f aca="false">IF(VIN_nom&gt;Vout, 0, -ATAN(A320/z_RHP))</f>
        <v>-0.325582619644038</v>
      </c>
      <c r="I320" s="707" t="n">
        <f aca="false">SQRT(1+(A320/Pole2)^2)</f>
        <v>94489.4494365161</v>
      </c>
      <c r="J320" s="710" t="n">
        <f aca="false">ATAN(A320/Pole2)</f>
        <v>1.57078574360274</v>
      </c>
      <c r="K320" s="719" t="n">
        <f aca="false">SQRT(1+(A320/Zero2)^2)</f>
        <v>29.2525337644998</v>
      </c>
      <c r="L320" s="720" t="n">
        <f aca="false">ATAN(A320/Zero2)</f>
        <v>1.53660459214322</v>
      </c>
      <c r="M320" s="707" t="n">
        <f aca="false">SQRT(1+(A320/pole4)^2)</f>
        <v>1.35093285762561</v>
      </c>
      <c r="N320" s="710" t="n">
        <f aca="false">ATAN(A320/pole4)</f>
        <v>0.73738508410346</v>
      </c>
      <c r="O320" s="711" t="n">
        <f aca="false">SQRT((1-(V320/pterm2))^2+(A320/pterm1)^2)</f>
        <v>1.02708546987003</v>
      </c>
      <c r="P320" s="712" t="n">
        <f aca="false">IF((ATAN((A320/pterm1)/(1-A320^2/pterm2))&gt;0),ATAN((A320/pterm1)/(1-A320^2/pterm2)),PI()+ATAN((A320/pterm1)/(1-A320^2/pterm2)))</f>
        <v>0.313770788072734</v>
      </c>
      <c r="Q320" s="713" t="n">
        <f aca="false">20*LOG10(((E320*K320*G320)/(C320*I320*O320*M320))*Adc)</f>
        <v>-14.8592229298187</v>
      </c>
      <c r="R320" s="714" t="n">
        <f aca="false">((F320+L320+H320)-(D320+J320+P320+N320))*radconv</f>
        <v>-153.393740126488</v>
      </c>
      <c r="S320" s="717" t="n">
        <f aca="false">IF(R320&gt;0,R320,R320+180)</f>
        <v>26.6062598735124</v>
      </c>
      <c r="U320" s="644" t="n">
        <f aca="false">IF(Q320&lt;0,A320,1000000000)</f>
        <v>22778.5</v>
      </c>
      <c r="V320" s="644" t="n">
        <f aca="false">A320^2</f>
        <v>518860062.25</v>
      </c>
      <c r="X320" s="716" t="n">
        <f aca="false">20*LOG10((K320/(I320*M320))*AEA)</f>
        <v>15.2996024527441</v>
      </c>
      <c r="Y320" s="717" t="n">
        <f aca="false">(L320-(J320+N320))*radconv</f>
        <v>-44.2074889630702</v>
      </c>
      <c r="AA320" s="716" t="n">
        <f aca="false">20*LOG10((E320*G320/(C320*O320))*Acs*Am)</f>
        <v>21.3217999719915</v>
      </c>
      <c r="AB320" s="717" t="n">
        <f aca="false">(F320+H320-(D320+P320))*radconv</f>
        <v>-109.186251163417</v>
      </c>
      <c r="AD320" s="0" t="n">
        <f aca="false">SUM((Q321&lt;0)*(Q320&gt;0))*A320</f>
        <v>0</v>
      </c>
      <c r="AE320" s="0" t="n">
        <f aca="false">IF(AD320&gt;0,S320,0)</f>
        <v>0</v>
      </c>
    </row>
    <row r="321" customFormat="false" ht="12.75" hidden="false" customHeight="false" outlineLevel="0" collapsed="false">
      <c r="A321" s="718" t="n">
        <v>22909</v>
      </c>
      <c r="B321" s="706" t="n">
        <f aca="false">A321/1000</f>
        <v>22.909</v>
      </c>
      <c r="C321" s="707" t="n">
        <f aca="false">SQRT(1+(A321/pole1)^2)</f>
        <v>39.135020933131</v>
      </c>
      <c r="D321" s="708" t="n">
        <f aca="false">ATAN(A321/pole1)</f>
        <v>1.54524098453707</v>
      </c>
      <c r="E321" s="708" t="n">
        <f aca="false">SQRT(1+(A321/Zero1)^2)</f>
        <v>1.04061357502204</v>
      </c>
      <c r="F321" s="709" t="n">
        <f aca="false">ATAN(A321/Zero1)</f>
        <v>0.280303531388706</v>
      </c>
      <c r="G321" s="708" t="n">
        <f aca="false">IF(VIN_nom&gt;Vout, 1, SQRT(1+(A321/z_RHP)^2))</f>
        <v>1.05606872136959</v>
      </c>
      <c r="H321" s="709" t="n">
        <f aca="false">IF(VIN_nom&gt;Vout, 0, -ATAN(A321/z_RHP))</f>
        <v>-0.327317839534047</v>
      </c>
      <c r="I321" s="707" t="n">
        <f aca="false">SQRT(1+(A321/Pole2)^2)</f>
        <v>95030.787678722</v>
      </c>
      <c r="J321" s="710" t="n">
        <f aca="false">ATAN(A321/Pole2)</f>
        <v>1.57078580388938</v>
      </c>
      <c r="K321" s="719" t="n">
        <f aca="false">SQRT(1+(A321/Zero2)^2)</f>
        <v>29.4199287727687</v>
      </c>
      <c r="L321" s="720" t="n">
        <f aca="false">ATAN(A321/Zero2)</f>
        <v>1.53679921321726</v>
      </c>
      <c r="M321" s="707" t="n">
        <f aca="false">SQRT(1+(A321/pole4)^2)</f>
        <v>1.35443710903633</v>
      </c>
      <c r="N321" s="710" t="n">
        <f aca="false">ATAN(A321/pole4)</f>
        <v>0.740229057279433</v>
      </c>
      <c r="O321" s="711" t="n">
        <f aca="false">SQRT((1-(V321/pterm2))^2+(A321/pterm1)^2)</f>
        <v>1.0273955671785</v>
      </c>
      <c r="P321" s="712" t="n">
        <f aca="false">IF((ATAN((A321/pterm1)/(1-A321^2/pterm2))&gt;0),ATAN((A321/pterm1)/(1-A321^2/pterm2)),PI()+ATAN((A321/pterm1)/(1-A321^2/pterm2)))</f>
        <v>0.315531823428462</v>
      </c>
      <c r="Q321" s="713" t="n">
        <f aca="false">20*LOG10(((E321*K321*G321)/(C321*I321*O321*M321))*Adc)</f>
        <v>-14.9251113886596</v>
      </c>
      <c r="R321" s="714" t="n">
        <f aca="false">((F321+L321+H321)-(D321+J321+P321+N321))*radconv</f>
        <v>-153.667439198789</v>
      </c>
      <c r="S321" s="717" t="n">
        <f aca="false">IF(R321&gt;0,R321,R321+180)</f>
        <v>26.3325608012111</v>
      </c>
      <c r="U321" s="644" t="n">
        <f aca="false">IF(Q321&lt;0,A321,1000000000)</f>
        <v>22909</v>
      </c>
      <c r="V321" s="644" t="n">
        <f aca="false">A321^2</f>
        <v>524822281</v>
      </c>
      <c r="X321" s="716" t="n">
        <f aca="false">20*LOG10((K321/(I321*M321))*AEA)</f>
        <v>15.2770432088315</v>
      </c>
      <c r="Y321" s="717" t="n">
        <f aca="false">(L321-(J321+N321))*radconv</f>
        <v>-44.3592891112984</v>
      </c>
      <c r="AA321" s="716" t="n">
        <f aca="false">20*LOG10((E321*G321/(C321*O321))*Acs*Am)</f>
        <v>21.2784707570633</v>
      </c>
      <c r="AB321" s="717" t="n">
        <f aca="false">(F321+H321-(D321+P321))*radconv</f>
        <v>-109.30815008749</v>
      </c>
      <c r="AD321" s="0" t="n">
        <f aca="false">SUM((Q322&lt;0)*(Q321&gt;0))*A321</f>
        <v>0</v>
      </c>
      <c r="AE321" s="0" t="n">
        <f aca="false">IF(AD321&gt;0,S321,0)</f>
        <v>0</v>
      </c>
    </row>
    <row r="322" customFormat="false" ht="12.75" hidden="false" customHeight="false" outlineLevel="0" collapsed="false">
      <c r="A322" s="718" t="n">
        <v>23042.25</v>
      </c>
      <c r="B322" s="706" t="n">
        <f aca="false">A322/1000</f>
        <v>23.04225</v>
      </c>
      <c r="C322" s="707" t="n">
        <f aca="false">SQRT(1+(A322/pole1)^2)</f>
        <v>39.3625012465095</v>
      </c>
      <c r="D322" s="708" t="n">
        <f aca="false">ATAN(A322/pole1)</f>
        <v>1.54538870360907</v>
      </c>
      <c r="E322" s="708" t="n">
        <f aca="false">SQRT(1+(A322/Zero1)^2)</f>
        <v>1.04107805594174</v>
      </c>
      <c r="F322" s="709" t="n">
        <f aca="false">ATAN(A322/Zero1)</f>
        <v>0.281849157602137</v>
      </c>
      <c r="G322" s="708" t="n">
        <f aca="false">IF(VIN_nom&gt;Vout, 1, SQRT(1+(A322/z_RHP)^2))</f>
        <v>1.05670530799785</v>
      </c>
      <c r="H322" s="709" t="n">
        <f aca="false">IF(VIN_nom&gt;Vout, 0, -ATAN(A322/z_RHP))</f>
        <v>-0.329087518066428</v>
      </c>
      <c r="I322" s="707" t="n">
        <f aca="false">SQRT(1+(A322/Pole2)^2)</f>
        <v>95583.5334317794</v>
      </c>
      <c r="J322" s="710" t="n">
        <f aca="false">ATAN(A322/Pole2)</f>
        <v>1.57078586474182</v>
      </c>
      <c r="K322" s="719" t="n">
        <f aca="false">SQRT(1+(A322/Zero2)^2)</f>
        <v>29.590852398729</v>
      </c>
      <c r="L322" s="720" t="n">
        <f aca="false">ATAN(A322/Zero2)</f>
        <v>1.53699566346671</v>
      </c>
      <c r="M322" s="707" t="n">
        <f aca="false">SQRT(1+(A322/pole4)^2)</f>
        <v>1.35802644946513</v>
      </c>
      <c r="N322" s="710" t="n">
        <f aca="false">ATAN(A322/pole4)</f>
        <v>0.743117792634331</v>
      </c>
      <c r="O322" s="711" t="n">
        <f aca="false">SQRT((1-(V322/pterm2))^2+(A322/pterm1)^2)</f>
        <v>1.02771400072075</v>
      </c>
      <c r="P322" s="712" t="n">
        <f aca="false">IF((ATAN((A322/pterm1)/(1-A322^2/pterm2))&gt;0),ATAN((A322/pterm1)/(1-A322^2/pterm2)),PI()+ATAN((A322/pterm1)/(1-A322^2/pterm2)))</f>
        <v>0.317329340698954</v>
      </c>
      <c r="Q322" s="713" t="n">
        <f aca="false">20*LOG10(((E322*K322*G322)/(C322*I322*O322*M322))*Adc)</f>
        <v>-14.9920807012029</v>
      </c>
      <c r="R322" s="714" t="n">
        <f aca="false">((F322+L322+H322)-(D322+J322+P322+N322))*radconv</f>
        <v>-153.945990344329</v>
      </c>
      <c r="S322" s="717" t="n">
        <f aca="false">IF(R322&gt;0,R322,R322+180)</f>
        <v>26.0540096556706</v>
      </c>
      <c r="U322" s="644" t="n">
        <f aca="false">IF(Q322&lt;0,A322,1000000000)</f>
        <v>23042.25</v>
      </c>
      <c r="V322" s="644" t="n">
        <f aca="false">A322^2</f>
        <v>530945285.0625</v>
      </c>
      <c r="X322" s="716" t="n">
        <f aca="false">20*LOG10((K322/(I322*M322))*AEA)</f>
        <v>15.2539976554367</v>
      </c>
      <c r="Y322" s="717" t="n">
        <f aca="false">(L322-(J322+N322))*radconv</f>
        <v>-44.5135491718507</v>
      </c>
      <c r="AA322" s="716" t="n">
        <f aca="false">20*LOG10((E322*G322/(C322*O322))*Acs*Am)</f>
        <v>21.2345469979148</v>
      </c>
      <c r="AB322" s="717" t="n">
        <f aca="false">(F322+H322-(D322+P322))*radconv</f>
        <v>-109.432441172479</v>
      </c>
      <c r="AD322" s="0" t="n">
        <f aca="false">SUM((Q323&lt;0)*(Q322&gt;0))*A322</f>
        <v>0</v>
      </c>
      <c r="AE322" s="0" t="n">
        <f aca="false">IF(AD322&gt;0,S322,0)</f>
        <v>0</v>
      </c>
    </row>
    <row r="323" customFormat="false" ht="12.75" hidden="false" customHeight="false" outlineLevel="0" collapsed="false">
      <c r="A323" s="718" t="n">
        <v>23175.5</v>
      </c>
      <c r="B323" s="706" t="n">
        <f aca="false">A323/1000</f>
        <v>23.1755</v>
      </c>
      <c r="C323" s="707" t="n">
        <f aca="false">SQRT(1+(A323/pole1)^2)</f>
        <v>39.5899824089436</v>
      </c>
      <c r="D323" s="708" t="n">
        <f aca="false">ATAN(A323/pole1)</f>
        <v>1.54553472511812</v>
      </c>
      <c r="E323" s="708" t="n">
        <f aca="false">SQRT(1+(A323/Zero1)^2)</f>
        <v>1.04154502173396</v>
      </c>
      <c r="F323" s="709" t="n">
        <f aca="false">ATAN(A323/Zero1)</f>
        <v>0.283393401571335</v>
      </c>
      <c r="G323" s="708" t="n">
        <f aca="false">IF(VIN_nom&gt;Vout, 1, SQRT(1+(A323/z_RHP)^2))</f>
        <v>1.05734519998485</v>
      </c>
      <c r="H323" s="709" t="n">
        <f aca="false">IF(VIN_nom&gt;Vout, 0, -ATAN(A323/z_RHP))</f>
        <v>-0.33085506015448</v>
      </c>
      <c r="I323" s="707" t="n">
        <f aca="false">SQRT(1+(A323/Pole2)^2)</f>
        <v>96136.2791848371</v>
      </c>
      <c r="J323" s="710" t="n">
        <f aca="false">ATAN(A323/Pole2)</f>
        <v>1.57078592489451</v>
      </c>
      <c r="K323" s="719" t="n">
        <f aca="false">SQRT(1+(A323/Zero2)^2)</f>
        <v>29.7617771535632</v>
      </c>
      <c r="L323" s="720" t="n">
        <f aca="false">ATAN(A323/Zero2)</f>
        <v>1.53718985725815</v>
      </c>
      <c r="M323" s="707" t="n">
        <f aca="false">SQRT(1+(A323/pole4)^2)</f>
        <v>1.36162706254094</v>
      </c>
      <c r="N323" s="710" t="n">
        <f aca="false">ATAN(A323/pole4)</f>
        <v>0.745991274230856</v>
      </c>
      <c r="O323" s="711" t="n">
        <f aca="false">SQRT((1-(V323/pterm2))^2+(A323/pterm1)^2)</f>
        <v>1.02803425422855</v>
      </c>
      <c r="P323" s="712" t="n">
        <f aca="false">IF((ATAN((A323/pterm1)/(1-A323^2/pterm2))&gt;0),ATAN((A323/pterm1)/(1-A323^2/pterm2)),PI()+ATAN((A323/pterm1)/(1-A323^2/pterm2)))</f>
        <v>0.319126220264432</v>
      </c>
      <c r="Q323" s="713" t="n">
        <f aca="false">20*LOG10(((E323*K323*G323)/(C323*I323*O323*M323))*Adc)</f>
        <v>-15.0587418885107</v>
      </c>
      <c r="R323" s="714" t="n">
        <f aca="false">((F323+L323+H323)-(D323+J323+P323+N323))*radconv</f>
        <v>-154.223619745839</v>
      </c>
      <c r="S323" s="717" t="n">
        <f aca="false">IF(R323&gt;0,R323,R323+180)</f>
        <v>25.7763802541608</v>
      </c>
      <c r="U323" s="644" t="n">
        <f aca="false">IF(Q323&lt;0,A323,1000000000)</f>
        <v>23175.5</v>
      </c>
      <c r="V323" s="644" t="n">
        <f aca="false">A323^2</f>
        <v>537103800.25</v>
      </c>
      <c r="X323" s="716" t="n">
        <f aca="false">20*LOG10((K323/(I323*M323))*AEA)</f>
        <v>15.2309418650686</v>
      </c>
      <c r="Y323" s="717" t="n">
        <f aca="false">(L323-(J323+N323))*radconv</f>
        <v>-44.6670645018535</v>
      </c>
      <c r="AA323" s="716" t="n">
        <f aca="false">20*LOG10((E323*G323/(C323*O323))*Acs*Am)</f>
        <v>21.190941600975</v>
      </c>
      <c r="AB323" s="717" t="n">
        <f aca="false">(F323+H323-(D323+P323))*radconv</f>
        <v>-109.556555243986</v>
      </c>
      <c r="AD323" s="0" t="n">
        <f aca="false">SUM((Q324&lt;0)*(Q323&gt;0))*A323</f>
        <v>0</v>
      </c>
      <c r="AE323" s="0" t="n">
        <f aca="false">IF(AD323&gt;0,S323,0)</f>
        <v>0</v>
      </c>
    </row>
    <row r="324" customFormat="false" ht="12.75" hidden="false" customHeight="false" outlineLevel="0" collapsed="false">
      <c r="A324" s="718" t="n">
        <v>23308.75</v>
      </c>
      <c r="B324" s="706" t="n">
        <f aca="false">A324/1000</f>
        <v>23.30875</v>
      </c>
      <c r="C324" s="707" t="n">
        <f aca="false">SQRT(1+(A324/pole1)^2)</f>
        <v>39.817464405881</v>
      </c>
      <c r="D324" s="708" t="n">
        <f aca="false">ATAN(A324/pole1)</f>
        <v>1.54567907815308</v>
      </c>
      <c r="E324" s="708" t="n">
        <f aca="false">SQRT(1+(A324/Zero1)^2)</f>
        <v>1.042014469058</v>
      </c>
      <c r="F324" s="709" t="n">
        <f aca="false">ATAN(A324/Zero1)</f>
        <v>0.284936257794491</v>
      </c>
      <c r="G324" s="708" t="n">
        <f aca="false">IF(VIN_nom&gt;Vout, 1, SQRT(1+(A324/z_RHP)^2))</f>
        <v>1.05798839133315</v>
      </c>
      <c r="H324" s="709" t="n">
        <f aca="false">IF(VIN_nom&gt;Vout, 0, -ATAN(A324/z_RHP))</f>
        <v>-0.332620458640416</v>
      </c>
      <c r="I324" s="707" t="n">
        <f aca="false">SQRT(1+(A324/Pole2)^2)</f>
        <v>96689.0249378952</v>
      </c>
      <c r="J324" s="710" t="n">
        <f aca="false">ATAN(A324/Pole2)</f>
        <v>1.57078598435944</v>
      </c>
      <c r="K324" s="719" t="n">
        <f aca="false">SQRT(1+(A324/Zero2)^2)</f>
        <v>29.9327030179326</v>
      </c>
      <c r="L324" s="720" t="n">
        <f aca="false">ATAN(A324/Zero2)</f>
        <v>1.53738183323222</v>
      </c>
      <c r="M324" s="707" t="n">
        <f aca="false">SQRT(1+(A324/pole4)^2)</f>
        <v>1.36523885907398</v>
      </c>
      <c r="N324" s="710" t="n">
        <f aca="false">ATAN(A324/pole4)</f>
        <v>0.748849575492651</v>
      </c>
      <c r="O324" s="711" t="n">
        <f aca="false">SQRT((1-(V324/pterm2))^2+(A324/pterm1)^2)</f>
        <v>1.0283563272618</v>
      </c>
      <c r="P324" s="712" t="n">
        <f aca="false">IF((ATAN((A324/pterm1)/(1-A324^2/pterm2))&gt;0),ATAN((A324/pterm1)/(1-A324^2/pterm2)),PI()+ATAN((A324/pterm1)/(1-A324^2/pterm2)))</f>
        <v>0.320922458980586</v>
      </c>
      <c r="Q324" s="713" t="n">
        <f aca="false">20*LOG10(((E324*K324*G324)/(C324*I324*O324*M324))*Adc)</f>
        <v>-15.1250976054881</v>
      </c>
      <c r="R324" s="714" t="n">
        <f aca="false">((F324+L324+H324)-(D324+J324+P324+N324))*radconv</f>
        <v>-154.500330788558</v>
      </c>
      <c r="S324" s="717" t="n">
        <f aca="false">IF(R324&gt;0,R324,R324+180)</f>
        <v>25.499669211442</v>
      </c>
      <c r="U324" s="644" t="n">
        <f aca="false">IF(Q324&lt;0,A324,1000000000)</f>
        <v>23308.75</v>
      </c>
      <c r="V324" s="644" t="n">
        <f aca="false">A324^2</f>
        <v>543297826.5625</v>
      </c>
      <c r="X324" s="716" t="n">
        <f aca="false">20*LOG10((K324/(I324*M324))*AEA)</f>
        <v>15.2078766319862</v>
      </c>
      <c r="Y324" s="717" t="n">
        <f aca="false">(L324-(J324+N324))*radconv</f>
        <v>-44.8198370949133</v>
      </c>
      <c r="AA324" s="716" t="n">
        <f aca="false">20*LOG10((E324*G324/(C324*O324))*Acs*Am)</f>
        <v>21.1476511170801</v>
      </c>
      <c r="AB324" s="717" t="n">
        <f aca="false">(F324+H324-(D324+P324))*radconv</f>
        <v>-109.680493693645</v>
      </c>
      <c r="AD324" s="0" t="n">
        <f aca="false">SUM((Q325&lt;0)*(Q324&gt;0))*A324</f>
        <v>0</v>
      </c>
      <c r="AE324" s="0" t="n">
        <f aca="false">IF(AD324&gt;0,S324,0)</f>
        <v>0</v>
      </c>
    </row>
    <row r="325" customFormat="false" ht="12.75" hidden="false" customHeight="false" outlineLevel="0" collapsed="false">
      <c r="A325" s="718" t="n">
        <v>23442</v>
      </c>
      <c r="B325" s="706" t="n">
        <f aca="false">A325/1000</f>
        <v>23.442</v>
      </c>
      <c r="C325" s="707" t="n">
        <f aca="false">SQRT(1+(A325/pole1)^2)</f>
        <v>40.0449472231</v>
      </c>
      <c r="D325" s="708" t="n">
        <f aca="false">ATAN(A325/pole1)</f>
        <v>1.54582179114212</v>
      </c>
      <c r="E325" s="708" t="n">
        <f aca="false">SQRT(1+(A325/Zero1)^2)</f>
        <v>1.04248639456145</v>
      </c>
      <c r="F325" s="709" t="n">
        <f aca="false">ATAN(A325/Zero1)</f>
        <v>0.286477720806106</v>
      </c>
      <c r="G325" s="708" t="n">
        <f aca="false">IF(VIN_nom&gt;Vout, 1, SQRT(1+(A325/z_RHP)^2))</f>
        <v>1.05863487602901</v>
      </c>
      <c r="H325" s="709" t="n">
        <f aca="false">IF(VIN_nom&gt;Vout, 0, -ATAN(A325/z_RHP))</f>
        <v>-0.334383706437244</v>
      </c>
      <c r="I325" s="707" t="n">
        <f aca="false">SQRT(1+(A325/Pole2)^2)</f>
        <v>97241.7706909536</v>
      </c>
      <c r="J325" s="710" t="n">
        <f aca="false">ATAN(A325/Pole2)</f>
        <v>1.57078604314834</v>
      </c>
      <c r="K325" s="719" t="n">
        <f aca="false">SQRT(1+(A325/Zero2)^2)</f>
        <v>30.1036299729377</v>
      </c>
      <c r="L325" s="720" t="n">
        <f aca="false">ATAN(A325/Zero2)</f>
        <v>1.53757162915262</v>
      </c>
      <c r="M325" s="707" t="n">
        <f aca="false">SQRT(1+(A325/pole4)^2)</f>
        <v>1.36886175054028</v>
      </c>
      <c r="N325" s="710" t="n">
        <f aca="false">ATAN(A325/pole4)</f>
        <v>0.751692770061825</v>
      </c>
      <c r="O325" s="711" t="n">
        <f aca="false">SQRT((1-(V325/pterm2))^2+(A325/pterm1)^2)</f>
        <v>1.02868021937856</v>
      </c>
      <c r="P325" s="712" t="n">
        <f aca="false">IF((ATAN((A325/pterm1)/(1-A325^2/pterm2))&gt;0),ATAN((A325/pterm1)/(1-A325^2/pterm2)),PI()+ATAN((A325/pterm1)/(1-A325^2/pterm2)))</f>
        <v>0.322718053711751</v>
      </c>
      <c r="Q325" s="713" t="n">
        <f aca="false">20*LOG10(((E325*K325*G325)/(C325*I325*O325*M325))*Adc)</f>
        <v>-15.1911504619644</v>
      </c>
      <c r="R325" s="714" t="n">
        <f aca="false">((F325+L325+H325)-(D325+J325+P325+N325))*radconv</f>
        <v>-154.776126885088</v>
      </c>
      <c r="S325" s="717" t="n">
        <f aca="false">IF(R325&gt;0,R325,R325+180)</f>
        <v>25.2238731149121</v>
      </c>
      <c r="U325" s="644" t="n">
        <f aca="false">IF(Q325&lt;0,A325,1000000000)</f>
        <v>23442</v>
      </c>
      <c r="V325" s="644" t="n">
        <f aca="false">A325^2</f>
        <v>549527364</v>
      </c>
      <c r="X325" s="716" t="n">
        <f aca="false">20*LOG10((K325/(I325*M325))*AEA)</f>
        <v>15.1848027391552</v>
      </c>
      <c r="Y325" s="717" t="n">
        <f aca="false">(L325-(J325+N325))*radconv</f>
        <v>-44.9718690073833</v>
      </c>
      <c r="AA325" s="716" t="n">
        <f aca="false">20*LOG10((E325*G325/(C325*O325))*Acs*Am)</f>
        <v>21.1046721534348</v>
      </c>
      <c r="AB325" s="717" t="n">
        <f aca="false">(F325+H325-(D325+P325))*radconv</f>
        <v>-109.804257877705</v>
      </c>
      <c r="AD325" s="0" t="n">
        <f aca="false">SUM((Q326&lt;0)*(Q325&gt;0))*A325</f>
        <v>0</v>
      </c>
      <c r="AE325" s="0" t="n">
        <f aca="false">IF(AD325&gt;0,S325,0)</f>
        <v>0</v>
      </c>
    </row>
    <row r="326" customFormat="false" ht="12.75" hidden="false" customHeight="false" outlineLevel="0" collapsed="false">
      <c r="A326" s="718" t="n">
        <v>23578.5</v>
      </c>
      <c r="B326" s="706" t="n">
        <f aca="false">A326/1000</f>
        <v>23.5785</v>
      </c>
      <c r="C326" s="707" t="n">
        <f aca="false">SQRT(1+(A326/pole1)^2)</f>
        <v>40.2779792377225</v>
      </c>
      <c r="D326" s="708" t="n">
        <f aca="false">ATAN(A326/pole1)</f>
        <v>1.54596631344155</v>
      </c>
      <c r="E326" s="708" t="n">
        <f aca="false">SQRT(1+(A326/Zero1)^2)</f>
        <v>1.04297239650813</v>
      </c>
      <c r="F326" s="709" t="n">
        <f aca="false">ATAN(A326/Zero1)</f>
        <v>0.28805533020452</v>
      </c>
      <c r="G326" s="708" t="n">
        <f aca="false">IF(VIN_nom&gt;Vout, 1, SQRT(1+(A326/z_RHP)^2))</f>
        <v>1.05930053715659</v>
      </c>
      <c r="H326" s="709" t="n">
        <f aca="false">IF(VIN_nom&gt;Vout, 0, -ATAN(A326/z_RHP))</f>
        <v>-0.33618772293162</v>
      </c>
      <c r="I326" s="707" t="n">
        <f aca="false">SQRT(1+(A326/Pole2)^2)</f>
        <v>97807.9980477455</v>
      </c>
      <c r="J326" s="710" t="n">
        <f aca="false">ATAN(A326/Pole2)</f>
        <v>1.57078610268215</v>
      </c>
      <c r="K326" s="719" t="n">
        <f aca="false">SQRT(1+(A326/Zero2)^2)</f>
        <v>30.2787269896189</v>
      </c>
      <c r="L326" s="720" t="n">
        <f aca="false">ATAN(A326/Zero2)</f>
        <v>1.53776383236041</v>
      </c>
      <c r="M326" s="707" t="n">
        <f aca="false">SQRT(1+(A326/pole4)^2)</f>
        <v>1.37258441752185</v>
      </c>
      <c r="N326" s="710" t="n">
        <f aca="false">ATAN(A326/pole4)</f>
        <v>0.75458972416006</v>
      </c>
      <c r="O326" s="711" t="n">
        <f aca="false">SQRT((1-(V326/pterm2))^2+(A326/pterm1)^2)</f>
        <v>1.02901389701558</v>
      </c>
      <c r="P326" s="712" t="n">
        <f aca="false">IF((ATAN((A326/pterm1)/(1-A326^2/pterm2))&gt;0),ATAN((A326/pterm1)/(1-A326^2/pterm2)),PI()+ATAN((A326/pterm1)/(1-A326^2/pterm2)))</f>
        <v>0.324556772430773</v>
      </c>
      <c r="Q326" s="713" t="n">
        <f aca="false">20*LOG10(((E326*K326*G326)/(C326*I326*O326*M326))*Adc)</f>
        <v>-15.2585030148127</v>
      </c>
      <c r="R326" s="714" t="n">
        <f aca="false">((F326+L326+H326)-(D326+J326+P326+N326))*radconv</f>
        <v>-155.057704618267</v>
      </c>
      <c r="S326" s="717" t="n">
        <f aca="false">IF(R326&gt;0,R326,R326+180)</f>
        <v>24.942295381733</v>
      </c>
      <c r="U326" s="644" t="n">
        <f aca="false">IF(Q326&lt;0,A326,1000000000)</f>
        <v>23578.5</v>
      </c>
      <c r="V326" s="644" t="n">
        <f aca="false">A326^2</f>
        <v>555945662.25</v>
      </c>
      <c r="X326" s="716" t="n">
        <f aca="false">20*LOG10((K326/(I326*M326))*AEA)</f>
        <v>15.1611578959612</v>
      </c>
      <c r="Y326" s="717" t="n">
        <f aca="false">(L326-(J326+N326))*radconv</f>
        <v>-45.1268432292529</v>
      </c>
      <c r="AA326" s="716" t="n">
        <f aca="false">20*LOG10((E326*G326/(C326*O326))*Acs*Am)</f>
        <v>21.0609644437805</v>
      </c>
      <c r="AB326" s="717" t="n">
        <f aca="false">(F326+H326-(D326+P326))*radconv</f>
        <v>-109.930861389014</v>
      </c>
      <c r="AD326" s="0" t="n">
        <f aca="false">SUM((Q327&lt;0)*(Q326&gt;0))*A326</f>
        <v>0</v>
      </c>
      <c r="AE326" s="0" t="n">
        <f aca="false">IF(AD326&gt;0,S326,0)</f>
        <v>0</v>
      </c>
    </row>
    <row r="327" customFormat="false" ht="12.75" hidden="false" customHeight="false" outlineLevel="0" collapsed="false">
      <c r="A327" s="718" t="n">
        <v>23715</v>
      </c>
      <c r="B327" s="706" t="n">
        <f aca="false">A327/1000</f>
        <v>23.715</v>
      </c>
      <c r="C327" s="707" t="n">
        <f aca="false">SQRT(1+(A327/pole1)^2)</f>
        <v>40.5110120839403</v>
      </c>
      <c r="D327" s="708" t="n">
        <f aca="false">ATAN(A327/pole1)</f>
        <v>1.54610917306304</v>
      </c>
      <c r="E327" s="708" t="n">
        <f aca="false">SQRT(1+(A327/Zero1)^2)</f>
        <v>1.04346099183632</v>
      </c>
      <c r="F327" s="709" t="n">
        <f aca="false">ATAN(A327/Zero1)</f>
        <v>0.289631466107416</v>
      </c>
      <c r="G327" s="708" t="n">
        <f aca="false">IF(VIN_nom&gt;Vout, 1, SQRT(1+(A327/z_RHP)^2))</f>
        <v>1.05996964141527</v>
      </c>
      <c r="H327" s="709" t="n">
        <f aca="false">IF(VIN_nom&gt;Vout, 0, -ATAN(A327/z_RHP))</f>
        <v>-0.337989467718123</v>
      </c>
      <c r="I327" s="707" t="n">
        <f aca="false">SQRT(1+(A327/Pole2)^2)</f>
        <v>98374.2254045378</v>
      </c>
      <c r="J327" s="710" t="n">
        <f aca="false">ATAN(A327/Pole2)</f>
        <v>1.57078616153061</v>
      </c>
      <c r="K327" s="719" t="n">
        <f aca="false">SQRT(1+(A327/Zero2)^2)</f>
        <v>30.4538251119966</v>
      </c>
      <c r="L327" s="720" t="n">
        <f aca="false">ATAN(A327/Zero2)</f>
        <v>1.5379538253818</v>
      </c>
      <c r="M327" s="707" t="n">
        <f aca="false">SQRT(1+(A327/pole4)^2)</f>
        <v>1.37631854133223</v>
      </c>
      <c r="N327" s="710" t="n">
        <f aca="false">ATAN(A327/pole4)</f>
        <v>0.757470982734376</v>
      </c>
      <c r="O327" s="711" t="n">
        <f aca="false">SQRT((1-(V327/pterm2))^2+(A327/pterm1)^2)</f>
        <v>1.02934948260934</v>
      </c>
      <c r="P327" s="712" t="n">
        <f aca="false">IF((ATAN((A327/pterm1)/(1-A327^2/pterm2))&gt;0),ATAN((A327/pterm1)/(1-A327^2/pterm2)),PI()+ATAN((A327/pterm1)/(1-A327^2/pterm2)))</f>
        <v>0.32639480873452</v>
      </c>
      <c r="Q327" s="713" t="n">
        <f aca="false">20*LOG10(((E327*K327*G327)/(C327*I327*O327*M327))*Adc)</f>
        <v>-15.3255431575901</v>
      </c>
      <c r="R327" s="714" t="n">
        <f aca="false">((F327+L327+H327)-(D327+J327+P327+N327))*radconv</f>
        <v>-155.33832956111</v>
      </c>
      <c r="S327" s="717" t="n">
        <f aca="false">IF(R327&gt;0,R327,R327+180)</f>
        <v>24.6616704388898</v>
      </c>
      <c r="U327" s="644" t="n">
        <f aca="false">IF(Q327&lt;0,A327,1000000000)</f>
        <v>23715</v>
      </c>
      <c r="V327" s="644" t="n">
        <f aca="false">A327^2</f>
        <v>562401225</v>
      </c>
      <c r="X327" s="716" t="n">
        <f aca="false">20*LOG10((K327/(I327*M327))*AEA)</f>
        <v>15.1375055927649</v>
      </c>
      <c r="Y327" s="717" t="n">
        <f aca="false">(L327-(J327+N327))*radconv</f>
        <v>-45.2810447589294</v>
      </c>
      <c r="AA327" s="716" t="n">
        <f aca="false">20*LOG10((E327*G327/(C327*O327))*Acs*Am)</f>
        <v>21.0175766041993</v>
      </c>
      <c r="AB327" s="717" t="n">
        <f aca="false">(F327+H327-(D327+P327))*radconv</f>
        <v>-110.057284802181</v>
      </c>
      <c r="AD327" s="0" t="n">
        <f aca="false">SUM((Q328&lt;0)*(Q327&gt;0))*A327</f>
        <v>0</v>
      </c>
      <c r="AE327" s="0" t="n">
        <f aca="false">IF(AD327&gt;0,S327,0)</f>
        <v>0</v>
      </c>
    </row>
    <row r="328" customFormat="false" ht="12.75" hidden="false" customHeight="false" outlineLevel="0" collapsed="false">
      <c r="A328" s="718" t="n">
        <v>23851.5</v>
      </c>
      <c r="B328" s="706" t="n">
        <f aca="false">A328/1000</f>
        <v>23.8515</v>
      </c>
      <c r="C328" s="707" t="n">
        <f aca="false">SQRT(1+(A328/pole1)^2)</f>
        <v>40.7440457474847</v>
      </c>
      <c r="D328" s="708" t="n">
        <f aca="false">ATAN(A328/pole1)</f>
        <v>1.54625039852954</v>
      </c>
      <c r="E328" s="708" t="n">
        <f aca="false">SQRT(1+(A328/Zero1)^2)</f>
        <v>1.04395217690474</v>
      </c>
      <c r="F328" s="709" t="n">
        <f aca="false">ATAN(A328/Zero1)</f>
        <v>0.29120612275832</v>
      </c>
      <c r="G328" s="708" t="n">
        <f aca="false">IF(VIN_nom&gt;Vout, 1, SQRT(1+(A328/z_RHP)^2))</f>
        <v>1.06064218228877</v>
      </c>
      <c r="H328" s="709" t="n">
        <f aca="false">IF(VIN_nom&gt;Vout, 0, -ATAN(A328/z_RHP))</f>
        <v>-0.339788933409212</v>
      </c>
      <c r="I328" s="707" t="n">
        <f aca="false">SQRT(1+(A328/Pole2)^2)</f>
        <v>98940.4527613303</v>
      </c>
      <c r="J328" s="710" t="n">
        <f aca="false">ATAN(A328/Pole2)</f>
        <v>1.57078621970551</v>
      </c>
      <c r="K328" s="719" t="n">
        <f aca="false">SQRT(1+(A328/Zero2)^2)</f>
        <v>30.6289243211077</v>
      </c>
      <c r="L328" s="720" t="n">
        <f aca="false">ATAN(A328/Zero2)</f>
        <v>1.5381416461085</v>
      </c>
      <c r="M328" s="707" t="n">
        <f aca="false">SQRT(1+(A328/pole4)^2)</f>
        <v>1.38006402897309</v>
      </c>
      <c r="N328" s="710" t="n">
        <f aca="false">ATAN(A328/pole4)</f>
        <v>0.760336625544985</v>
      </c>
      <c r="O328" s="711" t="n">
        <f aca="false">SQRT((1-(V328/pterm2))^2+(A328/pterm1)^2)</f>
        <v>1.02968697567882</v>
      </c>
      <c r="P328" s="712" t="n">
        <f aca="false">IF((ATAN((A328/pterm1)/(1-A328^2/pterm2))&gt;0),ATAN((A328/pterm1)/(1-A328^2/pterm2)),PI()+ATAN((A328/pterm1)/(1-A328^2/pterm2)))</f>
        <v>0.328232159280669</v>
      </c>
      <c r="Q328" s="713" t="n">
        <f aca="false">20*LOG10(((E328*K328*G328)/(C328*I328*O328*M328))*Adc)</f>
        <v>-15.3922735563226</v>
      </c>
      <c r="R328" s="714" t="n">
        <f aca="false">((F328+L328+H328)-(D328+J328+P328+N328))*radconv</f>
        <v>-155.618005462471</v>
      </c>
      <c r="S328" s="717" t="n">
        <f aca="false">IF(R328&gt;0,R328,R328+180)</f>
        <v>24.3819945375291</v>
      </c>
      <c r="U328" s="644" t="n">
        <f aca="false">IF(Q328&lt;0,A328,1000000000)</f>
        <v>23851.5</v>
      </c>
      <c r="V328" s="644" t="n">
        <f aca="false">A328^2</f>
        <v>568894052.25</v>
      </c>
      <c r="X328" s="716" t="n">
        <f aca="false">20*LOG10((K328/(I328*M328))*AEA)</f>
        <v>15.1138466349246</v>
      </c>
      <c r="Y328" s="717" t="n">
        <f aca="false">(L328-(J328+N328))*radconv</f>
        <v>-45.434475995976</v>
      </c>
      <c r="AA328" s="716" t="n">
        <f aca="false">20*LOG10((E328*G328/(C328*O328))*Acs*Am)</f>
        <v>20.9745051633071</v>
      </c>
      <c r="AB328" s="717" t="n">
        <f aca="false">(F328+H328-(D328+P328))*radconv</f>
        <v>-110.183529466495</v>
      </c>
      <c r="AD328" s="0" t="n">
        <f aca="false">SUM((Q329&lt;0)*(Q328&gt;0))*A328</f>
        <v>0</v>
      </c>
      <c r="AE328" s="0" t="n">
        <f aca="false">IF(AD328&gt;0,S328,0)</f>
        <v>0</v>
      </c>
    </row>
    <row r="329" customFormat="false" ht="12.75" hidden="false" customHeight="false" outlineLevel="0" collapsed="false">
      <c r="A329" s="718" t="n">
        <v>23988</v>
      </c>
      <c r="B329" s="706" t="n">
        <f aca="false">A329/1000</f>
        <v>23.988</v>
      </c>
      <c r="C329" s="707" t="n">
        <f aca="false">SQRT(1+(A329/pole1)^2)</f>
        <v>40.9770802144113</v>
      </c>
      <c r="D329" s="708" t="n">
        <f aca="false">ATAN(A329/pole1)</f>
        <v>1.54639001771543</v>
      </c>
      <c r="E329" s="708" t="n">
        <f aca="false">SQRT(1+(A329/Zero1)^2)</f>
        <v>1.04444594805963</v>
      </c>
      <c r="F329" s="709" t="n">
        <f aca="false">ATAN(A329/Zero1)</f>
        <v>0.292779294440901</v>
      </c>
      <c r="G329" s="708" t="n">
        <f aca="false">IF(VIN_nom&gt;Vout, 1, SQRT(1+(A329/z_RHP)^2))</f>
        <v>1.06131815324389</v>
      </c>
      <c r="H329" s="709" t="n">
        <f aca="false">IF(VIN_nom&gt;Vout, 0, -ATAN(A329/z_RHP))</f>
        <v>-0.341586112695064</v>
      </c>
      <c r="I329" s="707" t="n">
        <f aca="false">SQRT(1+(A329/Pole2)^2)</f>
        <v>99506.6801181232</v>
      </c>
      <c r="J329" s="710" t="n">
        <f aca="false">ATAN(A329/Pole2)</f>
        <v>1.57078627721834</v>
      </c>
      <c r="K329" s="719" t="n">
        <f aca="false">SQRT(1+(A329/Zero2)^2)</f>
        <v>30.8040245984203</v>
      </c>
      <c r="L329" s="720" t="n">
        <f aca="false">ATAN(A329/Zero2)</f>
        <v>1.53832733157126</v>
      </c>
      <c r="M329" s="707" t="n">
        <f aca="false">SQRT(1+(A329/pole4)^2)</f>
        <v>1.38382078817146</v>
      </c>
      <c r="N329" s="710" t="n">
        <f aca="false">ATAN(A329/pole4)</f>
        <v>0.763186732515785</v>
      </c>
      <c r="O329" s="711" t="n">
        <f aca="false">SQRT((1-(V329/pterm2))^2+(A329/pterm1)^2)</f>
        <v>1.03002637574104</v>
      </c>
      <c r="P329" s="712" t="n">
        <f aca="false">IF((ATAN((A329/pterm1)/(1-A329^2/pterm2))&gt;0),ATAN((A329/pterm1)/(1-A329^2/pterm2)),PI()+ATAN((A329/pterm1)/(1-A329^2/pterm2)))</f>
        <v>0.33006882073655</v>
      </c>
      <c r="Q329" s="713" t="n">
        <f aca="false">20*LOG10(((E329*K329*G329)/(C329*I329*O329*M329))*Adc)</f>
        <v>-15.4586968324521</v>
      </c>
      <c r="R329" s="714" t="n">
        <f aca="false">((F329+L329+H329)-(D329+J329+P329+N329))*radconv</f>
        <v>-155.896736095439</v>
      </c>
      <c r="S329" s="717" t="n">
        <f aca="false">IF(R329&gt;0,R329,R329+180)</f>
        <v>24.1032639045606</v>
      </c>
      <c r="U329" s="644" t="n">
        <f aca="false">IF(Q329&lt;0,A329,1000000000)</f>
        <v>23988</v>
      </c>
      <c r="V329" s="644" t="n">
        <f aca="false">A329^2</f>
        <v>575424144</v>
      </c>
      <c r="X329" s="716" t="n">
        <f aca="false">20*LOG10((K329/(I329*M329))*AEA)</f>
        <v>15.0901818157451</v>
      </c>
      <c r="Y329" s="717" t="n">
        <f aca="false">(L329-(J329+N329))*radconv</f>
        <v>-45.5871393986473</v>
      </c>
      <c r="AA329" s="716" t="n">
        <f aca="false">20*LOG10((E329*G329/(C329*O329))*Acs*Am)</f>
        <v>20.9317467063572</v>
      </c>
      <c r="AB329" s="717" t="n">
        <f aca="false">(F329+H329-(D329+P329))*radconv</f>
        <v>-110.309596696792</v>
      </c>
      <c r="AD329" s="0" t="n">
        <f aca="false">SUM((Q330&lt;0)*(Q329&gt;0))*A329</f>
        <v>0</v>
      </c>
      <c r="AE329" s="0" t="n">
        <f aca="false">IF(AD329&gt;0,S329,0)</f>
        <v>0</v>
      </c>
    </row>
    <row r="330" customFormat="false" ht="12.75" hidden="false" customHeight="false" outlineLevel="0" collapsed="false">
      <c r="A330" s="718" t="n">
        <v>24127.75</v>
      </c>
      <c r="B330" s="706" t="n">
        <f aca="false">A330/1000</f>
        <v>24.12775</v>
      </c>
      <c r="C330" s="707" t="n">
        <f aca="false">SQRT(1+(A330/pole1)^2)</f>
        <v>41.2156639390994</v>
      </c>
      <c r="D330" s="708" t="n">
        <f aca="false">ATAN(A330/pole1)</f>
        <v>1.54653132550962</v>
      </c>
      <c r="E330" s="708" t="n">
        <f aca="false">SQRT(1+(A330/Zero1)^2)</f>
        <v>1.0449541510221</v>
      </c>
      <c r="F330" s="709" t="n">
        <f aca="false">ATAN(A330/Zero1)</f>
        <v>0.294388378241396</v>
      </c>
      <c r="G330" s="708" t="n">
        <f aca="false">IF(VIN_nom&gt;Vout, 1, SQRT(1+(A330/z_RHP)^2))</f>
        <v>1.06201376546279</v>
      </c>
      <c r="H330" s="709" t="n">
        <f aca="false">IF(VIN_nom&gt;Vout, 0, -ATAN(A330/z_RHP))</f>
        <v>-0.343423705701765</v>
      </c>
      <c r="I330" s="707" t="n">
        <f aca="false">SQRT(1+(A330/Pole2)^2)</f>
        <v>100086.38907865</v>
      </c>
      <c r="J330" s="710" t="n">
        <f aca="false">ATAN(A330/Pole2)</f>
        <v>1.57078633542635</v>
      </c>
      <c r="K330" s="719" t="n">
        <f aca="false">SQRT(1+(A330/Zero2)^2)</f>
        <v>30.9832950176974</v>
      </c>
      <c r="L330" s="720" t="n">
        <f aca="false">ATAN(A330/Zero2)</f>
        <v>1.53851526377742</v>
      </c>
      <c r="M330" s="707" t="n">
        <f aca="false">SQRT(1+(A330/pole4)^2)</f>
        <v>1.38767857573169</v>
      </c>
      <c r="N330" s="710" t="n">
        <f aca="false">ATAN(A330/pole4)</f>
        <v>0.766088687692293</v>
      </c>
      <c r="O330" s="711" t="n">
        <f aca="false">SQRT((1-(V330/pterm2))^2+(A330/pterm1)^2)</f>
        <v>1.03037583189087</v>
      </c>
      <c r="P330" s="712" t="n">
        <f aca="false">IF((ATAN((A330/pterm1)/(1-A330^2/pterm2))&gt;0),ATAN((A330/pterm1)/(1-A330^2/pterm2)),PI()+ATAN((A330/pterm1)/(1-A330^2/pterm2)))</f>
        <v>0.33194849486127</v>
      </c>
      <c r="Q330" s="713" t="n">
        <f aca="false">20*LOG10(((E330*K330*G330)/(C330*I330*O330*M330))*Adc)</f>
        <v>-15.5263861286086</v>
      </c>
      <c r="R330" s="714" t="n">
        <f aca="false">((F330+L330+H330)-(D330+J330+P330+N330))*radconv</f>
        <v>-156.181127840061</v>
      </c>
      <c r="S330" s="717" t="n">
        <f aca="false">IF(R330&gt;0,R330,R330+180)</f>
        <v>23.8188721599391</v>
      </c>
      <c r="U330" s="644" t="n">
        <f aca="false">IF(Q330&lt;0,A330,1000000000)</f>
        <v>24127.75</v>
      </c>
      <c r="V330" s="644" t="n">
        <f aca="false">A330^2</f>
        <v>582148320.0625</v>
      </c>
      <c r="X330" s="716" t="n">
        <f aca="false">20*LOG10((K330/(I330*M330))*AEA)</f>
        <v>15.0659482919858</v>
      </c>
      <c r="Y330" s="717" t="n">
        <f aca="false">(L330-(J330+N330))*radconv</f>
        <v>-45.7426447956006</v>
      </c>
      <c r="AA330" s="716" t="n">
        <f aca="false">20*LOG10((E330*G330/(C330*O330))*Acs*Am)</f>
        <v>20.88829093396</v>
      </c>
      <c r="AB330" s="717" t="n">
        <f aca="false">(F330+H330-(D330+P330))*radconv</f>
        <v>-110.43848304446</v>
      </c>
      <c r="AD330" s="0" t="n">
        <f aca="false">SUM((Q331&lt;0)*(Q330&gt;0))*A330</f>
        <v>0</v>
      </c>
      <c r="AE330" s="0" t="n">
        <f aca="false">IF(AD330&gt;0,S330,0)</f>
        <v>0</v>
      </c>
    </row>
    <row r="331" customFormat="false" ht="12.75" hidden="false" customHeight="false" outlineLevel="0" collapsed="false">
      <c r="A331" s="718" t="n">
        <v>24267.5</v>
      </c>
      <c r="B331" s="706" t="n">
        <f aca="false">A331/1000</f>
        <v>24.2675</v>
      </c>
      <c r="C331" s="707" t="n">
        <f aca="false">SQRT(1+(A331/pole1)^2)</f>
        <v>41.4542484773042</v>
      </c>
      <c r="D331" s="708" t="n">
        <f aca="false">ATAN(A331/pole1)</f>
        <v>1.54667100674928</v>
      </c>
      <c r="E331" s="708" t="n">
        <f aca="false">SQRT(1+(A331/Zero1)^2)</f>
        <v>1.04546505689389</v>
      </c>
      <c r="F331" s="709" t="n">
        <f aca="false">ATAN(A331/Zero1)</f>
        <v>0.295995893521817</v>
      </c>
      <c r="G331" s="708" t="n">
        <f aca="false">IF(VIN_nom&gt;Vout, 1, SQRT(1+(A331/z_RHP)^2))</f>
        <v>1.06271295913282</v>
      </c>
      <c r="H331" s="709" t="n">
        <f aca="false">IF(VIN_nom&gt;Vout, 0, -ATAN(A331/z_RHP))</f>
        <v>-0.345258886873356</v>
      </c>
      <c r="I331" s="707" t="n">
        <f aca="false">SQRT(1+(A331/Pole2)^2)</f>
        <v>100666.098039176</v>
      </c>
      <c r="J331" s="710" t="n">
        <f aca="false">ATAN(A331/Pole2)</f>
        <v>1.57078639296395</v>
      </c>
      <c r="K331" s="719" t="n">
        <f aca="false">SQRT(1+(A331/Zero2)^2)</f>
        <v>31.1625665186681</v>
      </c>
      <c r="L331" s="720" t="n">
        <f aca="false">ATAN(A331/Zero2)</f>
        <v>1.53870103372346</v>
      </c>
      <c r="M331" s="707" t="n">
        <f aca="false">SQRT(1+(A331/pole4)^2)</f>
        <v>1.39154798455831</v>
      </c>
      <c r="N331" s="710" t="n">
        <f aca="false">ATAN(A331/pole4)</f>
        <v>0.768974528411932</v>
      </c>
      <c r="O331" s="711" t="n">
        <f aca="false">SQRT((1-(V331/pterm2))^2+(A331/pterm1)^2)</f>
        <v>1.03072728589279</v>
      </c>
      <c r="P331" s="712" t="n">
        <f aca="false">IF((ATAN((A331/pterm1)/(1-A331^2/pterm2))&gt;0),ATAN((A331/pterm1)/(1-A331^2/pterm2)),PI()+ATAN((A331/pterm1)/(1-A331^2/pterm2)))</f>
        <v>0.333827439652703</v>
      </c>
      <c r="Q331" s="713" t="n">
        <f aca="false">20*LOG10(((E331*K331*G331)/(C331*I331*O331*M331))*Adc)</f>
        <v>-15.5937589259735</v>
      </c>
      <c r="R331" s="714" t="n">
        <f aca="false">((F331+L331+H331)-(D331+J331+P331+N331))*radconv</f>
        <v>-156.464536843461</v>
      </c>
      <c r="S331" s="717" t="n">
        <f aca="false">IF(R331&gt;0,R331,R331+180)</f>
        <v>23.5354631565394</v>
      </c>
      <c r="U331" s="644" t="n">
        <f aca="false">IF(Q331&lt;0,A331,1000000000)</f>
        <v>24267.5</v>
      </c>
      <c r="V331" s="644" t="n">
        <f aca="false">A331^2</f>
        <v>588911556.25</v>
      </c>
      <c r="X331" s="716" t="n">
        <f aca="false">20*LOG10((K331/(I331*M331))*AEA)</f>
        <v>15.0417102690414</v>
      </c>
      <c r="Y331" s="717" t="n">
        <f aca="false">(L331-(J331+N331))*radconv</f>
        <v>-45.8973507521529</v>
      </c>
      <c r="AA331" s="716" t="n">
        <f aca="false">20*LOG10((E331*G331/(C331*O331))*Acs*Am)</f>
        <v>20.8451561595394</v>
      </c>
      <c r="AB331" s="717" t="n">
        <f aca="false">(F331+H331-(D331+P331))*radconv</f>
        <v>-110.567186091308</v>
      </c>
      <c r="AD331" s="0" t="n">
        <f aca="false">SUM((Q332&lt;0)*(Q331&gt;0))*A331</f>
        <v>0</v>
      </c>
      <c r="AE331" s="0" t="n">
        <f aca="false">IF(AD331&gt;0,S331,0)</f>
        <v>0</v>
      </c>
    </row>
    <row r="332" customFormat="false" ht="12.75" hidden="false" customHeight="false" outlineLevel="0" collapsed="false">
      <c r="A332" s="718" t="n">
        <v>24407.25</v>
      </c>
      <c r="B332" s="706" t="n">
        <f aca="false">A332/1000</f>
        <v>24.40725</v>
      </c>
      <c r="C332" s="707" t="n">
        <f aca="false">SQRT(1+(A332/pole1)^2)</f>
        <v>41.6928338150599</v>
      </c>
      <c r="D332" s="708" t="n">
        <f aca="false">ATAN(A332/pole1)</f>
        <v>1.54680908935259</v>
      </c>
      <c r="E332" s="708" t="n">
        <f aca="false">SQRT(1+(A332/Zero1)^2)</f>
        <v>1.04597866171431</v>
      </c>
      <c r="F332" s="709" t="n">
        <f aca="false">ATAN(A332/Zero1)</f>
        <v>0.297601834278712</v>
      </c>
      <c r="G332" s="708" t="n">
        <f aca="false">IF(VIN_nom&gt;Vout, 1, SQRT(1+(A332/z_RHP)^2))</f>
        <v>1.06341572718961</v>
      </c>
      <c r="H332" s="709" t="n">
        <f aca="false">IF(VIN_nom&gt;Vout, 0, -ATAN(A332/z_RHP))</f>
        <v>-0.347091648618018</v>
      </c>
      <c r="I332" s="707" t="n">
        <f aca="false">SQRT(1+(A332/Pole2)^2)</f>
        <v>101245.806999703</v>
      </c>
      <c r="J332" s="710" t="n">
        <f aca="false">ATAN(A332/Pole2)</f>
        <v>1.57078644984266</v>
      </c>
      <c r="K332" s="719" t="n">
        <f aca="false">SQRT(1+(A332/Zero2)^2)</f>
        <v>31.3418390827711</v>
      </c>
      <c r="L332" s="720" t="n">
        <f aca="false">ATAN(A332/Zero2)</f>
        <v>1.53888467850026</v>
      </c>
      <c r="M332" s="707" t="n">
        <f aca="false">SQRT(1+(A332/pole4)^2)</f>
        <v>1.39542891797687</v>
      </c>
      <c r="N332" s="710" t="n">
        <f aca="false">ATAN(A332/pole4)</f>
        <v>0.771844340859169</v>
      </c>
      <c r="O332" s="711" t="n">
        <f aca="false">SQRT((1-(V332/pterm2))^2+(A332/pterm1)^2)</f>
        <v>1.03108073722213</v>
      </c>
      <c r="P332" s="712" t="n">
        <f aca="false">IF((ATAN((A332/pterm1)/(1-A332^2/pterm2))&gt;0),ATAN((A332/pterm1)/(1-A332^2/pterm2)),PI()+ATAN((A332/pterm1)/(1-A332^2/pterm2)))</f>
        <v>0.335705651566071</v>
      </c>
      <c r="Q332" s="713" t="n">
        <f aca="false">20*LOG10(((E332*K332*G332)/(C332*I332*O332*M332))*Adc)</f>
        <v>-15.6608179000726</v>
      </c>
      <c r="R332" s="714" t="n">
        <f aca="false">((F332+L332+H332)-(D332+J332+P332+N332))*radconv</f>
        <v>-156.746967224638</v>
      </c>
      <c r="S332" s="717" t="n">
        <f aca="false">IF(R332&gt;0,R332,R332+180)</f>
        <v>23.2530327753616</v>
      </c>
      <c r="U332" s="644" t="n">
        <f aca="false">IF(Q332&lt;0,A332,1000000000)</f>
        <v>24407.25</v>
      </c>
      <c r="V332" s="644" t="n">
        <f aca="false">A332^2</f>
        <v>595713852.5625</v>
      </c>
      <c r="X332" s="716" t="n">
        <f aca="false">20*LOG10((K332/(I332*M332))*AEA)</f>
        <v>15.0174685596444</v>
      </c>
      <c r="Y332" s="717" t="n">
        <f aca="false">(L332-(J332+N332))*radconv</f>
        <v>-46.0512600818192</v>
      </c>
      <c r="AA332" s="716" t="n">
        <f aca="false">20*LOG10((E332*G332/(C332*O332))*Acs*Am)</f>
        <v>20.8023388948374</v>
      </c>
      <c r="AB332" s="717" t="n">
        <f aca="false">(F332+H332-(D332+P332))*radconv</f>
        <v>-110.695707142819</v>
      </c>
      <c r="AD332" s="0" t="n">
        <f aca="false">SUM((Q333&lt;0)*(Q332&gt;0))*A332</f>
        <v>0</v>
      </c>
      <c r="AE332" s="0" t="n">
        <f aca="false">IF(AD332&gt;0,S332,0)</f>
        <v>0</v>
      </c>
    </row>
    <row r="333" customFormat="false" ht="12.75" hidden="false" customHeight="false" outlineLevel="0" collapsed="false">
      <c r="A333" s="718" t="n">
        <v>24547</v>
      </c>
      <c r="B333" s="706" t="n">
        <f aca="false">A333/1000</f>
        <v>24.547</v>
      </c>
      <c r="C333" s="707" t="n">
        <f aca="false">SQRT(1+(A333/pole1)^2)</f>
        <v>41.9314199387183</v>
      </c>
      <c r="D333" s="708" t="n">
        <f aca="false">ATAN(A333/pole1)</f>
        <v>1.54694560060252</v>
      </c>
      <c r="E333" s="708" t="n">
        <f aca="false">SQRT(1+(A333/Zero1)^2)</f>
        <v>1.04649496150955</v>
      </c>
      <c r="F333" s="709" t="n">
        <f aca="false">ATAN(A333/Zero1)</f>
        <v>0.299206194552874</v>
      </c>
      <c r="G333" s="708" t="n">
        <f aca="false">IF(VIN_nom&gt;Vout, 1, SQRT(1+(A333/z_RHP)^2))</f>
        <v>1.06412206255134</v>
      </c>
      <c r="H333" s="709" t="n">
        <f aca="false">IF(VIN_nom&gt;Vout, 0, -ATAN(A333/z_RHP))</f>
        <v>-0.34892198342895</v>
      </c>
      <c r="I333" s="707" t="n">
        <f aca="false">SQRT(1+(A333/Pole2)^2)</f>
        <v>101825.515960231</v>
      </c>
      <c r="J333" s="710" t="n">
        <f aca="false">ATAN(A333/Pole2)</f>
        <v>1.57078650607373</v>
      </c>
      <c r="K333" s="719" t="n">
        <f aca="false">SQRT(1+(A333/Zero2)^2)</f>
        <v>31.5211126918668</v>
      </c>
      <c r="L333" s="720" t="n">
        <f aca="false">ATAN(A333/Zero2)</f>
        <v>1.53906623435548</v>
      </c>
      <c r="M333" s="707" t="n">
        <f aca="false">SQRT(1+(A333/pole4)^2)</f>
        <v>1.3993212800991</v>
      </c>
      <c r="N333" s="710" t="n">
        <f aca="false">ATAN(A333/pole4)</f>
        <v>0.774698211319852</v>
      </c>
      <c r="O333" s="711" t="n">
        <f aca="false">SQRT((1-(V333/pterm2))^2+(A333/pterm1)^2)</f>
        <v>1.03143618535209</v>
      </c>
      <c r="P333" s="712" t="n">
        <f aca="false">IF((ATAN((A333/pterm1)/(1-A333^2/pterm2))&gt;0),ATAN((A333/pterm1)/(1-A333^2/pterm2)),PI()+ATAN((A333/pterm1)/(1-A333^2/pterm2)))</f>
        <v>0.337583127067341</v>
      </c>
      <c r="Q333" s="713" t="n">
        <f aca="false">20*LOG10(((E333*K333*G333)/(C333*I333*O333*M333))*Adc)</f>
        <v>-15.7275656824398</v>
      </c>
      <c r="R333" s="714" t="n">
        <f aca="false">((F333+L333+H333)-(D333+J333+P333+N333))*radconv</f>
        <v>-157.028423123261</v>
      </c>
      <c r="S333" s="717" t="n">
        <f aca="false">IF(R333&gt;0,R333,R333+180)</f>
        <v>22.9715768767389</v>
      </c>
      <c r="U333" s="644" t="n">
        <f aca="false">IF(Q333&lt;0,A333,1000000000)</f>
        <v>24547</v>
      </c>
      <c r="V333" s="644" t="n">
        <f aca="false">A333^2</f>
        <v>602555209</v>
      </c>
      <c r="X333" s="716" t="n">
        <f aca="false">20*LOG10((K333/(I333*M333))*AEA)</f>
        <v>14.9932239637415</v>
      </c>
      <c r="Y333" s="717" t="n">
        <f aca="false">(L333-(J333+N333))*radconv</f>
        <v>-46.2043756522215</v>
      </c>
      <c r="AA333" s="716" t="n">
        <f aca="false">20*LOG10((E333*G333/(C333*O333))*Acs*Am)</f>
        <v>20.759835708373</v>
      </c>
      <c r="AB333" s="717" t="n">
        <f aca="false">(F333+H333-(D333+P333))*radconv</f>
        <v>-110.82404747104</v>
      </c>
      <c r="AD333" s="0" t="n">
        <f aca="false">SUM((Q334&lt;0)*(Q333&gt;0))*A333</f>
        <v>0</v>
      </c>
      <c r="AE333" s="0" t="n">
        <f aca="false">IF(AD333&gt;0,S333,0)</f>
        <v>0</v>
      </c>
    </row>
    <row r="334" customFormat="false" ht="12.75" hidden="false" customHeight="false" outlineLevel="0" collapsed="false">
      <c r="A334" s="718" t="n">
        <v>24690</v>
      </c>
      <c r="B334" s="706" t="n">
        <f aca="false">A334/1000</f>
        <v>24.69</v>
      </c>
      <c r="C334" s="707" t="n">
        <f aca="false">SQRT(1+(A334/pole1)^2)</f>
        <v>42.1755553764976</v>
      </c>
      <c r="D334" s="708" t="n">
        <f aca="false">ATAN(A334/pole1)</f>
        <v>1.54708368775327</v>
      </c>
      <c r="E334" s="708" t="n">
        <f aca="false">SQRT(1+(A334/Zero1)^2)</f>
        <v>1.04702605383207</v>
      </c>
      <c r="F334" s="709" t="n">
        <f aca="false">ATAN(A334/Zero1)</f>
        <v>0.300846223317774</v>
      </c>
      <c r="G334" s="708" t="n">
        <f aca="false">IF(VIN_nom&gt;Vout, 1, SQRT(1+(A334/z_RHP)^2))</f>
        <v>1.06484850962179</v>
      </c>
      <c r="H334" s="709" t="n">
        <f aca="false">IF(VIN_nom&gt;Vout, 0, -ATAN(A334/z_RHP))</f>
        <v>-0.350792364173387</v>
      </c>
      <c r="I334" s="707" t="n">
        <f aca="false">SQRT(1+(A334/Pole2)^2)</f>
        <v>102418.706524492</v>
      </c>
      <c r="J334" s="710" t="n">
        <f aca="false">ATAN(A334/Pole2)</f>
        <v>1.57078656295356</v>
      </c>
      <c r="K334" s="719" t="n">
        <f aca="false">SQRT(1+(A334/Zero2)^2)</f>
        <v>31.704556517899</v>
      </c>
      <c r="L334" s="720" t="n">
        <f aca="false">ATAN(A334/Zero2)</f>
        <v>1.5392498870372</v>
      </c>
      <c r="M334" s="707" t="n">
        <f aca="false">SQRT(1+(A334/pole4)^2)</f>
        <v>1.40331589353362</v>
      </c>
      <c r="N334" s="710" t="n">
        <f aca="false">ATAN(A334/pole4)</f>
        <v>0.777602038545988</v>
      </c>
      <c r="O334" s="711" t="n">
        <f aca="false">SQRT((1-(V334/pterm2))^2+(A334/pterm1)^2)</f>
        <v>1.03180196616228</v>
      </c>
      <c r="P334" s="712" t="n">
        <f aca="false">IF((ATAN((A334/pterm1)/(1-A334^2/pterm2))&gt;0),ATAN((A334/pterm1)/(1-A334^2/pterm2)),PI()+ATAN((A334/pterm1)/(1-A334^2/pterm2)))</f>
        <v>0.33950349881422</v>
      </c>
      <c r="Q334" s="713" t="n">
        <f aca="false">20*LOG10(((E334*K334*G334)/(C334*I334*O334*M334))*Adc)</f>
        <v>-15.7955463076347</v>
      </c>
      <c r="R334" s="714" t="n">
        <f aca="false">((F334+L334+H334)-(D334+J334+P334+N334))*radconv</f>
        <v>-157.315420106862</v>
      </c>
      <c r="S334" s="717" t="n">
        <f aca="false">IF(R334&gt;0,R334,R334+180)</f>
        <v>22.6845798931378</v>
      </c>
      <c r="U334" s="644" t="n">
        <f aca="false">IF(Q334&lt;0,A334,1000000000)</f>
        <v>24690</v>
      </c>
      <c r="V334" s="644" t="n">
        <f aca="false">A334^2</f>
        <v>609596100</v>
      </c>
      <c r="X334" s="716" t="n">
        <f aca="false">20*LOG10((K334/(I334*M334))*AEA)</f>
        <v>14.9684133732467</v>
      </c>
      <c r="Y334" s="717" t="n">
        <f aca="false">(L334-(J334+N334))*radconv</f>
        <v>-46.3602334323079</v>
      </c>
      <c r="AA334" s="716" t="n">
        <f aca="false">20*LOG10((E334*G334/(C334*O334))*Acs*Am)</f>
        <v>20.716665673673</v>
      </c>
      <c r="AB334" s="717" t="n">
        <f aca="false">(F334+H334-(D334+P334))*radconv</f>
        <v>-110.955186674554</v>
      </c>
      <c r="AD334" s="0" t="n">
        <f aca="false">SUM((Q335&lt;0)*(Q334&gt;0))*A334</f>
        <v>0</v>
      </c>
      <c r="AE334" s="0" t="n">
        <f aca="false">IF(AD334&gt;0,S334,0)</f>
        <v>0</v>
      </c>
    </row>
    <row r="335" customFormat="false" ht="12.75" hidden="false" customHeight="false" outlineLevel="0" collapsed="false">
      <c r="A335" s="718" t="n">
        <v>24833</v>
      </c>
      <c r="B335" s="706" t="n">
        <f aca="false">A335/1000</f>
        <v>24.833</v>
      </c>
      <c r="C335" s="707" t="n">
        <f aca="false">SQRT(1+(A335/pole1)^2)</f>
        <v>42.4196916092261</v>
      </c>
      <c r="D335" s="708" t="n">
        <f aca="false">ATAN(A335/pole1)</f>
        <v>1.54722018545247</v>
      </c>
      <c r="E335" s="708" t="n">
        <f aca="false">SQRT(1+(A335/Zero1)^2)</f>
        <v>1.04755995947474</v>
      </c>
      <c r="F335" s="709" t="n">
        <f aca="false">ATAN(A335/Zero1)</f>
        <v>0.302484584751993</v>
      </c>
      <c r="G335" s="708" t="n">
        <f aca="false">IF(VIN_nom&gt;Vout, 1, SQRT(1+(A335/z_RHP)^2))</f>
        <v>1.06557867679067</v>
      </c>
      <c r="H335" s="709" t="n">
        <f aca="false">IF(VIN_nom&gt;Vout, 0, -ATAN(A335/z_RHP))</f>
        <v>-0.352660188160209</v>
      </c>
      <c r="I335" s="707" t="n">
        <f aca="false">SQRT(1+(A335/Pole2)^2)</f>
        <v>103011.897088753</v>
      </c>
      <c r="J335" s="710" t="n">
        <f aca="false">ATAN(A335/Pole2)</f>
        <v>1.57078661917832</v>
      </c>
      <c r="K335" s="719" t="n">
        <f aca="false">SQRT(1+(A335/Zero2)^2)</f>
        <v>31.8880014009689</v>
      </c>
      <c r="L335" s="720" t="n">
        <f aca="false">ATAN(A335/Zero2)</f>
        <v>1.53943142669543</v>
      </c>
      <c r="M335" s="707" t="n">
        <f aca="false">SQRT(1+(A335/pole4)^2)</f>
        <v>1.40732227279294</v>
      </c>
      <c r="N335" s="710" t="n">
        <f aca="false">ATAN(A335/pole4)</f>
        <v>0.780489356714024</v>
      </c>
      <c r="O335" s="711" t="n">
        <f aca="false">SQRT((1-(V335/pterm2))^2+(A335/pterm1)^2)</f>
        <v>1.03216983660471</v>
      </c>
      <c r="P335" s="712" t="n">
        <f aca="false">IF((ATAN((A335/pterm1)/(1-A335^2/pterm2))&gt;0),ATAN((A335/pterm1)/(1-A335^2/pterm2)),PI()+ATAN((A335/pterm1)/(1-A335^2/pterm2)))</f>
        <v>0.341423092046907</v>
      </c>
      <c r="Q335" s="713" t="n">
        <f aca="false">20*LOG10(((E335*K335*G335)/(C335*I335*O335*M335))*Adc)</f>
        <v>-15.8632065374595</v>
      </c>
      <c r="R335" s="714" t="n">
        <f aca="false">((F335+L335+H335)-(D335+J335+P335+N335))*radconv</f>
        <v>-157.601405586052</v>
      </c>
      <c r="S335" s="717" t="n">
        <f aca="false">IF(R335&gt;0,R335,R335+180)</f>
        <v>22.3985944139479</v>
      </c>
      <c r="U335" s="644" t="n">
        <f aca="false">IF(Q335&lt;0,A335,1000000000)</f>
        <v>24833</v>
      </c>
      <c r="V335" s="644" t="n">
        <f aca="false">A335^2</f>
        <v>616677889</v>
      </c>
      <c r="X335" s="716" t="n">
        <f aca="false">20*LOG10((K335/(I335*M335))*AEA)</f>
        <v>14.9436014145996</v>
      </c>
      <c r="Y335" s="717" t="n">
        <f aca="false">(L335-(J335+N335))*radconv</f>
        <v>-46.5152663428351</v>
      </c>
      <c r="AA335" s="716" t="n">
        <f aca="false">20*LOG10((E335*G335/(C335*O335))*Acs*Am)</f>
        <v>20.6738174024953</v>
      </c>
      <c r="AB335" s="717" t="n">
        <f aca="false">(F335+H335-(D335+P335))*radconv</f>
        <v>-111.086139243217</v>
      </c>
      <c r="AD335" s="0" t="n">
        <f aca="false">SUM((Q336&lt;0)*(Q335&gt;0))*A335</f>
        <v>0</v>
      </c>
      <c r="AE335" s="0" t="n">
        <f aca="false">IF(AD335&gt;0,S335,0)</f>
        <v>0</v>
      </c>
    </row>
    <row r="336" customFormat="false" ht="12.75" hidden="false" customHeight="false" outlineLevel="0" collapsed="false">
      <c r="A336" s="718" t="n">
        <v>24976</v>
      </c>
      <c r="B336" s="706" t="n">
        <f aca="false">A336/1000</f>
        <v>24.976</v>
      </c>
      <c r="C336" s="707" t="n">
        <f aca="false">SQRT(1+(A336/pole1)^2)</f>
        <v>42.6638286232571</v>
      </c>
      <c r="D336" s="708" t="n">
        <f aca="false">ATAN(A336/pole1)</f>
        <v>1.54735512098116</v>
      </c>
      <c r="E336" s="708" t="n">
        <f aca="false">SQRT(1+(A336/Zero1)^2)</f>
        <v>1.0480966741382</v>
      </c>
      <c r="F336" s="709" t="n">
        <f aca="false">ATAN(A336/Zero1)</f>
        <v>0.304121272614841</v>
      </c>
      <c r="G336" s="708" t="n">
        <f aca="false">IF(VIN_nom&gt;Vout, 1, SQRT(1+(A336/z_RHP)^2))</f>
        <v>1.06631255641586</v>
      </c>
      <c r="H336" s="709" t="n">
        <f aca="false">IF(VIN_nom&gt;Vout, 0, -ATAN(A336/z_RHP))</f>
        <v>-0.354525447622326</v>
      </c>
      <c r="I336" s="707" t="n">
        <f aca="false">SQRT(1+(A336/Pole2)^2)</f>
        <v>103605.087653015</v>
      </c>
      <c r="J336" s="710" t="n">
        <f aca="false">ATAN(A336/Pole2)</f>
        <v>1.57078667475924</v>
      </c>
      <c r="K336" s="719" t="n">
        <f aca="false">SQRT(1+(A336/Zero2)^2)</f>
        <v>32.0714473229381</v>
      </c>
      <c r="L336" s="720" t="n">
        <f aca="false">ATAN(A336/Zero2)</f>
        <v>1.53961088957704</v>
      </c>
      <c r="M336" s="707" t="n">
        <f aca="false">SQRT(1+(A336/pole4)^2)</f>
        <v>1.41134031767796</v>
      </c>
      <c r="N336" s="710" t="n">
        <f aca="false">ATAN(A336/pole4)</f>
        <v>0.783360258480454</v>
      </c>
      <c r="O336" s="711" t="n">
        <f aca="false">SQRT((1-(V336/pterm2))^2+(A336/pterm1)^2)</f>
        <v>1.03253979610817</v>
      </c>
      <c r="P336" s="712" t="n">
        <f aca="false">IF((ATAN((A336/pterm1)/(1-A336^2/pterm2))&gt;0),ATAN((A336/pterm1)/(1-A336^2/pterm2)),PI()+ATAN((A336/pterm1)/(1-A336^2/pterm2)))</f>
        <v>0.343341903014189</v>
      </c>
      <c r="Q336" s="713" t="n">
        <f aca="false">20*LOG10(((E336*K336*G336)/(C336*I336*O336*M336))*Adc)</f>
        <v>-15.9305490557762</v>
      </c>
      <c r="R336" s="714" t="n">
        <f aca="false">((F336+L336+H336)-(D336+J336+P336+N336))*radconv</f>
        <v>-157.886384054211</v>
      </c>
      <c r="S336" s="717" t="n">
        <f aca="false">IF(R336&gt;0,R336,R336+180)</f>
        <v>22.1136159457886</v>
      </c>
      <c r="U336" s="644" t="n">
        <f aca="false">IF(Q336&lt;0,A336,1000000000)</f>
        <v>24976</v>
      </c>
      <c r="V336" s="644" t="n">
        <f aca="false">A336^2</f>
        <v>623800576</v>
      </c>
      <c r="X336" s="716" t="n">
        <f aca="false">20*LOG10((K336/(I336*M336))*AEA)</f>
        <v>14.9187889040795</v>
      </c>
      <c r="Y336" s="717" t="n">
        <f aca="false">(L336-(J336+N336))*radconv</f>
        <v>-46.6694776164814</v>
      </c>
      <c r="AA336" s="716" t="n">
        <f aca="false">20*LOG10((E336*G336/(C336*O336))*Acs*Am)</f>
        <v>20.6312873946987</v>
      </c>
      <c r="AB336" s="717" t="n">
        <f aca="false">(F336+H336-(D336+P336))*radconv</f>
        <v>-111.21690643773</v>
      </c>
      <c r="AD336" s="0" t="n">
        <f aca="false">SUM((Q337&lt;0)*(Q336&gt;0))*A336</f>
        <v>0</v>
      </c>
      <c r="AE336" s="0" t="n">
        <f aca="false">IF(AD336&gt;0,S336,0)</f>
        <v>0</v>
      </c>
    </row>
    <row r="337" customFormat="false" ht="12.75" hidden="false" customHeight="false" outlineLevel="0" collapsed="false">
      <c r="A337" s="718" t="n">
        <v>25119</v>
      </c>
      <c r="B337" s="706" t="n">
        <f aca="false">A337/1000</f>
        <v>25.119</v>
      </c>
      <c r="C337" s="707" t="n">
        <f aca="false">SQRT(1+(A337/pole1)^2)</f>
        <v>42.9079664052541</v>
      </c>
      <c r="D337" s="708" t="n">
        <f aca="false">ATAN(A337/pole1)</f>
        <v>1.5474885209997</v>
      </c>
      <c r="E337" s="708" t="n">
        <f aca="false">SQRT(1+(A337/Zero1)^2)</f>
        <v>1.04863619350929</v>
      </c>
      <c r="F337" s="709" t="n">
        <f aca="false">ATAN(A337/Zero1)</f>
        <v>0.305756280714237</v>
      </c>
      <c r="G337" s="708" t="n">
        <f aca="false">IF(VIN_nom&gt;Vout, 1, SQRT(1+(A337/z_RHP)^2))</f>
        <v>1.06705014083748</v>
      </c>
      <c r="H337" s="709" t="n">
        <f aca="false">IF(VIN_nom&gt;Vout, 0, -ATAN(A337/z_RHP))</f>
        <v>-0.356388134885343</v>
      </c>
      <c r="I337" s="707" t="n">
        <f aca="false">SQRT(1+(A337/Pole2)^2)</f>
        <v>104198.278217276</v>
      </c>
      <c r="J337" s="710" t="n">
        <f aca="false">ATAN(A337/Pole2)</f>
        <v>1.57078672970733</v>
      </c>
      <c r="K337" s="719" t="n">
        <f aca="false">SQRT(1+(A337/Zero2)^2)</f>
        <v>32.2548942660808</v>
      </c>
      <c r="L337" s="720" t="n">
        <f aca="false">ATAN(A337/Zero2)</f>
        <v>1.53978831110483</v>
      </c>
      <c r="M337" s="707" t="n">
        <f aca="false">SQRT(1+(A337/pole4)^2)</f>
        <v>1.41536992883723</v>
      </c>
      <c r="N337" s="710" t="n">
        <f aca="false">ATAN(A337/pole4)</f>
        <v>0.786214836533616</v>
      </c>
      <c r="O337" s="711" t="n">
        <f aca="false">SQRT((1-(V337/pterm2))^2+(A337/pterm1)^2)</f>
        <v>1.03291184409916</v>
      </c>
      <c r="P337" s="712" t="n">
        <f aca="false">IF((ATAN((A337/pterm1)/(1-A337^2/pterm2))&gt;0),ATAN((A337/pterm1)/(1-A337^2/pterm2)),PI()+ATAN((A337/pterm1)/(1-A337^2/pterm2)))</f>
        <v>0.345259927976783</v>
      </c>
      <c r="Q337" s="713" t="n">
        <f aca="false">20*LOG10(((E337*K337*G337)/(C337*I337*O337*M337))*Adc)</f>
        <v>-15.997576503131</v>
      </c>
      <c r="R337" s="714" t="n">
        <f aca="false">((F337+L337+H337)-(D337+J337+P337+N337))*radconv</f>
        <v>-158.170360021394</v>
      </c>
      <c r="S337" s="717" t="n">
        <f aca="false">IF(R337&gt;0,R337,R337+180)</f>
        <v>21.8296399786058</v>
      </c>
      <c r="U337" s="644" t="n">
        <f aca="false">IF(Q337&lt;0,A337,1000000000)</f>
        <v>25119</v>
      </c>
      <c r="V337" s="644" t="n">
        <f aca="false">A337^2</f>
        <v>630964161</v>
      </c>
      <c r="X337" s="716" t="n">
        <f aca="false">20*LOG10((K337/(I337*M337))*AEA)</f>
        <v>14.8939766444849</v>
      </c>
      <c r="Y337" s="717" t="n">
        <f aca="false">(L337-(J337+N337))*radconv</f>
        <v>-46.82287053495</v>
      </c>
      <c r="AA337" s="716" t="n">
        <f aca="false">20*LOG10((E337*G337/(C337*O337))*Acs*Am)</f>
        <v>20.5890722069385</v>
      </c>
      <c r="AB337" s="717" t="n">
        <f aca="false">(F337+H337-(D337+P337))*radconv</f>
        <v>-111.347489486444</v>
      </c>
      <c r="AD337" s="0" t="n">
        <f aca="false">SUM((Q338&lt;0)*(Q337&gt;0))*A337</f>
        <v>0</v>
      </c>
      <c r="AE337" s="0" t="n">
        <f aca="false">IF(AD337&gt;0,S337,0)</f>
        <v>0</v>
      </c>
    </row>
    <row r="338" customFormat="false" ht="12.75" hidden="false" customHeight="false" outlineLevel="0" collapsed="false">
      <c r="A338" s="718" t="n">
        <v>25265.25</v>
      </c>
      <c r="B338" s="706" t="n">
        <f aca="false">A338/1000</f>
        <v>25.26525</v>
      </c>
      <c r="C338" s="707" t="n">
        <f aca="false">SQRT(1+(A338/pole1)^2)</f>
        <v>43.157653553968</v>
      </c>
      <c r="D338" s="708" t="n">
        <f aca="false">ATAN(A338/pole1)</f>
        <v>1.54762339173616</v>
      </c>
      <c r="E338" s="708" t="n">
        <f aca="false">SQRT(1+(A338/Zero1)^2)</f>
        <v>1.0491908712219</v>
      </c>
      <c r="F338" s="709" t="n">
        <f aca="false">ATAN(A338/Zero1)</f>
        <v>0.307426704224351</v>
      </c>
      <c r="G338" s="708" t="n">
        <f aca="false">IF(VIN_nom&gt;Vout, 1, SQRT(1+(A338/z_RHP)^2))</f>
        <v>1.0678083125932</v>
      </c>
      <c r="H338" s="709" t="n">
        <f aca="false">IF(VIN_nom&gt;Vout, 0, -ATAN(A338/z_RHP))</f>
        <v>-0.358290487496634</v>
      </c>
      <c r="I338" s="707" t="n">
        <f aca="false">SQRT(1+(A338/Pole2)^2)</f>
        <v>104804.950385272</v>
      </c>
      <c r="J338" s="710" t="n">
        <f aca="false">ATAN(A338/Pole2)</f>
        <v>1.57078678526087</v>
      </c>
      <c r="K338" s="719" t="n">
        <f aca="false">SQRT(1+(A338/Zero2)^2)</f>
        <v>32.4425114961276</v>
      </c>
      <c r="L338" s="720" t="n">
        <f aca="false">ATAN(A338/Zero2)</f>
        <v>1.53996768954537</v>
      </c>
      <c r="M338" s="707" t="n">
        <f aca="false">SQRT(1+(A338/pole4)^2)</f>
        <v>1.41950298297637</v>
      </c>
      <c r="N338" s="710" t="n">
        <f aca="false">ATAN(A338/pole4)</f>
        <v>0.789117503553454</v>
      </c>
      <c r="O338" s="711" t="n">
        <f aca="false">SQRT((1-(V338/pterm2))^2+(A338/pterm1)^2)</f>
        <v>1.03329450735164</v>
      </c>
      <c r="P338" s="712" t="n">
        <f aca="false">IF((ATAN((A338/pterm1)/(1-A338^2/pterm2))&gt;0),ATAN((A338/pterm1)/(1-A338^2/pterm2)),PI()+ATAN((A338/pterm1)/(1-A338^2/pterm2)))</f>
        <v>0.347220727528018</v>
      </c>
      <c r="Q338" s="713" t="n">
        <f aca="false">20*LOG10(((E338*K338*G338)/(C338*I338*O338*M338))*Adc)</f>
        <v>-16.0658041159165</v>
      </c>
      <c r="R338" s="714" t="n">
        <f aca="false">((F338+L338+H338)-(D338+J338+P338+N338))*radconv</f>
        <v>-158.459757768078</v>
      </c>
      <c r="S338" s="717" t="n">
        <f aca="false">IF(R338&gt;0,R338,R338+180)</f>
        <v>21.5402422319219</v>
      </c>
      <c r="U338" s="644" t="n">
        <f aca="false">IF(Q338&lt;0,A338,1000000000)</f>
        <v>25265.25</v>
      </c>
      <c r="V338" s="644" t="n">
        <f aca="false">A338^2</f>
        <v>638332857.5625</v>
      </c>
      <c r="X338" s="716" t="n">
        <f aca="false">20*LOG10((K338/(I338*M338))*AEA)</f>
        <v>14.8686015521236</v>
      </c>
      <c r="Y338" s="717" t="n">
        <f aca="false">(L338-(J338+N338))*radconv</f>
        <v>-46.978906660102</v>
      </c>
      <c r="AA338" s="716" t="n">
        <f aca="false">20*LOG10((E338*G338/(C338*O338))*Acs*Am)</f>
        <v>20.5462196865143</v>
      </c>
      <c r="AB338" s="717" t="n">
        <f aca="false">(F338+H338-(D338+P338))*radconv</f>
        <v>-111.480851107976</v>
      </c>
      <c r="AD338" s="0" t="n">
        <f aca="false">SUM((Q339&lt;0)*(Q338&gt;0))*A338</f>
        <v>0</v>
      </c>
      <c r="AE338" s="0" t="n">
        <f aca="false">IF(AD338&gt;0,S338,0)</f>
        <v>0</v>
      </c>
    </row>
    <row r="339" customFormat="false" ht="12.75" hidden="false" customHeight="false" outlineLevel="0" collapsed="false">
      <c r="A339" s="718" t="n">
        <v>25411.5</v>
      </c>
      <c r="B339" s="706" t="n">
        <f aca="false">A339/1000</f>
        <v>25.4115</v>
      </c>
      <c r="C339" s="707" t="n">
        <f aca="false">SQRT(1+(A339/pole1)^2)</f>
        <v>43.4073414786931</v>
      </c>
      <c r="D339" s="708" t="n">
        <f aca="false">ATAN(A339/pole1)</f>
        <v>1.54775671086678</v>
      </c>
      <c r="E339" s="708" t="n">
        <f aca="false">SQRT(1+(A339/Zero1)^2)</f>
        <v>1.04974847340866</v>
      </c>
      <c r="F339" s="709" t="n">
        <f aca="false">ATAN(A339/Zero1)</f>
        <v>0.30909535780551</v>
      </c>
      <c r="G339" s="708" t="n">
        <f aca="false">IF(VIN_nom&gt;Vout, 1, SQRT(1+(A339/z_RHP)^2))</f>
        <v>1.06857034319717</v>
      </c>
      <c r="H339" s="709" t="n">
        <f aca="false">IF(VIN_nom&gt;Vout, 0, -ATAN(A339/z_RHP))</f>
        <v>-0.360190133721369</v>
      </c>
      <c r="I339" s="707" t="n">
        <f aca="false">SQRT(1+(A339/Pole2)^2)</f>
        <v>105411.622553268</v>
      </c>
      <c r="J339" s="710" t="n">
        <f aca="false">ATAN(A339/Pole2)</f>
        <v>1.57078684017496</v>
      </c>
      <c r="K339" s="719" t="n">
        <f aca="false">SQRT(1+(A339/Zero2)^2)</f>
        <v>32.6301297580606</v>
      </c>
      <c r="L339" s="720" t="n">
        <f aca="false">ATAN(A339/Zero2)</f>
        <v>1.54014500519429</v>
      </c>
      <c r="M339" s="707" t="n">
        <f aca="false">SQRT(1+(A339/pole4)^2)</f>
        <v>1.42364792760186</v>
      </c>
      <c r="N339" s="710" t="n">
        <f aca="false">ATAN(A339/pole4)</f>
        <v>0.792003292565441</v>
      </c>
      <c r="O339" s="711" t="n">
        <f aca="false">SQRT((1-(V339/pterm2))^2+(A339/pterm1)^2)</f>
        <v>1.03367935388116</v>
      </c>
      <c r="P339" s="712" t="n">
        <f aca="false">IF((ATAN((A339/pterm1)/(1-A339^2/pterm2))&gt;0),ATAN((A339/pterm1)/(1-A339^2/pterm2)),PI()+ATAN((A339/pterm1)/(1-A339^2/pterm2)))</f>
        <v>0.349180697068183</v>
      </c>
      <c r="Q339" s="713" t="n">
        <f aca="false">20*LOG10(((E339*K339*G339)/(C339*I339*O339*M339))*Adc)</f>
        <v>-16.1337076264287</v>
      </c>
      <c r="R339" s="714" t="n">
        <f aca="false">((F339+L339+H339)-(D339+J339+P339+N339))*radconv</f>
        <v>-158.748116517095</v>
      </c>
      <c r="S339" s="717" t="n">
        <f aca="false">IF(R339&gt;0,R339,R339+180)</f>
        <v>21.251883482905</v>
      </c>
      <c r="U339" s="644" t="n">
        <f aca="false">IF(Q339&lt;0,A339,1000000000)</f>
        <v>25411.5</v>
      </c>
      <c r="V339" s="644" t="n">
        <f aca="false">A339^2</f>
        <v>645744332.25</v>
      </c>
      <c r="X339" s="716" t="n">
        <f aca="false">20*LOG10((K339/(I339*M339))*AEA)</f>
        <v>14.8432283781467</v>
      </c>
      <c r="Y339" s="717" t="n">
        <f aca="false">(L339-(J339+N339))*radconv</f>
        <v>-47.1340938992523</v>
      </c>
      <c r="AA339" s="716" t="n">
        <f aca="false">20*LOG10((E339*G339/(C339*O339))*Acs*Am)</f>
        <v>20.503689349979</v>
      </c>
      <c r="AB339" s="717" t="n">
        <f aca="false">(F339+H339-(D339+P339))*radconv</f>
        <v>-111.614022617843</v>
      </c>
      <c r="AD339" s="0" t="n">
        <f aca="false">SUM((Q340&lt;0)*(Q339&gt;0))*A339</f>
        <v>0</v>
      </c>
      <c r="AE339" s="0" t="n">
        <f aca="false">IF(AD339&gt;0,S339,0)</f>
        <v>0</v>
      </c>
    </row>
    <row r="340" customFormat="false" ht="12.75" hidden="false" customHeight="false" outlineLevel="0" collapsed="false">
      <c r="A340" s="718" t="n">
        <v>25557.75</v>
      </c>
      <c r="B340" s="706" t="n">
        <f aca="false">A340/1000</f>
        <v>25.55775</v>
      </c>
      <c r="C340" s="707" t="n">
        <f aca="false">SQRT(1+(A340/pole1)^2)</f>
        <v>43.6570301661148</v>
      </c>
      <c r="D340" s="708" t="n">
        <f aca="false">ATAN(A340/pole1)</f>
        <v>1.5478885050092</v>
      </c>
      <c r="E340" s="708" t="n">
        <f aca="false">SQRT(1+(A340/Zero1)^2)</f>
        <v>1.05030899541181</v>
      </c>
      <c r="F340" s="709" t="n">
        <f aca="false">ATAN(A340/Zero1)</f>
        <v>0.310762234991655</v>
      </c>
      <c r="G340" s="708" t="n">
        <f aca="false">IF(VIN_nom&gt;Vout, 1, SQRT(1+(A340/z_RHP)^2))</f>
        <v>1.0693362243997</v>
      </c>
      <c r="H340" s="709" t="n">
        <f aca="false">IF(VIN_nom&gt;Vout, 0, -ATAN(A340/z_RHP))</f>
        <v>-0.362087065649785</v>
      </c>
      <c r="I340" s="707" t="n">
        <f aca="false">SQRT(1+(A340/Pole2)^2)</f>
        <v>106018.294721264</v>
      </c>
      <c r="J340" s="710" t="n">
        <f aca="false">ATAN(A340/Pole2)</f>
        <v>1.57078689446058</v>
      </c>
      <c r="K340" s="719" t="n">
        <f aca="false">SQRT(1+(A340/Zero2)^2)</f>
        <v>32.817749034182</v>
      </c>
      <c r="L340" s="720" t="n">
        <f aca="false">ATAN(A340/Zero2)</f>
        <v>1.54032029341932</v>
      </c>
      <c r="M340" s="707" t="n">
        <f aca="false">SQRT(1+(A340/pole4)^2)</f>
        <v>1.42780465915879</v>
      </c>
      <c r="N340" s="710" t="n">
        <f aca="false">ATAN(A340/pole4)</f>
        <v>0.794872302705277</v>
      </c>
      <c r="O340" s="711" t="n">
        <f aca="false">SQRT((1-(V340/pterm2))^2+(A340/pterm1)^2)</f>
        <v>1.034066383067</v>
      </c>
      <c r="P340" s="712" t="n">
        <f aca="false">IF((ATAN((A340/pterm1)/(1-A340^2/pterm2))&gt;0),ATAN((A340/pterm1)/(1-A340^2/pterm2)),PI()+ATAN((A340/pterm1)/(1-A340^2/pterm2)))</f>
        <v>0.351139832636162</v>
      </c>
      <c r="Q340" s="713" t="n">
        <f aca="false">20*LOG10(((E340*K340*G340)/(C340*I340*O340*M340))*Adc)</f>
        <v>-16.2012897261167</v>
      </c>
      <c r="R340" s="714" t="n">
        <f aca="false">((F340+L340+H340)-(D340+J340+P340+N340))*radconv</f>
        <v>-159.035441138113</v>
      </c>
      <c r="S340" s="717" t="n">
        <f aca="false">IF(R340&gt;0,R340,R340+180)</f>
        <v>20.9645588618866</v>
      </c>
      <c r="U340" s="644" t="n">
        <f aca="false">IF(Q340&lt;0,A340,1000000000)</f>
        <v>25557.75</v>
      </c>
      <c r="V340" s="644" t="n">
        <f aca="false">A340^2</f>
        <v>653198585.0625</v>
      </c>
      <c r="X340" s="716" t="n">
        <f aca="false">20*LOG10((K340/(I340*M340))*AEA)</f>
        <v>14.8178579384934</v>
      </c>
      <c r="Y340" s="717" t="n">
        <f aca="false">(L340-(J340+N340))*radconv</f>
        <v>-47.2884359066654</v>
      </c>
      <c r="AA340" s="716" t="n">
        <f aca="false">20*LOG10((E340*G340/(C340*O340))*Acs*Am)</f>
        <v>20.4614776899442</v>
      </c>
      <c r="AB340" s="717" t="n">
        <f aca="false">(F340+H340-(D340+P340))*radconv</f>
        <v>-111.747005231448</v>
      </c>
      <c r="AD340" s="0" t="n">
        <f aca="false">SUM((Q341&lt;0)*(Q340&gt;0))*A340</f>
        <v>0</v>
      </c>
      <c r="AE340" s="0" t="n">
        <f aca="false">IF(AD340&gt;0,S340,0)</f>
        <v>0</v>
      </c>
    </row>
    <row r="341" customFormat="false" ht="12.75" hidden="false" customHeight="false" outlineLevel="0" collapsed="false">
      <c r="A341" s="718" t="n">
        <v>25704</v>
      </c>
      <c r="B341" s="706" t="n">
        <f aca="false">A341/1000</f>
        <v>25.704</v>
      </c>
      <c r="C341" s="707" t="n">
        <f aca="false">SQRT(1+(A341/pole1)^2)</f>
        <v>43.9067196032211</v>
      </c>
      <c r="D341" s="708" t="n">
        <f aca="false">ATAN(A341/pole1)</f>
        <v>1.54801880017578</v>
      </c>
      <c r="E341" s="708" t="n">
        <f aca="false">SQRT(1+(A341/Zero1)^2)</f>
        <v>1.05087243255917</v>
      </c>
      <c r="F341" s="709" t="n">
        <f aca="false">ATAN(A341/Zero1)</f>
        <v>0.312427329369973</v>
      </c>
      <c r="G341" s="708" t="n">
        <f aca="false">IF(VIN_nom&gt;Vout, 1, SQRT(1+(A341/z_RHP)^2))</f>
        <v>1.0701059479331</v>
      </c>
      <c r="H341" s="709" t="n">
        <f aca="false">IF(VIN_nom&gt;Vout, 0, -ATAN(A341/z_RHP))</f>
        <v>-0.363981275472838</v>
      </c>
      <c r="I341" s="707" t="n">
        <f aca="false">SQRT(1+(A341/Pole2)^2)</f>
        <v>106624.96688926</v>
      </c>
      <c r="J341" s="710" t="n">
        <f aca="false">ATAN(A341/Pole2)</f>
        <v>1.57078694812844</v>
      </c>
      <c r="K341" s="719" t="n">
        <f aca="false">SQRT(1+(A341/Zero2)^2)</f>
        <v>33.0053693071962</v>
      </c>
      <c r="L341" s="720" t="n">
        <f aca="false">ATAN(A341/Zero2)</f>
        <v>1.54049358878451</v>
      </c>
      <c r="M341" s="707" t="n">
        <f aca="false">SQRT(1+(A341/pole4)^2)</f>
        <v>1.43197307500183</v>
      </c>
      <c r="N341" s="710" t="n">
        <f aca="false">ATAN(A341/pole4)</f>
        <v>0.797724633064127</v>
      </c>
      <c r="O341" s="711" t="n">
        <f aca="false">SQRT((1-(V341/pterm2))^2+(A341/pterm1)^2)</f>
        <v>1.03445559428603</v>
      </c>
      <c r="P341" s="712" t="n">
        <f aca="false">IF((ATAN((A341/pterm1)/(1-A341^2/pterm2))&gt;0),ATAN((A341/pterm1)/(1-A341^2/pterm2)),PI()+ATAN((A341/pterm1)/(1-A341^2/pterm2)))</f>
        <v>0.353098130284053</v>
      </c>
      <c r="Q341" s="713" t="n">
        <f aca="false">20*LOG10(((E341*K341*G341)/(C341*I341*O341*M341))*Adc)</f>
        <v>-16.2685530638585</v>
      </c>
      <c r="R341" s="714" t="n">
        <f aca="false">((F341+L341+H341)-(D341+J341+P341+N341))*radconv</f>
        <v>-159.321736513083</v>
      </c>
      <c r="S341" s="717" t="n">
        <f aca="false">IF(R341&gt;0,R341,R341+180)</f>
        <v>20.6782634869175</v>
      </c>
      <c r="U341" s="644" t="n">
        <f aca="false">IF(Q341&lt;0,A341,1000000000)</f>
        <v>25704</v>
      </c>
      <c r="V341" s="644" t="n">
        <f aca="false">A341^2</f>
        <v>660695616</v>
      </c>
      <c r="X341" s="716" t="n">
        <f aca="false">20*LOG10((K341/(I341*M341))*AEA)</f>
        <v>14.7924910349695</v>
      </c>
      <c r="Y341" s="717" t="n">
        <f aca="false">(L341-(J341+N341))*radconv</f>
        <v>-47.4419363800879</v>
      </c>
      <c r="AA341" s="716" t="n">
        <f aca="false">20*LOG10((E341*G341/(C341*O341))*Acs*Am)</f>
        <v>20.4195812557263</v>
      </c>
      <c r="AB341" s="717" t="n">
        <f aca="false">(F341+H341-(D341+P341))*radconv</f>
        <v>-111.879800132995</v>
      </c>
      <c r="AD341" s="0" t="n">
        <f aca="false">SUM((Q342&lt;0)*(Q341&gt;0))*A341</f>
        <v>0</v>
      </c>
      <c r="AE341" s="0" t="n">
        <f aca="false">IF(AD341&gt;0,S341,0)</f>
        <v>0</v>
      </c>
    </row>
    <row r="342" customFormat="false" ht="12.75" hidden="false" customHeight="false" outlineLevel="0" collapsed="false">
      <c r="A342" s="718" t="n">
        <v>25853.75</v>
      </c>
      <c r="B342" s="706" t="n">
        <f aca="false">A342/1000</f>
        <v>25.85375</v>
      </c>
      <c r="C342" s="707" t="n">
        <f aca="false">SQRT(1+(A342/pole1)^2)</f>
        <v>44.1623852775659</v>
      </c>
      <c r="D342" s="708" t="n">
        <f aca="false">ATAN(A342/pole1)</f>
        <v>1.54815068685351</v>
      </c>
      <c r="E342" s="708" t="n">
        <f aca="false">SQRT(1+(A342/Zero1)^2)</f>
        <v>1.05145236940282</v>
      </c>
      <c r="F342" s="709" t="n">
        <f aca="false">ATAN(A342/Zero1)</f>
        <v>0.31413041820227</v>
      </c>
      <c r="G342" s="708" t="n">
        <f aca="false">IF(VIN_nom&gt;Vout, 1, SQRT(1+(A342/z_RHP)^2))</f>
        <v>1.0708980649079</v>
      </c>
      <c r="H342" s="709" t="n">
        <f aca="false">IF(VIN_nom&gt;Vout, 0, -ATAN(A342/z_RHP))</f>
        <v>-0.365917988161028</v>
      </c>
      <c r="I342" s="707" t="n">
        <f aca="false">SQRT(1+(A342/Pole2)^2)</f>
        <v>107246.157707431</v>
      </c>
      <c r="J342" s="710" t="n">
        <f aca="false">ATAN(A342/Pole2)</f>
        <v>1.57078700245152</v>
      </c>
      <c r="K342" s="719" t="n">
        <f aca="false">SQRT(1+(A342/Zero2)^2)</f>
        <v>33.1974806533368</v>
      </c>
      <c r="L342" s="720" t="n">
        <f aca="false">ATAN(A342/Zero2)</f>
        <v>1.54066900170003</v>
      </c>
      <c r="M342" s="707" t="n">
        <f aca="false">SQRT(1+(A342/pole4)^2)</f>
        <v>1.43625324861601</v>
      </c>
      <c r="N342" s="710" t="n">
        <f aca="false">ATAN(A342/pole4)</f>
        <v>0.800628044430915</v>
      </c>
      <c r="O342" s="711" t="n">
        <f aca="false">SQRT((1-(V342/pterm2))^2+(A342/pterm1)^2)</f>
        <v>1.03485638029567</v>
      </c>
      <c r="P342" s="712" t="n">
        <f aca="false">IF((ATAN((A342/pterm1)/(1-A342^2/pterm2))&gt;0),ATAN((A342/pterm1)/(1-A342^2/pterm2)),PI()+ATAN((A342/pterm1)/(1-A342^2/pterm2)))</f>
        <v>0.355102420826117</v>
      </c>
      <c r="Q342" s="713" t="n">
        <f aca="false">20*LOG10(((E342*K342*G342)/(C342*I342*O342*M342))*Adc)</f>
        <v>-16.3370985496125</v>
      </c>
      <c r="R342" s="714" t="n">
        <f aca="false">((F342+L342+H342)-(D342+J342+P342+N342))*radconv</f>
        <v>-159.613822023597</v>
      </c>
      <c r="S342" s="717" t="n">
        <f aca="false">IF(R342&gt;0,R342,R342+180)</f>
        <v>20.3861779764027</v>
      </c>
      <c r="U342" s="644" t="n">
        <f aca="false">IF(Q342&lt;0,A342,1000000000)</f>
        <v>25853.75</v>
      </c>
      <c r="V342" s="644" t="n">
        <f aca="false">A342^2</f>
        <v>668416389.0625</v>
      </c>
      <c r="X342" s="716" t="n">
        <f aca="false">20*LOG10((K342/(I342*M342))*AEA)</f>
        <v>14.7665215470916</v>
      </c>
      <c r="Y342" s="717" t="n">
        <f aca="false">(L342-(J342+N342))*radconv</f>
        <v>-47.5982422905251</v>
      </c>
      <c r="AA342" s="716" t="n">
        <f aca="false">20*LOG10((E342*G342/(C342*O342))*Acs*Am)</f>
        <v>20.3770052578503</v>
      </c>
      <c r="AB342" s="717" t="n">
        <f aca="false">(F342+H342-(D342+P342))*radconv</f>
        <v>-112.015579733072</v>
      </c>
      <c r="AD342" s="0" t="n">
        <f aca="false">SUM((Q343&lt;0)*(Q342&gt;0))*A342</f>
        <v>0</v>
      </c>
      <c r="AE342" s="0" t="n">
        <f aca="false">IF(AD342&gt;0,S342,0)</f>
        <v>0</v>
      </c>
    </row>
    <row r="343" customFormat="false" ht="12.75" hidden="false" customHeight="false" outlineLevel="0" collapsed="false">
      <c r="A343" s="718" t="n">
        <v>26003.5</v>
      </c>
      <c r="B343" s="706" t="n">
        <f aca="false">A343/1000</f>
        <v>26.0035</v>
      </c>
      <c r="C343" s="707" t="n">
        <f aca="false">SQRT(1+(A343/pole1)^2)</f>
        <v>44.4180517112324</v>
      </c>
      <c r="D343" s="708" t="n">
        <f aca="false">ATAN(A343/pole1)</f>
        <v>1.54828105527704</v>
      </c>
      <c r="E343" s="708" t="n">
        <f aca="false">SQRT(1+(A343/Zero1)^2)</f>
        <v>1.05203535262871</v>
      </c>
      <c r="F343" s="709" t="n">
        <f aca="false">ATAN(A343/Zero1)</f>
        <v>0.315831624438047</v>
      </c>
      <c r="G343" s="708" t="n">
        <f aca="false">IF(VIN_nom&gt;Vout, 1, SQRT(1+(A343/z_RHP)^2))</f>
        <v>1.07169419272057</v>
      </c>
      <c r="H343" s="709" t="n">
        <f aca="false">IF(VIN_nom&gt;Vout, 0, -ATAN(A343/z_RHP))</f>
        <v>-0.367851830648287</v>
      </c>
      <c r="I343" s="707" t="n">
        <f aca="false">SQRT(1+(A343/Pole2)^2)</f>
        <v>107867.348525602</v>
      </c>
      <c r="J343" s="710" t="n">
        <f aca="false">ATAN(A343/Pole2)</f>
        <v>1.57078705614893</v>
      </c>
      <c r="K343" s="719" t="n">
        <f aca="false">SQRT(1+(A343/Zero2)^2)</f>
        <v>33.3895930091992</v>
      </c>
      <c r="L343" s="720" t="n">
        <f aca="false">ATAN(A343/Zero2)</f>
        <v>1.5408423960884</v>
      </c>
      <c r="M343" s="707" t="n">
        <f aca="false">SQRT(1+(A343/pole4)^2)</f>
        <v>1.44054545754802</v>
      </c>
      <c r="N343" s="710" t="n">
        <f aca="false">ATAN(A343/pole4)</f>
        <v>0.803514178160189</v>
      </c>
      <c r="O343" s="711" t="n">
        <f aca="false">SQRT((1-(V343/pterm2))^2+(A343/pterm1)^2)</f>
        <v>1.03525945269748</v>
      </c>
      <c r="P343" s="712" t="n">
        <f aca="false">IF((ATAN((A343/pterm1)/(1-A343^2/pterm2))&gt;0),ATAN((A343/pterm1)/(1-A343^2/pterm2)),PI()+ATAN((A343/pterm1)/(1-A343^2/pterm2)))</f>
        <v>0.357105824527925</v>
      </c>
      <c r="Q343" s="713" t="n">
        <f aca="false">20*LOG10(((E343*K343*G343)/(C343*I343*O343*M343))*Adc)</f>
        <v>-16.4053153227288</v>
      </c>
      <c r="R343" s="714" t="n">
        <f aca="false">((F343+L343+H343)-(D343+J343+P343+N343))*radconv</f>
        <v>-159.904838828314</v>
      </c>
      <c r="S343" s="717" t="n">
        <f aca="false">IF(R343&gt;0,R343,R343+180)</f>
        <v>20.0951611716858</v>
      </c>
      <c r="U343" s="644" t="n">
        <f aca="false">IF(Q343&lt;0,A343,1000000000)</f>
        <v>26003.5</v>
      </c>
      <c r="V343" s="644" t="n">
        <f aca="false">A343^2</f>
        <v>676182012.25</v>
      </c>
      <c r="X343" s="716" t="n">
        <f aca="false">20*LOG10((K343/(I343*M343))*AEA)</f>
        <v>14.7405574232946</v>
      </c>
      <c r="Y343" s="717" t="n">
        <f aca="false">(L343-(J343+N343))*radconv</f>
        <v>-47.7536738824905</v>
      </c>
      <c r="AA343" s="716" t="n">
        <f aca="false">20*LOG10((E343*G343/(C343*O343))*Acs*Am)</f>
        <v>20.334752608531</v>
      </c>
      <c r="AB343" s="717" t="n">
        <f aca="false">(F343+H343-(D343+P343))*radconv</f>
        <v>-112.151164945824</v>
      </c>
      <c r="AD343" s="0" t="n">
        <f aca="false">SUM((Q344&lt;0)*(Q343&gt;0))*A343</f>
        <v>0</v>
      </c>
      <c r="AE343" s="0" t="n">
        <f aca="false">IF(AD343&gt;0,S343,0)</f>
        <v>0</v>
      </c>
    </row>
    <row r="344" customFormat="false" ht="12.75" hidden="false" customHeight="false" outlineLevel="0" collapsed="false">
      <c r="A344" s="718" t="n">
        <v>26153.25</v>
      </c>
      <c r="B344" s="706" t="n">
        <f aca="false">A344/1000</f>
        <v>26.15325</v>
      </c>
      <c r="C344" s="707" t="n">
        <f aca="false">SQRT(1+(A344/pole1)^2)</f>
        <v>44.6737188911841</v>
      </c>
      <c r="D344" s="708" t="n">
        <f aca="false">ATAN(A344/pole1)</f>
        <v>1.54840993150877</v>
      </c>
      <c r="E344" s="708" t="n">
        <f aca="false">SQRT(1+(A344/Zero1)^2)</f>
        <v>1.05262137717523</v>
      </c>
      <c r="F344" s="709" t="n">
        <f aca="false">ATAN(A344/Zero1)</f>
        <v>0.317530941366547</v>
      </c>
      <c r="G344" s="708" t="n">
        <f aca="false">IF(VIN_nom&gt;Vout, 1, SQRT(1+(A344/z_RHP)^2))</f>
        <v>1.07249432243921</v>
      </c>
      <c r="H344" s="709" t="n">
        <f aca="false">IF(VIN_nom&gt;Vout, 0, -ATAN(A344/z_RHP))</f>
        <v>-0.369782794878376</v>
      </c>
      <c r="I344" s="707" t="n">
        <f aca="false">SQRT(1+(A344/Pole2)^2)</f>
        <v>108488.539343774</v>
      </c>
      <c r="J344" s="710" t="n">
        <f aca="false">ATAN(A344/Pole2)</f>
        <v>1.5707871092314</v>
      </c>
      <c r="K344" s="719" t="n">
        <f aca="false">SQRT(1+(A344/Zero2)^2)</f>
        <v>33.5817063574544</v>
      </c>
      <c r="L344" s="720" t="n">
        <f aca="false">ATAN(A344/Zero2)</f>
        <v>1.54101380658169</v>
      </c>
      <c r="M344" s="707" t="n">
        <f aca="false">SQRT(1+(A344/pole4)^2)</f>
        <v>1.44484959453804</v>
      </c>
      <c r="N344" s="710" t="n">
        <f aca="false">ATAN(A344/pole4)</f>
        <v>0.806383140363595</v>
      </c>
      <c r="O344" s="711" t="n">
        <f aca="false">SQRT((1-(V344/pterm2))^2+(A344/pterm1)^2)</f>
        <v>1.03566481081478</v>
      </c>
      <c r="P344" s="712" t="n">
        <f aca="false">IF((ATAN((A344/pterm1)/(1-A344^2/pterm2))&gt;0),ATAN((A344/pterm1)/(1-A344^2/pterm2)),PI()+ATAN((A344/pterm1)/(1-A344^2/pterm2)))</f>
        <v>0.359108337194609</v>
      </c>
      <c r="Q344" s="713" t="n">
        <f aca="false">20*LOG10(((E344*K344*G344)/(C344*I344*O344*M344))*Adc)</f>
        <v>-16.4732060953182</v>
      </c>
      <c r="R344" s="714" t="n">
        <f aca="false">((F344+L344+H344)-(D344+J344+P344+N344))*radconv</f>
        <v>-160.194792199151</v>
      </c>
      <c r="S344" s="717" t="n">
        <f aca="false">IF(R344&gt;0,R344,R344+180)</f>
        <v>19.8052078008487</v>
      </c>
      <c r="U344" s="644" t="n">
        <f aca="false">IF(Q344&lt;0,A344,1000000000)</f>
        <v>26153.25</v>
      </c>
      <c r="V344" s="644" t="n">
        <f aca="false">A344^2</f>
        <v>683992485.5625</v>
      </c>
      <c r="X344" s="716" t="n">
        <f aca="false">20*LOG10((K344/(I344*M344))*AEA)</f>
        <v>14.7145994793127</v>
      </c>
      <c r="Y344" s="717" t="n">
        <f aca="false">(L344-(J344+N344))*radconv</f>
        <v>-47.9082352520764</v>
      </c>
      <c r="AA344" s="716" t="n">
        <f aca="false">20*LOG10((E344*G344/(C344*O344))*Acs*Am)</f>
        <v>20.2928197799234</v>
      </c>
      <c r="AB344" s="717" t="n">
        <f aca="false">(F344+H344-(D344+P344))*radconv</f>
        <v>-112.286556947075</v>
      </c>
      <c r="AD344" s="0" t="n">
        <f aca="false">SUM((Q345&lt;0)*(Q344&gt;0))*A344</f>
        <v>0</v>
      </c>
      <c r="AE344" s="0" t="n">
        <f aca="false">IF(AD344&gt;0,S344,0)</f>
        <v>0</v>
      </c>
    </row>
    <row r="345" customFormat="false" ht="12.75" hidden="false" customHeight="false" outlineLevel="0" collapsed="false">
      <c r="A345" s="718" t="n">
        <v>26303</v>
      </c>
      <c r="B345" s="706" t="n">
        <f aca="false">A345/1000</f>
        <v>26.303</v>
      </c>
      <c r="C345" s="707" t="n">
        <f aca="false">SQRT(1+(A345/pole1)^2)</f>
        <v>44.9293868046807</v>
      </c>
      <c r="D345" s="708" t="n">
        <f aca="false">ATAN(A345/pole1)</f>
        <v>1.54853734101804</v>
      </c>
      <c r="E345" s="708" t="n">
        <f aca="false">SQRT(1+(A345/Zero1)^2)</f>
        <v>1.05321043796564</v>
      </c>
      <c r="F345" s="709" t="n">
        <f aca="false">ATAN(A345/Zero1)</f>
        <v>0.319228362335557</v>
      </c>
      <c r="G345" s="708" t="n">
        <f aca="false">IF(VIN_nom&gt;Vout, 1, SQRT(1+(A345/z_RHP)^2))</f>
        <v>1.0732984451137</v>
      </c>
      <c r="H345" s="709" t="n">
        <f aca="false">IF(VIN_nom&gt;Vout, 0, -ATAN(A345/z_RHP))</f>
        <v>-0.371710872904872</v>
      </c>
      <c r="I345" s="707" t="n">
        <f aca="false">SQRT(1+(A345/Pole2)^2)</f>
        <v>109109.730161946</v>
      </c>
      <c r="J345" s="710" t="n">
        <f aca="false">ATAN(A345/Pole2)</f>
        <v>1.57078716170945</v>
      </c>
      <c r="K345" s="719" t="n">
        <f aca="false">SQRT(1+(A345/Zero2)^2)</f>
        <v>33.7738206811674</v>
      </c>
      <c r="L345" s="720" t="n">
        <f aca="false">ATAN(A345/Zero2)</f>
        <v>1.54118326702451</v>
      </c>
      <c r="M345" s="707" t="n">
        <f aca="false">SQRT(1+(A345/pole4)^2)</f>
        <v>1.44916555330423</v>
      </c>
      <c r="N345" s="710" t="n">
        <f aca="false">ATAN(A345/pole4)</f>
        <v>0.809235037024622</v>
      </c>
      <c r="O345" s="711" t="n">
        <f aca="false">SQRT((1-(V345/pterm2))^2+(A345/pterm1)^2)</f>
        <v>1.03607245396833</v>
      </c>
      <c r="P345" s="712" t="n">
        <f aca="false">IF((ATAN((A345/pterm1)/(1-A345^2/pterm2))&gt;0),ATAN((A345/pterm1)/(1-A345^2/pterm2)),PI()+ATAN((A345/pterm1)/(1-A345^2/pterm2)))</f>
        <v>0.361109954645991</v>
      </c>
      <c r="Q345" s="713" t="n">
        <f aca="false">20*LOG10(((E345*K345*G345)/(C345*I345*O345*M345))*Adc)</f>
        <v>-16.5407735374399</v>
      </c>
      <c r="R345" s="714" t="n">
        <f aca="false">((F345+L345+H345)-(D345+J345+P345+N345))*radconv</f>
        <v>-160.483687415593</v>
      </c>
      <c r="S345" s="717" t="n">
        <f aca="false">IF(R345&gt;0,R345,R345+180)</f>
        <v>19.516312584407</v>
      </c>
      <c r="U345" s="644" t="n">
        <f aca="false">IF(Q345&lt;0,A345,1000000000)</f>
        <v>26303</v>
      </c>
      <c r="V345" s="644" t="n">
        <f aca="false">A345^2</f>
        <v>691847809</v>
      </c>
      <c r="X345" s="716" t="n">
        <f aca="false">20*LOG10((K345/(I345*M345))*AEA)</f>
        <v>14.6886485160463</v>
      </c>
      <c r="Y345" s="717" t="n">
        <f aca="false">(L345-(J345+N345))*radconv</f>
        <v>-48.0619305331396</v>
      </c>
      <c r="AA345" s="716" t="n">
        <f aca="false">20*LOG10((E345*G345/(C345*O345))*Acs*Am)</f>
        <v>20.2512033010682</v>
      </c>
      <c r="AB345" s="717" t="n">
        <f aca="false">(F345+H345-(D345+P345))*radconv</f>
        <v>-112.421756882453</v>
      </c>
      <c r="AD345" s="0" t="n">
        <f aca="false">SUM((Q346&lt;0)*(Q345&gt;0))*A345</f>
        <v>0</v>
      </c>
      <c r="AE345" s="0" t="n">
        <f aca="false">IF(AD345&gt;0,S345,0)</f>
        <v>0</v>
      </c>
    </row>
    <row r="346" customFormat="false" ht="12.75" hidden="false" customHeight="false" outlineLevel="0" collapsed="false">
      <c r="A346" s="718" t="n">
        <v>26456</v>
      </c>
      <c r="B346" s="706" t="n">
        <f aca="false">A346/1000</f>
        <v>26.456</v>
      </c>
      <c r="C346" s="707" t="n">
        <f aca="false">SQRT(1+(A346/pole1)^2)</f>
        <v>45.1906041821484</v>
      </c>
      <c r="D346" s="708" t="n">
        <f aca="false">ATAN(A346/pole1)</f>
        <v>1.54866602675148</v>
      </c>
      <c r="E346" s="708" t="n">
        <f aca="false">SQRT(1+(A346/Zero1)^2)</f>
        <v>1.05381541355187</v>
      </c>
      <c r="F346" s="709" t="n">
        <f aca="false">ATAN(A346/Zero1)</f>
        <v>0.320960657170615</v>
      </c>
      <c r="G346" s="708" t="n">
        <f aca="false">IF(VIN_nom&gt;Vout, 1, SQRT(1+(A346/z_RHP)^2))</f>
        <v>1.07412413408727</v>
      </c>
      <c r="H346" s="709" t="n">
        <f aca="false">IF(VIN_nom&gt;Vout, 0, -ATAN(A346/z_RHP))</f>
        <v>-0.373677806703269</v>
      </c>
      <c r="I346" s="707" t="n">
        <f aca="false">SQRT(1+(A346/Pole2)^2)</f>
        <v>109744.402583851</v>
      </c>
      <c r="J346" s="710" t="n">
        <f aca="false">ATAN(A346/Pole2)</f>
        <v>1.57078721471285</v>
      </c>
      <c r="K346" s="719" t="n">
        <f aca="false">SQRT(1+(A346/Zero2)^2)</f>
        <v>33.9701054211643</v>
      </c>
      <c r="L346" s="720" t="n">
        <f aca="false">ATAN(A346/Zero2)</f>
        <v>1.5413544256546</v>
      </c>
      <c r="M346" s="707" t="n">
        <f aca="false">SQRT(1+(A346/pole4)^2)</f>
        <v>1.45358728048993</v>
      </c>
      <c r="N346" s="710" t="n">
        <f aca="false">ATAN(A346/pole4)</f>
        <v>0.812131312916618</v>
      </c>
      <c r="O346" s="711" t="n">
        <f aca="false">SQRT((1-(V346/pterm2))^2+(A346/pterm1)^2)</f>
        <v>1.03649130338802</v>
      </c>
      <c r="P346" s="712" t="n">
        <f aca="false">IF((ATAN((A346/pterm1)/(1-A346^2/pterm2))&gt;0),ATAN((A346/pterm1)/(1-A346^2/pterm2)),PI()+ATAN((A346/pterm1)/(1-A346^2/pterm2)))</f>
        <v>0.363154083974521</v>
      </c>
      <c r="Q346" s="713" t="n">
        <f aca="false">20*LOG10(((E346*K346*G346)/(C346*I346*O346*M346))*Adc)</f>
        <v>-16.6094761871544</v>
      </c>
      <c r="R346" s="714" t="n">
        <f aca="false">((F346+L346+H346)-(D346+J346+P346+N346))*radconv</f>
        <v>-160.777765125608</v>
      </c>
      <c r="S346" s="717" t="n">
        <f aca="false">IF(R346&gt;0,R346,R346+180)</f>
        <v>19.2222348743923</v>
      </c>
      <c r="U346" s="644" t="n">
        <f aca="false">IF(Q346&lt;0,A346,1000000000)</f>
        <v>26456</v>
      </c>
      <c r="V346" s="644" t="n">
        <f aca="false">A346^2</f>
        <v>699919936</v>
      </c>
      <c r="X346" s="716" t="n">
        <f aca="false">20*LOG10((K346/(I346*M346))*AEA)</f>
        <v>14.6621423706564</v>
      </c>
      <c r="Y346" s="717" t="n">
        <f aca="false">(L346-(J346+N346))*radconv</f>
        <v>-48.2180712879747</v>
      </c>
      <c r="AA346" s="716" t="n">
        <f aca="false">20*LOG10((E346*G346/(C346*O346))*Acs*Am)</f>
        <v>20.2090067967435</v>
      </c>
      <c r="AB346" s="717" t="n">
        <f aca="false">(F346+H346-(D346+P346))*radconv</f>
        <v>-112.559693837633</v>
      </c>
      <c r="AD346" s="0" t="n">
        <f aca="false">SUM((Q347&lt;0)*(Q346&gt;0))*A346</f>
        <v>0</v>
      </c>
      <c r="AE346" s="0" t="n">
        <f aca="false">IF(AD346&gt;0,S346,0)</f>
        <v>0</v>
      </c>
    </row>
    <row r="347" customFormat="false" ht="12.75" hidden="false" customHeight="false" outlineLevel="0" collapsed="false">
      <c r="A347" s="718" t="n">
        <v>26609</v>
      </c>
      <c r="B347" s="706" t="n">
        <f aca="false">A347/1000</f>
        <v>26.609</v>
      </c>
      <c r="C347" s="707" t="n">
        <f aca="false">SQRT(1+(A347/pole1)^2)</f>
        <v>45.4518222993715</v>
      </c>
      <c r="D347" s="708" t="n">
        <f aca="false">ATAN(A347/pole1)</f>
        <v>1.54879323333641</v>
      </c>
      <c r="E347" s="708" t="n">
        <f aca="false">SQRT(1+(A347/Zero1)^2)</f>
        <v>1.05442354784092</v>
      </c>
      <c r="F347" s="709" t="n">
        <f aca="false">ATAN(A347/Zero1)</f>
        <v>0.322690959005731</v>
      </c>
      <c r="G347" s="708" t="n">
        <f aca="false">IF(VIN_nom&gt;Vout, 1, SQRT(1+(A347/z_RHP)^2))</f>
        <v>1.07495397226964</v>
      </c>
      <c r="H347" s="709" t="n">
        <f aca="false">IF(VIN_nom&gt;Vout, 0, -ATAN(A347/z_RHP))</f>
        <v>-0.375641711240329</v>
      </c>
      <c r="I347" s="707" t="n">
        <f aca="false">SQRT(1+(A347/Pole2)^2)</f>
        <v>110379.075005757</v>
      </c>
      <c r="J347" s="710" t="n">
        <f aca="false">ATAN(A347/Pole2)</f>
        <v>1.57078726710673</v>
      </c>
      <c r="K347" s="719" t="n">
        <f aca="false">SQRT(1+(A347/Zero2)^2)</f>
        <v>34.1663911448906</v>
      </c>
      <c r="L347" s="720" t="n">
        <f aca="false">ATAN(A347/Zero2)</f>
        <v>1.54152361767888</v>
      </c>
      <c r="M347" s="707" t="n">
        <f aca="false">SQRT(1+(A347/pole4)^2)</f>
        <v>1.45802112695117</v>
      </c>
      <c r="N347" s="710" t="n">
        <f aca="false">ATAN(A347/pole4)</f>
        <v>0.815009997667407</v>
      </c>
      <c r="O347" s="711" t="n">
        <f aca="false">SQRT((1-(V347/pterm2))^2+(A347/pterm1)^2)</f>
        <v>1.03691253666219</v>
      </c>
      <c r="P347" s="712" t="n">
        <f aca="false">IF((ATAN((A347/pterm1)/(1-A347^2/pterm2))&gt;0),ATAN((A347/pterm1)/(1-A347^2/pterm2)),PI()+ATAN((A347/pterm1)/(1-A347^2/pterm2)))</f>
        <v>0.365197270033865</v>
      </c>
      <c r="Q347" s="713" t="n">
        <f aca="false">20*LOG10(((E347*K347*G347)/(C347*I347*O347*M347))*Adc)</f>
        <v>-16.6778468250905</v>
      </c>
      <c r="R347" s="714" t="n">
        <f aca="false">((F347+L347+H347)-(D347+J347+P347+N347))*radconv</f>
        <v>-161.070749413048</v>
      </c>
      <c r="S347" s="717" t="n">
        <f aca="false">IF(R347&gt;0,R347,R347+180)</f>
        <v>18.9292505869519</v>
      </c>
      <c r="U347" s="644" t="n">
        <f aca="false">IF(Q347&lt;0,A347,1000000000)</f>
        <v>26609</v>
      </c>
      <c r="V347" s="644" t="n">
        <f aca="false">A347^2</f>
        <v>708038881</v>
      </c>
      <c r="X347" s="716" t="n">
        <f aca="false">20*LOG10((K347/(I347*M347))*AEA)</f>
        <v>14.6356451559104</v>
      </c>
      <c r="Y347" s="717" t="n">
        <f aca="false">(L347-(J347+N347))*radconv</f>
        <v>-48.3733167879502</v>
      </c>
      <c r="AA347" s="716" t="n">
        <f aca="false">20*LOG10((E347*G347/(C347*O347))*Acs*Am)</f>
        <v>20.1671333735535</v>
      </c>
      <c r="AB347" s="717" t="n">
        <f aca="false">(F347+H347-(D347+P347))*radconv</f>
        <v>-112.697432625098</v>
      </c>
      <c r="AD347" s="0" t="n">
        <f aca="false">SUM((Q348&lt;0)*(Q347&gt;0))*A347</f>
        <v>0</v>
      </c>
      <c r="AE347" s="0" t="n">
        <f aca="false">IF(AD347&gt;0,S347,0)</f>
        <v>0</v>
      </c>
    </row>
    <row r="348" customFormat="false" ht="12.75" hidden="false" customHeight="false" outlineLevel="0" collapsed="false">
      <c r="A348" s="718" t="n">
        <v>26762</v>
      </c>
      <c r="B348" s="706" t="n">
        <f aca="false">A348/1000</f>
        <v>26.762</v>
      </c>
      <c r="C348" s="707" t="n">
        <f aca="false">SQRT(1+(A348/pole1)^2)</f>
        <v>45.7130411436684</v>
      </c>
      <c r="D348" s="708" t="n">
        <f aca="false">ATAN(A348/pole1)</f>
        <v>1.54891898612566</v>
      </c>
      <c r="E348" s="708" t="n">
        <f aca="false">SQRT(1+(A348/Zero1)^2)</f>
        <v>1.05503483537065</v>
      </c>
      <c r="F348" s="709" t="n">
        <f aca="false">ATAN(A348/Zero1)</f>
        <v>0.324419260935401</v>
      </c>
      <c r="G348" s="708" t="n">
        <f aca="false">IF(VIN_nom&gt;Vout, 1, SQRT(1+(A348/z_RHP)^2))</f>
        <v>1.07578795005899</v>
      </c>
      <c r="H348" s="709" t="n">
        <f aca="false">IF(VIN_nom&gt;Vout, 0, -ATAN(A348/z_RHP))</f>
        <v>-0.377602578394486</v>
      </c>
      <c r="I348" s="707" t="n">
        <f aca="false">SQRT(1+(A348/Pole2)^2)</f>
        <v>111013.747427663</v>
      </c>
      <c r="J348" s="710" t="n">
        <f aca="false">ATAN(A348/Pole2)</f>
        <v>1.57078731890152</v>
      </c>
      <c r="K348" s="719" t="n">
        <f aca="false">SQRT(1+(A348/Zero2)^2)</f>
        <v>34.3626778354884</v>
      </c>
      <c r="L348" s="720" t="n">
        <f aca="false">ATAN(A348/Zero2)</f>
        <v>1.54169087678855</v>
      </c>
      <c r="M348" s="707" t="n">
        <f aca="false">SQRT(1+(A348/pole4)^2)</f>
        <v>1.46246698245979</v>
      </c>
      <c r="N348" s="710" t="n">
        <f aca="false">ATAN(A348/pole4)</f>
        <v>0.81787120377907</v>
      </c>
      <c r="O348" s="711" t="n">
        <f aca="false">SQRT((1-(V348/pterm2))^2+(A348/pterm1)^2)</f>
        <v>1.03733615305825</v>
      </c>
      <c r="P348" s="712" t="n">
        <f aca="false">IF((ATAN((A348/pterm1)/(1-A348^2/pterm2))&gt;0),ATAN((A348/pterm1)/(1-A348^2/pterm2)),PI()+ATAN((A348/pterm1)/(1-A348^2/pterm2)))</f>
        <v>0.367239508413522</v>
      </c>
      <c r="Q348" s="713" t="n">
        <f aca="false">20*LOG10(((E348*K348*G348)/(C348*I348*O348*M348))*Adc)</f>
        <v>-16.7458881699824</v>
      </c>
      <c r="R348" s="714" t="n">
        <f aca="false">((F348+L348+H348)-(D348+J348+P348+N348))*radconv</f>
        <v>-161.362645924275</v>
      </c>
      <c r="S348" s="717" t="n">
        <f aca="false">IF(R348&gt;0,R348,R348+180)</f>
        <v>18.6373540757247</v>
      </c>
      <c r="U348" s="644" t="n">
        <f aca="false">IF(Q348&lt;0,A348,1000000000)</f>
        <v>26762</v>
      </c>
      <c r="V348" s="644" t="n">
        <f aca="false">A348^2</f>
        <v>716204644</v>
      </c>
      <c r="X348" s="716" t="n">
        <f aca="false">20*LOG10((K348/(I348*M348))*AEA)</f>
        <v>14.6091576791812</v>
      </c>
      <c r="Y348" s="717" t="n">
        <f aca="false">(L348-(J348+N348))*radconv</f>
        <v>-48.5276715491959</v>
      </c>
      <c r="AA348" s="716" t="n">
        <f aca="false">20*LOG10((E348*G348/(C348*O348))*Acs*Am)</f>
        <v>20.1255795053907</v>
      </c>
      <c r="AB348" s="717" t="n">
        <f aca="false">(F348+H348-(D348+P348))*radconv</f>
        <v>-112.834974375079</v>
      </c>
      <c r="AD348" s="0" t="n">
        <f aca="false">SUM((Q349&lt;0)*(Q348&gt;0))*A348</f>
        <v>0</v>
      </c>
      <c r="AE348" s="0" t="n">
        <f aca="false">IF(AD348&gt;0,S348,0)</f>
        <v>0</v>
      </c>
    </row>
    <row r="349" customFormat="false" ht="12.75" hidden="false" customHeight="false" outlineLevel="0" collapsed="false">
      <c r="A349" s="718" t="n">
        <v>26915</v>
      </c>
      <c r="B349" s="706" t="n">
        <f aca="false">A349/1000</f>
        <v>26.915</v>
      </c>
      <c r="C349" s="707" t="n">
        <f aca="false">SQRT(1+(A349/pole1)^2)</f>
        <v>45.9742607026458</v>
      </c>
      <c r="D349" s="708" t="n">
        <f aca="false">ATAN(A349/pole1)</f>
        <v>1.54904330989602</v>
      </c>
      <c r="E349" s="708" t="n">
        <f aca="false">SQRT(1+(A349/Zero1)^2)</f>
        <v>1.05564927066329</v>
      </c>
      <c r="F349" s="709" t="n">
        <f aca="false">ATAN(A349/Zero1)</f>
        <v>0.326145556117865</v>
      </c>
      <c r="G349" s="708" t="n">
        <f aca="false">IF(VIN_nom&gt;Vout, 1, SQRT(1+(A349/z_RHP)^2))</f>
        <v>1.07662605783544</v>
      </c>
      <c r="H349" s="709" t="n">
        <f aca="false">IF(VIN_nom&gt;Vout, 0, -ATAN(A349/z_RHP))</f>
        <v>-0.379560400162705</v>
      </c>
      <c r="I349" s="707" t="n">
        <f aca="false">SQRT(1+(A349/Pole2)^2)</f>
        <v>111648.419849569</v>
      </c>
      <c r="J349" s="710" t="n">
        <f aca="false">ATAN(A349/Pole2)</f>
        <v>1.57078737010745</v>
      </c>
      <c r="K349" s="719" t="n">
        <f aca="false">SQRT(1+(A349/Zero2)^2)</f>
        <v>34.5589654764829</v>
      </c>
      <c r="L349" s="720" t="n">
        <f aca="false">ATAN(A349/Zero2)</f>
        <v>1.54185623590981</v>
      </c>
      <c r="M349" s="707" t="n">
        <f aca="false">SQRT(1+(A349/pole4)^2)</f>
        <v>1.46692473782721</v>
      </c>
      <c r="N349" s="710" t="n">
        <f aca="false">ATAN(A349/pole4)</f>
        <v>0.820715043536426</v>
      </c>
      <c r="O349" s="711" t="n">
        <f aca="false">SQRT((1-(V349/pterm2))^2+(A349/pterm1)^2)</f>
        <v>1.03776215184088</v>
      </c>
      <c r="P349" s="712" t="n">
        <f aca="false">IF((ATAN((A349/pterm1)/(1-A349^2/pterm2))&gt;0),ATAN((A349/pterm1)/(1-A349^2/pterm2)),PI()+ATAN((A349/pterm1)/(1-A349^2/pterm2)))</f>
        <v>0.369280794719175</v>
      </c>
      <c r="Q349" s="713" t="n">
        <f aca="false">20*LOG10(((E349*K349*G349)/(C349*I349*O349*M349))*Adc)</f>
        <v>-16.8136028993635</v>
      </c>
      <c r="R349" s="714" t="n">
        <f aca="false">((F349+L349+H349)-(D349+J349+P349+N349))*radconv</f>
        <v>-161.653460308083</v>
      </c>
      <c r="S349" s="717" t="n">
        <f aca="false">IF(R349&gt;0,R349,R349+180)</f>
        <v>18.3465396919175</v>
      </c>
      <c r="U349" s="644" t="n">
        <f aca="false">IF(Q349&lt;0,A349,1000000000)</f>
        <v>26915</v>
      </c>
      <c r="V349" s="644" t="n">
        <f aca="false">A349^2</f>
        <v>724417225</v>
      </c>
      <c r="X349" s="716" t="n">
        <f aca="false">20*LOG10((K349/(I349*M349))*AEA)</f>
        <v>14.5826807324637</v>
      </c>
      <c r="Y349" s="717" t="n">
        <f aca="false">(L349-(J349+N349))*radconv</f>
        <v>-48.6811401192108</v>
      </c>
      <c r="AA349" s="716" t="n">
        <f aca="false">20*LOG10((E349*G349/(C349*O349))*Acs*Am)</f>
        <v>20.0843417227272</v>
      </c>
      <c r="AB349" s="717" t="n">
        <f aca="false">(F349+H349-(D349+P349))*radconv</f>
        <v>-112.972320188872</v>
      </c>
      <c r="AD349" s="0" t="n">
        <f aca="false">SUM((Q350&lt;0)*(Q349&gt;0))*A349</f>
        <v>0</v>
      </c>
      <c r="AE349" s="0" t="n">
        <f aca="false">IF(AD349&gt;0,S349,0)</f>
        <v>0</v>
      </c>
    </row>
    <row r="350" customFormat="false" ht="12.75" hidden="false" customHeight="false" outlineLevel="0" collapsed="false">
      <c r="A350" s="718" t="n">
        <v>27071.75</v>
      </c>
      <c r="B350" s="706" t="n">
        <f aca="false">A350/1000</f>
        <v>27.07175</v>
      </c>
      <c r="C350" s="707" t="n">
        <f aca="false">SQRT(1+(A350/pole1)^2)</f>
        <v>46.2418834303011</v>
      </c>
      <c r="D350" s="708" t="n">
        <f aca="false">ATAN(A350/pole1)</f>
        <v>1.54916922414838</v>
      </c>
      <c r="E350" s="708" t="n">
        <f aca="false">SQRT(1+(A350/Zero1)^2)</f>
        <v>1.05628202433597</v>
      </c>
      <c r="F350" s="709" t="n">
        <f aca="false">ATAN(A350/Zero1)</f>
        <v>0.327912074243039</v>
      </c>
      <c r="G350" s="708" t="n">
        <f aca="false">IF(VIN_nom&gt;Vout, 1, SQRT(1+(A350/z_RHP)^2))</f>
        <v>1.07748898045802</v>
      </c>
      <c r="H350" s="709" t="n">
        <f aca="false">IF(VIN_nom&gt;Vout, 0, -ATAN(A350/z_RHP))</f>
        <v>-0.381563041252079</v>
      </c>
      <c r="I350" s="707" t="n">
        <f aca="false">SQRT(1+(A350/Pole2)^2)</f>
        <v>112298.647968091</v>
      </c>
      <c r="J350" s="710" t="n">
        <f aca="false">ATAN(A350/Pole2)</f>
        <v>1.57078742196819</v>
      </c>
      <c r="K350" s="719" t="n">
        <f aca="false">SQRT(1+(A350/Zero2)^2)</f>
        <v>34.7600650578601</v>
      </c>
      <c r="L350" s="720" t="n">
        <f aca="false">ATAN(A350/Zero2)</f>
        <v>1.54202371118277</v>
      </c>
      <c r="M350" s="707" t="n">
        <f aca="false">SQRT(1+(A350/pole4)^2)</f>
        <v>1.47150397975801</v>
      </c>
      <c r="N350" s="710" t="n">
        <f aca="false">ATAN(A350/pole4)</f>
        <v>0.823610692359593</v>
      </c>
      <c r="O350" s="711" t="n">
        <f aca="false">SQRT((1-(V350/pterm2))^2+(A350/pterm1)^2)</f>
        <v>1.03820106168842</v>
      </c>
      <c r="P350" s="712" t="n">
        <f aca="false">IF((ATAN((A350/pterm1)/(1-A350^2/pterm2))&gt;0),ATAN((A350/pterm1)/(1-A350^2/pterm2)),PI()+ATAN((A350/pterm1)/(1-A350^2/pterm2)))</f>
        <v>0.37137112061189</v>
      </c>
      <c r="Q350" s="713" t="n">
        <f aca="false">20*LOG10(((E350*K350*G350)/(C350*I350*O350*M350))*Adc)</f>
        <v>-16.8826413392016</v>
      </c>
      <c r="R350" s="714" t="n">
        <f aca="false">((F350+L350+H350)-(D350+J350+P350+N350))*radconv</f>
        <v>-161.950286166024</v>
      </c>
      <c r="S350" s="717" t="n">
        <f aca="false">IF(R350&gt;0,R350,R350+180)</f>
        <v>18.0497138339762</v>
      </c>
      <c r="U350" s="644" t="n">
        <f aca="false">IF(Q350&lt;0,A350,1000000000)</f>
        <v>27071.75</v>
      </c>
      <c r="V350" s="644" t="n">
        <f aca="false">A350^2</f>
        <v>732879648.0625</v>
      </c>
      <c r="X350" s="716" t="n">
        <f aca="false">20*LOG10((K350/(I350*M350))*AEA)</f>
        <v>14.5555665733733</v>
      </c>
      <c r="Y350" s="717" t="n">
        <f aca="false">(L350-(J350+N350))*radconv</f>
        <v>-48.8374559209967</v>
      </c>
      <c r="AA350" s="716" t="n">
        <f aca="false">20*LOG10((E350*G350/(C350*O350))*Acs*Am)</f>
        <v>20.0424174419794</v>
      </c>
      <c r="AB350" s="717" t="n">
        <f aca="false">(F350+H350-(D350+P350))*radconv</f>
        <v>-113.112830245027</v>
      </c>
      <c r="AD350" s="0" t="n">
        <f aca="false">SUM((Q351&lt;0)*(Q350&gt;0))*A350</f>
        <v>0</v>
      </c>
      <c r="AE350" s="0" t="n">
        <f aca="false">IF(AD350&gt;0,S350,0)</f>
        <v>0</v>
      </c>
    </row>
    <row r="351" customFormat="false" ht="12.75" hidden="false" customHeight="false" outlineLevel="0" collapsed="false">
      <c r="A351" s="718" t="n">
        <v>27228.5</v>
      </c>
      <c r="B351" s="706" t="n">
        <f aca="false">A351/1000</f>
        <v>27.2285</v>
      </c>
      <c r="C351" s="707" t="n">
        <f aca="false">SQRT(1+(A351/pole1)^2)</f>
        <v>46.5095068826566</v>
      </c>
      <c r="D351" s="708" t="n">
        <f aca="false">ATAN(A351/pole1)</f>
        <v>1.54929368933951</v>
      </c>
      <c r="E351" s="708" t="n">
        <f aca="false">SQRT(1+(A351/Zero1)^2)</f>
        <v>1.05691807027511</v>
      </c>
      <c r="F351" s="709" t="n">
        <f aca="false">ATAN(A351/Zero1)</f>
        <v>0.329676471712031</v>
      </c>
      <c r="G351" s="708" t="n">
        <f aca="false">IF(VIN_nom&gt;Vout, 1, SQRT(1+(A351/z_RHP)^2))</f>
        <v>1.07835621750086</v>
      </c>
      <c r="H351" s="709" t="n">
        <f aca="false">IF(VIN_nom&gt;Vout, 0, -ATAN(A351/z_RHP))</f>
        <v>-0.383562469216326</v>
      </c>
      <c r="I351" s="707" t="n">
        <f aca="false">SQRT(1+(A351/Pole2)^2)</f>
        <v>112948.876086614</v>
      </c>
      <c r="J351" s="710" t="n">
        <f aca="false">ATAN(A351/Pole2)</f>
        <v>1.57078747323181</v>
      </c>
      <c r="K351" s="719" t="n">
        <f aca="false">SQRT(1+(A351/Zero2)^2)</f>
        <v>34.9611656029704</v>
      </c>
      <c r="L351" s="720" t="n">
        <f aca="false">ATAN(A351/Zero2)</f>
        <v>1.54218925978722</v>
      </c>
      <c r="M351" s="707" t="n">
        <f aca="false">SQRT(1+(A351/pole4)^2)</f>
        <v>1.4760954833159</v>
      </c>
      <c r="N351" s="710" t="n">
        <f aca="false">ATAN(A351/pole4)</f>
        <v>0.826488350929276</v>
      </c>
      <c r="O351" s="711" t="n">
        <f aca="false">SQRT((1-(V351/pterm2))^2+(A351/pterm1)^2)</f>
        <v>1.03864247056622</v>
      </c>
      <c r="P351" s="712" t="n">
        <f aca="false">IF((ATAN((A351/pterm1)/(1-A351^2/pterm2))&gt;0),ATAN((A351/pterm1)/(1-A351^2/pterm2)),PI()+ATAN((A351/pterm1)/(1-A351^2/pterm2)))</f>
        <v>0.373460437902879</v>
      </c>
      <c r="Q351" s="713" t="n">
        <f aca="false">20*LOG10(((E351*K351*G351)/(C351*I351*O351*M351))*Adc)</f>
        <v>-16.9513425184479</v>
      </c>
      <c r="R351" s="714" t="n">
        <f aca="false">((F351+L351+H351)-(D351+J351+P351+N351))*radconv</f>
        <v>-162.245988206555</v>
      </c>
      <c r="S351" s="717" t="n">
        <f aca="false">IF(R351&gt;0,R351,R351+180)</f>
        <v>17.7540117934455</v>
      </c>
      <c r="U351" s="644" t="n">
        <f aca="false">IF(Q351&lt;0,A351,1000000000)</f>
        <v>27228.5</v>
      </c>
      <c r="V351" s="644" t="n">
        <f aca="false">A351^2</f>
        <v>741391212.25</v>
      </c>
      <c r="X351" s="716" t="n">
        <f aca="false">20*LOG10((K351/(I351*M351))*AEA)</f>
        <v>14.5284651011297</v>
      </c>
      <c r="Y351" s="717" t="n">
        <f aca="false">(L351-(J351+N351))*radconv</f>
        <v>-48.9928513129465</v>
      </c>
      <c r="AA351" s="716" t="n">
        <f aca="false">20*LOG10((E351*G351/(C351*O351))*Acs*Am)</f>
        <v>20.0008177349767</v>
      </c>
      <c r="AB351" s="717" t="n">
        <f aca="false">(F351+H351-(D351+P351))*radconv</f>
        <v>-113.253136893608</v>
      </c>
      <c r="AD351" s="0" t="n">
        <f aca="false">SUM((Q352&lt;0)*(Q351&gt;0))*A351</f>
        <v>0</v>
      </c>
      <c r="AE351" s="0" t="n">
        <f aca="false">IF(AD351&gt;0,S351,0)</f>
        <v>0</v>
      </c>
    </row>
    <row r="352" customFormat="false" ht="12.75" hidden="false" customHeight="false" outlineLevel="0" collapsed="false">
      <c r="A352" s="718" t="n">
        <v>27385.25</v>
      </c>
      <c r="B352" s="706" t="n">
        <f aca="false">A352/1000</f>
        <v>27.38525</v>
      </c>
      <c r="C352" s="707" t="n">
        <f aca="false">SQRT(1+(A352/pole1)^2)</f>
        <v>46.7771310472736</v>
      </c>
      <c r="D352" s="708" t="n">
        <f aca="false">ATAN(A352/pole1)</f>
        <v>1.5494167303369</v>
      </c>
      <c r="E352" s="708" t="n">
        <f aca="false">SQRT(1+(A352/Zero1)^2)</f>
        <v>1.05755740254051</v>
      </c>
      <c r="F352" s="709" t="n">
        <f aca="false">ATAN(A352/Zero1)</f>
        <v>0.331438741375572</v>
      </c>
      <c r="G352" s="708" t="n">
        <f aca="false">IF(VIN_nom&gt;Vout, 1, SQRT(1+(A352/z_RHP)^2))</f>
        <v>1.07922775856311</v>
      </c>
      <c r="H352" s="709" t="n">
        <f aca="false">IF(VIN_nom&gt;Vout, 0, -ATAN(A352/z_RHP))</f>
        <v>-0.385558675834419</v>
      </c>
      <c r="I352" s="707" t="n">
        <f aca="false">SQRT(1+(A352/Pole2)^2)</f>
        <v>113599.104205136</v>
      </c>
      <c r="J352" s="710" t="n">
        <f aca="false">ATAN(A352/Pole2)</f>
        <v>1.57078752390858</v>
      </c>
      <c r="K352" s="719" t="n">
        <f aca="false">SQRT(1+(A352/Zero2)^2)</f>
        <v>35.1622670952785</v>
      </c>
      <c r="L352" s="720" t="n">
        <f aca="false">ATAN(A352/Zero2)</f>
        <v>1.54235291477127</v>
      </c>
      <c r="M352" s="707" t="n">
        <f aca="false">SQRT(1+(A352/pole4)^2)</f>
        <v>1.48069913443455</v>
      </c>
      <c r="N352" s="710" t="n">
        <f aca="false">ATAN(A352/pole4)</f>
        <v>0.829348139165007</v>
      </c>
      <c r="O352" s="711" t="n">
        <f aca="false">SQRT((1-(V352/pterm2))^2+(A352/pterm1)^2)</f>
        <v>1.03908637767488</v>
      </c>
      <c r="P352" s="712" t="n">
        <f aca="false">IF((ATAN((A352/pterm1)/(1-A352^2/pterm2))&gt;0),ATAN((A352/pterm1)/(1-A352^2/pterm2)),PI()+ATAN((A352/pterm1)/(1-A352^2/pterm2)))</f>
        <v>0.375548741919884</v>
      </c>
      <c r="Q352" s="713" t="n">
        <f aca="false">20*LOG10(((E352*K352*G352)/(C352*I352*O352*M352))*Adc)</f>
        <v>-17.0197091887541</v>
      </c>
      <c r="R352" s="714" t="n">
        <f aca="false">((F352+L352+H352)-(D352+J352+P352+N352))*radconv</f>
        <v>-162.540572503323</v>
      </c>
      <c r="S352" s="717" t="n">
        <f aca="false">IF(R352&gt;0,R352,R352+180)</f>
        <v>17.4594274966771</v>
      </c>
      <c r="U352" s="644" t="n">
        <f aca="false">IF(Q352&lt;0,A352,1000000000)</f>
        <v>27385.25</v>
      </c>
      <c r="V352" s="644" t="n">
        <f aca="false">A352^2</f>
        <v>749951917.5625</v>
      </c>
      <c r="X352" s="716" t="n">
        <f aca="false">20*LOG10((K352/(I352*M352))*AEA)</f>
        <v>14.501377118486</v>
      </c>
      <c r="Y352" s="717" t="n">
        <f aca="false">(L352-(J352+N352))*radconv</f>
        <v>-49.1473312730145</v>
      </c>
      <c r="AA352" s="716" t="n">
        <f aca="false">20*LOG10((E352*G352/(C352*O352))*Acs*Am)</f>
        <v>19.9595390473143</v>
      </c>
      <c r="AB352" s="717" t="n">
        <f aca="false">(F352+H352-(D352+P352))*radconv</f>
        <v>-113.393241230308</v>
      </c>
      <c r="AD352" s="0" t="n">
        <f aca="false">SUM((Q353&lt;0)*(Q352&gt;0))*A352</f>
        <v>0</v>
      </c>
      <c r="AE352" s="0" t="n">
        <f aca="false">IF(AD352&gt;0,S352,0)</f>
        <v>0</v>
      </c>
    </row>
    <row r="353" customFormat="false" ht="12.75" hidden="false" customHeight="false" outlineLevel="0" collapsed="false">
      <c r="A353" s="718" t="n">
        <v>27542</v>
      </c>
      <c r="B353" s="706" t="n">
        <f aca="false">A353/1000</f>
        <v>27.542</v>
      </c>
      <c r="C353" s="707" t="n">
        <f aca="false">SQRT(1+(A353/pole1)^2)</f>
        <v>47.0447559119965</v>
      </c>
      <c r="D353" s="708" t="n">
        <f aca="false">ATAN(A353/pole1)</f>
        <v>1.54953837144235</v>
      </c>
      <c r="E353" s="708" t="n">
        <f aca="false">SQRT(1+(A353/Zero1)^2)</f>
        <v>1.05820001517568</v>
      </c>
      <c r="F353" s="709" t="n">
        <f aca="false">ATAN(A353/Zero1)</f>
        <v>0.333198876154487</v>
      </c>
      <c r="G353" s="708" t="n">
        <f aca="false">IF(VIN_nom&gt;Vout, 1, SQRT(1+(A353/z_RHP)^2))</f>
        <v>1.08010359322597</v>
      </c>
      <c r="H353" s="709" t="n">
        <f aca="false">IF(VIN_nom&gt;Vout, 0, -ATAN(A353/z_RHP))</f>
        <v>-0.387551653014494</v>
      </c>
      <c r="I353" s="707" t="n">
        <f aca="false">SQRT(1+(A353/Pole2)^2)</f>
        <v>114249.332323659</v>
      </c>
      <c r="J353" s="710" t="n">
        <f aca="false">ATAN(A353/Pole2)</f>
        <v>1.57078757400852</v>
      </c>
      <c r="K353" s="719" t="n">
        <f aca="false">SQRT(1+(A353/Zero2)^2)</f>
        <v>35.363369518625</v>
      </c>
      <c r="L353" s="720" t="n">
        <f aca="false">ATAN(A353/Zero2)</f>
        <v>1.54251470843166</v>
      </c>
      <c r="M353" s="707" t="n">
        <f aca="false">SQRT(1+(A353/pole4)^2)</f>
        <v>1.48531482016188</v>
      </c>
      <c r="N353" s="710" t="n">
        <f aca="false">ATAN(A353/pole4)</f>
        <v>0.832190176670789</v>
      </c>
      <c r="O353" s="711" t="n">
        <f aca="false">SQRT((1-(V353/pterm2))^2+(A353/pterm1)^2)</f>
        <v>1.0395327822121</v>
      </c>
      <c r="P353" s="712" t="n">
        <f aca="false">IF((ATAN((A353/pterm1)/(1-A353^2/pterm2))&gt;0),ATAN((A353/pterm1)/(1-A353^2/pterm2)),PI()+ATAN((A353/pterm1)/(1-A353^2/pterm2)))</f>
        <v>0.377636028008673</v>
      </c>
      <c r="Q353" s="713" t="n">
        <f aca="false">20*LOG10(((E353*K353*G353)/(C353*I353*O353*M353))*Adc)</f>
        <v>-17.0877440609308</v>
      </c>
      <c r="R353" s="714" t="n">
        <f aca="false">((F353+L353+H353)-(D353+J353+P353+N353))*radconv</f>
        <v>-162.834045126939</v>
      </c>
      <c r="S353" s="717" t="n">
        <f aca="false">IF(R353&gt;0,R353,R353+180)</f>
        <v>17.1659548730607</v>
      </c>
      <c r="U353" s="644" t="n">
        <f aca="false">IF(Q353&lt;0,A353,1000000000)</f>
        <v>27542</v>
      </c>
      <c r="V353" s="644" t="n">
        <f aca="false">A353^2</f>
        <v>758561764</v>
      </c>
      <c r="X353" s="716" t="n">
        <f aca="false">20*LOG10((K353/(I353*M353))*AEA)</f>
        <v>14.4743034121324</v>
      </c>
      <c r="Y353" s="717" t="n">
        <f aca="false">(L353-(J353+N353))*radconv</f>
        <v>-49.3009008041113</v>
      </c>
      <c r="AA353" s="716" t="n">
        <f aca="false">20*LOG10((E353*G353/(C353*O353))*Acs*Am)</f>
        <v>19.9185778814912</v>
      </c>
      <c r="AB353" s="717" t="n">
        <f aca="false">(F353+H353-(D353+P353))*radconv</f>
        <v>-113.533144322828</v>
      </c>
      <c r="AD353" s="0" t="n">
        <f aca="false">SUM((Q354&lt;0)*(Q353&gt;0))*A353</f>
        <v>0</v>
      </c>
      <c r="AE353" s="0" t="n">
        <f aca="false">IF(AD353&gt;0,S353,0)</f>
        <v>0</v>
      </c>
    </row>
    <row r="354" customFormat="false" ht="12.75" hidden="false" customHeight="false" outlineLevel="0" collapsed="false">
      <c r="A354" s="718" t="n">
        <v>27702.5</v>
      </c>
      <c r="B354" s="706" t="n">
        <f aca="false">A354/1000</f>
        <v>27.7025</v>
      </c>
      <c r="C354" s="707" t="n">
        <f aca="false">SQRT(1+(A354/pole1)^2)</f>
        <v>47.3187839984679</v>
      </c>
      <c r="D354" s="708" t="n">
        <f aca="false">ATAN(A354/pole1)</f>
        <v>1.54966149689835</v>
      </c>
      <c r="E354" s="708" t="n">
        <f aca="false">SQRT(1+(A354/Zero1)^2)</f>
        <v>1.05886139410593</v>
      </c>
      <c r="F354" s="709" t="n">
        <f aca="false">ATAN(A354/Zero1)</f>
        <v>0.33499889999456</v>
      </c>
      <c r="G354" s="708" t="n">
        <f aca="false">IF(VIN_nom&gt;Vout, 1, SQRT(1+(A354/z_RHP)^2))</f>
        <v>1.08100481887695</v>
      </c>
      <c r="H354" s="709" t="n">
        <f aca="false">IF(VIN_nom&gt;Vout, 0, -ATAN(A354/z_RHP))</f>
        <v>-0.389588954507256</v>
      </c>
      <c r="I354" s="707" t="n">
        <f aca="false">SQRT(1+(A354/Pole2)^2)</f>
        <v>114915.116138798</v>
      </c>
      <c r="J354" s="710" t="n">
        <f aca="false">ATAN(A354/Pole2)</f>
        <v>1.57078762471954</v>
      </c>
      <c r="K354" s="719" t="n">
        <f aca="false">SQRT(1+(A354/Zero2)^2)</f>
        <v>35.5692839529529</v>
      </c>
      <c r="L354" s="720" t="n">
        <f aca="false">ATAN(A354/Zero2)</f>
        <v>1.54267847706842</v>
      </c>
      <c r="M354" s="707" t="n">
        <f aca="false">SQRT(1+(A354/pole4)^2)</f>
        <v>1.49005328210047</v>
      </c>
      <c r="N354" s="710" t="n">
        <f aca="false">ATAN(A354/pole4)</f>
        <v>0.835081937275396</v>
      </c>
      <c r="O354" s="711" t="n">
        <f aca="false">SQRT((1-(V354/pterm2))^2+(A354/pterm1)^2)</f>
        <v>1.03999245320663</v>
      </c>
      <c r="P354" s="712" t="n">
        <f aca="false">IF((ATAN((A354/pterm1)/(1-A354^2/pterm2))&gt;0),ATAN((A354/pterm1)/(1-A354^2/pterm2)),PI()+ATAN((A354/pterm1)/(1-A354^2/pterm2)))</f>
        <v>0.37977218958127</v>
      </c>
      <c r="Q354" s="713" t="n">
        <f aca="false">20*LOG10(((E354*K354*G354)/(C354*I354*O354*M354))*Adc)</f>
        <v>-17.1570655513867</v>
      </c>
      <c r="R354" s="714" t="n">
        <f aca="false">((F354+L354+H354)-(D354+J354+P354+N354))*radconv</f>
        <v>-163.133393078632</v>
      </c>
      <c r="S354" s="717" t="n">
        <f aca="false">IF(R354&gt;0,R354,R354+180)</f>
        <v>16.8666069213685</v>
      </c>
      <c r="U354" s="644" t="n">
        <f aca="false">IF(Q354&lt;0,A354,1000000000)</f>
        <v>27702.5</v>
      </c>
      <c r="V354" s="644" t="n">
        <f aca="false">A354^2</f>
        <v>767428506.25</v>
      </c>
      <c r="X354" s="716" t="n">
        <f aca="false">20*LOG10((K354/(I354*M354))*AEA)</f>
        <v>14.4465976071396</v>
      </c>
      <c r="Y354" s="717" t="n">
        <f aca="false">(L354-(J354+N354))*radconv</f>
        <v>-49.4572061361209</v>
      </c>
      <c r="AA354" s="716" t="n">
        <f aca="false">20*LOG10((E354*G354/(C354*O354))*Acs*Am)</f>
        <v>19.8769621960281</v>
      </c>
      <c r="AB354" s="717" t="n">
        <f aca="false">(F354+H354-(D354+P354))*radconv</f>
        <v>-113.676186942511</v>
      </c>
      <c r="AD354" s="0" t="n">
        <f aca="false">SUM((Q355&lt;0)*(Q354&gt;0))*A354</f>
        <v>0</v>
      </c>
      <c r="AE354" s="0" t="n">
        <f aca="false">IF(AD354&gt;0,S354,0)</f>
        <v>0</v>
      </c>
    </row>
    <row r="355" customFormat="false" ht="12.75" hidden="false" customHeight="false" outlineLevel="0" collapsed="false">
      <c r="A355" s="718" t="n">
        <v>27863</v>
      </c>
      <c r="B355" s="706" t="n">
        <f aca="false">A355/1000</f>
        <v>27.863</v>
      </c>
      <c r="C355" s="707" t="n">
        <f aca="false">SQRT(1+(A355/pole1)^2)</f>
        <v>47.5928127940256</v>
      </c>
      <c r="D355" s="708" t="n">
        <f aca="false">ATAN(A355/pole1)</f>
        <v>1.54978320449838</v>
      </c>
      <c r="E355" s="708" t="n">
        <f aca="false">SQRT(1+(A355/Zero1)^2)</f>
        <v>1.05952619954833</v>
      </c>
      <c r="F355" s="709" t="n">
        <f aca="false">ATAN(A355/Zero1)</f>
        <v>0.336796670784107</v>
      </c>
      <c r="G355" s="708" t="n">
        <f aca="false">IF(VIN_nom&gt;Vout, 1, SQRT(1+(A355/z_RHP)^2))</f>
        <v>1.08191052385785</v>
      </c>
      <c r="H355" s="709" t="n">
        <f aca="false">IF(VIN_nom&gt;Vout, 0, -ATAN(A355/z_RHP))</f>
        <v>-0.391622853438095</v>
      </c>
      <c r="I355" s="707" t="n">
        <f aca="false">SQRT(1+(A355/Pole2)^2)</f>
        <v>115580.899953937</v>
      </c>
      <c r="J355" s="710" t="n">
        <f aca="false">ATAN(A355/Pole2)</f>
        <v>1.57078767484634</v>
      </c>
      <c r="K355" s="719" t="n">
        <f aca="false">SQRT(1+(A355/Zero2)^2)</f>
        <v>35.7751993302731</v>
      </c>
      <c r="L355" s="720" t="n">
        <f aca="false">ATAN(A355/Zero2)</f>
        <v>1.542840360466</v>
      </c>
      <c r="M355" s="707" t="n">
        <f aca="false">SQRT(1+(A355/pole4)^2)</f>
        <v>1.49480412522355</v>
      </c>
      <c r="N355" s="710" t="n">
        <f aca="false">ATAN(A355/pole4)</f>
        <v>0.837955340374934</v>
      </c>
      <c r="O355" s="711" t="n">
        <f aca="false">SQRT((1-(V355/pterm2))^2+(A355/pterm1)^2)</f>
        <v>1.0404547408417</v>
      </c>
      <c r="P355" s="712" t="n">
        <f aca="false">IF((ATAN((A355/pterm1)/(1-A355^2/pterm2))&gt;0),ATAN((A355/pterm1)/(1-A355^2/pterm2)),PI()+ATAN((A355/pterm1)/(1-A355^2/pterm2)))</f>
        <v>0.381907274120556</v>
      </c>
      <c r="Q355" s="713" t="n">
        <f aca="false">20*LOG10(((E355*K355*G355)/(C355*I355*O355*M355))*Adc)</f>
        <v>-17.2260448037512</v>
      </c>
      <c r="R355" s="714" t="n">
        <f aca="false">((F355+L355+H355)-(D355+J355+P355+N355))*radconv</f>
        <v>-163.431588396757</v>
      </c>
      <c r="S355" s="717" t="n">
        <f aca="false">IF(R355&gt;0,R355,R355+180)</f>
        <v>16.5684116032434</v>
      </c>
      <c r="U355" s="644" t="n">
        <f aca="false">IF(Q355&lt;0,A355,1000000000)</f>
        <v>27863</v>
      </c>
      <c r="V355" s="644" t="n">
        <f aca="false">A355^2</f>
        <v>776346769</v>
      </c>
      <c r="X355" s="716" t="n">
        <f aca="false">20*LOG10((K355/(I355*M355))*AEA)</f>
        <v>14.4189083883282</v>
      </c>
      <c r="Y355" s="717" t="n">
        <f aca="false">(L355-(J355+N355))*radconv</f>
        <v>-49.6125676433415</v>
      </c>
      <c r="AA355" s="716" t="n">
        <f aca="false">20*LOG10((E355*G355/(C355*O355))*Acs*Am)</f>
        <v>19.8356721624749</v>
      </c>
      <c r="AB355" s="717" t="n">
        <f aca="false">(F355+H355-(D355+P355))*radconv</f>
        <v>-113.819020753415</v>
      </c>
      <c r="AD355" s="0" t="n">
        <f aca="false">SUM((Q356&lt;0)*(Q355&gt;0))*A355</f>
        <v>0</v>
      </c>
      <c r="AE355" s="0" t="n">
        <f aca="false">IF(AD355&gt;0,S355,0)</f>
        <v>0</v>
      </c>
    </row>
    <row r="356" customFormat="false" ht="12.75" hidden="false" customHeight="false" outlineLevel="0" collapsed="false">
      <c r="A356" s="718" t="n">
        <v>28023.5</v>
      </c>
      <c r="B356" s="706" t="n">
        <f aca="false">A356/1000</f>
        <v>28.0235</v>
      </c>
      <c r="C356" s="707" t="n">
        <f aca="false">SQRT(1+(A356/pole1)^2)</f>
        <v>47.8668422864916</v>
      </c>
      <c r="D356" s="708" t="n">
        <f aca="false">ATAN(A356/pole1)</f>
        <v>1.54990351858975</v>
      </c>
      <c r="E356" s="708" t="n">
        <f aca="false">SQRT(1+(A356/Zero1)^2)</f>
        <v>1.060194425057</v>
      </c>
      <c r="F356" s="709" t="n">
        <f aca="false">ATAN(A356/Zero1)</f>
        <v>0.338592181151769</v>
      </c>
      <c r="G356" s="708" t="n">
        <f aca="false">IF(VIN_nom&gt;Vout, 1, SQRT(1+(A356/z_RHP)^2))</f>
        <v>1.08282069692872</v>
      </c>
      <c r="H356" s="709" t="n">
        <f aca="false">IF(VIN_nom&gt;Vout, 0, -ATAN(A356/z_RHP))</f>
        <v>-0.393653341538757</v>
      </c>
      <c r="I356" s="707" t="n">
        <f aca="false">SQRT(1+(A356/Pole2)^2)</f>
        <v>116246.683769076</v>
      </c>
      <c r="J356" s="710" t="n">
        <f aca="false">ATAN(A356/Pole2)</f>
        <v>1.57078772439896</v>
      </c>
      <c r="K356" s="719" t="n">
        <f aca="false">SQRT(1+(A356/Zero2)^2)</f>
        <v>35.9811156343958</v>
      </c>
      <c r="L356" s="720" t="n">
        <f aca="false">ATAN(A356/Zero2)</f>
        <v>1.54300039098295</v>
      </c>
      <c r="M356" s="707" t="n">
        <f aca="false">SQRT(1+(A356/pole4)^2)</f>
        <v>1.49956723185504</v>
      </c>
      <c r="N356" s="710" t="n">
        <f aca="false">ATAN(A356/pole4)</f>
        <v>0.840810513223334</v>
      </c>
      <c r="O356" s="711" t="n">
        <f aca="false">SQRT((1-(V356/pterm2))^2+(A356/pterm1)^2)</f>
        <v>1.04091964424682</v>
      </c>
      <c r="P356" s="712" t="n">
        <f aca="false">IF((ATAN((A356/pterm1)/(1-A356^2/pterm2))&gt;0),ATAN((A356/pterm1)/(1-A356^2/pterm2)),PI()+ATAN((A356/pterm1)/(1-A356^2/pterm2)))</f>
        <v>0.384041276689256</v>
      </c>
      <c r="Q356" s="713" t="n">
        <f aca="false">20*LOG10(((E356*K356*G356)/(C356*I356*O356*M356))*Adc)</f>
        <v>-17.2946846017815</v>
      </c>
      <c r="R356" s="714" t="n">
        <f aca="false">((F356+L356+H356)-(D356+J356+P356+N356))*radconv</f>
        <v>-163.72863757972</v>
      </c>
      <c r="S356" s="717" t="n">
        <f aca="false">IF(R356&gt;0,R356,R356+180)</f>
        <v>16.2713624202802</v>
      </c>
      <c r="U356" s="644" t="n">
        <f aca="false">IF(Q356&lt;0,A356,1000000000)</f>
        <v>28023.5</v>
      </c>
      <c r="V356" s="644" t="n">
        <f aca="false">A356^2</f>
        <v>785316552.25</v>
      </c>
      <c r="X356" s="716" t="n">
        <f aca="false">20*LOG10((K356/(I356*M356))*AEA)</f>
        <v>14.3912365493116</v>
      </c>
      <c r="Y356" s="717" t="n">
        <f aca="false">(L356-(J356+N356))*radconv</f>
        <v>-49.7669907634531</v>
      </c>
      <c r="AA356" s="716" t="n">
        <f aca="false">20*LOG10((E356*G356/(C356*O356))*Acs*Am)</f>
        <v>19.7947042034612</v>
      </c>
      <c r="AB356" s="717" t="n">
        <f aca="false">(F356+H356-(D356+P356))*radconv</f>
        <v>-113.961646816267</v>
      </c>
      <c r="AD356" s="0" t="n">
        <f aca="false">SUM((Q357&lt;0)*(Q356&gt;0))*A356</f>
        <v>0</v>
      </c>
      <c r="AE356" s="0" t="n">
        <f aca="false">IF(AD356&gt;0,S356,0)</f>
        <v>0</v>
      </c>
    </row>
    <row r="357" customFormat="false" ht="12.75" hidden="false" customHeight="false" outlineLevel="0" collapsed="false">
      <c r="A357" s="718" t="n">
        <v>28184</v>
      </c>
      <c r="B357" s="706" t="n">
        <f aca="false">A357/1000</f>
        <v>28.184</v>
      </c>
      <c r="C357" s="707" t="n">
        <f aca="false">SQRT(1+(A357/pole1)^2)</f>
        <v>48.1408724639648</v>
      </c>
      <c r="D357" s="708" t="n">
        <f aca="false">ATAN(A357/pole1)</f>
        <v>1.55002246296557</v>
      </c>
      <c r="E357" s="708" t="n">
        <f aca="false">SQRT(1+(A357/Zero1)^2)</f>
        <v>1.06086606416918</v>
      </c>
      <c r="F357" s="709" t="n">
        <f aca="false">ATAN(A357/Zero1)</f>
        <v>0.340385423803005</v>
      </c>
      <c r="G357" s="708" t="n">
        <f aca="false">IF(VIN_nom&gt;Vout, 1, SQRT(1+(A357/z_RHP)^2))</f>
        <v>1.083735326832</v>
      </c>
      <c r="H357" s="709" t="n">
        <f aca="false">IF(VIN_nom&gt;Vout, 0, -ATAN(A357/z_RHP))</f>
        <v>-0.395680410681199</v>
      </c>
      <c r="I357" s="707" t="n">
        <f aca="false">SQRT(1+(A357/Pole2)^2)</f>
        <v>116912.467584215</v>
      </c>
      <c r="J357" s="710" t="n">
        <f aca="false">ATAN(A357/Pole2)</f>
        <v>1.5707877733872</v>
      </c>
      <c r="K357" s="719" t="n">
        <f aca="false">SQRT(1+(A357/Zero2)^2)</f>
        <v>36.1870328494996</v>
      </c>
      <c r="L357" s="720" t="n">
        <f aca="false">ATAN(A357/Zero2)</f>
        <v>1.54315860024166</v>
      </c>
      <c r="M357" s="707" t="n">
        <f aca="false">SQRT(1+(A357/pole4)^2)</f>
        <v>1.50434248550738</v>
      </c>
      <c r="N357" s="710" t="n">
        <f aca="false">ATAN(A357/pole4)</f>
        <v>0.843647582653885</v>
      </c>
      <c r="O357" s="711" t="n">
        <f aca="false">SQRT((1-(V357/pterm2))^2+(A357/pterm1)^2)</f>
        <v>1.04138716254842</v>
      </c>
      <c r="P357" s="712" t="n">
        <f aca="false">IF((ATAN((A357/pterm1)/(1-A357^2/pterm2))&gt;0),ATAN((A357/pterm1)/(1-A357^2/pterm2)),PI()+ATAN((A357/pterm1)/(1-A357^2/pterm2)))</f>
        <v>0.386174192370107</v>
      </c>
      <c r="Q357" s="713" t="n">
        <f aca="false">20*LOG10(((E357*K357*G357)/(C357*I357*O357*M357))*Adc)</f>
        <v>-17.3629876888124</v>
      </c>
      <c r="R357" s="714" t="n">
        <f aca="false">((F357+L357+H357)-(D357+J357+P357+N357))*radconv</f>
        <v>-164.024547117015</v>
      </c>
      <c r="S357" s="717" t="n">
        <f aca="false">IF(R357&gt;0,R357,R357+180)</f>
        <v>15.9754528829848</v>
      </c>
      <c r="U357" s="644" t="n">
        <f aca="false">IF(Q357&lt;0,A357,1000000000)</f>
        <v>28184</v>
      </c>
      <c r="V357" s="644" t="n">
        <f aca="false">A357^2</f>
        <v>794337856</v>
      </c>
      <c r="X357" s="716" t="n">
        <f aca="false">20*LOG10((K357/(I357*M357))*AEA)</f>
        <v>14.3635828670229</v>
      </c>
      <c r="Y357" s="717" t="n">
        <f aca="false">(L357-(J357+N357))*radconv</f>
        <v>-49.9204809522</v>
      </c>
      <c r="AA357" s="716" t="n">
        <f aca="false">20*LOG10((E357*G357/(C357*O357))*Acs*Am)</f>
        <v>19.7540547987191</v>
      </c>
      <c r="AB357" s="717" t="n">
        <f aca="false">(F357+H357-(D357+P357))*radconv</f>
        <v>-114.104066164815</v>
      </c>
      <c r="AD357" s="0" t="n">
        <f aca="false">SUM((Q358&lt;0)*(Q357&gt;0))*A357</f>
        <v>0</v>
      </c>
      <c r="AE357" s="0" t="n">
        <f aca="false">IF(AD357&gt;0,S357,0)</f>
        <v>0</v>
      </c>
    </row>
    <row r="358" customFormat="false" ht="12.75" hidden="false" customHeight="false" outlineLevel="0" collapsed="false">
      <c r="A358" s="718" t="n">
        <v>28348</v>
      </c>
      <c r="B358" s="706" t="n">
        <f aca="false">A358/1000</f>
        <v>28.348</v>
      </c>
      <c r="C358" s="707" t="n">
        <f aca="false">SQRT(1+(A358/pole1)^2)</f>
        <v>48.4208790728717</v>
      </c>
      <c r="D358" s="708" t="n">
        <f aca="false">ATAN(A358/pole1)</f>
        <v>1.55014261049138</v>
      </c>
      <c r="E358" s="708" t="n">
        <f aca="false">SQRT(1+(A358/Zero1)^2)</f>
        <v>1.06155586895061</v>
      </c>
      <c r="F358" s="709" t="n">
        <f aca="false">ATAN(A358/Zero1)</f>
        <v>0.342215421491559</v>
      </c>
      <c r="G358" s="708" t="n">
        <f aca="false">IF(VIN_nom&gt;Vout, 1, SQRT(1+(A358/z_RHP)^2))</f>
        <v>1.08467449388118</v>
      </c>
      <c r="H358" s="709" t="n">
        <f aca="false">IF(VIN_nom&gt;Vout, 0, -ATAN(A358/z_RHP))</f>
        <v>-0.39774814390671</v>
      </c>
      <c r="I358" s="707" t="n">
        <f aca="false">SQRT(1+(A358/Pole2)^2)</f>
        <v>117592.770049529</v>
      </c>
      <c r="J358" s="710" t="n">
        <f aca="false">ATAN(A358/Pole2)</f>
        <v>1.57078782287072</v>
      </c>
      <c r="K358" s="719" t="n">
        <f aca="false">SQRT(1+(A358/Zero2)^2)</f>
        <v>36.3974413960722</v>
      </c>
      <c r="L358" s="720" t="n">
        <f aca="false">ATAN(A358/Zero2)</f>
        <v>1.54331841043487</v>
      </c>
      <c r="M358" s="707" t="n">
        <f aca="false">SQRT(1+(A358/pole4)^2)</f>
        <v>1.50923429969171</v>
      </c>
      <c r="N358" s="710" t="n">
        <f aca="false">ATAN(A358/pole4)</f>
        <v>0.846527951258687</v>
      </c>
      <c r="O358" s="711" t="n">
        <f aca="false">SQRT((1-(V358/pterm2))^2+(A358/pterm1)^2)</f>
        <v>1.04186757609336</v>
      </c>
      <c r="P358" s="712" t="n">
        <f aca="false">IF((ATAN((A358/pterm1)/(1-A358^2/pterm2))&gt;0),ATAN((A358/pterm1)/(1-A358^2/pterm2)),PI()+ATAN((A358/pterm1)/(1-A358^2/pterm2)))</f>
        <v>0.38835249243702</v>
      </c>
      <c r="Q358" s="713" t="n">
        <f aca="false">20*LOG10(((E358*K358*G358)/(C358*I358*O358*M358))*Adc)</f>
        <v>-17.4324352594139</v>
      </c>
      <c r="R358" s="714" t="n">
        <f aca="false">((F358+L358+H358)-(D358+J358+P358+N358))*radconv</f>
        <v>-164.325739056862</v>
      </c>
      <c r="S358" s="717" t="n">
        <f aca="false">IF(R358&gt;0,R358,R358+180)</f>
        <v>15.6742609431377</v>
      </c>
      <c r="U358" s="644" t="n">
        <f aca="false">IF(Q358&lt;0,A358,1000000000)</f>
        <v>28348</v>
      </c>
      <c r="V358" s="644" t="n">
        <f aca="false">A358^2</f>
        <v>803609104</v>
      </c>
      <c r="X358" s="716" t="n">
        <f aca="false">20*LOG10((K358/(I358*M358))*AEA)</f>
        <v>14.335345691062</v>
      </c>
      <c r="Y358" s="717" t="n">
        <f aca="false">(L358-(J358+N358))*radconv</f>
        <v>-50.0763603024782</v>
      </c>
      <c r="AA358" s="716" t="n">
        <f aca="false">20*LOG10((E358*G358/(C358*O358))*Acs*Am)</f>
        <v>19.7128444040785</v>
      </c>
      <c r="AB358" s="717" t="n">
        <f aca="false">(F358+H358-(D358+P358))*radconv</f>
        <v>-114.249378754384</v>
      </c>
      <c r="AD358" s="0" t="n">
        <f aca="false">SUM((Q359&lt;0)*(Q358&gt;0))*A358</f>
        <v>0</v>
      </c>
      <c r="AE358" s="0" t="n">
        <f aca="false">IF(AD358&gt;0,S358,0)</f>
        <v>0</v>
      </c>
    </row>
    <row r="359" customFormat="false" ht="12.75" hidden="false" customHeight="false" outlineLevel="0" collapsed="false">
      <c r="A359" s="718" t="n">
        <v>28512</v>
      </c>
      <c r="B359" s="706" t="n">
        <f aca="false">A359/1000</f>
        <v>28.512</v>
      </c>
      <c r="C359" s="707" t="n">
        <f aca="false">SQRT(1+(A359/pole1)^2)</f>
        <v>48.7008863727171</v>
      </c>
      <c r="D359" s="708" t="n">
        <f aca="false">ATAN(A359/pole1)</f>
        <v>1.55026137643482</v>
      </c>
      <c r="E359" s="708" t="n">
        <f aca="false">SQRT(1+(A359/Zero1)^2)</f>
        <v>1.06224922414343</v>
      </c>
      <c r="F359" s="709" t="n">
        <f aca="false">ATAN(A359/Zero1)</f>
        <v>0.344043036328407</v>
      </c>
      <c r="G359" s="708" t="n">
        <f aca="false">IF(VIN_nom&gt;Vout, 1, SQRT(1+(A359/z_RHP)^2))</f>
        <v>1.08561829044318</v>
      </c>
      <c r="H359" s="709" t="n">
        <f aca="false">IF(VIN_nom&gt;Vout, 0, -ATAN(A359/z_RHP))</f>
        <v>-0.399812290722531</v>
      </c>
      <c r="I359" s="707" t="n">
        <f aca="false">SQRT(1+(A359/Pole2)^2)</f>
        <v>118273.072514844</v>
      </c>
      <c r="J359" s="710" t="n">
        <f aca="false">ATAN(A359/Pole2)</f>
        <v>1.57078787178499</v>
      </c>
      <c r="K359" s="719" t="n">
        <f aca="false">SQRT(1+(A359/Zero2)^2)</f>
        <v>36.6078508615244</v>
      </c>
      <c r="L359" s="720" t="n">
        <f aca="false">ATAN(A359/Zero2)</f>
        <v>1.54347638356289</v>
      </c>
      <c r="M359" s="707" t="n">
        <f aca="false">SQRT(1+(A359/pole4)^2)</f>
        <v>1.51413855430601</v>
      </c>
      <c r="N359" s="710" t="n">
        <f aca="false">ATAN(A359/pole4)</f>
        <v>0.849389684603053</v>
      </c>
      <c r="O359" s="711" t="n">
        <f aca="false">SQRT((1-(V359/pterm2))^2+(A359/pterm1)^2)</f>
        <v>1.04235071796994</v>
      </c>
      <c r="P359" s="712" t="n">
        <f aca="false">IF((ATAN((A359/pterm1)/(1-A359^2/pterm2))&gt;0),ATAN((A359/pterm1)/(1-A359^2/pterm2)),PI()+ATAN((A359/pterm1)/(1-A359^2/pterm2)))</f>
        <v>0.390529647380055</v>
      </c>
      <c r="Q359" s="713" t="n">
        <f aca="false">20*LOG10(((E359*K359*G359)/(C359*I359*O359*M359))*Adc)</f>
        <v>-17.5015369400433</v>
      </c>
      <c r="R359" s="714" t="n">
        <f aca="false">((F359+L359+H359)-(D359+J359+P359+N359))*radconv</f>
        <v>-164.625754770004</v>
      </c>
      <c r="S359" s="717" t="n">
        <f aca="false">IF(R359&gt;0,R359,R359+180)</f>
        <v>15.3742452299958</v>
      </c>
      <c r="U359" s="644" t="n">
        <f aca="false">IF(Q359&lt;0,A359,1000000000)</f>
        <v>28512</v>
      </c>
      <c r="V359" s="644" t="n">
        <f aca="false">A359^2</f>
        <v>812934144</v>
      </c>
      <c r="X359" s="716" t="n">
        <f aca="false">20*LOG10((K359/(I359*M359))*AEA)</f>
        <v>14.3071290601894</v>
      </c>
      <c r="Y359" s="717" t="n">
        <f aca="false">(L359-(J359+N359))*radconv</f>
        <v>-50.2312771544483</v>
      </c>
      <c r="AA359" s="716" t="n">
        <f aca="false">20*LOG10((E359*G359/(C359*O359))*Acs*Am)</f>
        <v>19.6719593543216</v>
      </c>
      <c r="AB359" s="717" t="n">
        <f aca="false">(F359+H359-(D359+P359))*radconv</f>
        <v>-114.394477615556</v>
      </c>
      <c r="AD359" s="0" t="n">
        <f aca="false">SUM((Q360&lt;0)*(Q359&gt;0))*A359</f>
        <v>0</v>
      </c>
      <c r="AE359" s="0" t="n">
        <f aca="false">IF(AD359&gt;0,S359,0)</f>
        <v>0</v>
      </c>
    </row>
    <row r="360" customFormat="false" ht="12.75" hidden="false" customHeight="false" outlineLevel="0" collapsed="false">
      <c r="A360" s="718" t="n">
        <v>28676</v>
      </c>
      <c r="B360" s="706" t="n">
        <f aca="false">A360/1000</f>
        <v>28.676</v>
      </c>
      <c r="C360" s="707" t="n">
        <f aca="false">SQRT(1+(A360/pole1)^2)</f>
        <v>48.9808943516516</v>
      </c>
      <c r="D360" s="708" t="n">
        <f aca="false">ATAN(A360/pole1)</f>
        <v>1.5503787844867</v>
      </c>
      <c r="E360" s="708" t="n">
        <f aca="false">SQRT(1+(A360/Zero1)^2)</f>
        <v>1.06294612279987</v>
      </c>
      <c r="F360" s="709" t="n">
        <f aca="false">ATAN(A360/Zero1)</f>
        <v>0.345868260779391</v>
      </c>
      <c r="G360" s="708" t="n">
        <f aca="false">IF(VIN_nom&gt;Vout, 1, SQRT(1+(A360/z_RHP)^2))</f>
        <v>1.08656670445435</v>
      </c>
      <c r="H360" s="709" t="n">
        <f aca="false">IF(VIN_nom&gt;Vout, 0, -ATAN(A360/z_RHP))</f>
        <v>-0.401872842907717</v>
      </c>
      <c r="I360" s="707" t="n">
        <f aca="false">SQRT(1+(A360/Pole2)^2)</f>
        <v>118953.374980158</v>
      </c>
      <c r="J360" s="710" t="n">
        <f aca="false">ATAN(A360/Pole2)</f>
        <v>1.57078792013977</v>
      </c>
      <c r="K360" s="719" t="n">
        <f aca="false">SQRT(1+(A360/Zero2)^2)</f>
        <v>36.8182612301023</v>
      </c>
      <c r="L360" s="720" t="n">
        <f aca="false">ATAN(A360/Zero2)</f>
        <v>1.54363255111335</v>
      </c>
      <c r="M360" s="707" t="n">
        <f aca="false">SQRT(1+(A360/pole4)^2)</f>
        <v>1.51905512885887</v>
      </c>
      <c r="N360" s="710" t="n">
        <f aca="false">ATAN(A360/pole4)</f>
        <v>0.852232916531807</v>
      </c>
      <c r="O360" s="711" t="n">
        <f aca="false">SQRT((1-(V360/pterm2))^2+(A360/pterm1)^2)</f>
        <v>1.0428365872365</v>
      </c>
      <c r="P360" s="712" t="n">
        <f aca="false">IF((ATAN((A360/pterm1)/(1-A360^2/pterm2))&gt;0),ATAN((A360/pterm1)/(1-A360^2/pterm2)),PI()+ATAN((A360/pterm1)/(1-A360^2/pterm2)))</f>
        <v>0.39270565201826</v>
      </c>
      <c r="Q360" s="713" t="n">
        <f aca="false">20*LOG10(((E360*K360*G360)/(C360*I360*O360*M360))*Adc)</f>
        <v>-17.5702955332812</v>
      </c>
      <c r="R360" s="714" t="n">
        <f aca="false">((F360+L360+H360)-(D360+J360+P360+N360))*radconv</f>
        <v>-164.924601142822</v>
      </c>
      <c r="S360" s="717" t="n">
        <f aca="false">IF(R360&gt;0,R360,R360+180)</f>
        <v>15.0753988571782</v>
      </c>
      <c r="U360" s="644" t="n">
        <f aca="false">IF(Q360&lt;0,A360,1000000000)</f>
        <v>28676</v>
      </c>
      <c r="V360" s="644" t="n">
        <f aca="false">A360^2</f>
        <v>822312976</v>
      </c>
      <c r="X360" s="716" t="n">
        <f aca="false">20*LOG10((K360/(I360*M360))*AEA)</f>
        <v>14.2789337508995</v>
      </c>
      <c r="Y360" s="717" t="n">
        <f aca="false">(L360-(J360+N360))*radconv</f>
        <v>-50.3852373733048</v>
      </c>
      <c r="AA360" s="716" t="n">
        <f aca="false">20*LOG10((E360*G360/(C360*O360))*Acs*Am)</f>
        <v>19.6313960703738</v>
      </c>
      <c r="AB360" s="717" t="n">
        <f aca="false">(F360+H360-(D360+P360))*radconv</f>
        <v>-114.539363769517</v>
      </c>
      <c r="AD360" s="0" t="n">
        <f aca="false">SUM((Q361&lt;0)*(Q360&gt;0))*A360</f>
        <v>0</v>
      </c>
      <c r="AE360" s="0" t="n">
        <f aca="false">IF(AD360&gt;0,S360,0)</f>
        <v>0</v>
      </c>
    </row>
    <row r="361" customFormat="false" ht="12.75" hidden="false" customHeight="false" outlineLevel="0" collapsed="false">
      <c r="A361" s="718" t="n">
        <v>28840</v>
      </c>
      <c r="B361" s="706" t="n">
        <f aca="false">A361/1000</f>
        <v>28.84</v>
      </c>
      <c r="C361" s="707" t="n">
        <f aca="false">SQRT(1+(A361/pole1)^2)</f>
        <v>49.2609029980948</v>
      </c>
      <c r="D361" s="708" t="n">
        <f aca="false">ATAN(A361/pole1)</f>
        <v>1.55049485779931</v>
      </c>
      <c r="E361" s="708" t="n">
        <f aca="false">SQRT(1+(A361/Zero1)^2)</f>
        <v>1.06364655795494</v>
      </c>
      <c r="F361" s="709" t="n">
        <f aca="false">ATAN(A361/Zero1)</f>
        <v>0.347691087393758</v>
      </c>
      <c r="G361" s="708" t="n">
        <f aca="false">IF(VIN_nom&gt;Vout, 1, SQRT(1+(A361/z_RHP)^2))</f>
        <v>1.0875197238342</v>
      </c>
      <c r="H361" s="709" t="n">
        <f aca="false">IF(VIN_nom&gt;Vout, 0, -ATAN(A361/z_RHP))</f>
        <v>-0.40392979239203</v>
      </c>
      <c r="I361" s="707" t="n">
        <f aca="false">SQRT(1+(A361/Pole2)^2)</f>
        <v>119633.677445473</v>
      </c>
      <c r="J361" s="710" t="n">
        <f aca="false">ATAN(A361/Pole2)</f>
        <v>1.5707879679446</v>
      </c>
      <c r="K361" s="719" t="n">
        <f aca="false">SQRT(1+(A361/Zero2)^2)</f>
        <v>37.0286724864104</v>
      </c>
      <c r="L361" s="720" t="n">
        <f aca="false">ATAN(A361/Zero2)</f>
        <v>1.54378694385855</v>
      </c>
      <c r="M361" s="707" t="n">
        <f aca="false">SQRT(1+(A361/pole4)^2)</f>
        <v>1.52398390411301</v>
      </c>
      <c r="N361" s="710" t="n">
        <f aca="false">ATAN(A361/pole4)</f>
        <v>0.855057780361301</v>
      </c>
      <c r="O361" s="711" t="n">
        <f aca="false">SQRT((1-(V361/pterm2))^2+(A361/pterm1)^2)</f>
        <v>1.0433251829482</v>
      </c>
      <c r="P361" s="712" t="n">
        <f aca="false">IF((ATAN((A361/pterm1)/(1-A361^2/pterm2))&gt;0),ATAN((A361/pterm1)/(1-A361^2/pterm2)),PI()+ATAN((A361/pterm1)/(1-A361^2/pterm2)))</f>
        <v>0.394880501192706</v>
      </c>
      <c r="Q361" s="713" t="n">
        <f aca="false">20*LOG10(((E361*K361*G361)/(C361*I361*O361*M361))*Adc)</f>
        <v>-17.638713801986</v>
      </c>
      <c r="R361" s="714" t="n">
        <f aca="false">((F361+L361+H361)-(D361+J361+P361+N361))*radconv</f>
        <v>-165.222285046655</v>
      </c>
      <c r="S361" s="717" t="n">
        <f aca="false">IF(R361&gt;0,R361,R361+180)</f>
        <v>14.7777149533455</v>
      </c>
      <c r="U361" s="644" t="n">
        <f aca="false">IF(Q361&lt;0,A361,1000000000)</f>
        <v>28840</v>
      </c>
      <c r="V361" s="644" t="n">
        <f aca="false">A361^2</f>
        <v>831745600</v>
      </c>
      <c r="X361" s="716" t="n">
        <f aca="false">20*LOG10((K361/(I361*M361))*AEA)</f>
        <v>14.2507605225671</v>
      </c>
      <c r="Y361" s="717" t="n">
        <f aca="false">(L361-(J361+N361))*radconv</f>
        <v>-50.5382468349366</v>
      </c>
      <c r="AA361" s="716" t="n">
        <f aca="false">20*LOG10((E361*G361/(C361*O361))*Acs*Am)</f>
        <v>19.5911510300013</v>
      </c>
      <c r="AB361" s="717" t="n">
        <f aca="false">(F361+H361-(D361+P361))*radconv</f>
        <v>-114.684038211718</v>
      </c>
      <c r="AD361" s="0" t="n">
        <f aca="false">SUM((Q362&lt;0)*(Q361&gt;0))*A361</f>
        <v>0</v>
      </c>
      <c r="AE361" s="0" t="n">
        <f aca="false">IF(AD361&gt;0,S361,0)</f>
        <v>0</v>
      </c>
    </row>
    <row r="362" customFormat="false" ht="12.75" hidden="false" customHeight="false" outlineLevel="0" collapsed="false">
      <c r="A362" s="718" t="n">
        <v>29008</v>
      </c>
      <c r="B362" s="706" t="n">
        <f aca="false">A362/1000</f>
        <v>29.008</v>
      </c>
      <c r="C362" s="707" t="n">
        <f aca="false">SQRT(1+(A362/pole1)^2)</f>
        <v>49.5477418040182</v>
      </c>
      <c r="D362" s="708" t="n">
        <f aca="false">ATAN(A362/pole1)</f>
        <v>1.55061240185127</v>
      </c>
      <c r="E362" s="708" t="n">
        <f aca="false">SQRT(1+(A362/Zero1)^2)</f>
        <v>1.06436773653044</v>
      </c>
      <c r="F362" s="709" t="n">
        <f aca="false">ATAN(A362/Zero1)</f>
        <v>0.349555879217512</v>
      </c>
      <c r="G362" s="708" t="n">
        <f aca="false">IF(VIN_nom&gt;Vout, 1, SQRT(1+(A362/z_RHP)^2))</f>
        <v>1.08850075017182</v>
      </c>
      <c r="H362" s="709" t="n">
        <f aca="false">IF(VIN_nom&gt;Vout, 0, -ATAN(A362/z_RHP))</f>
        <v>-0.406033167519335</v>
      </c>
      <c r="I362" s="707" t="n">
        <f aca="false">SQRT(1+(A362/Pole2)^2)</f>
        <v>120330.572653845</v>
      </c>
      <c r="J362" s="710" t="n">
        <f aca="false">ATAN(A362/Pole2)</f>
        <v>1.57078801635493</v>
      </c>
      <c r="K362" s="719" t="n">
        <f aca="false">SQRT(1+(A362/Zero2)^2)</f>
        <v>37.2442166293244</v>
      </c>
      <c r="L362" s="720" t="n">
        <f aca="false">ATAN(A362/Zero2)</f>
        <v>1.54394329345109</v>
      </c>
      <c r="M362" s="707" t="n">
        <f aca="false">SQRT(1+(A362/pole4)^2)</f>
        <v>1.52904542076265</v>
      </c>
      <c r="N362" s="710" t="n">
        <f aca="false">ATAN(A362/pole4)</f>
        <v>0.857932636527014</v>
      </c>
      <c r="O362" s="711" t="n">
        <f aca="false">SQRT((1-(V362/pterm2))^2+(A362/pterm1)^2)</f>
        <v>1.04382852164154</v>
      </c>
      <c r="P362" s="712" t="n">
        <f aca="false">IF((ATAN((A362/pterm1)/(1-A362^2/pterm2))&gt;0),ATAN((A362/pterm1)/(1-A362^2/pterm2)),PI()+ATAN((A362/pterm1)/(1-A362^2/pterm2)))</f>
        <v>0.397107192018984</v>
      </c>
      <c r="Q362" s="713" t="n">
        <f aca="false">20*LOG10(((E362*K362*G362)/(C362*I362*O362*M362))*Adc)</f>
        <v>-17.7084507796344</v>
      </c>
      <c r="R362" s="714" t="n">
        <f aca="false">((F362+L362+H362)-(D362+J362+P362+N362))*radconv</f>
        <v>-165.526031354997</v>
      </c>
      <c r="S362" s="717" t="n">
        <f aca="false">IF(R362&gt;0,R362,R362+180)</f>
        <v>14.473968645003</v>
      </c>
      <c r="U362" s="644" t="n">
        <f aca="false">IF(Q362&lt;0,A362,1000000000)</f>
        <v>29008</v>
      </c>
      <c r="V362" s="644" t="n">
        <f aca="false">A362^2</f>
        <v>841464064</v>
      </c>
      <c r="X362" s="716" t="n">
        <f aca="false">20*LOG10((K362/(I362*M362))*AEA)</f>
        <v>14.2219238137491</v>
      </c>
      <c r="Y362" s="717" t="n">
        <f aca="false">(L362-(J362+N362))*radconv</f>
        <v>-50.6940085620437</v>
      </c>
      <c r="AA362" s="716" t="n">
        <f aca="false">20*LOG10((E362*G362/(C362*O362))*Acs*Am)</f>
        <v>19.5502507611708</v>
      </c>
      <c r="AB362" s="717" t="n">
        <f aca="false">(F362+H362-(D362+P362))*radconv</f>
        <v>-114.832022792953</v>
      </c>
      <c r="AD362" s="0" t="n">
        <f aca="false">SUM((Q363&lt;0)*(Q362&gt;0))*A362</f>
        <v>0</v>
      </c>
      <c r="AE362" s="0" t="n">
        <f aca="false">IF(AD362&gt;0,S362,0)</f>
        <v>0</v>
      </c>
    </row>
    <row r="363" customFormat="false" ht="12.75" hidden="false" customHeight="false" outlineLevel="0" collapsed="false">
      <c r="A363" s="718" t="n">
        <v>29176</v>
      </c>
      <c r="B363" s="706" t="n">
        <f aca="false">A363/1000</f>
        <v>29.176</v>
      </c>
      <c r="C363" s="707" t="n">
        <f aca="false">SQRT(1+(A363/pole1)^2)</f>
        <v>49.8345812866425</v>
      </c>
      <c r="D363" s="708" t="n">
        <f aca="false">ATAN(A363/pole1)</f>
        <v>1.55072859277717</v>
      </c>
      <c r="E363" s="708" t="n">
        <f aca="false">SQRT(1+(A363/Zero1)^2)</f>
        <v>1.06509261137017</v>
      </c>
      <c r="F363" s="709" t="n">
        <f aca="false">ATAN(A363/Zero1)</f>
        <v>0.351418139250438</v>
      </c>
      <c r="G363" s="708" t="n">
        <f aca="false">IF(VIN_nom&gt;Vout, 1, SQRT(1+(A363/z_RHP)^2))</f>
        <v>1.08948658355518</v>
      </c>
      <c r="H363" s="709" t="n">
        <f aca="false">IF(VIN_nom&gt;Vout, 0, -ATAN(A363/z_RHP))</f>
        <v>-0.40813274539942</v>
      </c>
      <c r="I363" s="707" t="n">
        <f aca="false">SQRT(1+(A363/Pole2)^2)</f>
        <v>121027.467862217</v>
      </c>
      <c r="J363" s="710" t="n">
        <f aca="false">ATAN(A363/Pole2)</f>
        <v>1.57078806420775</v>
      </c>
      <c r="K363" s="719" t="n">
        <f aca="false">SQRT(1+(A363/Zero2)^2)</f>
        <v>37.459761672203</v>
      </c>
      <c r="L363" s="720" t="n">
        <f aca="false">ATAN(A363/Zero2)</f>
        <v>1.54409784376312</v>
      </c>
      <c r="M363" s="707" t="n">
        <f aca="false">SQRT(1+(A363/pole4)^2)</f>
        <v>1.534119491215</v>
      </c>
      <c r="N363" s="710" t="n">
        <f aca="false">ATAN(A363/pole4)</f>
        <v>0.860788499104079</v>
      </c>
      <c r="O363" s="711" t="n">
        <f aca="false">SQRT((1-(V363/pterm2))^2+(A363/pterm1)^2)</f>
        <v>1.04433471938186</v>
      </c>
      <c r="P363" s="712" t="n">
        <f aca="false">IF((ATAN((A363/pterm1)/(1-A363^2/pterm2))&gt;0),ATAN((A363/pterm1)/(1-A363^2/pterm2)),PI()+ATAN((A363/pterm1)/(1-A363^2/pterm2)))</f>
        <v>0.399332659441769</v>
      </c>
      <c r="Q363" s="713" t="n">
        <f aca="false">20*LOG10(((E363*K363*G363)/(C363*I363*O363*M363))*Adc)</f>
        <v>-17.7778363749027</v>
      </c>
      <c r="R363" s="714" t="n">
        <f aca="false">((F363+L363+H363)-(D363+J363+P363+N363))*radconv</f>
        <v>-165.828572340527</v>
      </c>
      <c r="S363" s="717" t="n">
        <f aca="false">IF(R363&gt;0,R363,R363+180)</f>
        <v>14.1714276594726</v>
      </c>
      <c r="U363" s="644" t="n">
        <f aca="false">IF(Q363&lt;0,A363,1000000000)</f>
        <v>29176</v>
      </c>
      <c r="V363" s="644" t="n">
        <f aca="false">A363^2</f>
        <v>851238976</v>
      </c>
      <c r="X363" s="716" t="n">
        <f aca="false">20*LOG10((K363/(I363*M363))*AEA)</f>
        <v>14.1931118353914</v>
      </c>
      <c r="Y363" s="717" t="n">
        <f aca="false">(L363-(J363+N363))*radconv</f>
        <v>-50.8487850959189</v>
      </c>
      <c r="AA363" s="716" t="n">
        <f aca="false">20*LOG10((E363*G363/(C363*O363))*Acs*Am)</f>
        <v>19.5096771442603</v>
      </c>
      <c r="AB363" s="717" t="n">
        <f aca="false">(F363+H363-(D363+P363))*radconv</f>
        <v>-114.979787244609</v>
      </c>
      <c r="AD363" s="0" t="n">
        <f aca="false">SUM((Q364&lt;0)*(Q363&gt;0))*A363</f>
        <v>0</v>
      </c>
      <c r="AE363" s="0" t="n">
        <f aca="false">IF(AD363&gt;0,S363,0)</f>
        <v>0</v>
      </c>
    </row>
    <row r="364" customFormat="false" ht="12.75" hidden="false" customHeight="false" outlineLevel="0" collapsed="false">
      <c r="A364" s="718" t="n">
        <v>29344</v>
      </c>
      <c r="B364" s="706" t="n">
        <f aca="false">A364/1000</f>
        <v>29.344</v>
      </c>
      <c r="C364" s="707" t="n">
        <f aca="false">SQRT(1+(A364/pole1)^2)</f>
        <v>50.1214214343497</v>
      </c>
      <c r="D364" s="708" t="n">
        <f aca="false">ATAN(A364/pole1)</f>
        <v>1.55084345380528</v>
      </c>
      <c r="E364" s="708" t="n">
        <f aca="false">SQRT(1+(A364/Zero1)^2)</f>
        <v>1.06582117493254</v>
      </c>
      <c r="F364" s="709" t="n">
        <f aca="false">ATAN(A364/Zero1)</f>
        <v>0.353277859754751</v>
      </c>
      <c r="G364" s="708" t="n">
        <f aca="false">IF(VIN_nom&gt;Vout, 1, SQRT(1+(A364/z_RHP)^2))</f>
        <v>1.09047721094702</v>
      </c>
      <c r="H364" s="709" t="n">
        <f aca="false">IF(VIN_nom&gt;Vout, 0, -ATAN(A364/z_RHP))</f>
        <v>-0.410228517845183</v>
      </c>
      <c r="I364" s="707" t="n">
        <f aca="false">SQRT(1+(A364/Pole2)^2)</f>
        <v>121724.363070589</v>
      </c>
      <c r="J364" s="710" t="n">
        <f aca="false">ATAN(A364/Pole2)</f>
        <v>1.57078811151264</v>
      </c>
      <c r="K364" s="719" t="n">
        <f aca="false">SQRT(1+(A364/Zero2)^2)</f>
        <v>37.6753075996</v>
      </c>
      <c r="L364" s="720" t="n">
        <f aca="false">ATAN(A364/Zero2)</f>
        <v>1.54425062566903</v>
      </c>
      <c r="M364" s="707" t="n">
        <f aca="false">SQRT(1+(A364/pole4)^2)</f>
        <v>1.5392059913173</v>
      </c>
      <c r="N364" s="710" t="n">
        <f aca="false">ATAN(A364/pole4)</f>
        <v>0.863625509577214</v>
      </c>
      <c r="O364" s="711" t="n">
        <f aca="false">SQRT((1-(V364/pterm2))^2+(A364/pterm1)^2)</f>
        <v>1.04484377514322</v>
      </c>
      <c r="P364" s="712" t="n">
        <f aca="false">IF((ATAN((A364/pterm1)/(1-A364^2/pterm2))&gt;0),ATAN((A364/pterm1)/(1-A364^2/pterm2)),PI()+ATAN((A364/pterm1)/(1-A364^2/pterm2)))</f>
        <v>0.401556897987586</v>
      </c>
      <c r="Q364" s="713" t="n">
        <f aca="false">20*LOG10(((E364*K364*G364)/(C364*I364*O364*M364))*Adc)</f>
        <v>-17.8468734346055</v>
      </c>
      <c r="R364" s="714" t="n">
        <f aca="false">((F364+L364+H364)-(D364+J364+P364+N364))*radconv</f>
        <v>-166.12991533283</v>
      </c>
      <c r="S364" s="717" t="n">
        <f aca="false">IF(R364&gt;0,R364,R364+180)</f>
        <v>13.8700846671697</v>
      </c>
      <c r="U364" s="644" t="n">
        <f aca="false">IF(Q364&lt;0,A364,1000000000)</f>
        <v>29344</v>
      </c>
      <c r="V364" s="644" t="n">
        <f aca="false">A364^2</f>
        <v>861070336</v>
      </c>
      <c r="X364" s="716" t="n">
        <f aca="false">20*LOG10((K364/(I364*M364))*AEA)</f>
        <v>14.164325349652</v>
      </c>
      <c r="Y364" s="717" t="n">
        <f aca="false">(L364-(J364+N364))*radconv</f>
        <v>-51.0025827746156</v>
      </c>
      <c r="AA364" s="716" t="n">
        <f aca="false">20*LOG10((E364*G364/(C364*O364))*Acs*Am)</f>
        <v>19.4694265702969</v>
      </c>
      <c r="AB364" s="717" t="n">
        <f aca="false">(F364+H364-(D364+P364))*radconv</f>
        <v>-115.127332558215</v>
      </c>
      <c r="AD364" s="0" t="n">
        <f aca="false">SUM((Q365&lt;0)*(Q364&gt;0))*A364</f>
        <v>0</v>
      </c>
      <c r="AE364" s="0" t="n">
        <f aca="false">IF(AD364&gt;0,S364,0)</f>
        <v>0</v>
      </c>
    </row>
    <row r="365" customFormat="false" ht="12.75" hidden="false" customHeight="false" outlineLevel="0" collapsed="false">
      <c r="A365" s="718" t="n">
        <v>29512</v>
      </c>
      <c r="B365" s="706" t="n">
        <f aca="false">A365/1000</f>
        <v>29.512</v>
      </c>
      <c r="C365" s="707" t="n">
        <f aca="false">SQRT(1+(A365/pole1)^2)</f>
        <v>50.408262235786</v>
      </c>
      <c r="D365" s="708" t="n">
        <f aca="false">ATAN(A365/pole1)</f>
        <v>1.5509570076353</v>
      </c>
      <c r="E365" s="708" t="n">
        <f aca="false">SQRT(1+(A365/Zero1)^2)</f>
        <v>1.06655341965824</v>
      </c>
      <c r="F365" s="709" t="n">
        <f aca="false">ATAN(A365/Zero1)</f>
        <v>0.355135033084023</v>
      </c>
      <c r="G365" s="708" t="n">
        <f aca="false">IF(VIN_nom&gt;Vout, 1, SQRT(1+(A365/z_RHP)^2))</f>
        <v>1.09147261929412</v>
      </c>
      <c r="H365" s="709" t="n">
        <f aca="false">IF(VIN_nom&gt;Vout, 0, -ATAN(A365/z_RHP))</f>
        <v>-0.412320476832888</v>
      </c>
      <c r="I365" s="707" t="n">
        <f aca="false">SQRT(1+(A365/Pole2)^2)</f>
        <v>122421.258278962</v>
      </c>
      <c r="J365" s="710" t="n">
        <f aca="false">ATAN(A365/Pole2)</f>
        <v>1.57078815827895</v>
      </c>
      <c r="K365" s="719" t="n">
        <f aca="false">SQRT(1+(A365/Zero2)^2)</f>
        <v>37.8908543964203</v>
      </c>
      <c r="L365" s="720" t="n">
        <f aca="false">ATAN(A365/Zero2)</f>
        <v>1.54440166934101</v>
      </c>
      <c r="M365" s="707" t="n">
        <f aca="false">SQRT(1+(A365/pole4)^2)</f>
        <v>1.5443047982504</v>
      </c>
      <c r="N365" s="710" t="n">
        <f aca="false">ATAN(A365/pole4)</f>
        <v>0.866443808783296</v>
      </c>
      <c r="O365" s="711" t="n">
        <f aca="false">SQRT((1-(V365/pterm2))^2+(A365/pterm1)^2)</f>
        <v>1.04535568789628</v>
      </c>
      <c r="P365" s="712" t="n">
        <f aca="false">IF((ATAN((A365/pterm1)/(1-A365^2/pterm2))&gt;0),ATAN((A365/pterm1)/(1-A365^2/pterm2)),PI()+ATAN((A365/pterm1)/(1-A365^2/pterm2)))</f>
        <v>0.403779902207433</v>
      </c>
      <c r="Q365" s="713" t="n">
        <f aca="false">20*LOG10(((E365*K365*G365)/(C365*I365*O365*M365))*Adc)</f>
        <v>-17.9155647660784</v>
      </c>
      <c r="R365" s="714" t="n">
        <f aca="false">((F365+L365+H365)-(D365+J365+P365+N365))*radconv</f>
        <v>-166.430067639836</v>
      </c>
      <c r="S365" s="717" t="n">
        <f aca="false">IF(R365&gt;0,R365,R365+180)</f>
        <v>13.5699323601645</v>
      </c>
      <c r="U365" s="644" t="n">
        <f aca="false">IF(Q365&lt;0,A365,1000000000)</f>
        <v>29512</v>
      </c>
      <c r="V365" s="644" t="n">
        <f aca="false">A365^2</f>
        <v>870958144</v>
      </c>
      <c r="X365" s="716" t="n">
        <f aca="false">20*LOG10((K365/(I365*M365))*AEA)</f>
        <v>14.1355651010022</v>
      </c>
      <c r="Y365" s="717" t="n">
        <f aca="false">(L365-(J365+N365))*radconv</f>
        <v>-51.1554079392894</v>
      </c>
      <c r="AA365" s="716" t="n">
        <f aca="false">20*LOG10((E365*G365/(C365*O365))*Acs*Am)</f>
        <v>19.4294954874738</v>
      </c>
      <c r="AB365" s="717" t="n">
        <f aca="false">(F365+H365-(D365+P365))*radconv</f>
        <v>-115.274659700546</v>
      </c>
      <c r="AD365" s="0" t="n">
        <f aca="false">SUM((Q366&lt;0)*(Q365&gt;0))*A365</f>
        <v>0</v>
      </c>
      <c r="AE365" s="0" t="n">
        <f aca="false">IF(AD365&gt;0,S365,0)</f>
        <v>0</v>
      </c>
    </row>
    <row r="366" customFormat="false" ht="12.75" hidden="false" customHeight="false" outlineLevel="0" collapsed="false">
      <c r="A366" s="718" t="n">
        <v>29684</v>
      </c>
      <c r="B366" s="706" t="n">
        <f aca="false">A366/1000</f>
        <v>29.684</v>
      </c>
      <c r="C366" s="707" t="n">
        <f aca="false">SQRT(1+(A366/pole1)^2)</f>
        <v>50.7019332457898</v>
      </c>
      <c r="D366" s="708" t="n">
        <f aca="false">ATAN(A366/pole1)</f>
        <v>1.55107193403772</v>
      </c>
      <c r="E366" s="708" t="n">
        <f aca="false">SQRT(1+(A366/Zero1)^2)</f>
        <v>1.06730690454717</v>
      </c>
      <c r="F366" s="709" t="n">
        <f aca="false">ATAN(A366/Zero1)</f>
        <v>0.357033778069588</v>
      </c>
      <c r="G366" s="708" t="n">
        <f aca="false">IF(VIN_nom&gt;Vout, 1, SQRT(1+(A366/z_RHP)^2))</f>
        <v>1.09249666725226</v>
      </c>
      <c r="H366" s="709" t="n">
        <f aca="false">IF(VIN_nom&gt;Vout, 0, -ATAN(A366/z_RHP))</f>
        <v>-0.414458285426357</v>
      </c>
      <c r="I366" s="707" t="n">
        <f aca="false">SQRT(1+(A366/Pole2)^2)</f>
        <v>123134.746230391</v>
      </c>
      <c r="J366" s="710" t="n">
        <f aca="false">ATAN(A366/Pole2)</f>
        <v>1.57078820561034</v>
      </c>
      <c r="K366" s="719" t="n">
        <f aca="false">SQRT(1+(A366/Zero2)^2)</f>
        <v>38.1115341451482</v>
      </c>
      <c r="L366" s="720" t="n">
        <f aca="false">ATAN(A366/Zero2)</f>
        <v>1.54455453927423</v>
      </c>
      <c r="M366" s="707" t="n">
        <f aca="false">SQRT(1+(A366/pole4)^2)</f>
        <v>1.54953762833519</v>
      </c>
      <c r="N366" s="710" t="n">
        <f aca="false">ATAN(A366/pole4)</f>
        <v>0.869309971889766</v>
      </c>
      <c r="O366" s="711" t="n">
        <f aca="false">SQRT((1-(V366/pterm2))^2+(A366/pterm1)^2)</f>
        <v>1.04588274780677</v>
      </c>
      <c r="P366" s="712" t="n">
        <f aca="false">IF((ATAN((A366/pterm1)/(1-A366^2/pterm2))&gt;0),ATAN((A366/pterm1)/(1-A366^2/pterm2)),PI()+ATAN((A366/pterm1)/(1-A366^2/pterm2)))</f>
        <v>0.406054550676069</v>
      </c>
      <c r="Q366" s="713" t="n">
        <f aca="false">20*LOG10(((E366*K366*G366)/(C366*I366*O366*M366))*Adc)</f>
        <v>-17.9855363228301</v>
      </c>
      <c r="R366" s="714" t="n">
        <f aca="false">((F366+L366+H366)-(D366+J366+P366+N366))*radconv</f>
        <v>-166.736140490193</v>
      </c>
      <c r="S366" s="717" t="n">
        <f aca="false">IF(R366&gt;0,R366,R366+180)</f>
        <v>13.2638595098074</v>
      </c>
      <c r="U366" s="644" t="n">
        <f aca="false">IF(Q366&lt;0,A366,1000000000)</f>
        <v>29684</v>
      </c>
      <c r="V366" s="644" t="n">
        <f aca="false">A366^2</f>
        <v>881139856</v>
      </c>
      <c r="X366" s="716" t="n">
        <f aca="false">20*LOG10((K366/(I366*M366))*AEA)</f>
        <v>14.1061480252095</v>
      </c>
      <c r="Y366" s="717" t="n">
        <f aca="false">(L366-(J366+N366))*radconv</f>
        <v>-51.3108708987642</v>
      </c>
      <c r="AA366" s="716" t="n">
        <f aca="false">20*LOG10((E366*G366/(C366*O366))*Acs*Am)</f>
        <v>19.3889410065148</v>
      </c>
      <c r="AB366" s="717" t="n">
        <f aca="false">(F366+H366-(D366+P366))*radconv</f>
        <v>-115.425269591428</v>
      </c>
      <c r="AD366" s="0" t="n">
        <f aca="false">SUM((Q367&lt;0)*(Q366&gt;0))*A366</f>
        <v>0</v>
      </c>
      <c r="AE366" s="0" t="n">
        <f aca="false">IF(AD366&gt;0,S366,0)</f>
        <v>0</v>
      </c>
    </row>
    <row r="367" customFormat="false" ht="12.75" hidden="false" customHeight="false" outlineLevel="0" collapsed="false">
      <c r="A367" s="718" t="n">
        <v>29856</v>
      </c>
      <c r="B367" s="706" t="n">
        <f aca="false">A367/1000</f>
        <v>29.856</v>
      </c>
      <c r="C367" s="707" t="n">
        <f aca="false">SQRT(1+(A367/pole1)^2)</f>
        <v>50.9956049177556</v>
      </c>
      <c r="D367" s="708" t="n">
        <f aca="false">ATAN(A367/pole1)</f>
        <v>1.55118553677349</v>
      </c>
      <c r="E367" s="708" t="n">
        <f aca="false">SQRT(1+(A367/Zero1)^2)</f>
        <v>1.06806423188845</v>
      </c>
      <c r="F367" s="709" t="n">
        <f aca="false">ATAN(A367/Zero1)</f>
        <v>0.358929837214263</v>
      </c>
      <c r="G367" s="708" t="n">
        <f aca="false">IF(VIN_nom&gt;Vout, 1, SQRT(1+(A367/z_RHP)^2))</f>
        <v>1.09352569880187</v>
      </c>
      <c r="H367" s="709" t="n">
        <f aca="false">IF(VIN_nom&gt;Vout, 0, -ATAN(A367/z_RHP))</f>
        <v>-0.416592080307403</v>
      </c>
      <c r="I367" s="707" t="n">
        <f aca="false">SQRT(1+(A367/Pole2)^2)</f>
        <v>123848.234181821</v>
      </c>
      <c r="J367" s="710" t="n">
        <f aca="false">ATAN(A367/Pole2)</f>
        <v>1.57078825239637</v>
      </c>
      <c r="K367" s="719" t="n">
        <f aca="false">SQRT(1+(A367/Zero2)^2)</f>
        <v>38.3322147742579</v>
      </c>
      <c r="L367" s="720" t="n">
        <f aca="false">ATAN(A367/Zero2)</f>
        <v>1.54470564905004</v>
      </c>
      <c r="M367" s="707" t="n">
        <f aca="false">SQRT(1+(A367/pole4)^2)</f>
        <v>1.55478310195767</v>
      </c>
      <c r="N367" s="710" t="n">
        <f aca="false">ATAN(A367/pole4)</f>
        <v>0.872156818727056</v>
      </c>
      <c r="O367" s="711" t="n">
        <f aca="false">SQRT((1-(V367/pterm2))^2+(A367/pterm1)^2)</f>
        <v>1.04641280018153</v>
      </c>
      <c r="P367" s="712" t="n">
        <f aca="false">IF((ATAN((A367/pterm1)/(1-A367^2/pterm2))&gt;0),ATAN((A367/pterm1)/(1-A367^2/pterm2)),PI()+ATAN((A367/pterm1)/(1-A367^2/pterm2)))</f>
        <v>0.408327893861247</v>
      </c>
      <c r="Q367" s="713" t="n">
        <f aca="false">20*LOG10(((E367*K367*G367)/(C367*I367*O367*M367))*Adc)</f>
        <v>-18.055151324835</v>
      </c>
      <c r="R367" s="714" t="n">
        <f aca="false">((F367+L367+H367)-(D367+J367+P367+N367))*radconv</f>
        <v>-167.040980709013</v>
      </c>
      <c r="S367" s="717" t="n">
        <f aca="false">IF(R367&gt;0,R367,R367+180)</f>
        <v>12.9590192909874</v>
      </c>
      <c r="U367" s="644" t="n">
        <f aca="false">IF(Q367&lt;0,A367,1000000000)</f>
        <v>29856</v>
      </c>
      <c r="V367" s="644" t="n">
        <f aca="false">A367^2</f>
        <v>891380736</v>
      </c>
      <c r="X367" s="716" t="n">
        <f aca="false">20*LOG10((K367/(I367*M367))*AEA)</f>
        <v>14.0767599744732</v>
      </c>
      <c r="Y367" s="717" t="n">
        <f aca="false">(L367-(J367+N367))*radconv</f>
        <v>-51.4653279358827</v>
      </c>
      <c r="AA367" s="716" t="n">
        <f aca="false">20*LOG10((E367*G367/(C367*O367))*Acs*Am)</f>
        <v>19.3487140552462</v>
      </c>
      <c r="AB367" s="717" t="n">
        <f aca="false">(F367+H367-(D367+P367))*radconv</f>
        <v>-115.57565277313</v>
      </c>
      <c r="AD367" s="0" t="n">
        <f aca="false">SUM((Q368&lt;0)*(Q367&gt;0))*A367</f>
        <v>0</v>
      </c>
      <c r="AE367" s="0" t="n">
        <f aca="false">IF(AD367&gt;0,S367,0)</f>
        <v>0</v>
      </c>
    </row>
    <row r="368" customFormat="false" ht="12.75" hidden="false" customHeight="false" outlineLevel="0" collapsed="false">
      <c r="A368" s="718" t="n">
        <v>30028</v>
      </c>
      <c r="B368" s="706" t="n">
        <f aca="false">A368/1000</f>
        <v>30.028</v>
      </c>
      <c r="C368" s="707" t="n">
        <f aca="false">SQRT(1+(A368/pole1)^2)</f>
        <v>51.2892772403128</v>
      </c>
      <c r="D368" s="708" t="n">
        <f aca="false">ATAN(A368/pole1)</f>
        <v>1.55129783857681</v>
      </c>
      <c r="E368" s="708" t="n">
        <f aca="false">SQRT(1+(A368/Zero1)^2)</f>
        <v>1.06882539351426</v>
      </c>
      <c r="F368" s="709" t="n">
        <f aca="false">ATAN(A368/Zero1)</f>
        <v>0.360823202609003</v>
      </c>
      <c r="G368" s="708" t="n">
        <f aca="false">IF(VIN_nom&gt;Vout, 1, SQRT(1+(A368/z_RHP)^2))</f>
        <v>1.09455969988723</v>
      </c>
      <c r="H368" s="709" t="n">
        <f aca="false">IF(VIN_nom&gt;Vout, 0, -ATAN(A368/z_RHP))</f>
        <v>-0.418721853393074</v>
      </c>
      <c r="I368" s="707" t="n">
        <f aca="false">SQRT(1+(A368/Pole2)^2)</f>
        <v>124561.72213325</v>
      </c>
      <c r="J368" s="710" t="n">
        <f aca="false">ATAN(A368/Pole2)</f>
        <v>1.57078829864642</v>
      </c>
      <c r="K368" s="719" t="n">
        <f aca="false">SQRT(1+(A368/Zero2)^2)</f>
        <v>38.5528962686313</v>
      </c>
      <c r="L368" s="720" t="n">
        <f aca="false">ATAN(A368/Zero2)</f>
        <v>1.54485502888754</v>
      </c>
      <c r="M368" s="707" t="n">
        <f aca="false">SQRT(1+(A368/pole4)^2)</f>
        <v>1.56004109158014</v>
      </c>
      <c r="N368" s="710" t="n">
        <f aca="false">ATAN(A368/pole4)</f>
        <v>0.874984498228789</v>
      </c>
      <c r="O368" s="711" t="n">
        <f aca="false">SQRT((1-(V368/pterm2))^2+(A368/pterm1)^2)</f>
        <v>1.04694584390513</v>
      </c>
      <c r="P368" s="712" t="n">
        <f aca="false">IF((ATAN((A368/pterm1)/(1-A368^2/pterm2))&gt;0),ATAN((A368/pterm1)/(1-A368^2/pterm2)),PI()+ATAN((A368/pterm1)/(1-A368^2/pterm2)))</f>
        <v>0.410599925995454</v>
      </c>
      <c r="Q368" s="713" t="n">
        <f aca="false">20*LOG10(((E368*K368*G368)/(C368*I368*O368*M368))*Adc)</f>
        <v>-18.1244126625068</v>
      </c>
      <c r="R368" s="714" t="n">
        <f aca="false">((F368+L368+H368)-(D368+J368+P368+N368))*radconv</f>
        <v>-167.344596060829</v>
      </c>
      <c r="S368" s="717" t="n">
        <f aca="false">IF(R368&gt;0,R368,R368+180)</f>
        <v>12.6554039391711</v>
      </c>
      <c r="U368" s="644" t="n">
        <f aca="false">IF(Q368&lt;0,A368,1000000000)</f>
        <v>30028</v>
      </c>
      <c r="V368" s="644" t="n">
        <f aca="false">A368^2</f>
        <v>901680784</v>
      </c>
      <c r="X368" s="716" t="n">
        <f aca="false">20*LOG10((K368/(I368*M368))*AEA)</f>
        <v>14.0474016919824</v>
      </c>
      <c r="Y368" s="717" t="n">
        <f aca="false">(L368-(J368+N368))*radconv</f>
        <v>-51.6187858530224</v>
      </c>
      <c r="AA368" s="716" t="n">
        <f aca="false">20*LOG10((E368*G368/(C368*O368))*Acs*Am)</f>
        <v>19.3088110000652</v>
      </c>
      <c r="AB368" s="717" t="n">
        <f aca="false">(F368+H368-(D368+P368))*radconv</f>
        <v>-115.725810207806</v>
      </c>
      <c r="AD368" s="0" t="n">
        <f aca="false">SUM((Q369&lt;0)*(Q368&gt;0))*A368</f>
        <v>0</v>
      </c>
      <c r="AE368" s="0" t="n">
        <f aca="false">IF(AD368&gt;0,S368,0)</f>
        <v>0</v>
      </c>
    </row>
    <row r="369" customFormat="false" ht="12.75" hidden="false" customHeight="false" outlineLevel="0" collapsed="false">
      <c r="A369" s="718" t="n">
        <v>30200</v>
      </c>
      <c r="B369" s="706" t="n">
        <f aca="false">A369/1000</f>
        <v>30.2</v>
      </c>
      <c r="C369" s="707" t="n">
        <f aca="false">SQRT(1+(A369/pole1)^2)</f>
        <v>51.5829502023495</v>
      </c>
      <c r="D369" s="708" t="n">
        <f aca="false">ATAN(A369/pole1)</f>
        <v>1.5514088616643</v>
      </c>
      <c r="E369" s="708" t="n">
        <f aca="false">SQRT(1+(A369/Zero1)^2)</f>
        <v>1.06959038123871</v>
      </c>
      <c r="F369" s="709" t="n">
        <f aca="false">ATAN(A369/Zero1)</f>
        <v>0.36271386644447</v>
      </c>
      <c r="G369" s="708" t="n">
        <f aca="false">IF(VIN_nom&gt;Vout, 1, SQRT(1+(A369/z_RHP)^2))</f>
        <v>1.09559865643794</v>
      </c>
      <c r="H369" s="709" t="n">
        <f aca="false">IF(VIN_nom&gt;Vout, 0, -ATAN(A369/z_RHP))</f>
        <v>-0.4208475967768</v>
      </c>
      <c r="I369" s="707" t="n">
        <f aca="false">SQRT(1+(A369/Pole2)^2)</f>
        <v>125275.21008468</v>
      </c>
      <c r="J369" s="710" t="n">
        <f aca="false">ATAN(A369/Pole2)</f>
        <v>1.57078834436965</v>
      </c>
      <c r="K369" s="719" t="n">
        <f aca="false">SQRT(1+(A369/Zero2)^2)</f>
        <v>38.7735786134943</v>
      </c>
      <c r="L369" s="720" t="n">
        <f aca="false">ATAN(A369/Zero2)</f>
        <v>1.54500270831819</v>
      </c>
      <c r="M369" s="707" t="n">
        <f aca="false">SQRT(1+(A369/pole4)^2)</f>
        <v>1.5653114710763</v>
      </c>
      <c r="N369" s="710" t="n">
        <f aca="false">ATAN(A369/pole4)</f>
        <v>0.877793158555973</v>
      </c>
      <c r="O369" s="711" t="n">
        <f aca="false">SQRT((1-(V369/pterm2))^2+(A369/pterm1)^2)</f>
        <v>1.0474818778586</v>
      </c>
      <c r="P369" s="712" t="n">
        <f aca="false">IF((ATAN((A369/pterm1)/(1-A369^2/pterm2))&gt;0),ATAN((A369/pterm1)/(1-A369^2/pterm2)),PI()+ATAN((A369/pterm1)/(1-A369^2/pterm2)))</f>
        <v>0.412870641338282</v>
      </c>
      <c r="Q369" s="713" t="n">
        <f aca="false">20*LOG10(((E369*K369*G369)/(C369*I369*O369*M369))*Adc)</f>
        <v>-18.193323187057</v>
      </c>
      <c r="R369" s="714" t="n">
        <f aca="false">((F369+L369+H369)-(D369+J369+P369+N369))*radconv</f>
        <v>-167.646994281586</v>
      </c>
      <c r="S369" s="717" t="n">
        <f aca="false">IF(R369&gt;0,R369,R369+180)</f>
        <v>12.3530057184141</v>
      </c>
      <c r="U369" s="644" t="n">
        <f aca="false">IF(Q369&lt;0,A369,1000000000)</f>
        <v>30200</v>
      </c>
      <c r="V369" s="644" t="n">
        <f aca="false">A369^2</f>
        <v>912040000</v>
      </c>
      <c r="X369" s="716" t="n">
        <f aca="false">20*LOG10((K369/(I369*M369))*AEA)</f>
        <v>14.0180739027576</v>
      </c>
      <c r="Y369" s="717" t="n">
        <f aca="false">(L369-(J369+N369))*radconv</f>
        <v>-51.7712514476815</v>
      </c>
      <c r="AA369" s="716" t="n">
        <f aca="false">20*LOG10((E369*G369/(C369*O369))*Acs*Am)</f>
        <v>19.2692282647398</v>
      </c>
      <c r="AB369" s="717" t="n">
        <f aca="false">(F369+H369-(D369+P369))*radconv</f>
        <v>-115.875742833904</v>
      </c>
      <c r="AD369" s="0" t="n">
        <f aca="false">SUM((Q370&lt;0)*(Q369&gt;0))*A369</f>
        <v>0</v>
      </c>
      <c r="AE369" s="0" t="n">
        <f aca="false">IF(AD369&gt;0,S369,0)</f>
        <v>0</v>
      </c>
    </row>
    <row r="370" customFormat="false" ht="12.75" hidden="false" customHeight="false" outlineLevel="0" collapsed="false">
      <c r="A370" s="718" t="n">
        <v>30375.75</v>
      </c>
      <c r="B370" s="706" t="n">
        <f aca="false">A370/1000</f>
        <v>30.37575</v>
      </c>
      <c r="C370" s="707" t="n">
        <f aca="false">SQRT(1+(A370/pole1)^2)</f>
        <v>51.8830265671655</v>
      </c>
      <c r="D370" s="708" t="n">
        <f aca="false">ATAN(A370/pole1)</f>
        <v>1.55152100706425</v>
      </c>
      <c r="E370" s="708" t="n">
        <f aca="false">SQRT(1+(A370/Zero1)^2)</f>
        <v>1.0703759910739</v>
      </c>
      <c r="F370" s="709" t="n">
        <f aca="false">ATAN(A370/Zero1)</f>
        <v>0.364642952575582</v>
      </c>
      <c r="G370" s="708" t="n">
        <f aca="false">IF(VIN_nom&gt;Vout, 1, SQRT(1+(A370/z_RHP)^2))</f>
        <v>1.09666536870761</v>
      </c>
      <c r="H370" s="709" t="n">
        <f aca="false">IF(VIN_nom&gt;Vout, 0, -ATAN(A370/z_RHP))</f>
        <v>-0.423015515822164</v>
      </c>
      <c r="I370" s="707" t="n">
        <f aca="false">SQRT(1+(A370/Pole2)^2)</f>
        <v>126004.253732726</v>
      </c>
      <c r="J370" s="710" t="n">
        <f aca="false">ATAN(A370/Pole2)</f>
        <v>1.57078839055489</v>
      </c>
      <c r="K370" s="719" t="n">
        <f aca="false">SQRT(1+(A370/Zero2)^2)</f>
        <v>38.9990732101739</v>
      </c>
      <c r="L370" s="720" t="n">
        <f aca="false">ATAN(A370/Zero2)</f>
        <v>1.54515188111061</v>
      </c>
      <c r="M370" s="707" t="n">
        <f aca="false">SQRT(1+(A370/pole4)^2)</f>
        <v>1.57070942534688</v>
      </c>
      <c r="N370" s="710" t="n">
        <f aca="false">ATAN(A370/pole4)</f>
        <v>0.880643561853324</v>
      </c>
      <c r="O370" s="711" t="n">
        <f aca="false">SQRT((1-(V370/pterm2))^2+(A370/pterm1)^2)</f>
        <v>1.04803268616246</v>
      </c>
      <c r="P370" s="712" t="n">
        <f aca="false">IF((ATAN((A370/pterm1)/(1-A370^2/pterm2))&gt;0),ATAN((A370/pterm1)/(1-A370^2/pterm2)),PI()+ATAN((A370/pterm1)/(1-A370^2/pterm2)))</f>
        <v>0.415189497444121</v>
      </c>
      <c r="Q370" s="713" t="n">
        <f aca="false">20*LOG10(((E370*K370*G370)/(C370*I370*O370*M370))*Adc)</f>
        <v>-18.2633766785306</v>
      </c>
      <c r="R370" s="714" t="n">
        <f aca="false">((F370+L370+H370)-(D370+J370+P370+N370))*radconv</f>
        <v>-167.954736279848</v>
      </c>
      <c r="S370" s="717" t="n">
        <f aca="false">IF(R370&gt;0,R370,R370+180)</f>
        <v>12.0452637201522</v>
      </c>
      <c r="U370" s="644" t="n">
        <f aca="false">IF(Q370&lt;0,A370,1000000000)</f>
        <v>30375.75</v>
      </c>
      <c r="V370" s="644" t="n">
        <f aca="false">A370^2</f>
        <v>922686188.0625</v>
      </c>
      <c r="X370" s="716" t="n">
        <f aca="false">20*LOG10((K370/(I370*M370))*AEA)</f>
        <v>13.9881389329402</v>
      </c>
      <c r="Y370" s="717" t="n">
        <f aca="false">(L370-(J370+N370))*radconv</f>
        <v>-51.9260232015019</v>
      </c>
      <c r="AA370" s="716" t="n">
        <f aca="false">20*LOG10((E370*G370/(C370*O370))*Acs*Am)</f>
        <v>19.2291097430835</v>
      </c>
      <c r="AB370" s="717" t="n">
        <f aca="false">(F370+H370-(D370+P370))*radconv</f>
        <v>-116.028713078346</v>
      </c>
      <c r="AD370" s="0" t="n">
        <f aca="false">SUM((Q371&lt;0)*(Q370&gt;0))*A370</f>
        <v>0</v>
      </c>
      <c r="AE370" s="0" t="n">
        <f aca="false">IF(AD370&gt;0,S370,0)</f>
        <v>0</v>
      </c>
    </row>
    <row r="371" customFormat="false" ht="12.75" hidden="false" customHeight="false" outlineLevel="0" collapsed="false">
      <c r="A371" s="718" t="n">
        <v>30551.5</v>
      </c>
      <c r="B371" s="706" t="n">
        <f aca="false">A371/1000</f>
        <v>30.5515</v>
      </c>
      <c r="C371" s="707" t="n">
        <f aca="false">SQRT(1+(A371/pole1)^2)</f>
        <v>52.1831035769886</v>
      </c>
      <c r="D371" s="708" t="n">
        <f aca="false">ATAN(A371/pole1)</f>
        <v>1.55163186268961</v>
      </c>
      <c r="E371" s="708" t="n">
        <f aca="false">SQRT(1+(A371/Zero1)^2)</f>
        <v>1.0711655783263</v>
      </c>
      <c r="F371" s="709" t="n">
        <f aca="false">ATAN(A371/Zero1)</f>
        <v>0.366569201895394</v>
      </c>
      <c r="G371" s="708" t="n">
        <f aca="false">IF(VIN_nom&gt;Vout, 1, SQRT(1+(A371/z_RHP)^2))</f>
        <v>1.09773722513407</v>
      </c>
      <c r="H371" s="709" t="n">
        <f aca="false">IF(VIN_nom&gt;Vout, 0, -ATAN(A371/z_RHP))</f>
        <v>-0.425179211405899</v>
      </c>
      <c r="I371" s="707" t="n">
        <f aca="false">SQRT(1+(A371/Pole2)^2)</f>
        <v>126733.297380772</v>
      </c>
      <c r="J371" s="710" t="n">
        <f aca="false">ATAN(A371/Pole2)</f>
        <v>1.57078843620876</v>
      </c>
      <c r="K371" s="719" t="n">
        <f aca="false">SQRT(1+(A371/Zero2)^2)</f>
        <v>39.2245686647033</v>
      </c>
      <c r="L371" s="720" t="n">
        <f aca="false">ATAN(A371/Zero2)</f>
        <v>1.54529933876765</v>
      </c>
      <c r="M371" s="707" t="n">
        <f aca="false">SQRT(1+(A371/pole4)^2)</f>
        <v>1.57612005384205</v>
      </c>
      <c r="N371" s="710" t="n">
        <f aca="false">ATAN(A371/pole4)</f>
        <v>0.883474417843691</v>
      </c>
      <c r="O371" s="711" t="n">
        <f aca="false">SQRT((1-(V371/pterm2))^2+(A371/pterm1)^2)</f>
        <v>1.04858661413224</v>
      </c>
      <c r="P371" s="712" t="n">
        <f aca="false">IF((ATAN((A371/pterm1)/(1-A371^2/pterm2))&gt;0),ATAN((A371/pterm1)/(1-A371^2/pterm2)),PI()+ATAN((A371/pterm1)/(1-A371^2/pterm2)))</f>
        <v>0.417506966683648</v>
      </c>
      <c r="Q371" s="713" t="n">
        <f aca="false">20*LOG10(((E371*K371*G371)/(C371*I371*O371*M371))*Adc)</f>
        <v>-18.3330697906615</v>
      </c>
      <c r="R371" s="714" t="n">
        <f aca="false">((F371+L371+H371)-(D371+J371+P371+N371))*radconv</f>
        <v>-168.261223730053</v>
      </c>
      <c r="S371" s="717" t="n">
        <f aca="false">IF(R371&gt;0,R371,R371+180)</f>
        <v>11.7387762699467</v>
      </c>
      <c r="U371" s="644" t="n">
        <f aca="false">IF(Q371&lt;0,A371,1000000000)</f>
        <v>30551.5</v>
      </c>
      <c r="V371" s="644" t="n">
        <f aca="false">A371^2</f>
        <v>933394152.25</v>
      </c>
      <c r="X371" s="716" t="n">
        <f aca="false">20*LOG10((K371/(I371*M371))*AEA)</f>
        <v>13.9582372743108</v>
      </c>
      <c r="Y371" s="717" t="n">
        <f aca="false">(L371-(J371+N371))*radconv</f>
        <v>-52.0797732167039</v>
      </c>
      <c r="AA371" s="716" t="n">
        <f aca="false">20*LOG10((E371*G371/(C371*O371))*Acs*Am)</f>
        <v>19.1893182895821</v>
      </c>
      <c r="AB371" s="717" t="n">
        <f aca="false">(F371+H371-(D371+P371))*radconv</f>
        <v>-116.181450513349</v>
      </c>
      <c r="AD371" s="0" t="n">
        <f aca="false">SUM((Q372&lt;0)*(Q371&gt;0))*A371</f>
        <v>0</v>
      </c>
      <c r="AE371" s="0" t="n">
        <f aca="false">IF(AD371&gt;0,S371,0)</f>
        <v>0</v>
      </c>
    </row>
    <row r="372" customFormat="false" ht="12.75" hidden="false" customHeight="false" outlineLevel="0" collapsed="false">
      <c r="A372" s="718" t="n">
        <v>30727.25</v>
      </c>
      <c r="B372" s="706" t="n">
        <f aca="false">A372/1000</f>
        <v>30.72725</v>
      </c>
      <c r="C372" s="707" t="n">
        <f aca="false">SQRT(1+(A372/pole1)^2)</f>
        <v>52.4831812207551</v>
      </c>
      <c r="D372" s="708" t="n">
        <f aca="false">ATAN(A372/pole1)</f>
        <v>1.55174145066087</v>
      </c>
      <c r="E372" s="708" t="n">
        <f aca="false">SQRT(1+(A372/Zero1)^2)</f>
        <v>1.07195913420681</v>
      </c>
      <c r="F372" s="709" t="n">
        <f aca="false">ATAN(A372/Zero1)</f>
        <v>0.368492606393935</v>
      </c>
      <c r="G372" s="708" t="n">
        <f aca="false">IF(VIN_nom&gt;Vout, 1, SQRT(1+(A372/z_RHP)^2))</f>
        <v>1.09881421066347</v>
      </c>
      <c r="H372" s="709" t="n">
        <f aca="false">IF(VIN_nom&gt;Vout, 0, -ATAN(A372/z_RHP))</f>
        <v>-0.427338675658224</v>
      </c>
      <c r="I372" s="707" t="n">
        <f aca="false">SQRT(1+(A372/Pole2)^2)</f>
        <v>127462.341028819</v>
      </c>
      <c r="J372" s="710" t="n">
        <f aca="false">ATAN(A372/Pole2)</f>
        <v>1.57078848134037</v>
      </c>
      <c r="K372" s="719" t="n">
        <f aca="false">SQRT(1+(A372/Zero2)^2)</f>
        <v>39.4500649623721</v>
      </c>
      <c r="L372" s="720" t="n">
        <f aca="false">ATAN(A372/Zero2)</f>
        <v>1.54544511069393</v>
      </c>
      <c r="M372" s="707" t="n">
        <f aca="false">SQRT(1+(A372/pole4)^2)</f>
        <v>1.58154322648218</v>
      </c>
      <c r="N372" s="710" t="n">
        <f aca="false">ATAN(A372/pole4)</f>
        <v>0.886285882007508</v>
      </c>
      <c r="O372" s="711" t="n">
        <f aca="false">SQRT((1-(V372/pterm2))^2+(A372/pterm1)^2)</f>
        <v>1.04914366056295</v>
      </c>
      <c r="P372" s="712" t="n">
        <f aca="false">IF((ATAN((A372/pterm1)/(1-A372^2/pterm2))&gt;0),ATAN((A372/pterm1)/(1-A372^2/pterm2)),PI()+ATAN((A372/pterm1)/(1-A372^2/pterm2)))</f>
        <v>0.419823043020784</v>
      </c>
      <c r="Q372" s="713" t="n">
        <f aca="false">20*LOG10(((E372*K372*G372)/(C372*I372*O372*M372))*Adc)</f>
        <v>-18.4024054445814</v>
      </c>
      <c r="R372" s="714" t="n">
        <f aca="false">((F372+L372+H372)-(D372+J372+P372+N372))*radconv</f>
        <v>-168.566464785936</v>
      </c>
      <c r="S372" s="717" t="n">
        <f aca="false">IF(R372&gt;0,R372,R372+180)</f>
        <v>11.4335352140636</v>
      </c>
      <c r="U372" s="644" t="n">
        <f aca="false">IF(Q372&lt;0,A372,1000000000)</f>
        <v>30727.25</v>
      </c>
      <c r="V372" s="644" t="n">
        <f aca="false">A372^2</f>
        <v>944163892.5625</v>
      </c>
      <c r="X372" s="716" t="n">
        <f aca="false">20*LOG10((K372/(I372*M372))*AEA)</f>
        <v>13.9283696435905</v>
      </c>
      <c r="Y372" s="717" t="n">
        <f aca="false">(L372-(J372+N372))*radconv</f>
        <v>-52.2325087174211</v>
      </c>
      <c r="AA372" s="716" t="n">
        <f aca="false">20*LOG10((E372*G372/(C372*O372))*Acs*Am)</f>
        <v>19.1498502663825</v>
      </c>
      <c r="AB372" s="717" t="n">
        <f aca="false">(F372+H372-(D372+P372))*radconv</f>
        <v>-116.333956068515</v>
      </c>
      <c r="AD372" s="0" t="n">
        <f aca="false">SUM((Q373&lt;0)*(Q372&gt;0))*A372</f>
        <v>0</v>
      </c>
      <c r="AE372" s="0" t="n">
        <f aca="false">IF(AD372&gt;0,S372,0)</f>
        <v>0</v>
      </c>
    </row>
    <row r="373" customFormat="false" ht="12.75" hidden="false" customHeight="false" outlineLevel="0" collapsed="false">
      <c r="A373" s="718" t="n">
        <v>30903</v>
      </c>
      <c r="B373" s="706" t="n">
        <f aca="false">A373/1000</f>
        <v>30.903</v>
      </c>
      <c r="C373" s="707" t="n">
        <f aca="false">SQRT(1+(A373/pole1)^2)</f>
        <v>52.7832594876531</v>
      </c>
      <c r="D373" s="708" t="n">
        <f aca="false">ATAN(A373/pole1)</f>
        <v>1.55184979259562</v>
      </c>
      <c r="E373" s="708" t="n">
        <f aca="false">SQRT(1+(A373/Zero1)^2)</f>
        <v>1.07275664990824</v>
      </c>
      <c r="F373" s="709" t="n">
        <f aca="false">ATAN(A373/Zero1)</f>
        <v>0.370413158169071</v>
      </c>
      <c r="G373" s="708" t="n">
        <f aca="false">IF(VIN_nom&gt;Vout, 1, SQRT(1+(A373/z_RHP)^2))</f>
        <v>1.09989631022901</v>
      </c>
      <c r="H373" s="709" t="n">
        <f aca="false">IF(VIN_nom&gt;Vout, 0, -ATAN(A373/z_RHP))</f>
        <v>-0.429493900897959</v>
      </c>
      <c r="I373" s="707" t="n">
        <f aca="false">SQRT(1+(A373/Pole2)^2)</f>
        <v>128191.384676865</v>
      </c>
      <c r="J373" s="710" t="n">
        <f aca="false">ATAN(A373/Pole2)</f>
        <v>1.57078852595865</v>
      </c>
      <c r="K373" s="719" t="n">
        <f aca="false">SQRT(1+(A373/Zero2)^2)</f>
        <v>39.6755620888044</v>
      </c>
      <c r="L373" s="720" t="n">
        <f aca="false">ATAN(A373/Zero2)</f>
        <v>1.54558922562591</v>
      </c>
      <c r="M373" s="707" t="n">
        <f aca="false">SQRT(1+(A373/pole4)^2)</f>
        <v>1.58697881466619</v>
      </c>
      <c r="N373" s="710" t="n">
        <f aca="false">ATAN(A373/pole4)</f>
        <v>0.889078108928679</v>
      </c>
      <c r="O373" s="711" t="n">
        <f aca="false">SQRT((1-(V373/pterm2))^2+(A373/pterm1)^2)</f>
        <v>1.04970382424588</v>
      </c>
      <c r="P373" s="712" t="n">
        <f aca="false">IF((ATAN((A373/pterm1)/(1-A373^2/pterm2))&gt;0),ATAN((A373/pterm1)/(1-A373^2/pterm2)),PI()+ATAN((A373/pterm1)/(1-A373^2/pterm2)))</f>
        <v>0.422137720449221</v>
      </c>
      <c r="Q373" s="713" t="n">
        <f aca="false">20*LOG10(((E373*K373*G373)/(C373*I373*O373*M373))*Adc)</f>
        <v>-18.4713865227353</v>
      </c>
      <c r="R373" s="714" t="n">
        <f aca="false">((F373+L373+H373)-(D373+J373+P373+N373))*radconv</f>
        <v>-168.870467565656</v>
      </c>
      <c r="S373" s="717" t="n">
        <f aca="false">IF(R373&gt;0,R373,R373+180)</f>
        <v>11.1295324343443</v>
      </c>
      <c r="U373" s="644" t="n">
        <f aca="false">IF(Q373&lt;0,A373,1000000000)</f>
        <v>30903</v>
      </c>
      <c r="V373" s="644" t="n">
        <f aca="false">A373^2</f>
        <v>954995409</v>
      </c>
      <c r="X373" s="716" t="n">
        <f aca="false">20*LOG10((K373/(I373*M373))*AEA)</f>
        <v>13.8985367390463</v>
      </c>
      <c r="Y373" s="717" t="n">
        <f aca="false">(L373-(J373+N373))*radconv</f>
        <v>-52.3842369146924</v>
      </c>
      <c r="AA373" s="716" t="n">
        <f aca="false">20*LOG10((E373*G373/(C373*O373))*Acs*Am)</f>
        <v>19.1107020927727</v>
      </c>
      <c r="AB373" s="717" t="n">
        <f aca="false">(F373+H373-(D373+P373))*radconv</f>
        <v>-116.486230650963</v>
      </c>
      <c r="AD373" s="0" t="n">
        <f aca="false">SUM((Q374&lt;0)*(Q373&gt;0))*A373</f>
        <v>0</v>
      </c>
      <c r="AE373" s="0" t="n">
        <f aca="false">IF(AD373&gt;0,S373,0)</f>
        <v>0</v>
      </c>
    </row>
    <row r="374" customFormat="false" ht="12.75" hidden="false" customHeight="false" outlineLevel="0" collapsed="false">
      <c r="A374" s="718" t="n">
        <v>31083</v>
      </c>
      <c r="B374" s="706" t="n">
        <f aca="false">A374/1000</f>
        <v>31.083</v>
      </c>
      <c r="C374" s="707" t="n">
        <f aca="false">SQRT(1+(A374/pole1)^2)</f>
        <v>53.090594905127</v>
      </c>
      <c r="D374" s="708" t="n">
        <f aca="false">ATAN(A374/pole1)</f>
        <v>1.55195948493988</v>
      </c>
      <c r="E374" s="708" t="n">
        <f aca="false">SQRT(1+(A374/Zero1)^2)</f>
        <v>1.07357754658791</v>
      </c>
      <c r="F374" s="709" t="n">
        <f aca="false">ATAN(A374/Zero1)</f>
        <v>0.372377187696096</v>
      </c>
      <c r="G374" s="708" t="n">
        <f aca="false">IF(VIN_nom&gt;Vout, 1, SQRT(1+(A374/z_RHP)^2))</f>
        <v>1.10100986248641</v>
      </c>
      <c r="H374" s="709" t="n">
        <f aca="false">IF(VIN_nom&gt;Vout, 0, -ATAN(A374/z_RHP))</f>
        <v>-0.431696842116812</v>
      </c>
      <c r="I374" s="707" t="n">
        <f aca="false">SQRT(1+(A374/Pole2)^2)</f>
        <v>128938.05811441</v>
      </c>
      <c r="J374" s="710" t="n">
        <f aca="false">ATAN(A374/Pole2)</f>
        <v>1.57078857113288</v>
      </c>
      <c r="K374" s="719" t="n">
        <f aca="false">SQRT(1+(A374/Zero2)^2)</f>
        <v>39.9065130484567</v>
      </c>
      <c r="L374" s="720" t="n">
        <f aca="false">ATAN(A374/Zero2)</f>
        <v>1.5457351373179</v>
      </c>
      <c r="M374" s="707" t="n">
        <f aca="false">SQRT(1+(A374/pole4)^2)</f>
        <v>1.59255858334607</v>
      </c>
      <c r="N374" s="710" t="n">
        <f aca="false">ATAN(A374/pole4)</f>
        <v>0.891918077606736</v>
      </c>
      <c r="O374" s="711" t="n">
        <f aca="false">SQRT((1-(V374/pterm2))^2+(A374/pterm1)^2)</f>
        <v>1.05028076381926</v>
      </c>
      <c r="P374" s="712" t="n">
        <f aca="false">IF((ATAN((A374/pterm1)/(1-A374^2/pterm2))&gt;0),ATAN((A374/pterm1)/(1-A374^2/pterm2)),PI()+ATAN((A374/pterm1)/(1-A374^2/pterm2)))</f>
        <v>0.42450691527977</v>
      </c>
      <c r="Q374" s="713" t="n">
        <f aca="false">20*LOG10(((E374*K374*G374)/(C374*I374*O374*M374))*Adc)</f>
        <v>-18.5416711378606</v>
      </c>
      <c r="R374" s="714" t="n">
        <f aca="false">((F374+L374+H374)-(D374+J374+P374+N374))*radconv</f>
        <v>-169.180546653995</v>
      </c>
      <c r="S374" s="717" t="n">
        <f aca="false">IF(R374&gt;0,R374,R374+180)</f>
        <v>10.8194533460046</v>
      </c>
      <c r="U374" s="644" t="n">
        <f aca="false">IF(Q374&lt;0,A374,1000000000)</f>
        <v>31083</v>
      </c>
      <c r="V374" s="644" t="n">
        <f aca="false">A374^2</f>
        <v>966152889</v>
      </c>
      <c r="X374" s="716" t="n">
        <f aca="false">20*LOG10((K374/(I374*M374))*AEA)</f>
        <v>13.8680191194542</v>
      </c>
      <c r="Y374" s="717" t="n">
        <f aca="false">(L374-(J374+N374))*radconv</f>
        <v>-52.5385975982305</v>
      </c>
      <c r="AA374" s="716" t="n">
        <f aca="false">20*LOG10((E374*G374/(C374*O374))*Acs*Am)</f>
        <v>19.0709350972396</v>
      </c>
      <c r="AB374" s="717" t="n">
        <f aca="false">(F374+H374-(D374+P374))*radconv</f>
        <v>-116.641949055765</v>
      </c>
      <c r="AD374" s="0" t="n">
        <f aca="false">SUM((Q375&lt;0)*(Q374&gt;0))*A374</f>
        <v>0</v>
      </c>
      <c r="AE374" s="0" t="n">
        <f aca="false">IF(AD374&gt;0,S374,0)</f>
        <v>0</v>
      </c>
    </row>
    <row r="375" customFormat="false" ht="12.75" hidden="false" customHeight="false" outlineLevel="0" collapsed="false">
      <c r="A375" s="718" t="n">
        <v>31263</v>
      </c>
      <c r="B375" s="706" t="n">
        <f aca="false">A375/1000</f>
        <v>31.263</v>
      </c>
      <c r="C375" s="707" t="n">
        <f aca="false">SQRT(1+(A375/pole1)^2)</f>
        <v>53.3979309540552</v>
      </c>
      <c r="D375" s="708" t="n">
        <f aca="false">ATAN(A375/pole1)</f>
        <v>1.55206791459936</v>
      </c>
      <c r="E375" s="708" t="n">
        <f aca="false">SQRT(1+(A375/Zero1)^2)</f>
        <v>1.07440257816096</v>
      </c>
      <c r="F375" s="709" t="n">
        <f aca="false">ATAN(A375/Zero1)</f>
        <v>0.374338208429304</v>
      </c>
      <c r="G375" s="708" t="n">
        <f aca="false">IF(VIN_nom&gt;Vout, 1, SQRT(1+(A375/z_RHP)^2))</f>
        <v>1.10212874707748</v>
      </c>
      <c r="H375" s="709" t="n">
        <f aca="false">IF(VIN_nom&gt;Vout, 0, -ATAN(A375/z_RHP))</f>
        <v>-0.433895321120978</v>
      </c>
      <c r="I375" s="707" t="n">
        <f aca="false">SQRT(1+(A375/Pole2)^2)</f>
        <v>129684.731551954</v>
      </c>
      <c r="J375" s="710" t="n">
        <f aca="false">ATAN(A375/Pole2)</f>
        <v>1.57078861578692</v>
      </c>
      <c r="K375" s="719" t="n">
        <f aca="false">SQRT(1+(A375/Zero2)^2)</f>
        <v>40.1374648479501</v>
      </c>
      <c r="L375" s="720" t="n">
        <f aca="false">ATAN(A375/Zero2)</f>
        <v>1.54587936985517</v>
      </c>
      <c r="M375" s="707" t="n">
        <f aca="false">SQRT(1+(A375/pole4)^2)</f>
        <v>1.59815110693153</v>
      </c>
      <c r="N375" s="710" t="n">
        <f aca="false">ATAN(A375/pole4)</f>
        <v>0.894738192689993</v>
      </c>
      <c r="O375" s="711" t="n">
        <f aca="false">SQRT((1-(V375/pterm2))^2+(A375/pterm1)^2)</f>
        <v>1.05086097065291</v>
      </c>
      <c r="P375" s="712" t="n">
        <f aca="false">IF((ATAN((A375/pterm1)/(1-A375^2/pterm2))&gt;0),ATAN((A375/pterm1)/(1-A375^2/pterm2)),PI()+ATAN((A375/pterm1)/(1-A375^2/pterm2)))</f>
        <v>0.426874630069504</v>
      </c>
      <c r="Q375" s="713" t="n">
        <f aca="false">20*LOG10(((E375*K375*G375)/(C375*I375*O375*M375))*Adc)</f>
        <v>-18.6115898209459</v>
      </c>
      <c r="R375" s="714" t="n">
        <f aca="false">((F375+L375+H375)-(D375+J375+P375+N375))*radconv</f>
        <v>-169.489343972335</v>
      </c>
      <c r="S375" s="717" t="n">
        <f aca="false">IF(R375&gt;0,R375,R375+180)</f>
        <v>10.5106560276649</v>
      </c>
      <c r="U375" s="644" t="n">
        <f aca="false">IF(Q375&lt;0,A375,1000000000)</f>
        <v>31263</v>
      </c>
      <c r="V375" s="644" t="n">
        <f aca="false">A375^2</f>
        <v>977375169</v>
      </c>
      <c r="X375" s="716" t="n">
        <f aca="false">20*LOG10((K375/(I375*M375))*AEA)</f>
        <v>13.8375393505549</v>
      </c>
      <c r="Y375" s="717" t="n">
        <f aca="false">(L375-(J375+N375))*radconv</f>
        <v>-52.6919169332512</v>
      </c>
      <c r="AA375" s="716" t="n">
        <f aca="false">20*LOG10((E375*G375/(C375*O375))*Acs*Am)</f>
        <v>19.0314961830536</v>
      </c>
      <c r="AB375" s="717" t="n">
        <f aca="false">(F375+H375-(D375+P375))*radconv</f>
        <v>-116.797427039084</v>
      </c>
      <c r="AD375" s="0" t="n">
        <f aca="false">SUM((Q376&lt;0)*(Q375&gt;0))*A375</f>
        <v>0</v>
      </c>
      <c r="AE375" s="0" t="n">
        <f aca="false">IF(AD375&gt;0,S375,0)</f>
        <v>0</v>
      </c>
    </row>
    <row r="376" customFormat="false" ht="12.75" hidden="false" customHeight="false" outlineLevel="0" collapsed="false">
      <c r="A376" s="718" t="n">
        <v>31443</v>
      </c>
      <c r="B376" s="706" t="n">
        <f aca="false">A376/1000</f>
        <v>31.443</v>
      </c>
      <c r="C376" s="707" t="n">
        <f aca="false">SQRT(1+(A376/pole1)^2)</f>
        <v>53.7052676235972</v>
      </c>
      <c r="D376" s="708" t="n">
        <f aca="false">ATAN(A376/pole1)</f>
        <v>1.55217510324923</v>
      </c>
      <c r="E376" s="708" t="n">
        <f aca="false">SQRT(1+(A376/Zero1)^2)</f>
        <v>1.0752317351092</v>
      </c>
      <c r="F376" s="709" t="n">
        <f aca="false">ATAN(A376/Zero1)</f>
        <v>0.376296212229483</v>
      </c>
      <c r="G376" s="708" t="n">
        <f aca="false">IF(VIN_nom&gt;Vout, 1, SQRT(1+(A376/z_RHP)^2))</f>
        <v>1.10325294777855</v>
      </c>
      <c r="H376" s="709" t="n">
        <f aca="false">IF(VIN_nom&gt;Vout, 0, -ATAN(A376/z_RHP))</f>
        <v>-0.436089330267301</v>
      </c>
      <c r="I376" s="707" t="n">
        <f aca="false">SQRT(1+(A376/Pole2)^2)</f>
        <v>130431.404989499</v>
      </c>
      <c r="J376" s="710" t="n">
        <f aca="false">ATAN(A376/Pole2)</f>
        <v>1.5707886599297</v>
      </c>
      <c r="K376" s="719" t="n">
        <f aca="false">SQRT(1+(A376/Zero2)^2)</f>
        <v>40.3684174728702</v>
      </c>
      <c r="L376" s="720" t="n">
        <f aca="false">ATAN(A376/Zero2)</f>
        <v>1.54602195205162</v>
      </c>
      <c r="M376" s="707" t="n">
        <f aca="false">SQRT(1+(A376/pole4)^2)</f>
        <v>1.60375625198813</v>
      </c>
      <c r="N376" s="710" t="n">
        <f aca="false">ATAN(A376/pole4)</f>
        <v>0.897538617251679</v>
      </c>
      <c r="O376" s="711" t="n">
        <f aca="false">SQRT((1-(V376/pterm2))^2+(A376/pterm1)^2)</f>
        <v>1.05144444343651</v>
      </c>
      <c r="P376" s="712" t="n">
        <f aca="false">IF((ATAN((A376/pterm1)/(1-A376^2/pterm2))&gt;0),ATAN((A376/pterm1)/(1-A376^2/pterm2)),PI()+ATAN((A376/pterm1)/(1-A376^2/pterm2)))</f>
        <v>0.429240858463211</v>
      </c>
      <c r="Q376" s="713" t="n">
        <f aca="false">20*LOG10(((E376*K376*G376)/(C376*I376*O376*M376))*Adc)</f>
        <v>-18.6811455484816</v>
      </c>
      <c r="R376" s="714" t="n">
        <f aca="false">((F376+L376+H376)-(D376+J376+P376+N376))*radconv</f>
        <v>-169.79686811987</v>
      </c>
      <c r="S376" s="717" t="n">
        <f aca="false">IF(R376&gt;0,R376,R376+180)</f>
        <v>10.2031318801301</v>
      </c>
      <c r="U376" s="644" t="n">
        <f aca="false">IF(Q376&lt;0,A376,1000000000)</f>
        <v>31443</v>
      </c>
      <c r="V376" s="644" t="n">
        <f aca="false">A376^2</f>
        <v>988662249</v>
      </c>
      <c r="X376" s="716" t="n">
        <f aca="false">20*LOG10((K376/(I376*M376))*AEA)</f>
        <v>13.807098124481</v>
      </c>
      <c r="Y376" s="717" t="n">
        <f aca="false">(L376-(J376+N376))*radconv</f>
        <v>-52.8442026127597</v>
      </c>
      <c r="AA376" s="716" t="n">
        <f aca="false">20*LOG10((E376*G376/(C376*O376))*Acs*Am)</f>
        <v>18.9923816815917</v>
      </c>
      <c r="AB376" s="717" t="n">
        <f aca="false">(F376+H376-(D376+P376))*radconv</f>
        <v>-116.95266550711</v>
      </c>
      <c r="AD376" s="0" t="n">
        <f aca="false">SUM((Q377&lt;0)*(Q376&gt;0))*A376</f>
        <v>0</v>
      </c>
      <c r="AE376" s="0" t="n">
        <f aca="false">IF(AD376&gt;0,S376,0)</f>
        <v>0</v>
      </c>
    </row>
    <row r="377" customFormat="false" ht="12.75" hidden="false" customHeight="false" outlineLevel="0" collapsed="false">
      <c r="A377" s="718" t="n">
        <v>31623</v>
      </c>
      <c r="B377" s="706" t="n">
        <f aca="false">A377/1000</f>
        <v>31.623</v>
      </c>
      <c r="C377" s="707" t="n">
        <f aca="false">SQRT(1+(A377/pole1)^2)</f>
        <v>54.0126049031587</v>
      </c>
      <c r="D377" s="708" t="n">
        <f aca="false">ATAN(A377/pole1)</f>
        <v>1.5522810720714</v>
      </c>
      <c r="E377" s="708" t="n">
        <f aca="false">SQRT(1+(A377/Zero1)^2)</f>
        <v>1.07606500789626</v>
      </c>
      <c r="F377" s="709" t="n">
        <f aca="false">ATAN(A377/Zero1)</f>
        <v>0.378251191074974</v>
      </c>
      <c r="G377" s="708" t="n">
        <f aca="false">IF(VIN_nom&gt;Vout, 1, SQRT(1+(A377/z_RHP)^2))</f>
        <v>1.1043824483551</v>
      </c>
      <c r="H377" s="709" t="n">
        <f aca="false">IF(VIN_nom&gt;Vout, 0, -ATAN(A377/z_RHP))</f>
        <v>-0.438278862115807</v>
      </c>
      <c r="I377" s="707" t="n">
        <f aca="false">SQRT(1+(A377/Pole2)^2)</f>
        <v>131178.078427045</v>
      </c>
      <c r="J377" s="710" t="n">
        <f aca="false">ATAN(A377/Pole2)</f>
        <v>1.57078870356995</v>
      </c>
      <c r="K377" s="719" t="n">
        <f aca="false">SQRT(1+(A377/Zero2)^2)</f>
        <v>40.5993709091304</v>
      </c>
      <c r="L377" s="720" t="n">
        <f aca="false">ATAN(A377/Zero2)</f>
        <v>1.54616291206575</v>
      </c>
      <c r="M377" s="707" t="n">
        <f aca="false">SQRT(1+(A377/pole4)^2)</f>
        <v>1.60937388664127</v>
      </c>
      <c r="N377" s="710" t="n">
        <f aca="false">ATAN(A377/pole4)</f>
        <v>0.900319513331194</v>
      </c>
      <c r="O377" s="711" t="n">
        <f aca="false">SQRT((1-(V377/pterm2))^2+(A377/pterm1)^2)</f>
        <v>1.05203118085592</v>
      </c>
      <c r="P377" s="712" t="n">
        <f aca="false">IF((ATAN((A377/pterm1)/(1-A377^2/pterm2))&gt;0),ATAN((A377/pterm1)/(1-A377^2/pterm2)),PI()+ATAN((A377/pterm1)/(1-A377^2/pterm2)))</f>
        <v>0.431605594138661</v>
      </c>
      <c r="Q377" s="713" t="n">
        <f aca="false">20*LOG10(((E377*K377*G377)/(C377*I377*O377*M377))*Adc)</f>
        <v>-18.7503412583522</v>
      </c>
      <c r="R377" s="714" t="n">
        <f aca="false">((F377+L377+H377)-(D377+J377+P377+N377))*radconv</f>
        <v>-170.103127652636</v>
      </c>
      <c r="S377" s="717" t="n">
        <f aca="false">IF(R377&gt;0,R377,R377+180)</f>
        <v>9.89687234736439</v>
      </c>
      <c r="U377" s="644" t="n">
        <f aca="false">IF(Q377&lt;0,A377,1000000000)</f>
        <v>31623</v>
      </c>
      <c r="V377" s="644" t="n">
        <f aca="false">A377^2</f>
        <v>1000014129</v>
      </c>
      <c r="X377" s="716" t="n">
        <f aca="false">20*LOG10((K377/(I377*M377))*AEA)</f>
        <v>13.7766961145112</v>
      </c>
      <c r="Y377" s="717" t="n">
        <f aca="false">(L377-(J377+N377))*radconv</f>
        <v>-52.9954623080655</v>
      </c>
      <c r="AA377" s="716" t="n">
        <f aca="false">20*LOG10((E377*G377/(C377*O377))*Acs*Am)</f>
        <v>18.9535879816909</v>
      </c>
      <c r="AB377" s="717" t="n">
        <f aca="false">(F377+H377-(D377+P377))*radconv</f>
        <v>-117.10766534457</v>
      </c>
      <c r="AD377" s="0" t="n">
        <f aca="false">SUM((Q378&lt;0)*(Q377&gt;0))*A377</f>
        <v>0</v>
      </c>
      <c r="AE377" s="0" t="n">
        <f aca="false">IF(AD377&gt;0,S377,0)</f>
        <v>0</v>
      </c>
    </row>
    <row r="378" customFormat="false" ht="12.75" hidden="false" customHeight="false" outlineLevel="0" collapsed="false">
      <c r="A378" s="718" t="n">
        <v>31807</v>
      </c>
      <c r="B378" s="706" t="n">
        <f aca="false">A378/1000</f>
        <v>31.807</v>
      </c>
      <c r="C378" s="707" t="n">
        <f aca="false">SQRT(1+(A378/pole1)^2)</f>
        <v>54.3267725197682</v>
      </c>
      <c r="D378" s="708" t="n">
        <f aca="false">ATAN(A378/pole1)</f>
        <v>1.55238815652014</v>
      </c>
      <c r="E378" s="708" t="n">
        <f aca="false">SQRT(1+(A378/Zero1)^2)</f>
        <v>1.07692104195789</v>
      </c>
      <c r="F378" s="709" t="n">
        <f aca="false">ATAN(A378/Zero1)</f>
        <v>0.380246479131723</v>
      </c>
      <c r="G378" s="708" t="n">
        <f aca="false">IF(VIN_nom&gt;Vout, 1, SQRT(1+(A378/z_RHP)^2))</f>
        <v>1.10554250987661</v>
      </c>
      <c r="H378" s="709" t="n">
        <f aca="false">IF(VIN_nom&gt;Vout, 0, -ATAN(A378/z_RHP))</f>
        <v>-0.440512415045798</v>
      </c>
      <c r="I378" s="707" t="n">
        <f aca="false">SQRT(1+(A378/Pole2)^2)</f>
        <v>131941.344607647</v>
      </c>
      <c r="J378" s="710" t="n">
        <f aca="false">ATAN(A378/Pole2)</f>
        <v>1.57078874766947</v>
      </c>
      <c r="K378" s="719" t="n">
        <f aca="false">SQRT(1+(A378/Zero2)^2)</f>
        <v>40.8354574682255</v>
      </c>
      <c r="L378" s="720" t="n">
        <f aca="false">ATAN(A378/Zero2)</f>
        <v>1.54630535652202</v>
      </c>
      <c r="M378" s="707" t="n">
        <f aca="false">SQRT(1+(A378/pole4)^2)</f>
        <v>1.61512913092322</v>
      </c>
      <c r="N378" s="710" t="n">
        <f aca="false">ATAN(A378/pole4)</f>
        <v>0.903142190476326</v>
      </c>
      <c r="O378" s="711" t="n">
        <f aca="false">SQRT((1-(V378/pterm2))^2+(A378/pterm1)^2)</f>
        <v>1.05263432977537</v>
      </c>
      <c r="P378" s="712" t="n">
        <f aca="false">IF((ATAN((A378/pterm1)/(1-A378^2/pterm2))&gt;0),ATAN((A378/pterm1)/(1-A378^2/pterm2)),PI()+ATAN((A378/pterm1)/(1-A378^2/pterm2)))</f>
        <v>0.434021330103336</v>
      </c>
      <c r="Q378" s="713" t="n">
        <f aca="false">20*LOG10(((E378*K378*G378)/(C378*I378*O378*M378))*Adc)</f>
        <v>-18.8207055630926</v>
      </c>
      <c r="R378" s="714" t="n">
        <f aca="false">((F378+L378+H378)-(D378+J378+P378+N378))*radconv</f>
        <v>-170.414894734694</v>
      </c>
      <c r="S378" s="717" t="n">
        <f aca="false">IF(R378&gt;0,R378,R378+180)</f>
        <v>9.58510526530603</v>
      </c>
      <c r="U378" s="644" t="n">
        <f aca="false">IF(Q378&lt;0,A378,1000000000)</f>
        <v>31807</v>
      </c>
      <c r="V378" s="644" t="n">
        <f aca="false">A378^2</f>
        <v>1011685249</v>
      </c>
      <c r="X378" s="716" t="n">
        <f aca="false">20*LOG10((K378/(I378*M378))*AEA)</f>
        <v>13.7456597189863</v>
      </c>
      <c r="Y378" s="717" t="n">
        <f aca="false">(L378-(J378+N378))*radconv</f>
        <v>-53.1490308561418</v>
      </c>
      <c r="AA378" s="716" t="n">
        <f aca="false">20*LOG10((E378*G378/(C378*O378))*Acs*Am)</f>
        <v>18.9142600724754</v>
      </c>
      <c r="AB378" s="717" t="n">
        <f aca="false">(F378+H378-(D378+P378))*radconv</f>
        <v>-117.265863878552</v>
      </c>
      <c r="AD378" s="0" t="n">
        <f aca="false">SUM((Q379&lt;0)*(Q378&gt;0))*A378</f>
        <v>0</v>
      </c>
      <c r="AE378" s="0" t="n">
        <f aca="false">IF(AD378&gt;0,S378,0)</f>
        <v>0</v>
      </c>
    </row>
    <row r="379" customFormat="false" ht="12.75" hidden="false" customHeight="false" outlineLevel="0" collapsed="false">
      <c r="A379" s="718" t="n">
        <v>31991</v>
      </c>
      <c r="B379" s="706" t="n">
        <f aca="false">A379/1000</f>
        <v>31.991</v>
      </c>
      <c r="C379" s="707" t="n">
        <f aca="false">SQRT(1+(A379/pole1)^2)</f>
        <v>54.6409407521832</v>
      </c>
      <c r="D379" s="708" t="n">
        <f aca="false">ATAN(A379/pole1)</f>
        <v>1.55249400956625</v>
      </c>
      <c r="E379" s="708" t="n">
        <f aca="false">SQRT(1+(A379/Zero1)^2)</f>
        <v>1.07778135660947</v>
      </c>
      <c r="F379" s="709" t="n">
        <f aca="false">ATAN(A379/Zero1)</f>
        <v>0.382238589721537</v>
      </c>
      <c r="G379" s="708" t="n">
        <f aca="false">IF(VIN_nom&gt;Vout, 1, SQRT(1+(A379/z_RHP)^2))</f>
        <v>1.10670807510454</v>
      </c>
      <c r="H379" s="709" t="n">
        <f aca="false">IF(VIN_nom&gt;Vout, 0, -ATAN(A379/z_RHP))</f>
        <v>-0.442741274399256</v>
      </c>
      <c r="I379" s="707" t="n">
        <f aca="false">SQRT(1+(A379/Pole2)^2)</f>
        <v>132704.610788249</v>
      </c>
      <c r="J379" s="710" t="n">
        <f aca="false">ATAN(A379/Pole2)</f>
        <v>1.5707887912617</v>
      </c>
      <c r="K379" s="719" t="n">
        <f aca="false">SQRT(1+(A379/Zero2)^2)</f>
        <v>41.0715448463638</v>
      </c>
      <c r="L379" s="720" t="n">
        <f aca="false">ATAN(A379/Zero2)</f>
        <v>1.54644616338321</v>
      </c>
      <c r="M379" s="707" t="n">
        <f aca="false">SQRT(1+(A379/pole4)^2)</f>
        <v>1.62089715231353</v>
      </c>
      <c r="N379" s="710" t="n">
        <f aca="false">ATAN(A379/pole4)</f>
        <v>0.905944800620864</v>
      </c>
      <c r="O379" s="711" t="n">
        <f aca="false">SQRT((1-(V379/pterm2))^2+(A379/pterm1)^2)</f>
        <v>1.05324088724862</v>
      </c>
      <c r="P379" s="712" t="n">
        <f aca="false">IF((ATAN((A379/pterm1)/(1-A379^2/pterm2))&gt;0),ATAN((A379/pterm1)/(1-A379^2/pterm2)),PI()+ATAN((A379/pterm1)/(1-A379^2/pterm2)))</f>
        <v>0.436435493015759</v>
      </c>
      <c r="Q379" s="713" t="n">
        <f aca="false">20*LOG10(((E379*K379*G379)/(C379*I379*O379*M379))*Adc)</f>
        <v>-18.8906997601112</v>
      </c>
      <c r="R379" s="714" t="n">
        <f aca="false">((F379+L379+H379)-(D379+J379+P379+N379))*radconv</f>
        <v>-170.725358310421</v>
      </c>
      <c r="S379" s="717" t="n">
        <f aca="false">IF(R379&gt;0,R379,R379+180)</f>
        <v>9.27464168957874</v>
      </c>
      <c r="U379" s="644" t="n">
        <f aca="false">IF(Q379&lt;0,A379,1000000000)</f>
        <v>31991</v>
      </c>
      <c r="V379" s="644" t="n">
        <f aca="false">A379^2</f>
        <v>1023424081</v>
      </c>
      <c r="X379" s="716" t="n">
        <f aca="false">20*LOG10((K379/(I379*M379))*AEA)</f>
        <v>13.7146656658178</v>
      </c>
      <c r="Y379" s="717" t="n">
        <f aca="false">(L379-(J379+N379))*radconv</f>
        <v>-53.3015434479973</v>
      </c>
      <c r="AA379" s="716" t="n">
        <f aca="false">20*LOG10((E379*G379/(C379*O379))*Acs*Am)</f>
        <v>18.8752599286254</v>
      </c>
      <c r="AB379" s="717" t="n">
        <f aca="false">(F379+H379-(D379+P379))*radconv</f>
        <v>-117.423814862424</v>
      </c>
      <c r="AD379" s="0" t="n">
        <f aca="false">SUM((Q380&lt;0)*(Q379&gt;0))*A379</f>
        <v>0</v>
      </c>
      <c r="AE379" s="0" t="n">
        <f aca="false">IF(AD379&gt;0,S379,0)</f>
        <v>0</v>
      </c>
    </row>
    <row r="380" customFormat="false" ht="12.75" hidden="false" customHeight="false" outlineLevel="0" collapsed="false">
      <c r="A380" s="718" t="n">
        <v>32175</v>
      </c>
      <c r="B380" s="706" t="n">
        <f aca="false">A380/1000</f>
        <v>32.175</v>
      </c>
      <c r="C380" s="707" t="n">
        <f aca="false">SQRT(1+(A380/pole1)^2)</f>
        <v>54.9551095898426</v>
      </c>
      <c r="D380" s="708" t="n">
        <f aca="false">ATAN(A380/pole1)</f>
        <v>1.55259865232649</v>
      </c>
      <c r="E380" s="708" t="n">
        <f aca="false">SQRT(1+(A380/Zero1)^2)</f>
        <v>1.07864594160859</v>
      </c>
      <c r="F380" s="709" t="n">
        <f aca="false">ATAN(A380/Zero1)</f>
        <v>0.384227514654907</v>
      </c>
      <c r="G380" s="708" t="n">
        <f aca="false">IF(VIN_nom&gt;Vout, 1, SQRT(1+(A380/z_RHP)^2))</f>
        <v>1.10787912666806</v>
      </c>
      <c r="H380" s="709" t="n">
        <f aca="false">IF(VIN_nom&gt;Vout, 0, -ATAN(A380/z_RHP))</f>
        <v>-0.444965432879972</v>
      </c>
      <c r="I380" s="707" t="n">
        <f aca="false">SQRT(1+(A380/Pole2)^2)</f>
        <v>133467.876968851</v>
      </c>
      <c r="J380" s="710" t="n">
        <f aca="false">ATAN(A380/Pole2)</f>
        <v>1.57078883435535</v>
      </c>
      <c r="K380" s="719" t="n">
        <f aca="false">SQRT(1+(A380/Zero2)^2)</f>
        <v>41.307633029502</v>
      </c>
      <c r="L380" s="720" t="n">
        <f aca="false">ATAN(A380/Zero2)</f>
        <v>1.54658536072203</v>
      </c>
      <c r="M380" s="707" t="n">
        <f aca="false">SQRT(1+(A380/pole4)^2)</f>
        <v>1.62667781489354</v>
      </c>
      <c r="N380" s="710" t="n">
        <f aca="false">ATAN(A380/pole4)</f>
        <v>0.908727513436998</v>
      </c>
      <c r="O380" s="711" t="n">
        <f aca="false">SQRT((1-(V380/pterm2))^2+(A380/pterm1)^2)</f>
        <v>1.05385085185975</v>
      </c>
      <c r="P380" s="712" t="n">
        <f aca="false">IF((ATAN((A380/pterm1)/(1-A380^2/pterm2))&gt;0),ATAN((A380/pterm1)/(1-A380^2/pterm2)),PI()+ATAN((A380/pterm1)/(1-A380^2/pterm2)))</f>
        <v>0.438848076229983</v>
      </c>
      <c r="Q380" s="713" t="n">
        <f aca="false">20*LOG10(((E380*K380*G380)/(C380*I380*O380*M380))*Adc)</f>
        <v>-18.9603268683117</v>
      </c>
      <c r="R380" s="714" t="n">
        <f aca="false">((F380+L380+H380)-(D380+J380+P380+N380))*radconv</f>
        <v>-171.034527373666</v>
      </c>
      <c r="S380" s="717" t="n">
        <f aca="false">IF(R380&gt;0,R380,R380+180)</f>
        <v>8.96547262633391</v>
      </c>
      <c r="U380" s="644" t="n">
        <f aca="false">IF(Q380&lt;0,A380,1000000000)</f>
        <v>32175</v>
      </c>
      <c r="V380" s="644" t="n">
        <f aca="false">A380^2</f>
        <v>1035230625</v>
      </c>
      <c r="X380" s="716" t="n">
        <f aca="false">20*LOG10((K380/(I380*M380))*AEA)</f>
        <v>13.6837146153905</v>
      </c>
      <c r="Y380" s="717" t="n">
        <f aca="false">(L380-(J380+N380))*radconv</f>
        <v>-53.4530081971821</v>
      </c>
      <c r="AA380" s="716" t="n">
        <f aca="false">20*LOG10((E380*G380/(C380*O380))*Acs*Am)</f>
        <v>18.8365838708521</v>
      </c>
      <c r="AB380" s="717" t="n">
        <f aca="false">(F380+H380-(D380+P380))*radconv</f>
        <v>-117.581519176484</v>
      </c>
      <c r="AD380" s="0" t="n">
        <f aca="false">SUM((Q381&lt;0)*(Q380&gt;0))*A380</f>
        <v>0</v>
      </c>
      <c r="AE380" s="0" t="n">
        <f aca="false">IF(AD380&gt;0,S380,0)</f>
        <v>0</v>
      </c>
    </row>
    <row r="381" customFormat="false" ht="12.75" hidden="false" customHeight="false" outlineLevel="0" collapsed="false">
      <c r="A381" s="718" t="n">
        <v>32359</v>
      </c>
      <c r="B381" s="706" t="n">
        <f aca="false">A381/1000</f>
        <v>32.359</v>
      </c>
      <c r="C381" s="707" t="n">
        <f aca="false">SQRT(1+(A381/pole1)^2)</f>
        <v>55.2692790224251</v>
      </c>
      <c r="D381" s="708" t="n">
        <f aca="false">ATAN(A381/pole1)</f>
        <v>1.55270210543756</v>
      </c>
      <c r="E381" s="708" t="n">
        <f aca="false">SQRT(1+(A381/Zero1)^2)</f>
        <v>1.07951478669485</v>
      </c>
      <c r="F381" s="709" t="n">
        <f aca="false">ATAN(A381/Zero1)</f>
        <v>0.386213245869307</v>
      </c>
      <c r="G381" s="708" t="n">
        <f aca="false">IF(VIN_nom&gt;Vout, 1, SQRT(1+(A381/z_RHP)^2))</f>
        <v>1.10905564718812</v>
      </c>
      <c r="H381" s="709" t="n">
        <f aca="false">IF(VIN_nom&gt;Vout, 0, -ATAN(A381/z_RHP))</f>
        <v>-0.447184883408517</v>
      </c>
      <c r="I381" s="707" t="n">
        <f aca="false">SQRT(1+(A381/Pole2)^2)</f>
        <v>134231.143149454</v>
      </c>
      <c r="J381" s="710" t="n">
        <f aca="false">ATAN(A381/Pole2)</f>
        <v>1.57078887695892</v>
      </c>
      <c r="K381" s="719" t="n">
        <f aca="false">SQRT(1+(A381/Zero2)^2)</f>
        <v>41.5437220039158</v>
      </c>
      <c r="L381" s="720" t="n">
        <f aca="false">ATAN(A381/Zero2)</f>
        <v>1.54672297597332</v>
      </c>
      <c r="M381" s="707" t="n">
        <f aca="false">SQRT(1+(A381/pole4)^2)</f>
        <v>1.63247098437397</v>
      </c>
      <c r="N381" s="710" t="n">
        <f aca="false">ATAN(A381/pole4)</f>
        <v>0.911490497428935</v>
      </c>
      <c r="O381" s="711" t="n">
        <f aca="false">SQRT((1-(V381/pterm2))^2+(A381/pterm1)^2)</f>
        <v>1.05446422218884</v>
      </c>
      <c r="P381" s="712" t="n">
        <f aca="false">IF((ATAN((A381/pterm1)/(1-A381^2/pterm2))&gt;0),ATAN((A381/pterm1)/(1-A381^2/pterm2)),PI()+ATAN((A381/pterm1)/(1-A381^2/pterm2)))</f>
        <v>0.441259073136296</v>
      </c>
      <c r="Q381" s="713" t="n">
        <f aca="false">20*LOG10(((E381*K381*G381)/(C381*I381*O381*M381))*Adc)</f>
        <v>-19.0295898682903</v>
      </c>
      <c r="R381" s="714" t="n">
        <f aca="false">((F381+L381+H381)-(D381+J381+P381+N381))*radconv</f>
        <v>-171.342410867611</v>
      </c>
      <c r="S381" s="717" t="n">
        <f aca="false">IF(R381&gt;0,R381,R381+180)</f>
        <v>8.65758913238909</v>
      </c>
      <c r="U381" s="644" t="n">
        <f aca="false">IF(Q381&lt;0,A381,1000000000)</f>
        <v>32359</v>
      </c>
      <c r="V381" s="644" t="n">
        <f aca="false">A381^2</f>
        <v>1047104881</v>
      </c>
      <c r="X381" s="716" t="n">
        <f aca="false">20*LOG10((K381/(I381*M381))*AEA)</f>
        <v>13.6528072090413</v>
      </c>
      <c r="Y381" s="717" t="n">
        <f aca="false">(L381-(J381+N381))*radconv</f>
        <v>-53.6034331868629</v>
      </c>
      <c r="AA381" s="716" t="n">
        <f aca="false">20*LOG10((E381*G381/(C381*O381))*Acs*Am)</f>
        <v>18.7982282772228</v>
      </c>
      <c r="AB381" s="717" t="n">
        <f aca="false">(F381+H381-(D381+P381))*radconv</f>
        <v>-117.738977680748</v>
      </c>
      <c r="AD381" s="0" t="n">
        <f aca="false">SUM((Q382&lt;0)*(Q381&gt;0))*A381</f>
        <v>0</v>
      </c>
      <c r="AE381" s="0" t="n">
        <f aca="false">IF(AD381&gt;0,S381,0)</f>
        <v>0</v>
      </c>
    </row>
    <row r="382" customFormat="false" ht="12.75" hidden="false" customHeight="false" outlineLevel="0" collapsed="false">
      <c r="A382" s="718" t="n">
        <v>32547.5</v>
      </c>
      <c r="B382" s="706" t="n">
        <f aca="false">A382/1000</f>
        <v>32.5475</v>
      </c>
      <c r="C382" s="707" t="n">
        <f aca="false">SQRT(1+(A382/pole1)^2)</f>
        <v>55.5911325529462</v>
      </c>
      <c r="D382" s="708" t="n">
        <f aca="false">ATAN(A382/pole1)</f>
        <v>1.55280687608876</v>
      </c>
      <c r="E382" s="708" t="n">
        <f aca="false">SQRT(1+(A382/Zero1)^2)</f>
        <v>1.08040928760643</v>
      </c>
      <c r="F382" s="709" t="n">
        <f aca="false">ATAN(A382/Zero1)</f>
        <v>0.38824422103166</v>
      </c>
      <c r="G382" s="708" t="n">
        <f aca="false">IF(VIN_nom&gt;Vout, 1, SQRT(1+(A382/z_RHP)^2))</f>
        <v>1.11026659435099</v>
      </c>
      <c r="H382" s="709" t="n">
        <f aca="false">IF(VIN_nom&gt;Vout, 0, -ATAN(A382/z_RHP))</f>
        <v>-0.449453724732354</v>
      </c>
      <c r="I382" s="707" t="n">
        <f aca="false">SQRT(1+(A382/Pole2)^2)</f>
        <v>135013.076165996</v>
      </c>
      <c r="J382" s="710" t="n">
        <f aca="false">ATAN(A382/Pole2)</f>
        <v>1.5707889201049</v>
      </c>
      <c r="K382" s="719" t="n">
        <f aca="false">SQRT(1+(A382/Zero2)^2)</f>
        <v>41.7855856999833</v>
      </c>
      <c r="L382" s="720" t="n">
        <f aca="false">ATAN(A382/Zero2)</f>
        <v>1.54686234424531</v>
      </c>
      <c r="M382" s="707" t="n">
        <f aca="false">SQRT(1+(A382/pole4)^2)</f>
        <v>1.63841866538671</v>
      </c>
      <c r="N382" s="710" t="n">
        <f aca="false">ATAN(A382/pole4)</f>
        <v>0.914300770850753</v>
      </c>
      <c r="O382" s="711" t="n">
        <f aca="false">SQRT((1-(V382/pterm2))^2+(A382/pterm1)^2)</f>
        <v>1.05509612360864</v>
      </c>
      <c r="P382" s="712" t="n">
        <f aca="false">IF((ATAN((A382/pterm1)/(1-A382^2/pterm2))&gt;0),ATAN((A382/pterm1)/(1-A382^2/pterm2)),PI()+ATAN((A382/pterm1)/(1-A382^2/pterm2)))</f>
        <v>0.443727382793314</v>
      </c>
      <c r="Q382" s="713" t="n">
        <f aca="false">20*LOG10(((E382*K382*G382)/(C382*I382*O382*M382))*Adc)</f>
        <v>-19.100172302665</v>
      </c>
      <c r="R382" s="714" t="n">
        <f aca="false">((F382+L382+H382)-(D382+J382+P382+N382))*radconv</f>
        <v>-171.656500301769</v>
      </c>
      <c r="S382" s="717" t="n">
        <f aca="false">IF(R382&gt;0,R382,R382+180)</f>
        <v>8.34349969823063</v>
      </c>
      <c r="U382" s="644" t="n">
        <f aca="false">IF(Q382&lt;0,A382,1000000000)</f>
        <v>32547.5</v>
      </c>
      <c r="V382" s="644" t="n">
        <f aca="false">A382^2</f>
        <v>1059339756.25</v>
      </c>
      <c r="X382" s="716" t="n">
        <f aca="false">20*LOG10((K382/(I382*M382))*AEA)</f>
        <v>13.6211898240786</v>
      </c>
      <c r="Y382" s="717" t="n">
        <f aca="false">(L382-(J382+N382))*radconv</f>
        <v>-53.7564672516861</v>
      </c>
      <c r="AA382" s="716" t="n">
        <f aca="false">20*LOG10((E382*G382/(C382*O382))*Acs*Am)</f>
        <v>18.7592632278108</v>
      </c>
      <c r="AB382" s="717" t="n">
        <f aca="false">(F382+H382-(D382+P382))*radconv</f>
        <v>-117.900033050083</v>
      </c>
      <c r="AD382" s="0" t="n">
        <f aca="false">SUM((Q383&lt;0)*(Q382&gt;0))*A382</f>
        <v>0</v>
      </c>
      <c r="AE382" s="0" t="n">
        <f aca="false">IF(AD382&gt;0,S382,0)</f>
        <v>0</v>
      </c>
    </row>
    <row r="383" customFormat="false" ht="12.75" hidden="false" customHeight="false" outlineLevel="0" collapsed="false">
      <c r="A383" s="718" t="n">
        <v>32736</v>
      </c>
      <c r="B383" s="706" t="n">
        <f aca="false">A383/1000</f>
        <v>32.736</v>
      </c>
      <c r="C383" s="707" t="n">
        <f aca="false">SQRT(1+(A383/pole1)^2)</f>
        <v>55.9129866866597</v>
      </c>
      <c r="D383" s="708" t="n">
        <f aca="false">ATAN(A383/pole1)</f>
        <v>1.55291044055022</v>
      </c>
      <c r="E383" s="708" t="n">
        <f aca="false">SQRT(1+(A383/Zero1)^2)</f>
        <v>1.08130823767123</v>
      </c>
      <c r="F383" s="709" t="n">
        <f aca="false">ATAN(A383/Zero1)</f>
        <v>0.390271827626886</v>
      </c>
      <c r="G383" s="708" t="n">
        <f aca="false">IF(VIN_nom&gt;Vout, 1, SQRT(1+(A383/z_RHP)^2))</f>
        <v>1.11148324429713</v>
      </c>
      <c r="H383" s="709" t="n">
        <f aca="false">IF(VIN_nom&gt;Vout, 0, -ATAN(A383/z_RHP))</f>
        <v>-0.451717610657999</v>
      </c>
      <c r="I383" s="707" t="n">
        <f aca="false">SQRT(1+(A383/Pole2)^2)</f>
        <v>135795.009182538</v>
      </c>
      <c r="J383" s="710" t="n">
        <f aca="false">ATAN(A383/Pole2)</f>
        <v>1.57078896275401</v>
      </c>
      <c r="K383" s="719" t="n">
        <f aca="false">SQRT(1+(A383/Zero2)^2)</f>
        <v>42.0274501983321</v>
      </c>
      <c r="L383" s="720" t="n">
        <f aca="false">ATAN(A383/Zero2)</f>
        <v>1.5470001084142</v>
      </c>
      <c r="M383" s="707" t="n">
        <f aca="false">SQRT(1+(A383/pole4)^2)</f>
        <v>1.64437919237077</v>
      </c>
      <c r="N383" s="710" t="n">
        <f aca="false">ATAN(A383/pole4)</f>
        <v>0.917090692879331</v>
      </c>
      <c r="O383" s="711" t="n">
        <f aca="false">SQRT((1-(V383/pterm2))^2+(A383/pterm1)^2)</f>
        <v>1.05573159633799</v>
      </c>
      <c r="P383" s="712" t="n">
        <f aca="false">IF((ATAN((A383/pterm1)/(1-A383^2/pterm2))&gt;0),ATAN((A383/pterm1)/(1-A383^2/pterm2)),PI()+ATAN((A383/pterm1)/(1-A383^2/pterm2)))</f>
        <v>0.446194013675678</v>
      </c>
      <c r="Q383" s="713" t="n">
        <f aca="false">20*LOG10(((E383*K383*G383)/(C383*I383*O383*M383))*Adc)</f>
        <v>-19.1703788148033</v>
      </c>
      <c r="R383" s="714" t="n">
        <f aca="false">((F383+L383+H383)-(D383+J383+P383+N383))*radconv</f>
        <v>-171.969259351847</v>
      </c>
      <c r="S383" s="717" t="n">
        <f aca="false">IF(R383&gt;0,R383,R383+180)</f>
        <v>8.03074064815274</v>
      </c>
      <c r="U383" s="644" t="n">
        <f aca="false">IF(Q383&lt;0,A383,1000000000)</f>
        <v>32736</v>
      </c>
      <c r="V383" s="644" t="n">
        <f aca="false">A383^2</f>
        <v>1071645696</v>
      </c>
      <c r="X383" s="716" t="n">
        <f aca="false">20*LOG10((K383/(I383*M383))*AEA)</f>
        <v>13.5896195470349</v>
      </c>
      <c r="Y383" s="717" t="n">
        <f aca="false">(L383-(J383+N383))*radconv</f>
        <v>-53.908427147436</v>
      </c>
      <c r="AA383" s="716" t="n">
        <f aca="false">20*LOG10((E383*G383/(C383*O383))*Acs*Am)</f>
        <v>18.7206269927161</v>
      </c>
      <c r="AB383" s="717" t="n">
        <f aca="false">(F383+H383-(D383+P383))*radconv</f>
        <v>-118.060832204411</v>
      </c>
      <c r="AD383" s="0" t="n">
        <f aca="false">SUM((Q384&lt;0)*(Q383&gt;0))*A383</f>
        <v>0</v>
      </c>
      <c r="AE383" s="0" t="n">
        <f aca="false">IF(AD383&gt;0,S383,0)</f>
        <v>0</v>
      </c>
    </row>
    <row r="384" customFormat="false" ht="12.75" hidden="false" customHeight="false" outlineLevel="0" collapsed="false">
      <c r="A384" s="718" t="n">
        <v>32924.5</v>
      </c>
      <c r="B384" s="706" t="n">
        <f aca="false">A384/1000</f>
        <v>32.9245</v>
      </c>
      <c r="C384" s="707" t="n">
        <f aca="false">SQRT(1+(A384/pole1)^2)</f>
        <v>56.2348414132087</v>
      </c>
      <c r="D384" s="708" t="n">
        <f aca="false">ATAN(A384/pole1)</f>
        <v>1.55301281953022</v>
      </c>
      <c r="E384" s="708" t="n">
        <f aca="false">SQRT(1+(A384/Zero1)^2)</f>
        <v>1.08221162580203</v>
      </c>
      <c r="F384" s="709" t="n">
        <f aca="false">ATAN(A384/Zero1)</f>
        <v>0.392296057398467</v>
      </c>
      <c r="G384" s="708" t="n">
        <f aca="false">IF(VIN_nom&gt;Vout, 1, SQRT(1+(A384/z_RHP)^2))</f>
        <v>1.11270557831997</v>
      </c>
      <c r="H384" s="709" t="n">
        <f aca="false">IF(VIN_nom&gt;Vout, 0, -ATAN(A384/z_RHP))</f>
        <v>-0.453976534272868</v>
      </c>
      <c r="I384" s="707" t="n">
        <f aca="false">SQRT(1+(A384/Pole2)^2)</f>
        <v>136576.94219908</v>
      </c>
      <c r="J384" s="710" t="n">
        <f aca="false">ATAN(A384/Pole2)</f>
        <v>1.57078900491476</v>
      </c>
      <c r="K384" s="719" t="n">
        <f aca="false">SQRT(1+(A384/Zero2)^2)</f>
        <v>42.2693154851903</v>
      </c>
      <c r="L384" s="720" t="n">
        <f aca="false">ATAN(A384/Zero2)</f>
        <v>1.54713629601078</v>
      </c>
      <c r="M384" s="707" t="n">
        <f aca="false">SQRT(1+(A384/pole4)^2)</f>
        <v>1.65035242613994</v>
      </c>
      <c r="N384" s="710" t="n">
        <f aca="false">ATAN(A384/pole4)</f>
        <v>0.919860440824524</v>
      </c>
      <c r="O384" s="711" t="n">
        <f aca="false">SQRT((1-(V384/pterm2))^2+(A384/pterm1)^2)</f>
        <v>1.05637063883755</v>
      </c>
      <c r="P384" s="712" t="n">
        <f aca="false">IF((ATAN((A384/pterm1)/(1-A384^2/pterm2))&gt;0),ATAN((A384/pterm1)/(1-A384^2/pterm2)),PI()+ATAN((A384/pterm1)/(1-A384^2/pterm2)))</f>
        <v>0.448658958795399</v>
      </c>
      <c r="Q384" s="713" t="n">
        <f aca="false">20*LOG10(((E384*K384*G384)/(C384*I384*O384*M384))*Adc)</f>
        <v>-19.2402124900418</v>
      </c>
      <c r="R384" s="714" t="n">
        <f aca="false">((F384+L384+H384)-(D384+J384+P384+N384))*radconv</f>
        <v>-172.280697463159</v>
      </c>
      <c r="S384" s="717" t="n">
        <f aca="false">IF(R384&gt;0,R384,R384+180)</f>
        <v>7.7193025368409</v>
      </c>
      <c r="U384" s="644" t="n">
        <f aca="false">IF(Q384&lt;0,A384,1000000000)</f>
        <v>32924.5</v>
      </c>
      <c r="V384" s="644" t="n">
        <f aca="false">A384^2</f>
        <v>1084022700.25</v>
      </c>
      <c r="X384" s="716" t="n">
        <f aca="false">20*LOG10((K384/(I384*M384))*AEA)</f>
        <v>13.5580970077193</v>
      </c>
      <c r="Y384" s="717" t="n">
        <f aca="false">(L384-(J384+N384))*radconv</f>
        <v>-54.0593214563101</v>
      </c>
      <c r="AA384" s="716" t="n">
        <f aca="false">20*LOG10((E384*G384/(C384*O384))*Acs*Am)</f>
        <v>18.6823158567933</v>
      </c>
      <c r="AB384" s="717" t="n">
        <f aca="false">(F384+H384-(D384+P384))*radconv</f>
        <v>-118.221376006849</v>
      </c>
      <c r="AD384" s="0" t="n">
        <f aca="false">SUM((Q385&lt;0)*(Q384&gt;0))*A384</f>
        <v>0</v>
      </c>
      <c r="AE384" s="0" t="n">
        <f aca="false">IF(AD384&gt;0,S384,0)</f>
        <v>0</v>
      </c>
    </row>
    <row r="385" customFormat="false" ht="12.75" hidden="false" customHeight="false" outlineLevel="0" collapsed="false">
      <c r="A385" s="718" t="n">
        <v>33113</v>
      </c>
      <c r="B385" s="706" t="n">
        <f aca="false">A385/1000</f>
        <v>33.113</v>
      </c>
      <c r="C385" s="707" t="n">
        <f aca="false">SQRT(1+(A385/pole1)^2)</f>
        <v>56.5566967224722</v>
      </c>
      <c r="D385" s="708" t="n">
        <f aca="false">ATAN(A385/pole1)</f>
        <v>1.55311403326576</v>
      </c>
      <c r="E385" s="708" t="n">
        <f aca="false">SQRT(1+(A385/Zero1)^2)</f>
        <v>1.08311944089399</v>
      </c>
      <c r="F385" s="709" t="n">
        <f aca="false">ATAN(A385/Zero1)</f>
        <v>0.394316902228052</v>
      </c>
      <c r="G385" s="708" t="n">
        <f aca="false">IF(VIN_nom&gt;Vout, 1, SQRT(1+(A385/z_RHP)^2))</f>
        <v>1.11393357770789</v>
      </c>
      <c r="H385" s="709" t="n">
        <f aca="false">IF(VIN_nom&gt;Vout, 0, -ATAN(A385/z_RHP))</f>
        <v>-0.456230488897216</v>
      </c>
      <c r="I385" s="707" t="n">
        <f aca="false">SQRT(1+(A385/Pole2)^2)</f>
        <v>137358.875215622</v>
      </c>
      <c r="J385" s="710" t="n">
        <f aca="false">ATAN(A385/Pole2)</f>
        <v>1.5707890465955</v>
      </c>
      <c r="K385" s="719" t="n">
        <f aca="false">SQRT(1+(A385/Zero2)^2)</f>
        <v>42.5111815470994</v>
      </c>
      <c r="L385" s="720" t="n">
        <f aca="false">ATAN(A385/Zero2)</f>
        <v>1.54727093393954</v>
      </c>
      <c r="M385" s="707" t="n">
        <f aca="false">SQRT(1+(A385/pole4)^2)</f>
        <v>1.65633822922124</v>
      </c>
      <c r="N385" s="710" t="n">
        <f aca="false">ATAN(A385/pole4)</f>
        <v>0.922610190679384</v>
      </c>
      <c r="O385" s="711" t="n">
        <f aca="false">SQRT((1-(V385/pterm2))^2+(A385/pterm1)^2)</f>
        <v>1.05701324956387</v>
      </c>
      <c r="P385" s="712" t="n">
        <f aca="false">IF((ATAN((A385/pterm1)/(1-A385^2/pterm2))&gt;0),ATAN((A385/pterm1)/(1-A385^2/pterm2)),PI()+ATAN((A385/pterm1)/(1-A385^2/pterm2)))</f>
        <v>0.451122211204613</v>
      </c>
      <c r="Q385" s="713" t="n">
        <f aca="false">20*LOG10(((E385*K385*G385)/(C385*I385*O385*M385))*Adc)</f>
        <v>-19.3096763752902</v>
      </c>
      <c r="R385" s="714" t="n">
        <f aca="false">((F385+L385+H385)-(D385+J385+P385+N385))*radconv</f>
        <v>-172.590824022166</v>
      </c>
      <c r="S385" s="717" t="n">
        <f aca="false">IF(R385&gt;0,R385,R385+180)</f>
        <v>7.409175977834</v>
      </c>
      <c r="U385" s="644" t="n">
        <f aca="false">IF(Q385&lt;0,A385,1000000000)</f>
        <v>33113</v>
      </c>
      <c r="V385" s="644" t="n">
        <f aca="false">A385^2</f>
        <v>1096470769</v>
      </c>
      <c r="X385" s="716" t="n">
        <f aca="false">20*LOG10((K385/(I385*M385))*AEA)</f>
        <v>13.5266228165953</v>
      </c>
      <c r="Y385" s="717" t="n">
        <f aca="false">(L385-(J385+N385))*radconv</f>
        <v>-54.2091587209319</v>
      </c>
      <c r="AA385" s="716" t="n">
        <f aca="false">20*LOG10((E385*G385/(C385*O385))*Acs*Am)</f>
        <v>18.6443261626689</v>
      </c>
      <c r="AB385" s="717" t="n">
        <f aca="false">(F385+H385-(D385+P385))*radconv</f>
        <v>-118.381665301234</v>
      </c>
      <c r="AD385" s="0" t="n">
        <f aca="false">SUM((Q386&lt;0)*(Q385&gt;0))*A385</f>
        <v>0</v>
      </c>
      <c r="AE385" s="0" t="n">
        <f aca="false">IF(AD385&gt;0,S385,0)</f>
        <v>0</v>
      </c>
    </row>
    <row r="386" customFormat="false" ht="12.75" hidden="false" customHeight="false" outlineLevel="0" collapsed="false">
      <c r="A386" s="718" t="n">
        <v>33305.75</v>
      </c>
      <c r="B386" s="706" t="n">
        <f aca="false">A386/1000</f>
        <v>33.30575</v>
      </c>
      <c r="C386" s="707" t="n">
        <f aca="false">SQRT(1+(A386/pole1)^2)</f>
        <v>56.8858093086921</v>
      </c>
      <c r="D386" s="708" t="n">
        <f aca="false">ATAN(A386/pole1)</f>
        <v>1.55321634466393</v>
      </c>
      <c r="E386" s="708" t="n">
        <f aca="false">SQRT(1+(A386/Zero1)^2)</f>
        <v>1.08405229018252</v>
      </c>
      <c r="F386" s="709" t="n">
        <f aca="false">ATAN(A386/Zero1)</f>
        <v>0.396379801278489</v>
      </c>
      <c r="G386" s="708" t="n">
        <f aca="false">IF(VIN_nom&gt;Vout, 1, SQRT(1+(A386/z_RHP)^2))</f>
        <v>1.1151951029913</v>
      </c>
      <c r="H386" s="709" t="n">
        <f aca="false">IF(VIN_nom&gt;Vout, 0, -ATAN(A386/z_RHP))</f>
        <v>-0.458530117107318</v>
      </c>
      <c r="I386" s="707" t="n">
        <f aca="false">SQRT(1+(A386/Pole2)^2)</f>
        <v>138158.438021663</v>
      </c>
      <c r="J386" s="710" t="n">
        <f aca="false">ATAN(A386/Pole2)</f>
        <v>1.57078908872812</v>
      </c>
      <c r="K386" s="719" t="n">
        <f aca="false">SQRT(1+(A386/Zero2)^2)</f>
        <v>42.7585016103629</v>
      </c>
      <c r="L386" s="720" t="n">
        <f aca="false">ATAN(A386/Zero2)</f>
        <v>1.54740703239332</v>
      </c>
      <c r="M386" s="707" t="n">
        <f aca="false">SQRT(1+(A386/pole4)^2)</f>
        <v>1.66247184687173</v>
      </c>
      <c r="N386" s="710" t="n">
        <f aca="false">ATAN(A386/pole4)</f>
        <v>0.92540144001756</v>
      </c>
      <c r="O386" s="711" t="n">
        <f aca="false">SQRT((1-(V386/pterm2))^2+(A386/pterm1)^2)</f>
        <v>1.05767403705841</v>
      </c>
      <c r="P386" s="712" t="n">
        <f aca="false">IF((ATAN((A386/pterm1)/(1-A386^2/pterm2))&gt;0),ATAN((A386/pterm1)/(1-A386^2/pterm2)),PI()+ATAN((A386/pterm1)/(1-A386^2/pterm2)))</f>
        <v>0.453639243550898</v>
      </c>
      <c r="Q386" s="713" t="n">
        <f aca="false">20*LOG10(((E386*K386*G386)/(C386*I386*O386*M386))*Adc)</f>
        <v>-19.3803271673353</v>
      </c>
      <c r="R386" s="714" t="n">
        <f aca="false">((F386+L386+H386)-(D386+J386+P386+N386))*radconv</f>
        <v>-172.906596299581</v>
      </c>
      <c r="S386" s="717" t="n">
        <f aca="false">IF(R386&gt;0,R386,R386+180)</f>
        <v>7.09340370041861</v>
      </c>
      <c r="U386" s="644" t="n">
        <f aca="false">IF(Q386&lt;0,A386,1000000000)</f>
        <v>33305.75</v>
      </c>
      <c r="V386" s="644" t="n">
        <f aca="false">A386^2</f>
        <v>1109272983.0625</v>
      </c>
      <c r="X386" s="716" t="n">
        <f aca="false">20*LOG10((K386/(I386*M386))*AEA)</f>
        <v>13.4944896069254</v>
      </c>
      <c r="Y386" s="717" t="n">
        <f aca="false">(L386-(J386+N386))*radconv</f>
        <v>-54.3612900747729</v>
      </c>
      <c r="AA386" s="716" t="n">
        <f aca="false">20*LOG10((E386*G386/(C386*O386))*Acs*Am)</f>
        <v>18.6058085802937</v>
      </c>
      <c r="AB386" s="717" t="n">
        <f aca="false">(F386+H386-(D386+P386))*radconv</f>
        <v>-118.545306224809</v>
      </c>
      <c r="AD386" s="0" t="n">
        <f aca="false">SUM((Q387&lt;0)*(Q386&gt;0))*A386</f>
        <v>0</v>
      </c>
      <c r="AE386" s="0" t="n">
        <f aca="false">IF(AD386&gt;0,S386,0)</f>
        <v>0</v>
      </c>
    </row>
    <row r="387" customFormat="false" ht="12.75" hidden="false" customHeight="false" outlineLevel="0" collapsed="false">
      <c r="A387" s="718" t="n">
        <v>33498.5</v>
      </c>
      <c r="B387" s="706" t="n">
        <f aca="false">A387/1000</f>
        <v>33.4985</v>
      </c>
      <c r="C387" s="707" t="n">
        <f aca="false">SQRT(1+(A387/pole1)^2)</f>
        <v>57.2149224835208</v>
      </c>
      <c r="D387" s="708" t="n">
        <f aca="false">ATAN(A387/pole1)</f>
        <v>1.55331747902653</v>
      </c>
      <c r="E387" s="708" t="n">
        <f aca="false">SQRT(1+(A387/Zero1)^2)</f>
        <v>1.08498974476832</v>
      </c>
      <c r="F387" s="709" t="n">
        <f aca="false">ATAN(A387/Zero1)</f>
        <v>0.398439144301264</v>
      </c>
      <c r="G387" s="708" t="n">
        <f aca="false">IF(VIN_nom&gt;Vout, 1, SQRT(1+(A387/z_RHP)^2))</f>
        <v>1.11646251240408</v>
      </c>
      <c r="H387" s="709" t="n">
        <f aca="false">IF(VIN_nom&gt;Vout, 0, -ATAN(A387/z_RHP))</f>
        <v>-0.460824536347374</v>
      </c>
      <c r="I387" s="707" t="n">
        <f aca="false">SQRT(1+(A387/Pole2)^2)</f>
        <v>138958.000827703</v>
      </c>
      <c r="J387" s="710" t="n">
        <f aca="false">ATAN(A387/Pole2)</f>
        <v>1.57078913037588</v>
      </c>
      <c r="K387" s="719" t="n">
        <f aca="false">SQRT(1+(A387/Zero2)^2)</f>
        <v>43.0058224565237</v>
      </c>
      <c r="L387" s="720" t="n">
        <f aca="false">ATAN(A387/Zero2)</f>
        <v>1.54754156548085</v>
      </c>
      <c r="M387" s="707" t="n">
        <f aca="false">SQRT(1+(A387/pole4)^2)</f>
        <v>1.66861832168003</v>
      </c>
      <c r="N387" s="710" t="n">
        <f aca="false">ATAN(A387/pole4)</f>
        <v>0.928172147277573</v>
      </c>
      <c r="O387" s="711" t="n">
        <f aca="false">SQRT((1-(V387/pterm2))^2+(A387/pterm1)^2)</f>
        <v>1.05833855221799</v>
      </c>
      <c r="P387" s="712" t="n">
        <f aca="false">IF((ATAN((A387/pterm1)/(1-A387^2/pterm2))&gt;0),ATAN((A387/pterm1)/(1-A387^2/pterm2)),PI()+ATAN((A387/pterm1)/(1-A387^2/pterm2)))</f>
        <v>0.456154491432507</v>
      </c>
      <c r="Q387" s="713" t="n">
        <f aca="false">20*LOG10(((E387*K387*G387)/(C387*I387*O387*M387))*Adc)</f>
        <v>-19.4505976308207</v>
      </c>
      <c r="R387" s="714" t="n">
        <f aca="false">((F387+L387+H387)-(D387+J387+P387+N387))*radconv</f>
        <v>-173.221016875627</v>
      </c>
      <c r="S387" s="717" t="n">
        <f aca="false">IF(R387&gt;0,R387,R387+180)</f>
        <v>6.7789831243731</v>
      </c>
      <c r="U387" s="644" t="n">
        <f aca="false">IF(Q387&lt;0,A387,1000000000)</f>
        <v>33498.5</v>
      </c>
      <c r="V387" s="644" t="n">
        <f aca="false">A387^2</f>
        <v>1122149502.25</v>
      </c>
      <c r="X387" s="716" t="n">
        <f aca="false">20*LOG10((K387/(I387*M387))*AEA)</f>
        <v>13.4624081809767</v>
      </c>
      <c r="Y387" s="717" t="n">
        <f aca="false">(L387-(J387+N387))*radconv</f>
        <v>-54.5123341153311</v>
      </c>
      <c r="AA387" s="716" t="n">
        <f aca="false">20*LOG10((E387*G387/(C387*O387))*Acs*Am)</f>
        <v>18.567619542757</v>
      </c>
      <c r="AB387" s="717" t="n">
        <f aca="false">(F387+H387-(D387+P387))*radconv</f>
        <v>-118.708682760296</v>
      </c>
      <c r="AD387" s="0" t="n">
        <f aca="false">SUM((Q388&lt;0)*(Q387&gt;0))*A387</f>
        <v>0</v>
      </c>
      <c r="AE387" s="0" t="n">
        <f aca="false">IF(AD387&gt;0,S387,0)</f>
        <v>0</v>
      </c>
    </row>
    <row r="388" customFormat="false" ht="12.75" hidden="false" customHeight="false" outlineLevel="0" collapsed="false">
      <c r="A388" s="718" t="n">
        <v>33691.25</v>
      </c>
      <c r="B388" s="706" t="n">
        <f aca="false">A388/1000</f>
        <v>33.69125</v>
      </c>
      <c r="C388" s="707" t="n">
        <f aca="false">SQRT(1+(A388/pole1)^2)</f>
        <v>57.544036236859</v>
      </c>
      <c r="D388" s="708" t="n">
        <f aca="false">ATAN(A388/pole1)</f>
        <v>1.55341745654709</v>
      </c>
      <c r="E388" s="708" t="n">
        <f aca="false">SQRT(1+(A388/Zero1)^2)</f>
        <v>1.08593179272451</v>
      </c>
      <c r="F388" s="709" t="n">
        <f aca="false">ATAN(A388/Zero1)</f>
        <v>0.400494923061598</v>
      </c>
      <c r="G388" s="708" t="n">
        <f aca="false">IF(VIN_nom&gt;Vout, 1, SQRT(1+(A388/z_RHP)^2))</f>
        <v>1.11773578593004</v>
      </c>
      <c r="H388" s="709" t="n">
        <f aca="false">IF(VIN_nom&gt;Vout, 0, -ATAN(A388/z_RHP))</f>
        <v>-0.463113740220716</v>
      </c>
      <c r="I388" s="707" t="n">
        <f aca="false">SQRT(1+(A388/Pole2)^2)</f>
        <v>139757.563633744</v>
      </c>
      <c r="J388" s="710" t="n">
        <f aca="false">ATAN(A388/Pole2)</f>
        <v>1.57078917154709</v>
      </c>
      <c r="K388" s="719" t="n">
        <f aca="false">SQRT(1+(A388/Zero2)^2)</f>
        <v>43.253144072152</v>
      </c>
      <c r="L388" s="720" t="n">
        <f aca="false">ATAN(A388/Zero2)</f>
        <v>1.54767456004951</v>
      </c>
      <c r="M388" s="707" t="n">
        <f aca="false">SQRT(1+(A388/pole4)^2)</f>
        <v>1.6747775120879</v>
      </c>
      <c r="N388" s="710" t="n">
        <f aca="false">ATAN(A388/pole4)</f>
        <v>0.930922496321647</v>
      </c>
      <c r="O388" s="711" t="n">
        <f aca="false">SQRT((1-(V388/pterm2))^2+(A388/pterm1)^2)</f>
        <v>1.05900679337935</v>
      </c>
      <c r="P388" s="712" t="n">
        <f aca="false">IF((ATAN((A388/pterm1)/(1-A388^2/pterm2))&gt;0),ATAN((A388/pterm1)/(1-A388^2/pterm2)),PI()+ATAN((A388/pterm1)/(1-A388^2/pterm2)))</f>
        <v>0.458667947551417</v>
      </c>
      <c r="Q388" s="713" t="n">
        <f aca="false">20*LOG10(((E388*K388*G388)/(C388*I388*O388*M388))*Adc)</f>
        <v>-19.520490904371</v>
      </c>
      <c r="R388" s="714" t="n">
        <f aca="false">((F388+L388+H388)-(D388+J388+P388+N388))*radconv</f>
        <v>-173.534095591239</v>
      </c>
      <c r="S388" s="717" t="n">
        <f aca="false">IF(R388&gt;0,R388,R388+180)</f>
        <v>6.46590440876128</v>
      </c>
      <c r="U388" s="644" t="n">
        <f aca="false">IF(Q388&lt;0,A388,1000000000)</f>
        <v>33691.25</v>
      </c>
      <c r="V388" s="644" t="n">
        <f aca="false">A388^2</f>
        <v>1135100326.5625</v>
      </c>
      <c r="X388" s="716" t="n">
        <f aca="false">20*LOG10((K388/(I388*M388))*AEA)</f>
        <v>13.4303791312726</v>
      </c>
      <c r="Y388" s="717" t="n">
        <f aca="false">(L388-(J388+N388))*radconv</f>
        <v>-54.66229983937</v>
      </c>
      <c r="AA388" s="716" t="n">
        <f aca="false">20*LOG10((E388*G388/(C388*O388))*Acs*Am)</f>
        <v>18.5297553189107</v>
      </c>
      <c r="AB388" s="717" t="n">
        <f aca="false">(F388+H388-(D388+P388))*radconv</f>
        <v>-118.871795751869</v>
      </c>
      <c r="AD388" s="0" t="n">
        <f aca="false">SUM((Q389&lt;0)*(Q388&gt;0))*A388</f>
        <v>0</v>
      </c>
      <c r="AE388" s="0" t="n">
        <f aca="false">IF(AD388&gt;0,S388,0)</f>
        <v>0</v>
      </c>
    </row>
    <row r="389" customFormat="false" ht="12.75" hidden="false" customHeight="false" outlineLevel="0" collapsed="false">
      <c r="A389" s="718" t="n">
        <v>33884</v>
      </c>
      <c r="B389" s="706" t="n">
        <f aca="false">A389/1000</f>
        <v>33.884</v>
      </c>
      <c r="C389" s="707" t="n">
        <f aca="false">SQRT(1+(A389/pole1)^2)</f>
        <v>57.8731505588369</v>
      </c>
      <c r="D389" s="708" t="n">
        <f aca="false">ATAN(A389/pole1)</f>
        <v>1.55351629695984</v>
      </c>
      <c r="E389" s="708" t="n">
        <f aca="false">SQRT(1+(A389/Zero1)^2)</f>
        <v>1.08687842210723</v>
      </c>
      <c r="F389" s="709" t="n">
        <f aca="false">ATAN(A389/Zero1)</f>
        <v>0.402547129473695</v>
      </c>
      <c r="G389" s="708" t="n">
        <f aca="false">IF(VIN_nom&gt;Vout, 1, SQRT(1+(A389/z_RHP)^2))</f>
        <v>1.11901490355169</v>
      </c>
      <c r="H389" s="709" t="n">
        <f aca="false">IF(VIN_nom&gt;Vout, 0, -ATAN(A389/z_RHP))</f>
        <v>-0.465397722578371</v>
      </c>
      <c r="I389" s="707" t="n">
        <f aca="false">SQRT(1+(A389/Pole2)^2)</f>
        <v>140557.126439785</v>
      </c>
      <c r="J389" s="710" t="n">
        <f aca="false">ATAN(A389/Pole2)</f>
        <v>1.5707892122499</v>
      </c>
      <c r="K389" s="719" t="n">
        <f aca="false">SQRT(1+(A389/Zero2)^2)</f>
        <v>43.5004664441234</v>
      </c>
      <c r="L389" s="720" t="n">
        <f aca="false">ATAN(A389/Zero2)</f>
        <v>1.54780604233637</v>
      </c>
      <c r="M389" s="707" t="n">
        <f aca="false">SQRT(1+(A389/pole4)^2)</f>
        <v>1.6809492783211</v>
      </c>
      <c r="N389" s="710" t="n">
        <f aca="false">ATAN(A389/pole4)</f>
        <v>0.933652669552075</v>
      </c>
      <c r="O389" s="711" t="n">
        <f aca="false">SQRT((1-(V389/pterm2))^2+(A389/pterm1)^2)</f>
        <v>1.059678758875</v>
      </c>
      <c r="P389" s="712" t="n">
        <f aca="false">IF((ATAN((A389/pterm1)/(1-A389^2/pterm2))&gt;0),ATAN((A389/pterm1)/(1-A389^2/pterm2)),PI()+ATAN((A389/pterm1)/(1-A389^2/pterm2)))</f>
        <v>0.461179604653673</v>
      </c>
      <c r="Q389" s="713" t="n">
        <f aca="false">20*LOG10(((E389*K389*G389)/(C389*I389*O389*M389))*Adc)</f>
        <v>-19.5900100882656</v>
      </c>
      <c r="R389" s="714" t="n">
        <f aca="false">((F389+L389+H389)-(D389+J389+P389+N389))*radconv</f>
        <v>-173.845842220532</v>
      </c>
      <c r="S389" s="717" t="n">
        <f aca="false">IF(R389&gt;0,R389,R389+180)</f>
        <v>6.15415777946785</v>
      </c>
      <c r="U389" s="644" t="n">
        <f aca="false">IF(Q389&lt;0,A389,1000000000)</f>
        <v>33884</v>
      </c>
      <c r="V389" s="644" t="n">
        <f aca="false">A389^2</f>
        <v>1148125456</v>
      </c>
      <c r="X389" s="716" t="n">
        <f aca="false">20*LOG10((K389/(I389*M389))*AEA)</f>
        <v>13.3984030309061</v>
      </c>
      <c r="Y389" s="717" t="n">
        <f aca="false">(L389-(J389+N389))*radconv</f>
        <v>-54.811196194965</v>
      </c>
      <c r="AA389" s="716" t="n">
        <f aca="false">20*LOG10((E389*G389/(C389*O389))*Acs*Am)</f>
        <v>18.4922122353826</v>
      </c>
      <c r="AB389" s="717" t="n">
        <f aca="false">(F389+H389-(D389+P389))*radconv</f>
        <v>-119.034646025567</v>
      </c>
      <c r="AD389" s="0" t="n">
        <f aca="false">SUM((Q390&lt;0)*(Q389&gt;0))*A389</f>
        <v>0</v>
      </c>
      <c r="AE389" s="0" t="n">
        <f aca="false">IF(AD389&gt;0,S389,0)</f>
        <v>0</v>
      </c>
    </row>
    <row r="390" customFormat="false" ht="12.75" hidden="false" customHeight="false" outlineLevel="0" collapsed="false">
      <c r="A390" s="718" t="n">
        <v>34081.5</v>
      </c>
      <c r="B390" s="706" t="n">
        <f aca="false">A390/1000</f>
        <v>34.0815</v>
      </c>
      <c r="C390" s="707" t="n">
        <f aca="false">SQRT(1+(A390/pole1)^2)</f>
        <v>58.2103759302329</v>
      </c>
      <c r="D390" s="708" t="n">
        <f aca="false">ATAN(A390/pole1)</f>
        <v>1.55361641381064</v>
      </c>
      <c r="E390" s="708" t="n">
        <f aca="false">SQRT(1+(A390/Zero1)^2)</f>
        <v>1.08785311924308</v>
      </c>
      <c r="F390" s="709" t="n">
        <f aca="false">ATAN(A390/Zero1)</f>
        <v>0.404646195281258</v>
      </c>
      <c r="G390" s="708" t="n">
        <f aca="false">IF(VIN_nom&gt;Vout, 1, SQRT(1+(A390/z_RHP)^2))</f>
        <v>1.12033158384147</v>
      </c>
      <c r="H390" s="709" t="n">
        <f aca="false">IF(VIN_nom&gt;Vout, 0, -ATAN(A390/z_RHP))</f>
        <v>-0.467732567558791</v>
      </c>
      <c r="I390" s="707" t="n">
        <f aca="false">SQRT(1+(A390/Pole2)^2)</f>
        <v>141376.393128206</v>
      </c>
      <c r="J390" s="710" t="n">
        <f aca="false">ATAN(A390/Pole2)</f>
        <v>1.57078925347821</v>
      </c>
      <c r="K390" s="719" t="n">
        <f aca="false">SQRT(1+(A390/Zero2)^2)</f>
        <v>43.753884431658</v>
      </c>
      <c r="L390" s="720" t="n">
        <f aca="false">ATAN(A390/Zero2)</f>
        <v>1.5479392229553</v>
      </c>
      <c r="M390" s="707" t="n">
        <f aca="false">SQRT(1+(A390/pole4)^2)</f>
        <v>1.68728603755535</v>
      </c>
      <c r="N390" s="710" t="n">
        <f aca="false">ATAN(A390/pole4)</f>
        <v>0.936429384792345</v>
      </c>
      <c r="O390" s="711" t="n">
        <f aca="false">SQRT((1-(V390/pterm2))^2+(A390/pterm1)^2)</f>
        <v>1.06037114521851</v>
      </c>
      <c r="P390" s="712" t="n">
        <f aca="false">IF((ATAN((A390/pterm1)/(1-A390^2/pterm2))&gt;0),ATAN((A390/pterm1)/(1-A390^2/pterm2)),PI()+ATAN((A390/pterm1)/(1-A390^2/pterm2)))</f>
        <v>0.463751283723319</v>
      </c>
      <c r="Q390" s="713" t="n">
        <f aca="false">20*LOG10(((E390*K390*G390)/(C390*I390*O390*M390))*Adc)</f>
        <v>-19.6608576270046</v>
      </c>
      <c r="R390" s="714" t="n">
        <f aca="false">((F390+L390+H390)-(D390+J390+P390+N390))*radconv</f>
        <v>-174.163899741367</v>
      </c>
      <c r="S390" s="717" t="n">
        <f aca="false">IF(R390&gt;0,R390,R390+180)</f>
        <v>5.8361002586328</v>
      </c>
      <c r="U390" s="644" t="n">
        <f aca="false">IF(Q390&lt;0,A390,1000000000)</f>
        <v>34081.5</v>
      </c>
      <c r="V390" s="644" t="n">
        <f aca="false">A390^2</f>
        <v>1161548642.25</v>
      </c>
      <c r="X390" s="716" t="n">
        <f aca="false">20*LOG10((K390/(I390*M390))*AEA)</f>
        <v>13.3656944352707</v>
      </c>
      <c r="Y390" s="717" t="n">
        <f aca="false">(L390-(J390+N390))*radconv</f>
        <v>-54.9626619341459</v>
      </c>
      <c r="AA390" s="716" t="n">
        <f aca="false">20*LOG10((E390*G390/(C390*O390))*Acs*Am)</f>
        <v>18.454073292279</v>
      </c>
      <c r="AB390" s="717" t="n">
        <f aca="false">(F390+H390-(D390+P390))*radconv</f>
        <v>-119.201237807221</v>
      </c>
      <c r="AD390" s="0" t="n">
        <f aca="false">SUM((Q391&lt;0)*(Q390&gt;0))*A390</f>
        <v>0</v>
      </c>
      <c r="AE390" s="0" t="n">
        <f aca="false">IF(AD390&gt;0,S390,0)</f>
        <v>0</v>
      </c>
    </row>
    <row r="391" customFormat="false" ht="12.75" hidden="false" customHeight="false" outlineLevel="0" collapsed="false">
      <c r="A391" s="718" t="n">
        <v>34279</v>
      </c>
      <c r="B391" s="706" t="n">
        <f aca="false">A391/1000</f>
        <v>34.279</v>
      </c>
      <c r="C391" s="707" t="n">
        <f aca="false">SQRT(1+(A391/pole1)^2)</f>
        <v>58.5476018783725</v>
      </c>
      <c r="D391" s="708" t="n">
        <f aca="false">ATAN(A391/pole1)</f>
        <v>1.55371537734448</v>
      </c>
      <c r="E391" s="708" t="n">
        <f aca="false">SQRT(1+(A391/Zero1)^2)</f>
        <v>1.08883260095006</v>
      </c>
      <c r="F391" s="709" t="n">
        <f aca="false">ATAN(A391/Zero1)</f>
        <v>0.406741493791629</v>
      </c>
      <c r="G391" s="708" t="n">
        <f aca="false">IF(VIN_nom&gt;Vout, 1, SQRT(1+(A391/z_RHP)^2))</f>
        <v>1.12165435726187</v>
      </c>
      <c r="H391" s="709" t="n">
        <f aca="false">IF(VIN_nom&gt;Vout, 0, -ATAN(A391/z_RHP))</f>
        <v>-0.470061918220604</v>
      </c>
      <c r="I391" s="707" t="n">
        <f aca="false">SQRT(1+(A391/Pole2)^2)</f>
        <v>142195.659816627</v>
      </c>
      <c r="J391" s="710" t="n">
        <f aca="false">ATAN(A391/Pole2)</f>
        <v>1.57078929423145</v>
      </c>
      <c r="K391" s="719" t="n">
        <f aca="false">SQRT(1+(A391/Zero2)^2)</f>
        <v>44.0073031863207</v>
      </c>
      <c r="L391" s="720" t="n">
        <f aca="false">ATAN(A391/Zero2)</f>
        <v>1.54807086971901</v>
      </c>
      <c r="M391" s="707" t="n">
        <f aca="false">SQRT(1+(A391/pole4)^2)</f>
        <v>1.69363570860727</v>
      </c>
      <c r="N391" s="710" t="n">
        <f aca="false">ATAN(A391/pole4)</f>
        <v>0.93918530058108</v>
      </c>
      <c r="O391" s="711" t="n">
        <f aca="false">SQRT((1-(V391/pterm2))^2+(A391/pterm1)^2)</f>
        <v>1.06106743816011</v>
      </c>
      <c r="P391" s="712" t="n">
        <f aca="false">IF((ATAN((A391/pterm1)/(1-A391^2/pterm2))&gt;0),ATAN((A391/pterm1)/(1-A391^2/pterm2)),PI()+ATAN((A391/pterm1)/(1-A391^2/pterm2)))</f>
        <v>0.466321058738899</v>
      </c>
      <c r="Q391" s="713" t="n">
        <f aca="false">20*LOG10(((E391*K391*G391)/(C391*I391*O391*M391))*Adc)</f>
        <v>-19.7313188816292</v>
      </c>
      <c r="R391" s="714" t="n">
        <f aca="false">((F391+L391+H391)-(D391+J391+P391+N391))*radconv</f>
        <v>-174.480579272127</v>
      </c>
      <c r="S391" s="717" t="n">
        <f aca="false">IF(R391&gt;0,R391,R391+180)</f>
        <v>5.51942072787287</v>
      </c>
      <c r="U391" s="644" t="n">
        <f aca="false">IF(Q391&lt;0,A391,1000000000)</f>
        <v>34279</v>
      </c>
      <c r="V391" s="644" t="n">
        <f aca="false">A391^2</f>
        <v>1175049841</v>
      </c>
      <c r="X391" s="716" t="n">
        <f aca="false">20*LOG10((K391/(I391*M391))*AEA)</f>
        <v>13.3330425882728</v>
      </c>
      <c r="Y391" s="717" t="n">
        <f aca="false">(L391-(J391+N391))*radconv</f>
        <v>-55.1130238087466</v>
      </c>
      <c r="AA391" s="716" t="n">
        <f aca="false">20*LOG10((E391*G391/(C391*O391))*Acs*Am)</f>
        <v>18.4162638846524</v>
      </c>
      <c r="AB391" s="717" t="n">
        <f aca="false">(F391+H391-(D391+P391))*radconv</f>
        <v>-119.367555463381</v>
      </c>
      <c r="AD391" s="0" t="n">
        <f aca="false">SUM((Q392&lt;0)*(Q391&gt;0))*A391</f>
        <v>0</v>
      </c>
      <c r="AE391" s="0" t="n">
        <f aca="false">IF(AD391&gt;0,S391,0)</f>
        <v>0</v>
      </c>
    </row>
    <row r="392" customFormat="false" ht="12.75" hidden="false" customHeight="false" outlineLevel="0" collapsed="false">
      <c r="A392" s="718" t="n">
        <v>34476.5</v>
      </c>
      <c r="B392" s="706" t="n">
        <f aca="false">A392/1000</f>
        <v>34.4765</v>
      </c>
      <c r="C392" s="707" t="n">
        <f aca="false">SQRT(1+(A392/pole1)^2)</f>
        <v>58.8848283933468</v>
      </c>
      <c r="D392" s="708" t="n">
        <f aca="false">ATAN(A392/pole1)</f>
        <v>1.55381320737414</v>
      </c>
      <c r="E392" s="708" t="n">
        <f aca="false">SQRT(1+(A392/Zero1)^2)</f>
        <v>1.08981685432766</v>
      </c>
      <c r="F392" s="709" t="n">
        <f aca="false">ATAN(A392/Zero1)</f>
        <v>0.408833016789458</v>
      </c>
      <c r="G392" s="708" t="n">
        <f aca="false">IF(VIN_nom&gt;Vout, 1, SQRT(1+(A392/z_RHP)^2))</f>
        <v>1.12298320228138</v>
      </c>
      <c r="H392" s="709" t="n">
        <f aca="false">IF(VIN_nom&gt;Vout, 0, -ATAN(A392/z_RHP))</f>
        <v>-0.472385768746452</v>
      </c>
      <c r="I392" s="707" t="n">
        <f aca="false">SQRT(1+(A392/Pole2)^2)</f>
        <v>143014.926505049</v>
      </c>
      <c r="J392" s="710" t="n">
        <f aca="false">ATAN(A392/Pole2)</f>
        <v>1.57078933451777</v>
      </c>
      <c r="K392" s="719" t="n">
        <f aca="false">SQRT(1+(A392/Zero2)^2)</f>
        <v>44.2607226949345</v>
      </c>
      <c r="L392" s="720" t="n">
        <f aca="false">ATAN(A392/Zero2)</f>
        <v>1.54820100896966</v>
      </c>
      <c r="M392" s="707" t="n">
        <f aca="false">SQRT(1+(A392/pole4)^2)</f>
        <v>1.69999814679587</v>
      </c>
      <c r="N392" s="710" t="n">
        <f aca="false">ATAN(A392/pole4)</f>
        <v>0.941920608353075</v>
      </c>
      <c r="O392" s="711" t="n">
        <f aca="false">SQRT((1-(V392/pterm2))^2+(A392/pterm1)^2)</f>
        <v>1.06176763589259</v>
      </c>
      <c r="P392" s="712" t="n">
        <f aca="false">IF((ATAN((A392/pterm1)/(1-A392^2/pterm2))&gt;0),ATAN((A392/pterm1)/(1-A392^2/pterm2)),PI()+ATAN((A392/pterm1)/(1-A392^2/pterm2)))</f>
        <v>0.468888922041112</v>
      </c>
      <c r="Q392" s="713" t="n">
        <f aca="false">20*LOG10(((E392*K392*G392)/(C392*I392*O392*M392))*Adc)</f>
        <v>-19.8013970675144</v>
      </c>
      <c r="R392" s="714" t="n">
        <f aca="false">((F392+L392+H392)-(D392+J392+P392+N392))*radconv</f>
        <v>-174.795891106129</v>
      </c>
      <c r="S392" s="717" t="n">
        <f aca="false">IF(R392&gt;0,R392,R392+180)</f>
        <v>5.20410889387085</v>
      </c>
      <c r="U392" s="644" t="n">
        <f aca="false">IF(Q392&lt;0,A392,1000000000)</f>
        <v>34476.5</v>
      </c>
      <c r="V392" s="644" t="n">
        <f aca="false">A392^2</f>
        <v>1188629052.25</v>
      </c>
      <c r="X392" s="716" t="n">
        <f aca="false">20*LOG10((K392/(I392*M392))*AEA)</f>
        <v>13.3004480456668</v>
      </c>
      <c r="Y392" s="717" t="n">
        <f aca="false">(L392-(J392+N392))*radconv</f>
        <v>-55.2622912783463</v>
      </c>
      <c r="AA392" s="716" t="n">
        <f aca="false">20*LOG10((E392*G392/(C392*O392))*Acs*Am)</f>
        <v>18.3787802413732</v>
      </c>
      <c r="AB392" s="717" t="n">
        <f aca="false">(F392+H392-(D392+P392))*radconv</f>
        <v>-119.533599827783</v>
      </c>
      <c r="AD392" s="0" t="n">
        <f aca="false">SUM((Q393&lt;0)*(Q392&gt;0))*A392</f>
        <v>0</v>
      </c>
      <c r="AE392" s="0" t="n">
        <f aca="false">IF(AD392&gt;0,S392,0)</f>
        <v>0</v>
      </c>
    </row>
    <row r="393" customFormat="false" ht="12.75" hidden="false" customHeight="false" outlineLevel="0" collapsed="false">
      <c r="A393" s="718" t="n">
        <v>34674</v>
      </c>
      <c r="B393" s="706" t="n">
        <f aca="false">A393/1000</f>
        <v>34.674</v>
      </c>
      <c r="C393" s="707" t="n">
        <f aca="false">SQRT(1+(A393/pole1)^2)</f>
        <v>59.2220554654729</v>
      </c>
      <c r="D393" s="708" t="n">
        <f aca="false">ATAN(A393/pole1)</f>
        <v>1.5539099232612</v>
      </c>
      <c r="E393" s="708" t="n">
        <f aca="false">SQRT(1+(A393/Zero1)^2)</f>
        <v>1.09080586645919</v>
      </c>
      <c r="F393" s="709" t="n">
        <f aca="false">ATAN(A393/Zero1)</f>
        <v>0.410920756221098</v>
      </c>
      <c r="G393" s="708" t="n">
        <f aca="false">IF(VIN_nom&gt;Vout, 1, SQRT(1+(A393/z_RHP)^2))</f>
        <v>1.12431809737174</v>
      </c>
      <c r="H393" s="709" t="n">
        <f aca="false">IF(VIN_nom&gt;Vout, 0, -ATAN(A393/z_RHP))</f>
        <v>-0.474704113584031</v>
      </c>
      <c r="I393" s="707" t="n">
        <f aca="false">SQRT(1+(A393/Pole2)^2)</f>
        <v>143834.19319347</v>
      </c>
      <c r="J393" s="710" t="n">
        <f aca="false">ATAN(A393/Pole2)</f>
        <v>1.57078937434515</v>
      </c>
      <c r="K393" s="719" t="n">
        <f aca="false">SQRT(1+(A393/Zero2)^2)</f>
        <v>44.5141429446229</v>
      </c>
      <c r="L393" s="720" t="n">
        <f aca="false">ATAN(A393/Zero2)</f>
        <v>1.54832966644975</v>
      </c>
      <c r="M393" s="707" t="n">
        <f aca="false">SQRT(1+(A393/pole4)^2)</f>
        <v>1.7063732093093</v>
      </c>
      <c r="N393" s="710" t="n">
        <f aca="false">ATAN(A393/pole4)</f>
        <v>0.944635497924411</v>
      </c>
      <c r="O393" s="711" t="n">
        <f aca="false">SQRT((1-(V393/pterm2))^2+(A393/pterm1)^2)</f>
        <v>1.06247173660434</v>
      </c>
      <c r="P393" s="712" t="n">
        <f aca="false">IF((ATAN((A393/pterm1)/(1-A393^2/pterm2))&gt;0),ATAN((A393/pterm1)/(1-A393^2/pterm2)),PI()+ATAN((A393/pterm1)/(1-A393^2/pterm2)))</f>
        <v>0.471454866019415</v>
      </c>
      <c r="Q393" s="713" t="n">
        <f aca="false">20*LOG10(((E393*K393*G393)/(C393*I393*O393*M393))*Adc)</f>
        <v>-19.871095361365</v>
      </c>
      <c r="R393" s="714" t="n">
        <f aca="false">((F393+L393+H393)-(D393+J393+P393+N393))*radconv</f>
        <v>-175.109845461156</v>
      </c>
      <c r="S393" s="717" t="n">
        <f aca="false">IF(R393&gt;0,R393,R393+180)</f>
        <v>4.89015453884406</v>
      </c>
      <c r="U393" s="644" t="n">
        <f aca="false">IF(Q393&lt;0,A393,1000000000)</f>
        <v>34674</v>
      </c>
      <c r="V393" s="644" t="n">
        <f aca="false">A393^2</f>
        <v>1202286276</v>
      </c>
      <c r="X393" s="716" t="n">
        <f aca="false">20*LOG10((K393/(I393*M393))*AEA)</f>
        <v>13.2679113436027</v>
      </c>
      <c r="Y393" s="717" t="n">
        <f aca="false">(L393-(J393+N393))*radconv</f>
        <v>-55.4104737441264</v>
      </c>
      <c r="AA393" s="716" t="n">
        <f aca="false">20*LOG10((E393*G393/(C393*O393))*Acs*Am)</f>
        <v>18.3416186495867</v>
      </c>
      <c r="AB393" s="717" t="n">
        <f aca="false">(F393+H393-(D393+P393))*radconv</f>
        <v>-119.69937171703</v>
      </c>
      <c r="AD393" s="0" t="n">
        <f aca="false">SUM((Q394&lt;0)*(Q393&gt;0))*A393</f>
        <v>0</v>
      </c>
      <c r="AE393" s="0" t="n">
        <f aca="false">IF(AD393&gt;0,S393,0)</f>
        <v>0</v>
      </c>
    </row>
    <row r="394" customFormat="false" ht="12.75" hidden="false" customHeight="false" outlineLevel="0" collapsed="false">
      <c r="A394" s="718" t="n">
        <v>34875.75</v>
      </c>
      <c r="B394" s="706" t="n">
        <f aca="false">A394/1000</f>
        <v>34.87575</v>
      </c>
      <c r="C394" s="707" t="n">
        <f aca="false">SQRT(1+(A394/pole1)^2)</f>
        <v>59.5665398881195</v>
      </c>
      <c r="D394" s="708" t="n">
        <f aca="false">ATAN(A394/pole1)</f>
        <v>1.55400758968893</v>
      </c>
      <c r="E394" s="708" t="n">
        <f aca="false">SQRT(1+(A394/Zero1)^2)</f>
        <v>1.09182106114283</v>
      </c>
      <c r="F394" s="709" t="n">
        <f aca="false">ATAN(A394/Zero1)</f>
        <v>0.41304950691441</v>
      </c>
      <c r="G394" s="708" t="n">
        <f aca="false">IF(VIN_nom&gt;Vout, 1, SQRT(1+(A394/z_RHP)^2))</f>
        <v>1.1256879424283</v>
      </c>
      <c r="H394" s="709" t="n">
        <f aca="false">IF(VIN_nom&gt;Vout, 0, -ATAN(A394/z_RHP))</f>
        <v>-0.47706665667759</v>
      </c>
      <c r="I394" s="707" t="n">
        <f aca="false">SQRT(1+(A394/Pole2)^2)</f>
        <v>144671.08967139</v>
      </c>
      <c r="J394" s="710" t="n">
        <f aca="false">ATAN(A394/Pole2)</f>
        <v>1.57078941456383</v>
      </c>
      <c r="K394" s="719" t="n">
        <f aca="false">SQRT(1+(A394/Zero2)^2)</f>
        <v>44.7730172935372</v>
      </c>
      <c r="L394" s="720" t="n">
        <f aca="false">ATAN(A394/Zero2)</f>
        <v>1.54845958872648</v>
      </c>
      <c r="M394" s="707" t="n">
        <f aca="false">SQRT(1+(A394/pole4)^2)</f>
        <v>1.71289834487053</v>
      </c>
      <c r="N394" s="710" t="n">
        <f aca="false">ATAN(A394/pole4)</f>
        <v>0.947387922873314</v>
      </c>
      <c r="O394" s="711" t="n">
        <f aca="false">SQRT((1-(V394/pterm2))^2+(A394/pterm1)^2)</f>
        <v>1.06319501682723</v>
      </c>
      <c r="P394" s="712" t="n">
        <f aca="false">IF((ATAN((A394/pterm1)/(1-A394^2/pterm2))&gt;0),ATAN((A394/pterm1)/(1-A394^2/pterm2)),PI()+ATAN((A394/pterm1)/(1-A394^2/pterm2)))</f>
        <v>0.47407403692924</v>
      </c>
      <c r="Q394" s="713" t="n">
        <f aca="false">20*LOG10(((E394*K394*G394)/(C394*I394*O394*M394))*Adc)</f>
        <v>-19.9419045135406</v>
      </c>
      <c r="R394" s="714" t="n">
        <f aca="false">((F394+L394+H394)-(D394+J394+P394+N394))*radconv</f>
        <v>-175.429164731641</v>
      </c>
      <c r="S394" s="717" t="n">
        <f aca="false">IF(R394&gt;0,R394,R394+180)</f>
        <v>4.57083526835879</v>
      </c>
      <c r="U394" s="644" t="n">
        <f aca="false">IF(Q394&lt;0,A394,1000000000)</f>
        <v>34875.75</v>
      </c>
      <c r="V394" s="644" t="n">
        <f aca="false">A394^2</f>
        <v>1216317938.0625</v>
      </c>
      <c r="X394" s="716" t="n">
        <f aca="false">20*LOG10((K394/(I394*M394))*AEA)</f>
        <v>13.2347347431126</v>
      </c>
      <c r="Y394" s="717" t="n">
        <f aca="false">(L394-(J394+N394))*radconv</f>
        <v>-55.5607343835364</v>
      </c>
      <c r="AA394" s="716" t="n">
        <f aca="false">20*LOG10((E394*G394/(C394*O394))*Acs*Am)</f>
        <v>18.3039860979012</v>
      </c>
      <c r="AB394" s="717" t="n">
        <f aca="false">(F394+H394-(D394+P394))*radconv</f>
        <v>-119.868430348105</v>
      </c>
      <c r="AD394" s="0" t="n">
        <f aca="false">SUM((Q395&lt;0)*(Q394&gt;0))*A394</f>
        <v>0</v>
      </c>
      <c r="AE394" s="0" t="n">
        <f aca="false">IF(AD394&gt;0,S394,0)</f>
        <v>0</v>
      </c>
    </row>
    <row r="395" customFormat="false" ht="12.75" hidden="false" customHeight="false" outlineLevel="0" collapsed="false">
      <c r="A395" s="718" t="n">
        <v>35077.5</v>
      </c>
      <c r="B395" s="706" t="n">
        <f aca="false">A395/1000</f>
        <v>35.0775</v>
      </c>
      <c r="C395" s="707" t="n">
        <f aca="false">SQRT(1+(A395/pole1)^2)</f>
        <v>59.9110248724213</v>
      </c>
      <c r="D395" s="708" t="n">
        <f aca="false">ATAN(A395/pole1)</f>
        <v>1.55410413296477</v>
      </c>
      <c r="E395" s="708" t="n">
        <f aca="false">SQRT(1+(A395/Zero1)^2)</f>
        <v>1.09284119429508</v>
      </c>
      <c r="F395" s="709" t="n">
        <f aca="false">ATAN(A395/Zero1)</f>
        <v>0.41517429297673</v>
      </c>
      <c r="G395" s="708" t="n">
        <f aca="false">IF(VIN_nom&gt;Vout, 1, SQRT(1+(A395/z_RHP)^2))</f>
        <v>1.12706405534215</v>
      </c>
      <c r="H395" s="709" t="n">
        <f aca="false">IF(VIN_nom&gt;Vout, 0, -ATAN(A395/z_RHP))</f>
        <v>-0.479423443704284</v>
      </c>
      <c r="I395" s="707" t="n">
        <f aca="false">SQRT(1+(A395/Pole2)^2)</f>
        <v>145507.98614931</v>
      </c>
      <c r="J395" s="710" t="n">
        <f aca="false">ATAN(A395/Pole2)</f>
        <v>1.57078945431988</v>
      </c>
      <c r="K395" s="719" t="n">
        <f aca="false">SQRT(1+(A395/Zero2)^2)</f>
        <v>45.0318923895217</v>
      </c>
      <c r="L395" s="720" t="n">
        <f aca="false">ATAN(A395/Zero2)</f>
        <v>1.54858801723549</v>
      </c>
      <c r="M395" s="707" t="n">
        <f aca="false">SQRT(1+(A395/pole4)^2)</f>
        <v>1.71943635853289</v>
      </c>
      <c r="N395" s="710" t="n">
        <f aca="false">ATAN(A395/pole4)</f>
        <v>0.950119436651285</v>
      </c>
      <c r="O395" s="711" t="n">
        <f aca="false">SQRT((1-(V395/pterm2))^2+(A395/pterm1)^2)</f>
        <v>1.06392236597804</v>
      </c>
      <c r="P395" s="712" t="n">
        <f aca="false">IF((ATAN((A395/pterm1)/(1-A395^2/pterm2))&gt;0),ATAN((A395/pterm1)/(1-A395^2/pterm2)),PI()+ATAN((A395/pterm1)/(1-A395^2/pterm2)))</f>
        <v>0.476691189124192</v>
      </c>
      <c r="Q395" s="713" t="n">
        <f aca="false">20*LOG10(((E395*K395*G395)/(C395*I395*O395*M395))*Adc)</f>
        <v>-20.0123238292621</v>
      </c>
      <c r="R395" s="714" t="n">
        <f aca="false">((F395+L395+H395)-(D395+J395+P395+N395))*radconv</f>
        <v>-175.747088782944</v>
      </c>
      <c r="S395" s="717" t="n">
        <f aca="false">IF(R395&gt;0,R395,R395+180)</f>
        <v>4.25291121705618</v>
      </c>
      <c r="U395" s="644" t="n">
        <f aca="false">IF(Q395&lt;0,A395,1000000000)</f>
        <v>35077.5</v>
      </c>
      <c r="V395" s="644" t="n">
        <f aca="false">A395^2</f>
        <v>1230431006.25</v>
      </c>
      <c r="X395" s="716" t="n">
        <f aca="false">20*LOG10((K395/(I395*M395))*AEA)</f>
        <v>13.2016195695936</v>
      </c>
      <c r="Y395" s="717" t="n">
        <f aca="false">(L395-(J395+N395))*radconv</f>
        <v>-55.7098824611845</v>
      </c>
      <c r="AA395" s="716" t="n">
        <f aca="false">20*LOG10((E395*G395/(C395*O395))*Acs*Am)</f>
        <v>18.2666819556987</v>
      </c>
      <c r="AB395" s="717" t="n">
        <f aca="false">(F395+H395-(D395+P395))*radconv</f>
        <v>-120.037206321759</v>
      </c>
      <c r="AD395" s="0" t="n">
        <f aca="false">SUM((Q396&lt;0)*(Q395&gt;0))*A395</f>
        <v>0</v>
      </c>
      <c r="AE395" s="0" t="n">
        <f aca="false">IF(AD395&gt;0,S395,0)</f>
        <v>0</v>
      </c>
    </row>
    <row r="396" customFormat="false" ht="12.75" hidden="false" customHeight="false" outlineLevel="0" collapsed="false">
      <c r="A396" s="718" t="n">
        <v>35279.25</v>
      </c>
      <c r="B396" s="706" t="n">
        <f aca="false">A396/1000</f>
        <v>35.27925</v>
      </c>
      <c r="C396" s="707" t="n">
        <f aca="false">SQRT(1+(A396/pole1)^2)</f>
        <v>60.2555104087451</v>
      </c>
      <c r="D396" s="708" t="n">
        <f aca="false">ATAN(A396/pole1)</f>
        <v>1.55419957235035</v>
      </c>
      <c r="E396" s="708" t="n">
        <f aca="false">SQRT(1+(A396/Zero1)^2)</f>
        <v>1.09386625209918</v>
      </c>
      <c r="F396" s="709" t="n">
        <f aca="false">ATAN(A396/Zero1)</f>
        <v>0.417295106341518</v>
      </c>
      <c r="G396" s="708" t="n">
        <f aca="false">IF(VIN_nom&gt;Vout, 1, SQRT(1+(A396/z_RHP)^2))</f>
        <v>1.1284464131828</v>
      </c>
      <c r="H396" s="709" t="n">
        <f aca="false">IF(VIN_nom&gt;Vout, 0, -ATAN(A396/z_RHP))</f>
        <v>-0.481774469588929</v>
      </c>
      <c r="I396" s="707" t="n">
        <f aca="false">SQRT(1+(A396/Pole2)^2)</f>
        <v>146344.88262723</v>
      </c>
      <c r="J396" s="710" t="n">
        <f aca="false">ATAN(A396/Pole2)</f>
        <v>1.57078949362122</v>
      </c>
      <c r="K396" s="719" t="n">
        <f aca="false">SQRT(1+(A396/Zero2)^2)</f>
        <v>45.2907682197661</v>
      </c>
      <c r="L396" s="720" t="n">
        <f aca="false">ATAN(A396/Zero2)</f>
        <v>1.54871497758702</v>
      </c>
      <c r="M396" s="707" t="n">
        <f aca="false">SQRT(1+(A396/pole4)^2)</f>
        <v>1.72598710395022</v>
      </c>
      <c r="N396" s="710" t="n">
        <f aca="false">ATAN(A396/pole4)</f>
        <v>0.952830236361584</v>
      </c>
      <c r="O396" s="711" t="n">
        <f aca="false">SQRT((1-(V396/pterm2))^2+(A396/pterm1)^2)</f>
        <v>1.06465378211216</v>
      </c>
      <c r="P396" s="712" t="n">
        <f aca="false">IF((ATAN((A396/pterm1)/(1-A396^2/pterm2))&gt;0),ATAN((A396/pterm1)/(1-A396^2/pterm2)),PI()+ATAN((A396/pterm1)/(1-A396^2/pterm2)))</f>
        <v>0.479306314649611</v>
      </c>
      <c r="Q396" s="713" t="n">
        <f aca="false">20*LOG10(((E396*K396*G396)/(C396*I396*O396*M396))*Adc)</f>
        <v>-20.0823565750802</v>
      </c>
      <c r="R396" s="714" t="n">
        <f aca="false">((F396+L396+H396)-(D396+J396+P396+N396))*radconv</f>
        <v>-176.063628260579</v>
      </c>
      <c r="S396" s="717" t="n">
        <f aca="false">IF(R396&gt;0,R396,R396+180)</f>
        <v>3.93637173942139</v>
      </c>
      <c r="U396" s="644" t="n">
        <f aca="false">IF(Q396&lt;0,A396,1000000000)</f>
        <v>35279.25</v>
      </c>
      <c r="V396" s="644" t="n">
        <f aca="false">A396^2</f>
        <v>1244625480.5625</v>
      </c>
      <c r="X396" s="716" t="n">
        <f aca="false">20*LOG10((K396/(I396*M396))*AEA)</f>
        <v>13.1685663340189</v>
      </c>
      <c r="Y396" s="717" t="n">
        <f aca="false">(L396-(J396+N396))*radconv</f>
        <v>-55.8579278033516</v>
      </c>
      <c r="AA396" s="716" t="n">
        <f aca="false">20*LOG10((E396*G396/(C396*O396))*Acs*Am)</f>
        <v>18.2297024454554</v>
      </c>
      <c r="AB396" s="717" t="n">
        <f aca="false">(F396+H396-(D396+P396))*radconv</f>
        <v>-120.205700457227</v>
      </c>
      <c r="AD396" s="0" t="n">
        <f aca="false">SUM((Q397&lt;0)*(Q396&gt;0))*A396</f>
        <v>0</v>
      </c>
      <c r="AE396" s="0" t="n">
        <f aca="false">IF(AD396&gt;0,S396,0)</f>
        <v>0</v>
      </c>
    </row>
    <row r="397" customFormat="false" ht="12.75" hidden="false" customHeight="false" outlineLevel="0" collapsed="false">
      <c r="A397" s="718" t="n">
        <v>35481</v>
      </c>
      <c r="B397" s="706" t="n">
        <f aca="false">A397/1000</f>
        <v>35.481</v>
      </c>
      <c r="C397" s="707" t="n">
        <f aca="false">SQRT(1+(A397/pole1)^2)</f>
        <v>60.5999964876769</v>
      </c>
      <c r="D397" s="708" t="n">
        <f aca="false">ATAN(A397/pole1)</f>
        <v>1.55429392666939</v>
      </c>
      <c r="E397" s="708" t="n">
        <f aca="false">SQRT(1+(A397/Zero1)^2)</f>
        <v>1.09489622072354</v>
      </c>
      <c r="F397" s="709" t="n">
        <f aca="false">ATAN(A397/Zero1)</f>
        <v>0.419411939115316</v>
      </c>
      <c r="G397" s="708" t="n">
        <f aca="false">IF(VIN_nom&gt;Vout, 1, SQRT(1+(A397/z_RHP)^2))</f>
        <v>1.12983499302815</v>
      </c>
      <c r="H397" s="709" t="n">
        <f aca="false">IF(VIN_nom&gt;Vout, 0, -ATAN(A397/z_RHP))</f>
        <v>-0.484119729535873</v>
      </c>
      <c r="I397" s="707" t="n">
        <f aca="false">SQRT(1+(A397/Pole2)^2)</f>
        <v>147181.77910515</v>
      </c>
      <c r="J397" s="710" t="n">
        <f aca="false">ATAN(A397/Pole2)</f>
        <v>1.57078953247561</v>
      </c>
      <c r="K397" s="719" t="n">
        <f aca="false">SQRT(1+(A397/Zero2)^2)</f>
        <v>45.549644771751</v>
      </c>
      <c r="L397" s="720" t="n">
        <f aca="false">ATAN(A397/Zero2)</f>
        <v>1.54884049480931</v>
      </c>
      <c r="M397" s="707" t="n">
        <f aca="false">SQRT(1+(A397/pole4)^2)</f>
        <v>1.73255043670685</v>
      </c>
      <c r="N397" s="710" t="n">
        <f aca="false">ATAN(A397/pole4)</f>
        <v>0.955520517347203</v>
      </c>
      <c r="O397" s="711" t="n">
        <f aca="false">SQRT((1-(V397/pterm2))^2+(A397/pterm1)^2)</f>
        <v>1.06538926328056</v>
      </c>
      <c r="P397" s="712" t="n">
        <f aca="false">IF((ATAN((A397/pterm1)/(1-A397^2/pterm2))&gt;0),ATAN((A397/pterm1)/(1-A397^2/pterm2)),PI()+ATAN((A397/pterm1)/(1-A397^2/pterm2)))</f>
        <v>0.481919405604088</v>
      </c>
      <c r="Q397" s="713" t="n">
        <f aca="false">20*LOG10(((E397*K397*G397)/(C397*I397*O397*M397))*Adc)</f>
        <v>-20.1520059789247</v>
      </c>
      <c r="R397" s="714" t="n">
        <f aca="false">((F397+L397+H397)-(D397+J397+P397+N397))*radconv</f>
        <v>-176.378793726602</v>
      </c>
      <c r="S397" s="717" t="n">
        <f aca="false">IF(R397&gt;0,R397,R397+180)</f>
        <v>3.62120627339834</v>
      </c>
      <c r="U397" s="644" t="n">
        <f aca="false">IF(Q397&lt;0,A397,1000000000)</f>
        <v>35481</v>
      </c>
      <c r="V397" s="644" t="n">
        <f aca="false">A397^2</f>
        <v>1258901361</v>
      </c>
      <c r="X397" s="716" t="n">
        <f aca="false">20*LOG10((K397/(I397*M397))*AEA)</f>
        <v>13.135575527894</v>
      </c>
      <c r="Y397" s="717" t="n">
        <f aca="false">(L397-(J397+N397))*radconv</f>
        <v>-56.0048801687995</v>
      </c>
      <c r="AA397" s="716" t="n">
        <f aca="false">20*LOG10((E397*G397/(C397*O397))*Acs*Am)</f>
        <v>18.1930438477357</v>
      </c>
      <c r="AB397" s="717" t="n">
        <f aca="false">(F397+H397-(D397+P397))*radconv</f>
        <v>-120.373913557802</v>
      </c>
      <c r="AD397" s="0" t="n">
        <f aca="false">SUM((Q398&lt;0)*(Q397&gt;0))*A397</f>
        <v>0</v>
      </c>
      <c r="AE397" s="0" t="n">
        <f aca="false">IF(AD397&gt;0,S397,0)</f>
        <v>0</v>
      </c>
    </row>
    <row r="398" customFormat="false" ht="12.75" hidden="false" customHeight="false" outlineLevel="0" collapsed="false">
      <c r="A398" s="718" t="n">
        <v>35687.75</v>
      </c>
      <c r="B398" s="706" t="n">
        <f aca="false">A398/1000</f>
        <v>35.68775</v>
      </c>
      <c r="C398" s="707" t="n">
        <f aca="false">SQRT(1+(A398/pole1)^2)</f>
        <v>60.953020569223</v>
      </c>
      <c r="D398" s="708" t="n">
        <f aca="false">ATAN(A398/pole1)</f>
        <v>1.55438951289144</v>
      </c>
      <c r="E398" s="708" t="n">
        <f aca="false">SQRT(1+(A398/Zero1)^2)</f>
        <v>1.09595679561549</v>
      </c>
      <c r="F398" s="709" t="n">
        <f aca="false">ATAN(A398/Zero1)</f>
        <v>0.421577095801471</v>
      </c>
      <c r="G398" s="708" t="n">
        <f aca="false">IF(VIN_nom&gt;Vout, 1, SQRT(1+(A398/z_RHP)^2))</f>
        <v>1.1312644175018</v>
      </c>
      <c r="H398" s="709" t="n">
        <f aca="false">IF(VIN_nom&gt;Vout, 0, -ATAN(A398/z_RHP))</f>
        <v>-0.486517125625602</v>
      </c>
      <c r="I398" s="707" t="n">
        <f aca="false">SQRT(1+(A398/Pole2)^2)</f>
        <v>148039.416511891</v>
      </c>
      <c r="J398" s="710" t="n">
        <f aca="false">ATAN(A398/Pole2)</f>
        <v>1.57078957183717</v>
      </c>
      <c r="K398" s="719" t="n">
        <f aca="false">SQRT(1+(A398/Zero2)^2)</f>
        <v>45.8149378354924</v>
      </c>
      <c r="L398" s="720" t="n">
        <f aca="false">ATAN(A398/Zero2)</f>
        <v>1.54896765110868</v>
      </c>
      <c r="M398" s="707" t="n">
        <f aca="false">SQRT(1+(A398/pole4)^2)</f>
        <v>1.73928933958091</v>
      </c>
      <c r="N398" s="710" t="n">
        <f aca="false">ATAN(A398/pole4)</f>
        <v>0.958256386648115</v>
      </c>
      <c r="O398" s="711" t="n">
        <f aca="false">SQRT((1-(V398/pterm2))^2+(A398/pterm1)^2)</f>
        <v>1.06614718734309</v>
      </c>
      <c r="P398" s="712" t="n">
        <f aca="false">IF((ATAN((A398/pterm1)/(1-A398^2/pterm2))&gt;0),ATAN((A398/pterm1)/(1-A398^2/pterm2)),PI()+ATAN((A398/pterm1)/(1-A398^2/pterm2)))</f>
        <v>0.48459513813743</v>
      </c>
      <c r="Q398" s="713" t="n">
        <f aca="false">20*LOG10(((E398*K398*G398)/(C398*I398*O398*M398))*Adc)</f>
        <v>-20.2229871406748</v>
      </c>
      <c r="R398" s="714" t="n">
        <f aca="false">((F398+L398+H398)-(D398+J398+P398+N398))*radconv</f>
        <v>-176.700355433201</v>
      </c>
      <c r="S398" s="717" t="n">
        <f aca="false">IF(R398&gt;0,R398,R398+180)</f>
        <v>3.2996445667994</v>
      </c>
      <c r="U398" s="644" t="n">
        <f aca="false">IF(Q398&lt;0,A398,1000000000)</f>
        <v>35687.75</v>
      </c>
      <c r="V398" s="644" t="n">
        <f aca="false">A398^2</f>
        <v>1273615500.0625</v>
      </c>
      <c r="X398" s="716" t="n">
        <f aca="false">20*LOG10((K398/(I398*M398))*AEA)</f>
        <v>13.1018323693052</v>
      </c>
      <c r="Y398" s="717" t="n">
        <f aca="false">(L398-(J398+N398))*radconv</f>
        <v>-56.154350669171</v>
      </c>
      <c r="AA398" s="716" t="n">
        <f aca="false">20*LOG10((E398*G398/(C398*O398))*Acs*Am)</f>
        <v>18.1558058445743</v>
      </c>
      <c r="AB398" s="717" t="n">
        <f aca="false">(F398+H398-(D398+P398))*radconv</f>
        <v>-120.54600476403</v>
      </c>
      <c r="AD398" s="0" t="n">
        <f aca="false">SUM((Q399&lt;0)*(Q398&gt;0))*A398</f>
        <v>0</v>
      </c>
      <c r="AE398" s="0" t="n">
        <f aca="false">IF(AD398&gt;0,S398,0)</f>
        <v>0</v>
      </c>
    </row>
    <row r="399" customFormat="false" ht="12.75" hidden="false" customHeight="false" outlineLevel="0" collapsed="false">
      <c r="A399" s="718" t="n">
        <v>35894.5</v>
      </c>
      <c r="B399" s="706" t="n">
        <f aca="false">A399/1000</f>
        <v>35.8945</v>
      </c>
      <c r="C399" s="707" t="n">
        <f aca="false">SQRT(1+(A399/pole1)^2)</f>
        <v>61.3060452012663</v>
      </c>
      <c r="D399" s="708" t="n">
        <f aca="false">ATAN(A399/pole1)</f>
        <v>1.55448399826725</v>
      </c>
      <c r="E399" s="708" t="n">
        <f aca="false">SQRT(1+(A399/Zero1)^2)</f>
        <v>1.09702249829899</v>
      </c>
      <c r="F399" s="709" t="n">
        <f aca="false">ATAN(A399/Zero1)</f>
        <v>0.423738055918012</v>
      </c>
      <c r="G399" s="708" t="n">
        <f aca="false">IF(VIN_nom&gt;Vout, 1, SQRT(1+(A399/z_RHP)^2))</f>
        <v>1.13270032749455</v>
      </c>
      <c r="H399" s="709" t="n">
        <f aca="false">IF(VIN_nom&gt;Vout, 0, -ATAN(A399/z_RHP))</f>
        <v>-0.488908457132679</v>
      </c>
      <c r="I399" s="707" t="n">
        <f aca="false">SQRT(1+(A399/Pole2)^2)</f>
        <v>148897.053918633</v>
      </c>
      <c r="J399" s="710" t="n">
        <f aca="false">ATAN(A399/Pole2)</f>
        <v>1.57078961074529</v>
      </c>
      <c r="K399" s="719" t="n">
        <f aca="false">SQRT(1+(A399/Zero2)^2)</f>
        <v>46.0802316314734</v>
      </c>
      <c r="L399" s="720" t="n">
        <f aca="false">ATAN(A399/Zero2)</f>
        <v>1.54909334327777</v>
      </c>
      <c r="M399" s="707" t="n">
        <f aca="false">SQRT(1+(A399/pole4)^2)</f>
        <v>1.74604116045474</v>
      </c>
      <c r="N399" s="710" t="n">
        <f aca="false">ATAN(A399/pole4)</f>
        <v>0.960971117301893</v>
      </c>
      <c r="O399" s="711" t="n">
        <f aca="false">SQRT((1-(V399/pterm2))^2+(A399/pterm1)^2)</f>
        <v>1.06690937626723</v>
      </c>
      <c r="P399" s="712" t="n">
        <f aca="false">IF((ATAN((A399/pterm1)/(1-A399^2/pterm2))&gt;0),ATAN((A399/pterm1)/(1-A399^2/pterm2)),PI()+ATAN((A399/pterm1)/(1-A399^2/pterm2)))</f>
        <v>0.487268717374186</v>
      </c>
      <c r="Q399" s="713" t="n">
        <f aca="false">20*LOG10(((E399*K399*G399)/(C399*I399*O399*M399))*Adc)</f>
        <v>-20.293572467086</v>
      </c>
      <c r="R399" s="714" t="n">
        <f aca="false">((F399+L399+H399)-(D399+J399+P399+N399))*radconv</f>
        <v>-177.020496369124</v>
      </c>
      <c r="S399" s="717" t="n">
        <f aca="false">IF(R399&gt;0,R399,R399+180)</f>
        <v>2.97950363087574</v>
      </c>
      <c r="U399" s="644" t="n">
        <f aca="false">IF(Q399&lt;0,A399,1000000000)</f>
        <v>35894.5</v>
      </c>
      <c r="V399" s="644" t="n">
        <f aca="false">A399^2</f>
        <v>1288415130.25</v>
      </c>
      <c r="X399" s="716" t="n">
        <f aca="false">20*LOG10((K399/(I399*M399))*AEA)</f>
        <v>13.0681557572978</v>
      </c>
      <c r="Y399" s="717" t="n">
        <f aca="false">(L399-(J399+N399))*radconv</f>
        <v>-56.3026938767806</v>
      </c>
      <c r="AA399" s="716" t="n">
        <f aca="false">20*LOG10((E399*G399/(C399*O399))*Acs*Am)</f>
        <v>18.1188971301705</v>
      </c>
      <c r="AB399" s="717" t="n">
        <f aca="false">(F399+H399-(D399+P399))*radconv</f>
        <v>-120.717802492344</v>
      </c>
      <c r="AD399" s="0" t="n">
        <f aca="false">SUM((Q400&lt;0)*(Q399&gt;0))*A399</f>
        <v>0</v>
      </c>
      <c r="AE399" s="0" t="n">
        <f aca="false">IF(AD399&gt;0,S399,0)</f>
        <v>0</v>
      </c>
    </row>
    <row r="400" customFormat="false" ht="12.75" hidden="false" customHeight="false" outlineLevel="0" collapsed="false">
      <c r="A400" s="718" t="n">
        <v>36101.25</v>
      </c>
      <c r="B400" s="706" t="n">
        <f aca="false">A400/1000</f>
        <v>36.10125</v>
      </c>
      <c r="C400" s="707" t="n">
        <f aca="false">SQRT(1+(A400/pole1)^2)</f>
        <v>61.6590703743514</v>
      </c>
      <c r="D400" s="708" t="n">
        <f aca="false">ATAN(A400/pole1)</f>
        <v>1.5545774017036</v>
      </c>
      <c r="E400" s="708" t="n">
        <f aca="false">SQRT(1+(A400/Zero1)^2)</f>
        <v>1.09809331384443</v>
      </c>
      <c r="F400" s="709" t="n">
        <f aca="false">ATAN(A400/Zero1)</f>
        <v>0.425894811530447</v>
      </c>
      <c r="G400" s="708" t="n">
        <f aca="false">IF(VIN_nom&gt;Vout, 1, SQRT(1+(A400/z_RHP)^2))</f>
        <v>1.13414269837295</v>
      </c>
      <c r="H400" s="709" t="n">
        <f aca="false">IF(VIN_nom&gt;Vout, 0, -ATAN(A400/z_RHP))</f>
        <v>-0.491293719794263</v>
      </c>
      <c r="I400" s="707" t="n">
        <f aca="false">SQRT(1+(A400/Pole2)^2)</f>
        <v>149754.691325375</v>
      </c>
      <c r="J400" s="710" t="n">
        <f aca="false">ATAN(A400/Pole2)</f>
        <v>1.57078964920776</v>
      </c>
      <c r="K400" s="719" t="n">
        <f aca="false">SQRT(1+(A400/Zero2)^2)</f>
        <v>46.3455261471194</v>
      </c>
      <c r="L400" s="720" t="n">
        <f aca="false">ATAN(A400/Zero2)</f>
        <v>1.54921759645585</v>
      </c>
      <c r="M400" s="707" t="n">
        <f aca="false">SQRT(1+(A400/pole4)^2)</f>
        <v>1.75280575004765</v>
      </c>
      <c r="N400" s="710" t="n">
        <f aca="false">ATAN(A400/pole4)</f>
        <v>0.963664913803143</v>
      </c>
      <c r="O400" s="711" t="n">
        <f aca="false">SQRT((1-(V400/pterm2))^2+(A400/pterm1)^2)</f>
        <v>1.06767582794169</v>
      </c>
      <c r="P400" s="712" t="n">
        <f aca="false">IF((ATAN((A400/pterm1)/(1-A400^2/pterm2))&gt;0),ATAN((A400/pterm1)/(1-A400^2/pterm2)),PI()+ATAN((A400/pterm1)/(1-A400^2/pterm2)))</f>
        <v>0.489940134985036</v>
      </c>
      <c r="Q400" s="713" t="n">
        <f aca="false">20*LOG10(((E400*K400*G400)/(C400*I400*O400*M400))*Adc)</f>
        <v>-20.363765311059</v>
      </c>
      <c r="R400" s="714" t="n">
        <f aca="false">((F400+L400+H400)-(D400+J400+P400+N400))*radconv</f>
        <v>-177.339227627538</v>
      </c>
      <c r="S400" s="717" t="n">
        <f aca="false">IF(R400&gt;0,R400,R400+180)</f>
        <v>2.66077237246165</v>
      </c>
      <c r="U400" s="644" t="n">
        <f aca="false">IF(Q400&lt;0,A400,1000000000)</f>
        <v>36101.25</v>
      </c>
      <c r="V400" s="644" t="n">
        <f aca="false">A400^2</f>
        <v>1303300251.5625</v>
      </c>
      <c r="X400" s="716" t="n">
        <f aca="false">20*LOG10((K400/(I400*M400))*AEA)</f>
        <v>13.0345461601548</v>
      </c>
      <c r="Y400" s="717" t="n">
        <f aca="false">(L400-(J400+N400))*radconv</f>
        <v>-56.4499200683801</v>
      </c>
      <c r="AA400" s="716" t="n">
        <f aca="false">20*LOG10((E400*G400/(C400*O400))*Acs*Am)</f>
        <v>18.0823138833406</v>
      </c>
      <c r="AB400" s="717" t="n">
        <f aca="false">(F400+H400-(D400+P400))*radconv</f>
        <v>-120.889307559158</v>
      </c>
      <c r="AD400" s="0" t="n">
        <f aca="false">SUM((Q401&lt;0)*(Q400&gt;0))*A400</f>
        <v>0</v>
      </c>
      <c r="AE400" s="0" t="n">
        <f aca="false">IF(AD400&gt;0,S400,0)</f>
        <v>0</v>
      </c>
    </row>
    <row r="401" customFormat="false" ht="12.75" hidden="false" customHeight="false" outlineLevel="0" collapsed="false">
      <c r="A401" s="718" t="n">
        <v>36308</v>
      </c>
      <c r="B401" s="706" t="n">
        <f aca="false">A401/1000</f>
        <v>36.308</v>
      </c>
      <c r="C401" s="707" t="n">
        <f aca="false">SQRT(1+(A401/pole1)^2)</f>
        <v>62.012096079238</v>
      </c>
      <c r="D401" s="708" t="n">
        <f aca="false">ATAN(A401/pole1)</f>
        <v>1.55466974167681</v>
      </c>
      <c r="E401" s="708" t="n">
        <f aca="false">SQRT(1+(A401/Zero1)^2)</f>
        <v>1.0991692273089</v>
      </c>
      <c r="F401" s="709" t="n">
        <f aca="false">ATAN(A401/Zero1)</f>
        <v>0.42804735489159</v>
      </c>
      <c r="G401" s="708" t="n">
        <f aca="false">IF(VIN_nom&gt;Vout, 1, SQRT(1+(A401/z_RHP)^2))</f>
        <v>1.13559150551812</v>
      </c>
      <c r="H401" s="709" t="n">
        <f aca="false">IF(VIN_nom&gt;Vout, 0, -ATAN(A401/z_RHP))</f>
        <v>-0.493672909645349</v>
      </c>
      <c r="I401" s="707" t="n">
        <f aca="false">SQRT(1+(A401/Pole2)^2)</f>
        <v>150612.328732117</v>
      </c>
      <c r="J401" s="710" t="n">
        <f aca="false">ATAN(A401/Pole2)</f>
        <v>1.5707896872322</v>
      </c>
      <c r="K401" s="719" t="n">
        <f aca="false">SQRT(1+(A401/Zero2)^2)</f>
        <v>46.6108213701421</v>
      </c>
      <c r="L401" s="720" t="n">
        <f aca="false">ATAN(A401/Zero2)</f>
        <v>1.54934043520998</v>
      </c>
      <c r="M401" s="707" t="n">
        <f aca="false">SQRT(1+(A401/pole4)^2)</f>
        <v>1.75958296109438</v>
      </c>
      <c r="N401" s="710" t="n">
        <f aca="false">ATAN(A401/pole4)</f>
        <v>0.966337978720142</v>
      </c>
      <c r="O401" s="711" t="n">
        <f aca="false">SQRT((1-(V401/pterm2))^2+(A401/pterm1)^2)</f>
        <v>1.0684465402507</v>
      </c>
      <c r="P401" s="712" t="n">
        <f aca="false">IF((ATAN((A401/pterm1)/(1-A401^2/pterm2))&gt;0),ATAN((A401/pterm1)/(1-A401^2/pterm2)),PI()+ATAN((A401/pterm1)/(1-A401^2/pterm2)))</f>
        <v>0.492609382699506</v>
      </c>
      <c r="Q401" s="713" t="n">
        <f aca="false">20*LOG10(((E401*K401*G401)/(C401*I401*O401*M401))*Adc)</f>
        <v>-20.4335689863289</v>
      </c>
      <c r="R401" s="714" t="n">
        <f aca="false">((F401+L401+H401)-(D401+J401+P401+N401))*radconv</f>
        <v>-177.656560209051</v>
      </c>
      <c r="S401" s="717" t="n">
        <f aca="false">IF(R401&gt;0,R401,R401+180)</f>
        <v>2.34343979094908</v>
      </c>
      <c r="U401" s="644" t="n">
        <f aca="false">IF(Q401&lt;0,A401,1000000000)</f>
        <v>36308</v>
      </c>
      <c r="V401" s="644" t="n">
        <f aca="false">A401^2</f>
        <v>1318270864</v>
      </c>
      <c r="X401" s="716" t="n">
        <f aca="false">20*LOG10((K401/(I401*M401))*AEA)</f>
        <v>13.0010040266537</v>
      </c>
      <c r="Y401" s="717" t="n">
        <f aca="false">(L401-(J401+N401))*radconv</f>
        <v>-56.5960394431227</v>
      </c>
      <c r="AA401" s="716" t="n">
        <f aca="false">20*LOG10((E401*G401/(C401*O401))*Acs*Am)</f>
        <v>18.0460523415718</v>
      </c>
      <c r="AB401" s="717" t="n">
        <f aca="false">(F401+H401-(D401+P401))*radconv</f>
        <v>-121.060520765928</v>
      </c>
      <c r="AD401" s="0" t="n">
        <f aca="false">SUM((Q402&lt;0)*(Q401&gt;0))*A401</f>
        <v>0</v>
      </c>
      <c r="AE401" s="0" t="n">
        <f aca="false">IF(AD401&gt;0,S401,0)</f>
        <v>0</v>
      </c>
    </row>
    <row r="402" customFormat="false" ht="12.75" hidden="false" customHeight="false" outlineLevel="0" collapsed="false">
      <c r="A402" s="718" t="n">
        <v>36519.5</v>
      </c>
      <c r="B402" s="706" t="n">
        <f aca="false">A402/1000</f>
        <v>36.5195</v>
      </c>
      <c r="C402" s="707" t="n">
        <f aca="false">SQRT(1+(A402/pole1)^2)</f>
        <v>62.3732329518137</v>
      </c>
      <c r="D402" s="708" t="n">
        <f aca="false">ATAN(A402/pole1)</f>
        <v>1.5547631215576</v>
      </c>
      <c r="E402" s="708" t="n">
        <f aca="false">SQRT(1+(A402/Zero1)^2)</f>
        <v>1.10027511881748</v>
      </c>
      <c r="F402" s="709" t="n">
        <f aca="false">ATAN(A402/Zero1)</f>
        <v>0.430244985683157</v>
      </c>
      <c r="G402" s="708" t="n">
        <f aca="false">IF(VIN_nom&gt;Vout, 1, SQRT(1+(A402/z_RHP)^2))</f>
        <v>1.13708023255736</v>
      </c>
      <c r="H402" s="709" t="n">
        <f aca="false">IF(VIN_nom&gt;Vout, 0, -ATAN(A402/z_RHP))</f>
        <v>-0.496100472929806</v>
      </c>
      <c r="I402" s="707" t="n">
        <f aca="false">SQRT(1+(A402/Pole2)^2)</f>
        <v>151489.670021239</v>
      </c>
      <c r="J402" s="710" t="n">
        <f aca="false">ATAN(A402/Pole2)</f>
        <v>1.57078972568474</v>
      </c>
      <c r="K402" s="719" t="n">
        <f aca="false">SQRT(1+(A402/Zero2)^2)</f>
        <v>46.8822123660763</v>
      </c>
      <c r="L402" s="720" t="n">
        <f aca="false">ATAN(A402/Zero2)</f>
        <v>1.54946465762716</v>
      </c>
      <c r="M402" s="707" t="n">
        <f aca="false">SQRT(1+(A402/pole4)^2)</f>
        <v>1.76652878418365</v>
      </c>
      <c r="N402" s="710" t="n">
        <f aca="false">ATAN(A402/pole4)</f>
        <v>0.969051213941076</v>
      </c>
      <c r="O402" s="711" t="n">
        <f aca="false">SQRT((1-(V402/pterm2))^2+(A402/pterm1)^2)</f>
        <v>1.06923936575022</v>
      </c>
      <c r="P402" s="712" t="n">
        <f aca="false">IF((ATAN((A402/pterm1)/(1-A402^2/pterm2))&gt;0),ATAN((A402/pterm1)/(1-A402^2/pterm2)),PI()+ATAN((A402/pterm1)/(1-A402^2/pterm2)))</f>
        <v>0.495337701521927</v>
      </c>
      <c r="Q402" s="713" t="n">
        <f aca="false">20*LOG10(((E402*K402*G402)/(C402*I402*O402*M402))*Adc)</f>
        <v>-20.5045771055325</v>
      </c>
      <c r="R402" s="714" t="n">
        <f aca="false">((F402+L402+H402)-(D402+J402+P402+N402))*radconv</f>
        <v>-177.979747507516</v>
      </c>
      <c r="S402" s="717" t="n">
        <f aca="false">IF(R402&gt;0,R402,R402+180)</f>
        <v>2.02025249248365</v>
      </c>
      <c r="U402" s="644" t="n">
        <f aca="false">IF(Q402&lt;0,A402,1000000000)</f>
        <v>36519.5</v>
      </c>
      <c r="V402" s="644" t="n">
        <f aca="false">A402^2</f>
        <v>1333673880.25</v>
      </c>
      <c r="X402" s="716" t="n">
        <f aca="false">20*LOG10((K402/(I402*M402))*AEA)</f>
        <v>12.9667615301513</v>
      </c>
      <c r="Y402" s="717" t="n">
        <f aca="false">(L402-(J402+N402))*radconv</f>
        <v>-56.7443811532208</v>
      </c>
      <c r="AA402" s="716" t="n">
        <f aca="false">20*LOG10((E402*G402/(C402*O402))*Acs*Am)</f>
        <v>18.0092867188705</v>
      </c>
      <c r="AB402" s="717" t="n">
        <f aca="false">(F402+H402-(D402+P402))*radconv</f>
        <v>-121.235366354296</v>
      </c>
      <c r="AD402" s="0" t="n">
        <f aca="false">SUM((Q403&lt;0)*(Q402&gt;0))*A402</f>
        <v>0</v>
      </c>
      <c r="AE402" s="0" t="n">
        <f aca="false">IF(AD402&gt;0,S402,0)</f>
        <v>0</v>
      </c>
    </row>
    <row r="403" customFormat="false" ht="12.75" hidden="false" customHeight="false" outlineLevel="0" collapsed="false">
      <c r="A403" s="718" t="n">
        <v>36731</v>
      </c>
      <c r="B403" s="706" t="n">
        <f aca="false">A403/1000</f>
        <v>36.731</v>
      </c>
      <c r="C403" s="707" t="n">
        <f aca="false">SQRT(1+(A403/pole1)^2)</f>
        <v>62.7343703620099</v>
      </c>
      <c r="D403" s="708" t="n">
        <f aca="false">ATAN(A403/pole1)</f>
        <v>1.55485542633577</v>
      </c>
      <c r="E403" s="708" t="n">
        <f aca="false">SQRT(1+(A403/Zero1)^2)</f>
        <v>1.10138631350782</v>
      </c>
      <c r="F403" s="709" t="n">
        <f aca="false">ATAN(A403/Zero1)</f>
        <v>0.43243819264572</v>
      </c>
      <c r="G403" s="708" t="n">
        <f aca="false">IF(VIN_nom&gt;Vout, 1, SQRT(1+(A403/z_RHP)^2))</f>
        <v>1.13857564293634</v>
      </c>
      <c r="H403" s="709" t="n">
        <f aca="false">IF(VIN_nom&gt;Vout, 0, -ATAN(A403/z_RHP))</f>
        <v>-0.498521673706289</v>
      </c>
      <c r="I403" s="707" t="n">
        <f aca="false">SQRT(1+(A403/Pole2)^2)</f>
        <v>152367.011310361</v>
      </c>
      <c r="J403" s="710" t="n">
        <f aca="false">ATAN(A403/Pole2)</f>
        <v>1.57078976369445</v>
      </c>
      <c r="K403" s="719" t="n">
        <f aca="false">SQRT(1+(A403/Zero2)^2)</f>
        <v>47.1536040771322</v>
      </c>
      <c r="L403" s="720" t="n">
        <f aca="false">ATAN(A403/Zero2)</f>
        <v>1.54958745012649</v>
      </c>
      <c r="M403" s="707" t="n">
        <f aca="false">SQRT(1+(A403/pole4)^2)</f>
        <v>1.77348750991166</v>
      </c>
      <c r="N403" s="710" t="n">
        <f aca="false">ATAN(A403/pole4)</f>
        <v>0.971743176724025</v>
      </c>
      <c r="O403" s="711" t="n">
        <f aca="false">SQRT((1-(V403/pterm2))^2+(A403/pterm1)^2)</f>
        <v>1.07003664541317</v>
      </c>
      <c r="P403" s="712" t="n">
        <f aca="false">IF((ATAN((A403/pterm1)/(1-A403^2/pterm2))&gt;0),ATAN((A403/pterm1)/(1-A403^2/pterm2)),PI()+ATAN((A403/pterm1)/(1-A403^2/pterm2)))</f>
        <v>0.498063732277637</v>
      </c>
      <c r="Q403" s="713" t="n">
        <f aca="false">20*LOG10(((E403*K403*G403)/(C403*I403*O403*M403))*Adc)</f>
        <v>-20.5751848617032</v>
      </c>
      <c r="R403" s="714" t="n">
        <f aca="false">((F403+L403+H403)-(D403+J403+P403+N403))*radconv</f>
        <v>-178.301494114418</v>
      </c>
      <c r="S403" s="717" t="n">
        <f aca="false">IF(R403&gt;0,R403,R403+180)</f>
        <v>1.69850588558242</v>
      </c>
      <c r="U403" s="644" t="n">
        <f aca="false">IF(Q403&lt;0,A403,1000000000)</f>
        <v>36731</v>
      </c>
      <c r="V403" s="644" t="n">
        <f aca="false">A403^2</f>
        <v>1349166361</v>
      </c>
      <c r="X403" s="716" t="n">
        <f aca="false">20*LOG10((K403/(I403*M403))*AEA)</f>
        <v>12.9325905223937</v>
      </c>
      <c r="Y403" s="717" t="n">
        <f aca="false">(L403-(J403+N403))*radconv</f>
        <v>-56.891585945287</v>
      </c>
      <c r="AA403" s="716" t="n">
        <f aca="false">20*LOG10((E403*G403/(C403*O403))*Acs*Am)</f>
        <v>17.9728499704574</v>
      </c>
      <c r="AB403" s="717" t="n">
        <f aca="false">(F403+H403-(D403+P403))*radconv</f>
        <v>-121.409908169131</v>
      </c>
      <c r="AD403" s="0" t="n">
        <f aca="false">SUM((Q404&lt;0)*(Q403&gt;0))*A403</f>
        <v>0</v>
      </c>
      <c r="AE403" s="0" t="n">
        <f aca="false">IF(AD403&gt;0,S403,0)</f>
        <v>0</v>
      </c>
    </row>
    <row r="404" customFormat="false" ht="12.75" hidden="false" customHeight="false" outlineLevel="0" collapsed="false">
      <c r="A404" s="718" t="n">
        <v>36942.5</v>
      </c>
      <c r="B404" s="706" t="n">
        <f aca="false">A404/1000</f>
        <v>36.9425</v>
      </c>
      <c r="C404" s="707" t="n">
        <f aca="false">SQRT(1+(A404/pole1)^2)</f>
        <v>63.095508300595</v>
      </c>
      <c r="D404" s="708" t="n">
        <f aca="false">ATAN(A404/pole1)</f>
        <v>1.55494667447032</v>
      </c>
      <c r="E404" s="708" t="n">
        <f aca="false">SQRT(1+(A404/Zero1)^2)</f>
        <v>1.10250279534493</v>
      </c>
      <c r="F404" s="709" t="n">
        <f aca="false">ATAN(A404/Zero1)</f>
        <v>0.434626968088017</v>
      </c>
      <c r="G404" s="708" t="n">
        <f aca="false">IF(VIN_nom&gt;Vout, 1, SQRT(1+(A404/z_RHP)^2))</f>
        <v>1.14007771035596</v>
      </c>
      <c r="H404" s="709" t="n">
        <f aca="false">IF(VIN_nom&gt;Vout, 0, -ATAN(A404/z_RHP))</f>
        <v>-0.500936508680132</v>
      </c>
      <c r="I404" s="707" t="n">
        <f aca="false">SQRT(1+(A404/Pole2)^2)</f>
        <v>153244.352599483</v>
      </c>
      <c r="J404" s="710" t="n">
        <f aca="false">ATAN(A404/Pole2)</f>
        <v>1.57078980126894</v>
      </c>
      <c r="K404" s="719" t="n">
        <f aca="false">SQRT(1+(A404/Zero2)^2)</f>
        <v>47.4249964910327</v>
      </c>
      <c r="L404" s="720" t="n">
        <f aca="false">ATAN(A404/Zero2)</f>
        <v>1.54970883725261</v>
      </c>
      <c r="M404" s="707" t="n">
        <f aca="false">SQRT(1+(A404/pole4)^2)</f>
        <v>1.78045898699283</v>
      </c>
      <c r="N404" s="710" t="n">
        <f aca="false">ATAN(A404/pole4)</f>
        <v>0.974414077703631</v>
      </c>
      <c r="O404" s="711" t="n">
        <f aca="false">SQRT((1-(V404/pterm2))^2+(A404/pterm1)^2)</f>
        <v>1.07083837696083</v>
      </c>
      <c r="P404" s="712" t="n">
        <f aca="false">IF((ATAN((A404/pterm1)/(1-A404^2/pterm2))&gt;0),ATAN((A404/pterm1)/(1-A404^2/pterm2)),PI()+ATAN((A404/pterm1)/(1-A404^2/pterm2)))</f>
        <v>0.500787466304202</v>
      </c>
      <c r="Q404" s="713" t="n">
        <f aca="false">20*LOG10(((E404*K404*G404)/(C404*I404*O404*M404))*Adc)</f>
        <v>-20.6453956801373</v>
      </c>
      <c r="R404" s="714" t="n">
        <f aca="false">((F404+L404+H404)-(D404+J404+P404+N404))*radconv</f>
        <v>-178.621811505571</v>
      </c>
      <c r="S404" s="717" t="n">
        <f aca="false">IF(R404&gt;0,R404,R404+180)</f>
        <v>1.37818849442874</v>
      </c>
      <c r="U404" s="644" t="n">
        <f aca="false">IF(Q404&lt;0,A404,1000000000)</f>
        <v>36942.5</v>
      </c>
      <c r="V404" s="644" t="n">
        <f aca="false">A404^2</f>
        <v>1364748306.25</v>
      </c>
      <c r="X404" s="716" t="n">
        <f aca="false">20*LOG10((K404/(I404*M404))*AEA)</f>
        <v>12.8984914235034</v>
      </c>
      <c r="Y404" s="717" t="n">
        <f aca="false">(L404-(J404+N404))*radconv</f>
        <v>-57.0376644819289</v>
      </c>
      <c r="AA404" s="716" t="n">
        <f aca="false">20*LOG10((E404*G404/(C404*O404))*Acs*Am)</f>
        <v>17.9367382509137</v>
      </c>
      <c r="AB404" s="717" t="n">
        <f aca="false">(F404+H404-(D404+P404))*radconv</f>
        <v>-121.584147023642</v>
      </c>
      <c r="AD404" s="0" t="n">
        <f aca="false">SUM((Q405&lt;0)*(Q404&gt;0))*A404</f>
        <v>0</v>
      </c>
      <c r="AE404" s="0" t="n">
        <f aca="false">IF(AD404&gt;0,S404,0)</f>
        <v>0</v>
      </c>
    </row>
    <row r="405" customFormat="false" ht="12.75" hidden="false" customHeight="false" outlineLevel="0" collapsed="false">
      <c r="A405" s="718" t="n">
        <v>37154</v>
      </c>
      <c r="B405" s="706" t="n">
        <f aca="false">A405/1000</f>
        <v>37.154</v>
      </c>
      <c r="C405" s="707" t="n">
        <f aca="false">SQRT(1+(A405/pole1)^2)</f>
        <v>63.4566467585478</v>
      </c>
      <c r="D405" s="708" t="n">
        <f aca="false">ATAN(A405/pole1)</f>
        <v>1.55503688400013</v>
      </c>
      <c r="E405" s="708" t="n">
        <f aca="false">SQRT(1+(A405/Zero1)^2)</f>
        <v>1.1036245482826</v>
      </c>
      <c r="F405" s="709" t="n">
        <f aca="false">ATAN(A405/Zero1)</f>
        <v>0.436811304519677</v>
      </c>
      <c r="G405" s="708" t="n">
        <f aca="false">IF(VIN_nom&gt;Vout, 1, SQRT(1+(A405/z_RHP)^2))</f>
        <v>1.14158640853878</v>
      </c>
      <c r="H405" s="709" t="n">
        <f aca="false">IF(VIN_nom&gt;Vout, 0, -ATAN(A405/z_RHP))</f>
        <v>-0.503344974870939</v>
      </c>
      <c r="I405" s="707" t="n">
        <f aca="false">SQRT(1+(A405/Pole2)^2)</f>
        <v>154121.693888606</v>
      </c>
      <c r="J405" s="710" t="n">
        <f aca="false">ATAN(A405/Pole2)</f>
        <v>1.57078983841565</v>
      </c>
      <c r="K405" s="719" t="n">
        <f aca="false">SQRT(1+(A405/Zero2)^2)</f>
        <v>47.6963895957804</v>
      </c>
      <c r="L405" s="720" t="n">
        <f aca="false">ATAN(A405/Zero2)</f>
        <v>1.54982884299168</v>
      </c>
      <c r="M405" s="707" t="n">
        <f aca="false">SQRT(1+(A405/pole4)^2)</f>
        <v>1.78744306622672</v>
      </c>
      <c r="N405" s="710" t="n">
        <f aca="false">ATAN(A405/pole4)</f>
        <v>0.97706412543351</v>
      </c>
      <c r="O405" s="711" t="n">
        <f aca="false">SQRT((1-(V405/pterm2))^2+(A405/pterm1)^2)</f>
        <v>1.07164455811005</v>
      </c>
      <c r="P405" s="712" t="n">
        <f aca="false">IF((ATAN((A405/pterm1)/(1-A405^2/pterm2))&gt;0),ATAN((A405/pterm1)/(1-A405^2/pterm2)),PI()+ATAN((A405/pterm1)/(1-A405^2/pterm2)))</f>
        <v>0.503508895003694</v>
      </c>
      <c r="Q405" s="713" t="n">
        <f aca="false">20*LOG10(((E405*K405*G405)/(C405*I405*O405*M405))*Adc)</f>
        <v>-20.7152129465943</v>
      </c>
      <c r="R405" s="714" t="n">
        <f aca="false">((F405+L405+H405)-(D405+J405+P405+N405))*radconv</f>
        <v>-178.940711055668</v>
      </c>
      <c r="S405" s="717" t="n">
        <f aca="false">IF(R405&gt;0,R405,R405+180)</f>
        <v>1.05928894433163</v>
      </c>
      <c r="U405" s="644" t="n">
        <f aca="false">IF(Q405&lt;0,A405,1000000000)</f>
        <v>37154</v>
      </c>
      <c r="V405" s="644" t="n">
        <f aca="false">A405^2</f>
        <v>1380419716</v>
      </c>
      <c r="X405" s="716" t="n">
        <f aca="false">20*LOG10((K405/(I405*M405))*AEA)</f>
        <v>12.864464634274</v>
      </c>
      <c r="Y405" s="717" t="n">
        <f aca="false">(L405-(J405+N405))*radconv</f>
        <v>-57.182627338508</v>
      </c>
      <c r="AA405" s="716" t="n">
        <f aca="false">20*LOG10((E405*G405/(C405*O405))*Acs*Am)</f>
        <v>17.9009477736861</v>
      </c>
      <c r="AB405" s="717" t="n">
        <f aca="false">(F405+H405-(D405+P405))*radconv</f>
        <v>-121.75808371716</v>
      </c>
      <c r="AD405" s="0" t="n">
        <f aca="false">SUM((Q406&lt;0)*(Q405&gt;0))*A405</f>
        <v>0</v>
      </c>
      <c r="AE405" s="0" t="n">
        <f aca="false">IF(AD405&gt;0,S405,0)</f>
        <v>0</v>
      </c>
    </row>
    <row r="406" customFormat="false" ht="12.75" hidden="false" customHeight="false" outlineLevel="0" collapsed="false">
      <c r="A406" s="718" t="n">
        <v>37370.25</v>
      </c>
      <c r="B406" s="706" t="n">
        <f aca="false">A406/1000</f>
        <v>37.37025</v>
      </c>
      <c r="C406" s="707" t="n">
        <f aca="false">SQRT(1+(A406/pole1)^2)</f>
        <v>63.8258964188996</v>
      </c>
      <c r="D406" s="708" t="n">
        <f aca="false">ATAN(A406/pole1)</f>
        <v>1.55512806402031</v>
      </c>
      <c r="E406" s="708" t="n">
        <f aca="false">SQRT(1+(A406/Zero1)^2)</f>
        <v>1.10477692752962</v>
      </c>
      <c r="F406" s="709" t="n">
        <f aca="false">ATAN(A406/Zero1)</f>
        <v>0.439040100887958</v>
      </c>
      <c r="G406" s="708" t="n">
        <f aca="false">IF(VIN_nom&gt;Vout, 1, SQRT(1+(A406/z_RHP)^2))</f>
        <v>1.14313581847778</v>
      </c>
      <c r="H406" s="709" t="n">
        <f aca="false">IF(VIN_nom&gt;Vout, 0, -ATAN(A406/z_RHP))</f>
        <v>-0.505800944190999</v>
      </c>
      <c r="I406" s="707" t="n">
        <f aca="false">SQRT(1+(A406/Pole2)^2)</f>
        <v>155018.739060109</v>
      </c>
      <c r="J406" s="710" t="n">
        <f aca="false">ATAN(A406/Pole2)</f>
        <v>1.57078987596188</v>
      </c>
      <c r="K406" s="719" t="n">
        <f aca="false">SQRT(1+(A406/Zero2)^2)</f>
        <v>47.9738785196191</v>
      </c>
      <c r="L406" s="720" t="n">
        <f aca="false">ATAN(A406/Zero2)</f>
        <v>1.54995014004113</v>
      </c>
      <c r="M406" s="707" t="n">
        <f aca="false">SQRT(1+(A406/pole4)^2)</f>
        <v>1.794596874909</v>
      </c>
      <c r="N406" s="710" t="n">
        <f aca="false">ATAN(A406/pole4)</f>
        <v>0.979752343665412</v>
      </c>
      <c r="O406" s="711" t="n">
        <f aca="false">SQRT((1-(V406/pterm2))^2+(A406/pterm1)^2)</f>
        <v>1.0724734432213</v>
      </c>
      <c r="P406" s="712" t="n">
        <f aca="false">IF((ATAN((A406/pterm1)/(1-A406^2/pterm2))&gt;0),ATAN((A406/pterm1)/(1-A406^2/pterm2)),PI()+ATAN((A406/pterm1)/(1-A406^2/pterm2)))</f>
        <v>0.506289050801369</v>
      </c>
      <c r="Q406" s="713" t="n">
        <f aca="false">20*LOG10(((E406*K406*G406)/(C406*I406*O406*M406))*Adc)</f>
        <v>-20.7861947902226</v>
      </c>
      <c r="R406" s="714" t="n">
        <f aca="false">((F406+L406+H406)-(D406+J406+P406+N406))*radconv</f>
        <v>-179.265318432661</v>
      </c>
      <c r="S406" s="717" t="n">
        <f aca="false">IF(R406&gt;0,R406,R406+180)</f>
        <v>0.734681567338555</v>
      </c>
      <c r="U406" s="644" t="n">
        <f aca="false">IF(Q406&lt;0,A406,1000000000)</f>
        <v>37370.25</v>
      </c>
      <c r="V406" s="644" t="n">
        <f aca="false">A406^2</f>
        <v>1396535585.0625</v>
      </c>
      <c r="X406" s="716" t="n">
        <f aca="false">20*LOG10((K406/(I406*M406))*AEA)</f>
        <v>12.8297488116398</v>
      </c>
      <c r="Y406" s="717" t="n">
        <f aca="false">(L406-(J406+N406))*radconv</f>
        <v>-57.3297032400141</v>
      </c>
      <c r="AA406" s="716" t="n">
        <f aca="false">20*LOG10((E406*G406/(C406*O406))*Acs*Am)</f>
        <v>17.864681752692</v>
      </c>
      <c r="AB406" s="717" t="n">
        <f aca="false">(F406+H406-(D406+P406))*radconv</f>
        <v>-121.935615192647</v>
      </c>
      <c r="AD406" s="0" t="n">
        <f aca="false">SUM((Q407&lt;0)*(Q406&gt;0))*A406</f>
        <v>0</v>
      </c>
      <c r="AE406" s="0" t="n">
        <f aca="false">IF(AD406&gt;0,S406,0)</f>
        <v>0</v>
      </c>
    </row>
    <row r="407" customFormat="false" ht="12.75" hidden="false" customHeight="false" outlineLevel="0" collapsed="false">
      <c r="A407" s="718" t="n">
        <v>37586.5</v>
      </c>
      <c r="B407" s="706" t="n">
        <f aca="false">A407/1000</f>
        <v>37.5865</v>
      </c>
      <c r="C407" s="707" t="n">
        <f aca="false">SQRT(1+(A407/pole1)^2)</f>
        <v>64.1951466037826</v>
      </c>
      <c r="D407" s="708" t="n">
        <f aca="false">ATAN(A407/pole1)</f>
        <v>1.55521819510712</v>
      </c>
      <c r="E407" s="708" t="n">
        <f aca="false">SQRT(1+(A407/Zero1)^2)</f>
        <v>1.1059347833399</v>
      </c>
      <c r="F407" s="709" t="n">
        <f aca="false">ATAN(A407/Zero1)</f>
        <v>0.441264241419309</v>
      </c>
      <c r="G407" s="708" t="n">
        <f aca="false">IF(VIN_nom&gt;Vout, 1, SQRT(1+(A407/z_RHP)^2))</f>
        <v>1.14469210487638</v>
      </c>
      <c r="H407" s="709" t="n">
        <f aca="false">IF(VIN_nom&gt;Vout, 0, -ATAN(A407/z_RHP))</f>
        <v>-0.508250250138293</v>
      </c>
      <c r="I407" s="707" t="n">
        <f aca="false">SQRT(1+(A407/Pole2)^2)</f>
        <v>155915.784231612</v>
      </c>
      <c r="J407" s="710" t="n">
        <f aca="false">ATAN(A407/Pole2)</f>
        <v>1.57078991307607</v>
      </c>
      <c r="K407" s="719" t="n">
        <f aca="false">SQRT(1+(A407/Zero2)^2)</f>
        <v>48.2513681411778</v>
      </c>
      <c r="L407" s="720" t="n">
        <f aca="false">ATAN(A407/Zero2)</f>
        <v>1.55007004195375</v>
      </c>
      <c r="M407" s="707" t="n">
        <f aca="false">SQRT(1+(A407/pole4)^2)</f>
        <v>1.80176354923916</v>
      </c>
      <c r="N407" s="710" t="n">
        <f aca="false">ATAN(A407/pole4)</f>
        <v>0.982419195788997</v>
      </c>
      <c r="O407" s="711" t="n">
        <f aca="false">SQRT((1-(V407/pterm2))^2+(A407/pterm1)^2)</f>
        <v>1.07330697520136</v>
      </c>
      <c r="P407" s="712" t="n">
        <f aca="false">IF((ATAN((A407/pterm1)/(1-A407^2/pterm2))&gt;0),ATAN((A407/pterm1)/(1-A407^2/pterm2)),PI()+ATAN((A407/pterm1)/(1-A407^2/pterm2)))</f>
        <v>0.509066778587838</v>
      </c>
      <c r="Q407" s="713" t="n">
        <f aca="false">20*LOG10(((E407*K407*G407)/(C407*I407*O407*M407))*Adc)</f>
        <v>-20.8567722415126</v>
      </c>
      <c r="R407" s="714" t="n">
        <f aca="false">((F407+L407+H407)-(D407+J407+P407+N407))*radconv</f>
        <v>-179.58846729494</v>
      </c>
      <c r="S407" s="717" t="n">
        <f aca="false">IF(R407&gt;0,R407,R407+180)</f>
        <v>0.411532705060466</v>
      </c>
      <c r="U407" s="644" t="n">
        <f aca="false">IF(Q407&lt;0,A407,1000000000)</f>
        <v>37586.5</v>
      </c>
      <c r="V407" s="644" t="n">
        <f aca="false">A407^2</f>
        <v>1412744982.25</v>
      </c>
      <c r="X407" s="716" t="n">
        <f aca="false">20*LOG10((K407/(I407*M407))*AEA)</f>
        <v>12.7951093707442</v>
      </c>
      <c r="Y407" s="717" t="n">
        <f aca="false">(L407-(J407+N407))*radconv</f>
        <v>-57.4756348643856</v>
      </c>
      <c r="AA407" s="716" t="n">
        <f aca="false">20*LOG10((E407*G407/(C407*O407))*Acs*Am)</f>
        <v>17.8287437422976</v>
      </c>
      <c r="AB407" s="717" t="n">
        <f aca="false">(F407+H407-(D407+P407))*radconv</f>
        <v>-122.112832430554</v>
      </c>
      <c r="AD407" s="0" t="n">
        <f aca="false">SUM((Q408&lt;0)*(Q407&gt;0))*A407</f>
        <v>0</v>
      </c>
      <c r="AE407" s="0" t="n">
        <f aca="false">IF(AD407&gt;0,S407,0)</f>
        <v>0</v>
      </c>
    </row>
    <row r="408" customFormat="false" ht="12.75" hidden="false" customHeight="false" outlineLevel="0" collapsed="false">
      <c r="A408" s="718" t="n">
        <v>37802.75</v>
      </c>
      <c r="B408" s="706" t="n">
        <f aca="false">A408/1000</f>
        <v>37.80275</v>
      </c>
      <c r="C408" s="707" t="n">
        <f aca="false">SQRT(1+(A408/pole1)^2)</f>
        <v>64.564397304197</v>
      </c>
      <c r="D408" s="708" t="n">
        <f aca="false">ATAN(A408/pole1)</f>
        <v>1.55530729525599</v>
      </c>
      <c r="E408" s="708" t="n">
        <f aca="false">SQRT(1+(A408/Zero1)^2)</f>
        <v>1.10709809853049</v>
      </c>
      <c r="F408" s="709" t="n">
        <f aca="false">ATAN(A408/Zero1)</f>
        <v>0.443483718751441</v>
      </c>
      <c r="G408" s="708" t="n">
        <f aca="false">IF(VIN_nom&gt;Vout, 1, SQRT(1+(A408/z_RHP)^2))</f>
        <v>1.14625523972579</v>
      </c>
      <c r="H408" s="709" t="n">
        <f aca="false">IF(VIN_nom&gt;Vout, 0, -ATAN(A408/z_RHP))</f>
        <v>-0.510692890526324</v>
      </c>
      <c r="I408" s="707" t="n">
        <f aca="false">SQRT(1+(A408/Pole2)^2)</f>
        <v>156812.829403115</v>
      </c>
      <c r="J408" s="710" t="n">
        <f aca="false">ATAN(A408/Pole2)</f>
        <v>1.57078994976565</v>
      </c>
      <c r="K408" s="719" t="n">
        <f aca="false">SQRT(1+(A408/Zero2)^2)</f>
        <v>48.5288584484877</v>
      </c>
      <c r="L408" s="720" t="n">
        <f aca="false">ATAN(A408/Zero2)</f>
        <v>1.55018857265845</v>
      </c>
      <c r="M408" s="707" t="n">
        <f aca="false">SQRT(1+(A408/pole4)^2)</f>
        <v>1.80894293630377</v>
      </c>
      <c r="N408" s="710" t="n">
        <f aca="false">ATAN(A408/pole4)</f>
        <v>0.985064898039276</v>
      </c>
      <c r="O408" s="711" t="n">
        <f aca="false">SQRT((1-(V408/pterm2))^2+(A408/pterm1)^2)</f>
        <v>1.07414515159616</v>
      </c>
      <c r="P408" s="712" t="n">
        <f aca="false">IF((ATAN((A408/pterm1)/(1-A408^2/pterm2))&gt;0),ATAN((A408/pterm1)/(1-A408^2/pterm2)),PI()+ATAN((A408/pterm1)/(1-A408^2/pterm2)))</f>
        <v>0.511842069381991</v>
      </c>
      <c r="Q408" s="713" t="n">
        <f aca="false">20*LOG10(((E408*K408*G408)/(C408*I408*O408*M408))*Adc)</f>
        <v>-20.9269487962832</v>
      </c>
      <c r="R408" s="714" t="n">
        <f aca="false">((F408+L408+H408)-(D408+J408+P408+N408))*radconv</f>
        <v>-179.910169474289</v>
      </c>
      <c r="S408" s="717" t="n">
        <f aca="false">IF(R408&gt;0,R408,R408+180)</f>
        <v>0.0898305257114771</v>
      </c>
      <c r="U408" s="644" t="n">
        <f aca="false">IF(Q408&lt;0,A408,1000000000)</f>
        <v>37802.75</v>
      </c>
      <c r="V408" s="644" t="n">
        <f aca="false">A408^2</f>
        <v>1429047907.5625</v>
      </c>
      <c r="X408" s="716" t="n">
        <f aca="false">20*LOG10((K408/(I408*M408))*AEA)</f>
        <v>12.7605466804632</v>
      </c>
      <c r="Y408" s="717" t="n">
        <f aca="false">(L408-(J408+N408))*radconv</f>
        <v>-57.6204332303759</v>
      </c>
      <c r="AA408" s="716" t="n">
        <f aca="false">20*LOG10((E408*G408/(C408*O408))*Acs*Am)</f>
        <v>17.7931298778079</v>
      </c>
      <c r="AB408" s="717" t="n">
        <f aca="false">(F408+H408-(D408+P408))*radconv</f>
        <v>-122.289736243913</v>
      </c>
      <c r="AD408" s="0" t="n">
        <f aca="false">SUM((Q409&lt;0)*(Q408&gt;0))*A408</f>
        <v>0</v>
      </c>
      <c r="AE408" s="0" t="n">
        <f aca="false">IF(AD408&gt;0,S408,0)</f>
        <v>0</v>
      </c>
    </row>
    <row r="409" customFormat="false" ht="12.75" hidden="false" customHeight="false" outlineLevel="0" collapsed="false">
      <c r="A409" s="718" t="n">
        <v>38019</v>
      </c>
      <c r="B409" s="706" t="n">
        <f aca="false">A409/1000</f>
        <v>38.019</v>
      </c>
      <c r="C409" s="707" t="n">
        <f aca="false">SQRT(1+(A409/pole1)^2)</f>
        <v>64.9336485113482</v>
      </c>
      <c r="D409" s="708" t="n">
        <f aca="false">ATAN(A409/pole1)</f>
        <v>1.55539538205304</v>
      </c>
      <c r="E409" s="708" t="n">
        <f aca="false">SQRT(1+(A409/Zero1)^2)</f>
        <v>1.10826685590973</v>
      </c>
      <c r="F409" s="709" t="n">
        <f aca="false">ATAN(A409/Zero1)</f>
        <v>0.44569852573667</v>
      </c>
      <c r="G409" s="708" t="n">
        <f aca="false">IF(VIN_nom&gt;Vout, 1, SQRT(1+(A409/z_RHP)^2))</f>
        <v>1.14782519504687</v>
      </c>
      <c r="H409" s="709" t="n">
        <f aca="false">IF(VIN_nom&gt;Vout, 0, -ATAN(A409/z_RHP))</f>
        <v>-0.513128863498636</v>
      </c>
      <c r="I409" s="707" t="n">
        <f aca="false">SQRT(1+(A409/Pole2)^2)</f>
        <v>157709.874574618</v>
      </c>
      <c r="J409" s="710" t="n">
        <f aca="false">ATAN(A409/Pole2)</f>
        <v>1.57078998603784</v>
      </c>
      <c r="K409" s="719" t="n">
        <f aca="false">SQRT(1+(A409/Zero2)^2)</f>
        <v>48.8063494298523</v>
      </c>
      <c r="L409" s="720" t="n">
        <f aca="false">ATAN(A409/Zero2)</f>
        <v>1.55030575554008</v>
      </c>
      <c r="M409" s="707" t="n">
        <f aca="false">SQRT(1+(A409/pole4)^2)</f>
        <v>1.81613488533818</v>
      </c>
      <c r="N409" s="710" t="n">
        <f aca="false">ATAN(A409/pole4)</f>
        <v>0.987689664419523</v>
      </c>
      <c r="O409" s="711" t="n">
        <f aca="false">SQRT((1-(V409/pterm2))^2+(A409/pterm1)^2)</f>
        <v>1.07498796994726</v>
      </c>
      <c r="P409" s="712" t="n">
        <f aca="false">IF((ATAN((A409/pterm1)/(1-A409^2/pterm2))&gt;0),ATAN((A409/pterm1)/(1-A409^2/pterm2)),PI()+ATAN((A409/pterm1)/(1-A409^2/pterm2)))</f>
        <v>0.514614914273224</v>
      </c>
      <c r="Q409" s="713" t="n">
        <f aca="false">20*LOG10(((E409*K409*G409)/(C409*I409*O409*M409))*Adc)</f>
        <v>-20.9967279104189</v>
      </c>
      <c r="R409" s="714" t="n">
        <f aca="false">((F409+L409+H409)-(D409+J409+P409+N409))*radconv</f>
        <v>-180.230436692991</v>
      </c>
      <c r="S409" s="717" t="n">
        <f aca="false">IF(R409&gt;0,R409,R409+180)</f>
        <v>-0.230436692991248</v>
      </c>
      <c r="U409" s="644" t="n">
        <f aca="false">IF(Q409&lt;0,A409,1000000000)</f>
        <v>38019</v>
      </c>
      <c r="V409" s="644" t="n">
        <f aca="false">A409^2</f>
        <v>1445444361</v>
      </c>
      <c r="X409" s="716" t="n">
        <f aca="false">20*LOG10((K409/(I409*M409))*AEA)</f>
        <v>12.7260610906348</v>
      </c>
      <c r="Y409" s="717" t="n">
        <f aca="false">(L409-(J409+N409))*radconv</f>
        <v>-57.764109260031</v>
      </c>
      <c r="AA409" s="716" t="n">
        <f aca="false">20*LOG10((E409*G409/(C409*O409))*Acs*Am)</f>
        <v>17.7578363535007</v>
      </c>
      <c r="AB409" s="717" t="n">
        <f aca="false">(F409+H409-(D409+P409))*radconv</f>
        <v>-122.46632743296</v>
      </c>
      <c r="AD409" s="0" t="n">
        <f aca="false">SUM((Q410&lt;0)*(Q409&gt;0))*A409</f>
        <v>0</v>
      </c>
      <c r="AE409" s="0" t="n">
        <f aca="false">IF(AD409&gt;0,S409,0)</f>
        <v>0</v>
      </c>
    </row>
    <row r="410" customFormat="false" ht="12.75" hidden="false" customHeight="false" outlineLevel="0" collapsed="false">
      <c r="A410" s="718" t="n">
        <v>38240.5</v>
      </c>
      <c r="B410" s="706" t="n">
        <f aca="false">A410/1000</f>
        <v>38.2405</v>
      </c>
      <c r="C410" s="707" t="n">
        <f aca="false">SQRT(1+(A410/pole1)^2)</f>
        <v>65.31186471503</v>
      </c>
      <c r="D410" s="708" t="n">
        <f aca="false">ATAN(A410/pole1)</f>
        <v>1.55548457478184</v>
      </c>
      <c r="E410" s="708" t="n">
        <f aca="false">SQRT(1+(A410/Zero1)^2)</f>
        <v>1.10946961174658</v>
      </c>
      <c r="F410" s="709" t="n">
        <f aca="false">ATAN(A410/Zero1)</f>
        <v>0.447962253557253</v>
      </c>
      <c r="G410" s="708" t="n">
        <f aca="false">IF(VIN_nom&gt;Vout, 1, SQRT(1+(A410/z_RHP)^2))</f>
        <v>1.14944030653913</v>
      </c>
      <c r="H410" s="709" t="n">
        <f aca="false">IF(VIN_nom&gt;Vout, 0, -ATAN(A410/z_RHP))</f>
        <v>-0.51561706191998</v>
      </c>
      <c r="I410" s="707" t="n">
        <f aca="false">SQRT(1+(A410/Pole2)^2)</f>
        <v>158628.697721384</v>
      </c>
      <c r="J410" s="710" t="n">
        <f aca="false">ATAN(A410/Pole2)</f>
        <v>1.57079002276533</v>
      </c>
      <c r="K410" s="719" t="n">
        <f aca="false">SQRT(1+(A410/Zero2)^2)</f>
        <v>49.0905778733408</v>
      </c>
      <c r="L410" s="720" t="n">
        <f aca="false">ATAN(A410/Zero2)</f>
        <v>1.55042440990494</v>
      </c>
      <c r="M410" s="707" t="n">
        <f aca="false">SQRT(1+(A410/pole4)^2)</f>
        <v>1.8235143043958</v>
      </c>
      <c r="N410" s="710" t="n">
        <f aca="false">ATAN(A410/pole4)</f>
        <v>0.990356670328759</v>
      </c>
      <c r="O410" s="711" t="n">
        <f aca="false">SQRT((1-(V410/pterm2))^2+(A410/pterm1)^2)</f>
        <v>1.07585605957724</v>
      </c>
      <c r="P410" s="712" t="n">
        <f aca="false">IF((ATAN((A410/pterm1)/(1-A410^2/pterm2))&gt;0),ATAN((A410/pterm1)/(1-A410^2/pterm2)),PI()+ATAN((A410/pterm1)/(1-A410^2/pterm2)))</f>
        <v>0.517452531853575</v>
      </c>
      <c r="Q410" s="713" t="n">
        <f aca="false">20*LOG10(((E410*K410*G410)/(C410*I410*O410*M410))*Adc)</f>
        <v>-21.0677926235037</v>
      </c>
      <c r="R410" s="714" t="n">
        <f aca="false">((F410+L410+H410)-(D410+J410+P410+N410))*radconv</f>
        <v>-180.557003682101</v>
      </c>
      <c r="S410" s="717" t="n">
        <f aca="false">IF(R410&gt;0,R410,R410+180)</f>
        <v>-0.557003682101026</v>
      </c>
      <c r="U410" s="644" t="n">
        <f aca="false">IF(Q410&lt;0,A410,1000000000)</f>
        <v>38240.5</v>
      </c>
      <c r="V410" s="644" t="n">
        <f aca="false">A410^2</f>
        <v>1462335840.25</v>
      </c>
      <c r="X410" s="716" t="n">
        <f aca="false">20*LOG10((K410/(I410*M410))*AEA)</f>
        <v>12.6908185553976</v>
      </c>
      <c r="Y410" s="717" t="n">
        <f aca="false">(L410-(J410+N410))*radconv</f>
        <v>-57.9101211527366</v>
      </c>
      <c r="AA410" s="716" t="n">
        <f aca="false">20*LOG10((E410*G410/(C410*O410))*Acs*Am)</f>
        <v>17.7220141756531</v>
      </c>
      <c r="AB410" s="717" t="n">
        <f aca="false">(F410+H410-(D410+P410))*radconv</f>
        <v>-122.646882529364</v>
      </c>
      <c r="AD410" s="0" t="n">
        <f aca="false">SUM((Q411&lt;0)*(Q410&gt;0))*A410</f>
        <v>0</v>
      </c>
      <c r="AE410" s="0" t="n">
        <f aca="false">IF(AD410&gt;0,S410,0)</f>
        <v>0</v>
      </c>
    </row>
    <row r="411" customFormat="false" ht="12.75" hidden="false" customHeight="false" outlineLevel="0" collapsed="false">
      <c r="A411" s="718" t="n">
        <v>38462</v>
      </c>
      <c r="B411" s="706" t="n">
        <f aca="false">A411/1000</f>
        <v>38.462</v>
      </c>
      <c r="C411" s="707" t="n">
        <f aca="false">SQRT(1+(A411/pole1)^2)</f>
        <v>65.6900814323071</v>
      </c>
      <c r="D411" s="708" t="n">
        <f aca="false">ATAN(A411/pole1)</f>
        <v>1.55557274044056</v>
      </c>
      <c r="E411" s="708" t="n">
        <f aca="false">SQRT(1+(A411/Zero1)^2)</f>
        <v>1.11067804068959</v>
      </c>
      <c r="F411" s="709" t="n">
        <f aca="false">ATAN(A411/Zero1)</f>
        <v>0.450221067014574</v>
      </c>
      <c r="G411" s="708" t="n">
        <f aca="false">IF(VIN_nom&gt;Vout, 1, SQRT(1+(A411/z_RHP)^2))</f>
        <v>1.15106251437114</v>
      </c>
      <c r="H411" s="709" t="n">
        <f aca="false">IF(VIN_nom&gt;Vout, 0, -ATAN(A411/z_RHP))</f>
        <v>-0.518098262363989</v>
      </c>
      <c r="I411" s="707" t="n">
        <f aca="false">SQRT(1+(A411/Pole2)^2)</f>
        <v>159547.520868149</v>
      </c>
      <c r="J411" s="710" t="n">
        <f aca="false">ATAN(A411/Pole2)</f>
        <v>1.5707900590698</v>
      </c>
      <c r="K411" s="719" t="n">
        <f aca="false">SQRT(1+(A411/Zero2)^2)</f>
        <v>49.3748070000114</v>
      </c>
      <c r="L411" s="720" t="n">
        <f aca="false">ATAN(A411/Zero2)</f>
        <v>1.55054169818907</v>
      </c>
      <c r="M411" s="707" t="n">
        <f aca="false">SQRT(1+(A411/pole4)^2)</f>
        <v>1.83090658935758</v>
      </c>
      <c r="N411" s="710" t="n">
        <f aca="false">ATAN(A411/pole4)</f>
        <v>0.993002158857251</v>
      </c>
      <c r="O411" s="711" t="n">
        <f aca="false">SQRT((1-(V411/pterm2))^2+(A411/pterm1)^2)</f>
        <v>1.07672901405473</v>
      </c>
      <c r="P411" s="712" t="n">
        <f aca="false">IF((ATAN((A411/pterm1)/(1-A411^2/pterm2))&gt;0),ATAN((A411/pterm1)/(1-A411^2/pterm2)),PI()+ATAN((A411/pterm1)/(1-A411^2/pterm2)))</f>
        <v>0.52028756463152</v>
      </c>
      <c r="Q411" s="713" t="n">
        <f aca="false">20*LOG10(((E411*K411*G411)/(C411*I411*O411*M411))*Adc)</f>
        <v>-21.1384475783204</v>
      </c>
      <c r="R411" s="714" t="n">
        <f aca="false">((F411+L411+H411)-(D411+J411+P411+N411))*radconv</f>
        <v>-180.882089735188</v>
      </c>
      <c r="S411" s="717" t="n">
        <f aca="false">IF(R411&gt;0,R411,R411+180)</f>
        <v>-0.882089735187634</v>
      </c>
      <c r="U411" s="644" t="n">
        <f aca="false">IF(Q411&lt;0,A411,1000000000)</f>
        <v>38462</v>
      </c>
      <c r="V411" s="644" t="n">
        <f aca="false">A411^2</f>
        <v>1479325444</v>
      </c>
      <c r="X411" s="716" t="n">
        <f aca="false">20*LOG10((K411/(I411*M411))*AEA)</f>
        <v>12.6556575935542</v>
      </c>
      <c r="Y411" s="717" t="n">
        <f aca="false">(L411-(J411+N411))*radconv</f>
        <v>-58.0549784367609</v>
      </c>
      <c r="AA411" s="716" t="n">
        <f aca="false">20*LOG10((E411*G411/(C411*O411))*Acs*Am)</f>
        <v>17.6865201826798</v>
      </c>
      <c r="AB411" s="717" t="n">
        <f aca="false">(F411+H411-(D411+P411))*radconv</f>
        <v>-122.827111298427</v>
      </c>
      <c r="AD411" s="0" t="n">
        <f aca="false">SUM((Q412&lt;0)*(Q411&gt;0))*A411</f>
        <v>0</v>
      </c>
      <c r="AE411" s="0" t="n">
        <f aca="false">IF(AD411&gt;0,S411,0)</f>
        <v>0</v>
      </c>
    </row>
    <row r="412" customFormat="false" ht="12.75" hidden="false" customHeight="false" outlineLevel="0" collapsed="false">
      <c r="A412" s="718" t="n">
        <v>38683.5</v>
      </c>
      <c r="B412" s="706" t="n">
        <f aca="false">A412/1000</f>
        <v>38.6835</v>
      </c>
      <c r="C412" s="707" t="n">
        <f aca="false">SQRT(1+(A412/pole1)^2)</f>
        <v>66.0682986543589</v>
      </c>
      <c r="D412" s="708" t="n">
        <f aca="false">ATAN(A412/pole1)</f>
        <v>1.55565989666665</v>
      </c>
      <c r="E412" s="708" t="n">
        <f aca="false">SQRT(1+(A412/Zero1)^2)</f>
        <v>1.11189212424181</v>
      </c>
      <c r="F412" s="709" t="n">
        <f aca="false">ATAN(A412/Zero1)</f>
        <v>0.452474959119381</v>
      </c>
      <c r="G412" s="708" t="n">
        <f aca="false">IF(VIN_nom&gt;Vout, 1, SQRT(1+(A412/z_RHP)^2))</f>
        <v>1.1526917885824</v>
      </c>
      <c r="H412" s="709" t="n">
        <f aca="false">IF(VIN_nom&gt;Vout, 0, -ATAN(A412/z_RHP))</f>
        <v>-0.520572463890114</v>
      </c>
      <c r="I412" s="707" t="n">
        <f aca="false">SQRT(1+(A412/Pole2)^2)</f>
        <v>160466.344014915</v>
      </c>
      <c r="J412" s="710" t="n">
        <f aca="false">ATAN(A412/Pole2)</f>
        <v>1.57079009495852</v>
      </c>
      <c r="K412" s="719" t="n">
        <f aca="false">SQRT(1+(A412/Zero2)^2)</f>
        <v>49.6590367981333</v>
      </c>
      <c r="L412" s="720" t="n">
        <f aca="false">ATAN(A412/Zero2)</f>
        <v>1.55065764384603</v>
      </c>
      <c r="M412" s="707" t="n">
        <f aca="false">SQRT(1+(A412/pole4)^2)</f>
        <v>1.83831158501301</v>
      </c>
      <c r="N412" s="710" t="n">
        <f aca="false">ATAN(A412/pole4)</f>
        <v>0.995626352776783</v>
      </c>
      <c r="O412" s="711" t="n">
        <f aca="false">SQRT((1-(V412/pterm2))^2+(A412/pterm1)^2)</f>
        <v>1.07760683072453</v>
      </c>
      <c r="P412" s="712" t="n">
        <f aca="false">IF((ATAN((A412/pterm1)/(1-A412^2/pterm2))&gt;0),ATAN((A412/pterm1)/(1-A412^2/pterm2)),PI()+ATAN((A412/pterm1)/(1-A412^2/pterm2)))</f>
        <v>0.523120003261582</v>
      </c>
      <c r="Q412" s="713" t="n">
        <f aca="false">20*LOG10(((E412*K412*G412)/(C412*I412*O412*M412))*Adc)</f>
        <v>-21.2086963632199</v>
      </c>
      <c r="R412" s="714" t="n">
        <f aca="false">((F412+L412+H412)-(D412+J412+P412+N412))*radconv</f>
        <v>-181.20570709442</v>
      </c>
      <c r="S412" s="717" t="n">
        <f aca="false">IF(R412&gt;0,R412,R412+180)</f>
        <v>-1.20570709442009</v>
      </c>
      <c r="U412" s="644" t="n">
        <f aca="false">IF(Q412&lt;0,A412,1000000000)</f>
        <v>38683.5</v>
      </c>
      <c r="V412" s="644" t="n">
        <f aca="false">A412^2</f>
        <v>1496413172.25</v>
      </c>
      <c r="X412" s="716" t="n">
        <f aca="false">20*LOG10((K412/(I412*M412))*AEA)</f>
        <v>12.6205785221634</v>
      </c>
      <c r="Y412" s="717" t="n">
        <f aca="false">(L412-(J412+N412))*radconv</f>
        <v>-58.1986925326136</v>
      </c>
      <c r="AA412" s="716" t="n">
        <f aca="false">20*LOG10((E412*G412/(C412*O412))*Acs*Am)</f>
        <v>17.6513504691711</v>
      </c>
      <c r="AB412" s="717" t="n">
        <f aca="false">(F412+H412-(D412+P412))*radconv</f>
        <v>-123.007014561807</v>
      </c>
      <c r="AD412" s="0" t="n">
        <f aca="false">SUM((Q413&lt;0)*(Q412&gt;0))*A412</f>
        <v>0</v>
      </c>
      <c r="AE412" s="0" t="n">
        <f aca="false">IF(AD412&gt;0,S412,0)</f>
        <v>0</v>
      </c>
    </row>
    <row r="413" customFormat="false" ht="12.75" hidden="false" customHeight="false" outlineLevel="0" collapsed="false">
      <c r="A413" s="718" t="n">
        <v>38905</v>
      </c>
      <c r="B413" s="706" t="n">
        <f aca="false">A413/1000</f>
        <v>38.905</v>
      </c>
      <c r="C413" s="707" t="n">
        <f aca="false">SQRT(1+(A413/pole1)^2)</f>
        <v>66.446516372566</v>
      </c>
      <c r="D413" s="708" t="n">
        <f aca="false">ATAN(A413/pole1)</f>
        <v>1.55574606069604</v>
      </c>
      <c r="E413" s="708" t="n">
        <f aca="false">SQRT(1+(A413/Zero1)^2)</f>
        <v>1.11311184390058</v>
      </c>
      <c r="F413" s="709" t="n">
        <f aca="false">ATAN(A413/Zero1)</f>
        <v>0.454723923112847</v>
      </c>
      <c r="G413" s="708" t="n">
        <f aca="false">IF(VIN_nom&gt;Vout, 1, SQRT(1+(A413/z_RHP)^2))</f>
        <v>1.15432809925143</v>
      </c>
      <c r="H413" s="709" t="n">
        <f aca="false">IF(VIN_nom&gt;Vout, 0, -ATAN(A413/z_RHP))</f>
        <v>-0.523039665905859</v>
      </c>
      <c r="I413" s="707" t="n">
        <f aca="false">SQRT(1+(A413/Pole2)^2)</f>
        <v>161385.167161681</v>
      </c>
      <c r="J413" s="710" t="n">
        <f aca="false">ATAN(A413/Pole2)</f>
        <v>1.57079013043858</v>
      </c>
      <c r="K413" s="719" t="n">
        <f aca="false">SQRT(1+(A413/Zero2)^2)</f>
        <v>49.9432672562428</v>
      </c>
      <c r="L413" s="720" t="n">
        <f aca="false">ATAN(A413/Zero2)</f>
        <v>1.55077226979562</v>
      </c>
      <c r="M413" s="707" t="n">
        <f aca="false">SQRT(1+(A413/pole4)^2)</f>
        <v>1.84572913837762</v>
      </c>
      <c r="N413" s="710" t="n">
        <f aca="false">ATAN(A413/pole4)</f>
        <v>0.99822947246044</v>
      </c>
      <c r="O413" s="711" t="n">
        <f aca="false">SQRT((1-(V413/pterm2))^2+(A413/pterm1)^2)</f>
        <v>1.07848950692716</v>
      </c>
      <c r="P413" s="712" t="n">
        <f aca="false">IF((ATAN((A413/pterm1)/(1-A413^2/pterm2))&gt;0),ATAN((A413/pterm1)/(1-A413^2/pterm2)),PI()+ATAN((A413/pterm1)/(1-A413^2/pterm2)))</f>
        <v>0.525949838475824</v>
      </c>
      <c r="Q413" s="713" t="n">
        <f aca="false">20*LOG10(((E413*K413*G413)/(C413*I413*O413*M413))*Adc)</f>
        <v>-21.2785425258281</v>
      </c>
      <c r="R413" s="714" t="n">
        <f aca="false">((F413+L413+H413)-(D413+J413+P413+N413))*radconv</f>
        <v>-181.527867883282</v>
      </c>
      <c r="S413" s="717" t="n">
        <f aca="false">IF(R413&gt;0,R413,R413+180)</f>
        <v>-1.52786788328208</v>
      </c>
      <c r="U413" s="644" t="n">
        <f aca="false">IF(Q413&lt;0,A413,1000000000)</f>
        <v>38905</v>
      </c>
      <c r="V413" s="644" t="n">
        <f aca="false">A413^2</f>
        <v>1513599025</v>
      </c>
      <c r="X413" s="716" t="n">
        <f aca="false">20*LOG10((K413/(I413*M413))*AEA)</f>
        <v>12.5855816394778</v>
      </c>
      <c r="Y413" s="717" t="n">
        <f aca="false">(L413-(J413+N413))*radconv</f>
        <v>-58.3412747539414</v>
      </c>
      <c r="AA413" s="716" t="n">
        <f aca="false">20*LOG10((E413*G413/(C413*O413))*Acs*Am)</f>
        <v>17.6165011892485</v>
      </c>
      <c r="AB413" s="717" t="n">
        <f aca="false">(F413+H413-(D413+P413))*radconv</f>
        <v>-123.186593129341</v>
      </c>
      <c r="AD413" s="0" t="n">
        <f aca="false">SUM((Q414&lt;0)*(Q413&gt;0))*A413</f>
        <v>0</v>
      </c>
      <c r="AE413" s="0" t="n">
        <f aca="false">IF(AD413&gt;0,S413,0)</f>
        <v>0</v>
      </c>
    </row>
    <row r="414" customFormat="false" ht="12.75" hidden="false" customHeight="false" outlineLevel="0" collapsed="false">
      <c r="A414" s="718" t="n">
        <v>39131.5</v>
      </c>
      <c r="B414" s="706" t="n">
        <f aca="false">A414/1000</f>
        <v>39.1315</v>
      </c>
      <c r="C414" s="707" t="n">
        <f aca="false">SQRT(1+(A414/pole1)^2)</f>
        <v>66.8332722410874</v>
      </c>
      <c r="D414" s="708" t="n">
        <f aca="false">ATAN(A414/pole1)</f>
        <v>1.55583316124135</v>
      </c>
      <c r="E414" s="708" t="n">
        <f aca="false">SQRT(1+(A414/Zero1)^2)</f>
        <v>1.11436490583311</v>
      </c>
      <c r="F414" s="709" t="n">
        <f aca="false">ATAN(A414/Zero1)</f>
        <v>0.457018550752757</v>
      </c>
      <c r="G414" s="708" t="n">
        <f aca="false">IF(VIN_nom&gt;Vout, 1, SQRT(1+(A414/z_RHP)^2))</f>
        <v>1.1560085923286</v>
      </c>
      <c r="H414" s="709" t="n">
        <f aca="false">IF(VIN_nom&gt;Vout, 0, -ATAN(A414/z_RHP))</f>
        <v>-0.52555532241523</v>
      </c>
      <c r="I414" s="707" t="n">
        <f aca="false">SQRT(1+(A414/Pole2)^2)</f>
        <v>162324.731237269</v>
      </c>
      <c r="J414" s="710" t="n">
        <f aca="false">ATAN(A414/Pole2)</f>
        <v>1.57079016630418</v>
      </c>
      <c r="K414" s="719" t="n">
        <f aca="false">SQRT(1+(A414/Zero2)^2)</f>
        <v>50.2339144226119</v>
      </c>
      <c r="L414" s="720" t="n">
        <f aca="false">ATAN(A414/Zero2)</f>
        <v>1.55088814184613</v>
      </c>
      <c r="M414" s="707" t="n">
        <f aca="false">SQRT(1+(A414/pole4)^2)</f>
        <v>1.85332695988598</v>
      </c>
      <c r="N414" s="710" t="n">
        <f aca="false">ATAN(A414/pole4)</f>
        <v>1.00086978724032</v>
      </c>
      <c r="O414" s="711" t="n">
        <f aca="false">SQRT((1-(V414/pterm2))^2+(A414/pterm1)^2)</f>
        <v>1.07939713064029</v>
      </c>
      <c r="P414" s="712" t="n">
        <f aca="false">IF((ATAN((A414/pterm1)/(1-A414^2/pterm2))&gt;0),ATAN((A414/pterm1)/(1-A414^2/pterm2)),PI()+ATAN((A414/pterm1)/(1-A414^2/pterm2)))</f>
        <v>0.5288408507829</v>
      </c>
      <c r="Q414" s="713" t="n">
        <f aca="false">20*LOG10(((E414*K414*G414)/(C414*I414*O414*M414))*Adc)</f>
        <v>-21.3495526479489</v>
      </c>
      <c r="R414" s="714" t="n">
        <f aca="false">((F414+L414+H414)-(D414+J414+P414+N414))*radconv</f>
        <v>-181.855807171346</v>
      </c>
      <c r="S414" s="717" t="n">
        <f aca="false">IF(R414&gt;0,R414,R414+180)</f>
        <v>-1.85580717134579</v>
      </c>
      <c r="U414" s="644" t="n">
        <f aca="false">IF(Q414&lt;0,A414,1000000000)</f>
        <v>39131.5</v>
      </c>
      <c r="V414" s="644" t="n">
        <f aca="false">A414^2</f>
        <v>1531274292.25</v>
      </c>
      <c r="X414" s="716" t="n">
        <f aca="false">20*LOG10((K414/(I414*M414))*AEA)</f>
        <v>12.5498800435821</v>
      </c>
      <c r="Y414" s="717" t="n">
        <f aca="false">(L414-(J414+N414))*radconv</f>
        <v>-58.4859167230695</v>
      </c>
      <c r="AA414" s="716" t="n">
        <f aca="false">20*LOG10((E414*G414/(C414*O414))*Acs*Am)</f>
        <v>17.5811926630233</v>
      </c>
      <c r="AB414" s="717" t="n">
        <f aca="false">(F414+H414-(D414+P414))*radconv</f>
        <v>-123.369890448276</v>
      </c>
      <c r="AD414" s="0" t="n">
        <f aca="false">SUM((Q415&lt;0)*(Q414&gt;0))*A414</f>
        <v>0</v>
      </c>
      <c r="AE414" s="0" t="n">
        <f aca="false">IF(AD414&gt;0,S414,0)</f>
        <v>0</v>
      </c>
    </row>
    <row r="415" customFormat="false" ht="12.75" hidden="false" customHeight="false" outlineLevel="0" collapsed="false">
      <c r="A415" s="718" t="n">
        <v>39358</v>
      </c>
      <c r="B415" s="706" t="n">
        <f aca="false">A415/1000</f>
        <v>39.358</v>
      </c>
      <c r="C415" s="707" t="n">
        <f aca="false">SQRT(1+(A415/pole1)^2)</f>
        <v>67.2200286108052</v>
      </c>
      <c r="D415" s="708" t="n">
        <f aca="false">ATAN(A415/pole1)</f>
        <v>1.55591925950595</v>
      </c>
      <c r="E415" s="708" t="n">
        <f aca="false">SQRT(1+(A415/Zero1)^2)</f>
        <v>1.11562382205037</v>
      </c>
      <c r="F415" s="709" t="n">
        <f aca="false">ATAN(A415/Zero1)</f>
        <v>0.459308011718685</v>
      </c>
      <c r="G415" s="708" t="n">
        <f aca="false">IF(VIN_nom&gt;Vout, 1, SQRT(1+(A415/z_RHP)^2))</f>
        <v>1.15769637997209</v>
      </c>
      <c r="H415" s="709" t="n">
        <f aca="false">IF(VIN_nom&gt;Vout, 0, -ATAN(A415/z_RHP))</f>
        <v>-0.528063659686791</v>
      </c>
      <c r="I415" s="707" t="n">
        <f aca="false">SQRT(1+(A415/Pole2)^2)</f>
        <v>163264.295312856</v>
      </c>
      <c r="J415" s="710" t="n">
        <f aca="false">ATAN(A415/Pole2)</f>
        <v>1.57079020175698</v>
      </c>
      <c r="K415" s="719" t="n">
        <f aca="false">SQRT(1+(A415/Zero2)^2)</f>
        <v>50.5245622556786</v>
      </c>
      <c r="L415" s="720" t="n">
        <f aca="false">ATAN(A415/Zero2)</f>
        <v>1.55100268076597</v>
      </c>
      <c r="M415" s="707" t="n">
        <f aca="false">SQRT(1+(A415/pole4)^2)</f>
        <v>1.86093759587054</v>
      </c>
      <c r="N415" s="710" t="n">
        <f aca="false">ATAN(A415/pole4)</f>
        <v>1.00348852407619</v>
      </c>
      <c r="O415" s="711" t="n">
        <f aca="false">SQRT((1-(V415/pterm2))^2+(A415/pterm1)^2)</f>
        <v>1.08030983011699</v>
      </c>
      <c r="P415" s="712" t="n">
        <f aca="false">IF((ATAN((A415/pterm1)/(1-A415^2/pterm2))&gt;0),ATAN((A415/pterm1)/(1-A415^2/pterm2)),PI()+ATAN((A415/pterm1)/(1-A415^2/pterm2)))</f>
        <v>0.531729121458957</v>
      </c>
      <c r="Q415" s="713" t="n">
        <f aca="false">20*LOG10(((E415*K415*G415)/(C415*I415*O415*M415))*Adc)</f>
        <v>-21.4201491413557</v>
      </c>
      <c r="R415" s="714" t="n">
        <f aca="false">((F415+L415+H415)-(D415+J415+P415+N415))*radconv</f>
        <v>-182.182248650231</v>
      </c>
      <c r="S415" s="717" t="n">
        <f aca="false">IF(R415&gt;0,R415,R415+180)</f>
        <v>-2.1822486502308</v>
      </c>
      <c r="U415" s="644" t="n">
        <f aca="false">IF(Q415&lt;0,A415,1000000000)</f>
        <v>39358</v>
      </c>
      <c r="V415" s="644" t="n">
        <f aca="false">A415^2</f>
        <v>1549052164</v>
      </c>
      <c r="X415" s="716" t="n">
        <f aca="false">20*LOG10((K415/(I415*M415))*AEA)</f>
        <v>12.5142649616095</v>
      </c>
      <c r="Y415" s="717" t="n">
        <f aca="false">(L415-(J415+N415))*radconv</f>
        <v>-58.6293987261827</v>
      </c>
      <c r="AA415" s="716" t="n">
        <f aca="false">20*LOG10((E415*G415/(C415*O415))*Acs*Am)</f>
        <v>17.5462112515892</v>
      </c>
      <c r="AB415" s="717" t="n">
        <f aca="false">(F415+H415-(D415+P415))*radconv</f>
        <v>-123.552849924048</v>
      </c>
      <c r="AD415" s="0" t="n">
        <f aca="false">SUM((Q416&lt;0)*(Q415&gt;0))*A415</f>
        <v>0</v>
      </c>
      <c r="AE415" s="0" t="n">
        <f aca="false">IF(AD415&gt;0,S415,0)</f>
        <v>0</v>
      </c>
    </row>
    <row r="416" customFormat="false" ht="12.75" hidden="false" customHeight="false" outlineLevel="0" collapsed="false">
      <c r="A416" s="718" t="n">
        <v>39584.5</v>
      </c>
      <c r="B416" s="706" t="n">
        <f aca="false">A416/1000</f>
        <v>39.5845</v>
      </c>
      <c r="C416" s="707" t="n">
        <f aca="false">SQRT(1+(A416/pole1)^2)</f>
        <v>67.606785473118</v>
      </c>
      <c r="D416" s="708" t="n">
        <f aca="false">ATAN(A416/pole1)</f>
        <v>1.55600437268974</v>
      </c>
      <c r="E416" s="708" t="n">
        <f aca="false">SQRT(1+(A416/Zero1)^2)</f>
        <v>1.11688857275615</v>
      </c>
      <c r="F416" s="709" t="n">
        <f aca="false">ATAN(A416/Zero1)</f>
        <v>0.461592299521314</v>
      </c>
      <c r="G416" s="708" t="n">
        <f aca="false">IF(VIN_nom&gt;Vout, 1, SQRT(1+(A416/z_RHP)^2))</f>
        <v>1.15939143032464</v>
      </c>
      <c r="H416" s="709" t="n">
        <f aca="false">IF(VIN_nom&gt;Vout, 0, -ATAN(A416/z_RHP))</f>
        <v>-0.530564678190829</v>
      </c>
      <c r="I416" s="707" t="n">
        <f aca="false">SQRT(1+(A416/Pole2)^2)</f>
        <v>164203.859388444</v>
      </c>
      <c r="J416" s="710" t="n">
        <f aca="false">ATAN(A416/Pole2)</f>
        <v>1.57079023680405</v>
      </c>
      <c r="K416" s="719" t="n">
        <f aca="false">SQRT(1+(A416/Zero2)^2)</f>
        <v>50.8152107440027</v>
      </c>
      <c r="L416" s="720" t="n">
        <f aca="false">ATAN(A416/Zero2)</f>
        <v>1.55111590942748</v>
      </c>
      <c r="M416" s="707" t="n">
        <f aca="false">SQRT(1+(A416/pole4)^2)</f>
        <v>1.86856088975147</v>
      </c>
      <c r="N416" s="710" t="n">
        <f aca="false">ATAN(A416/pole4)</f>
        <v>1.00608591092898</v>
      </c>
      <c r="O416" s="711" t="n">
        <f aca="false">SQRT((1-(V416/pterm2))^2+(A416/pterm1)^2)</f>
        <v>1.08122760250075</v>
      </c>
      <c r="P416" s="712" t="n">
        <f aca="false">IF((ATAN((A416/pterm1)/(1-A416^2/pterm2))&gt;0),ATAN((A416/pterm1)/(1-A416^2/pterm2)),PI()+ATAN((A416/pterm1)/(1-A416^2/pterm2)))</f>
        <v>0.53461464084547</v>
      </c>
      <c r="Q416" s="713" t="n">
        <f aca="false">20*LOG10(((E416*K416*G416)/(C416*I416*O416*M416))*Adc)</f>
        <v>-21.4903356720997</v>
      </c>
      <c r="R416" s="714" t="n">
        <f aca="false">((F416+L416+H416)-(D416+J416+P416+N416))*radconv</f>
        <v>-182.507204901899</v>
      </c>
      <c r="S416" s="717" t="n">
        <f aca="false">IF(R416&gt;0,R416,R416+180)</f>
        <v>-2.50720490189894</v>
      </c>
      <c r="U416" s="644" t="n">
        <f aca="false">IF(Q416&lt;0,A416,1000000000)</f>
        <v>39584.5</v>
      </c>
      <c r="V416" s="644" t="n">
        <f aca="false">A416^2</f>
        <v>1566932640.25</v>
      </c>
      <c r="X416" s="716" t="n">
        <f aca="false">20*LOG10((K416/(I416*M416))*AEA)</f>
        <v>12.4787366547703</v>
      </c>
      <c r="Y416" s="717" t="n">
        <f aca="false">(L416-(J416+N416))*radconv</f>
        <v>-58.7717325143979</v>
      </c>
      <c r="AA416" s="716" t="n">
        <f aca="false">20*LOG10((E416*G416/(C416*O416))*Acs*Am)</f>
        <v>17.5115530276843</v>
      </c>
      <c r="AB416" s="717" t="n">
        <f aca="false">(F416+H416-(D416+P416))*radconv</f>
        <v>-123.735472387501</v>
      </c>
      <c r="AD416" s="0" t="n">
        <f aca="false">SUM((Q417&lt;0)*(Q416&gt;0))*A416</f>
        <v>0</v>
      </c>
      <c r="AE416" s="0" t="n">
        <f aca="false">IF(AD416&gt;0,S416,0)</f>
        <v>0</v>
      </c>
    </row>
    <row r="417" customFormat="false" ht="12.75" hidden="false" customHeight="false" outlineLevel="0" collapsed="false">
      <c r="A417" s="718" t="n">
        <v>39811</v>
      </c>
      <c r="B417" s="706" t="n">
        <f aca="false">A417/1000</f>
        <v>39.811</v>
      </c>
      <c r="C417" s="707" t="n">
        <f aca="false">SQRT(1+(A417/pole1)^2)</f>
        <v>67.9935428196198</v>
      </c>
      <c r="D417" s="708" t="n">
        <f aca="false">ATAN(A417/pole1)</f>
        <v>1.55608851760134</v>
      </c>
      <c r="E417" s="708" t="n">
        <f aca="false">SQRT(1+(A417/Zero1)^2)</f>
        <v>1.11815913815227</v>
      </c>
      <c r="F417" s="709" t="n">
        <f aca="false">ATAN(A417/Zero1)</f>
        <v>0.463871407916569</v>
      </c>
      <c r="G417" s="708" t="n">
        <f aca="false">IF(VIN_nom&gt;Vout, 1, SQRT(1+(A417/z_RHP)^2))</f>
        <v>1.16109371157833</v>
      </c>
      <c r="H417" s="709" t="n">
        <f aca="false">IF(VIN_nom&gt;Vout, 0, -ATAN(A417/z_RHP))</f>
        <v>-0.533058378761124</v>
      </c>
      <c r="I417" s="707" t="n">
        <f aca="false">SQRT(1+(A417/Pole2)^2)</f>
        <v>165143.423464032</v>
      </c>
      <c r="J417" s="710" t="n">
        <f aca="false">ATAN(A417/Pole2)</f>
        <v>1.57079027145234</v>
      </c>
      <c r="K417" s="719" t="n">
        <f aca="false">SQRT(1+(A417/Zero2)^2)</f>
        <v>51.1058598764047</v>
      </c>
      <c r="L417" s="720" t="n">
        <f aca="false">ATAN(A417/Zero2)</f>
        <v>1.55122785018283</v>
      </c>
      <c r="M417" s="707" t="n">
        <f aca="false">SQRT(1+(A417/pole4)^2)</f>
        <v>1.87619668723547</v>
      </c>
      <c r="N417" s="710" t="n">
        <f aca="false">ATAN(A417/pole4)</f>
        <v>1.00866217321012</v>
      </c>
      <c r="O417" s="711" t="n">
        <f aca="false">SQRT((1-(V417/pterm2))^2+(A417/pterm1)^2)</f>
        <v>1.08215044493106</v>
      </c>
      <c r="P417" s="712" t="n">
        <f aca="false">IF((ATAN((A417/pterm1)/(1-A417^2/pterm2))&gt;0),ATAN((A417/pterm1)/(1-A417^2/pterm2)),PI()+ATAN((A417/pterm1)/(1-A417^2/pterm2)))</f>
        <v>0.537497399368532</v>
      </c>
      <c r="Q417" s="713" t="n">
        <f aca="false">20*LOG10(((E417*K417*G417)/(C417*I417*O417*M417))*Adc)</f>
        <v>-21.560115864878</v>
      </c>
      <c r="R417" s="714" t="n">
        <f aca="false">((F417+L417+H417)-(D417+J417+P417+N417))*radconv</f>
        <v>-182.830688381235</v>
      </c>
      <c r="S417" s="717" t="n">
        <f aca="false">IF(R417&gt;0,R417,R417+180)</f>
        <v>-2.83068838123515</v>
      </c>
      <c r="U417" s="644" t="n">
        <f aca="false">IF(Q417&lt;0,A417,1000000000)</f>
        <v>39811</v>
      </c>
      <c r="V417" s="644" t="n">
        <f aca="false">A417^2</f>
        <v>1584915721</v>
      </c>
      <c r="X417" s="716" t="n">
        <f aca="false">20*LOG10((K417/(I417*M417))*AEA)</f>
        <v>12.4432953659029</v>
      </c>
      <c r="Y417" s="717" t="n">
        <f aca="false">(L417-(J417+N417))*radconv</f>
        <v>-58.9129297225509</v>
      </c>
      <c r="AA417" s="716" t="n">
        <f aca="false">20*LOG10((E417*G417/(C417*O417))*Acs*Am)</f>
        <v>17.4772141237734</v>
      </c>
      <c r="AB417" s="717" t="n">
        <f aca="false">(F417+H417-(D417+P417))*radconv</f>
        <v>-123.917758658684</v>
      </c>
      <c r="AD417" s="0" t="n">
        <f aca="false">SUM((Q418&lt;0)*(Q417&gt;0))*A417</f>
        <v>0</v>
      </c>
      <c r="AE417" s="0" t="n">
        <f aca="false">IF(AD417&gt;0,S417,0)</f>
        <v>0</v>
      </c>
    </row>
    <row r="418" customFormat="false" ht="12.75" hidden="false" customHeight="false" outlineLevel="0" collapsed="false">
      <c r="A418" s="718" t="n">
        <v>40042.75</v>
      </c>
      <c r="B418" s="706" t="n">
        <f aca="false">A418/1000</f>
        <v>40.04275</v>
      </c>
      <c r="C418" s="707" t="n">
        <f aca="false">SQRT(1+(A418/pole1)^2)</f>
        <v>68.3892652329637</v>
      </c>
      <c r="D418" s="708" t="n">
        <f aca="false">ATAN(A418/pole1)</f>
        <v>1.5561736278274</v>
      </c>
      <c r="E418" s="708" t="n">
        <f aca="false">SQRT(1+(A418/Zero1)^2)</f>
        <v>1.11946515150726</v>
      </c>
      <c r="F418" s="709" t="n">
        <f aca="false">ATAN(A418/Zero1)</f>
        <v>0.466197976192833</v>
      </c>
      <c r="G418" s="708" t="n">
        <f aca="false">IF(VIN_nom&gt;Vout, 1, SQRT(1+(A418/z_RHP)^2))</f>
        <v>1.16284290080809</v>
      </c>
      <c r="H418" s="709" t="n">
        <f aca="false">IF(VIN_nom&gt;Vout, 0, -ATAN(A418/z_RHP))</f>
        <v>-0.535602307253446</v>
      </c>
      <c r="I418" s="707" t="n">
        <f aca="false">SQRT(1+(A418/Pole2)^2)</f>
        <v>166104.765514882</v>
      </c>
      <c r="J418" s="710" t="n">
        <f aca="false">ATAN(A418/Pole2)</f>
        <v>1.57079030649803</v>
      </c>
      <c r="K418" s="719" t="n">
        <f aca="false">SQRT(1+(A418/Zero2)^2)</f>
        <v>51.4032465644753</v>
      </c>
      <c r="L418" s="720" t="n">
        <f aca="false">ATAN(A418/Zero2)</f>
        <v>1.55134107534498</v>
      </c>
      <c r="M418" s="707" t="n">
        <f aca="false">SQRT(1+(A418/pole4)^2)</f>
        <v>1.8840222565204</v>
      </c>
      <c r="N418" s="710" t="n">
        <f aca="false">ATAN(A418/pole4)</f>
        <v>1.01127651792778</v>
      </c>
      <c r="O418" s="711" t="n">
        <f aca="false">SQRT((1-(V418/pterm2))^2+(A418/pterm1)^2)</f>
        <v>1.0830999224461</v>
      </c>
      <c r="P418" s="712" t="n">
        <f aca="false">IF((ATAN((A418/pterm1)/(1-A418^2/pterm2))&gt;0),ATAN((A418/pterm1)/(1-A418^2/pterm2)),PI()+ATAN((A418/pterm1)/(1-A418^2/pterm2)))</f>
        <v>0.540444109305171</v>
      </c>
      <c r="Q418" s="713" t="n">
        <f aca="false">20*LOG10(((E418*K418*G418)/(C418*I418*O418*M418))*Adc)</f>
        <v>-21.6310966426566</v>
      </c>
      <c r="R418" s="714" t="n">
        <f aca="false">((F418+L418+H418)-(D418+J418+P418+N418))*radconv</f>
        <v>-183.16015830675</v>
      </c>
      <c r="S418" s="717" t="n">
        <f aca="false">IF(R418&gt;0,R418,R418+180)</f>
        <v>-3.16015830674976</v>
      </c>
      <c r="U418" s="644" t="n">
        <f aca="false">IF(Q418&lt;0,A418,1000000000)</f>
        <v>40042.75</v>
      </c>
      <c r="V418" s="644" t="n">
        <f aca="false">A418^2</f>
        <v>1603421827.5625</v>
      </c>
      <c r="X418" s="716" t="n">
        <f aca="false">20*LOG10((K418/(I418*M418))*AEA)</f>
        <v>12.4071228915784</v>
      </c>
      <c r="Y418" s="717" t="n">
        <f aca="false">(L418-(J418+N418))*radconv</f>
        <v>-59.0562353252731</v>
      </c>
      <c r="AA418" s="716" t="n">
        <f aca="false">20*LOG10((E418*G418/(C418*O418))*Acs*Am)</f>
        <v>17.4424058203194</v>
      </c>
      <c r="AB418" s="717" t="n">
        <f aca="false">(F418+H418-(D418+P418))*radconv</f>
        <v>-124.103922981477</v>
      </c>
      <c r="AD418" s="0" t="n">
        <f aca="false">SUM((Q419&lt;0)*(Q418&gt;0))*A418</f>
        <v>0</v>
      </c>
      <c r="AE418" s="0" t="n">
        <f aca="false">IF(AD418&gt;0,S418,0)</f>
        <v>0</v>
      </c>
    </row>
    <row r="419" customFormat="false" ht="12.75" hidden="false" customHeight="false" outlineLevel="0" collapsed="false">
      <c r="A419" s="718" t="n">
        <v>40274.5</v>
      </c>
      <c r="B419" s="706" t="n">
        <f aca="false">A419/1000</f>
        <v>40.2745</v>
      </c>
      <c r="C419" s="707" t="n">
        <f aca="false">SQRT(1+(A419/pole1)^2)</f>
        <v>68.7849881360024</v>
      </c>
      <c r="D419" s="708" t="n">
        <f aca="false">ATAN(A419/pole1)</f>
        <v>1.55625775876871</v>
      </c>
      <c r="E419" s="708" t="n">
        <f aca="false">SQRT(1+(A419/Zero1)^2)</f>
        <v>1.12077721029624</v>
      </c>
      <c r="F419" s="709" t="n">
        <f aca="false">ATAN(A419/Zero1)</f>
        <v>0.46851910972748</v>
      </c>
      <c r="G419" s="708" t="n">
        <f aca="false">IF(VIN_nom&gt;Vout, 1, SQRT(1+(A419/z_RHP)^2))</f>
        <v>1.16459959282539</v>
      </c>
      <c r="H419" s="709" t="n">
        <f aca="false">IF(VIN_nom&gt;Vout, 0, -ATAN(A419/z_RHP))</f>
        <v>-0.538138577551137</v>
      </c>
      <c r="I419" s="707" t="n">
        <f aca="false">SQRT(1+(A419/Pole2)^2)</f>
        <v>167066.107565732</v>
      </c>
      <c r="J419" s="710" t="n">
        <f aca="false">ATAN(A419/Pole2)</f>
        <v>1.57079034114039</v>
      </c>
      <c r="K419" s="719" t="n">
        <f aca="false">SQRT(1+(A419/Zero2)^2)</f>
        <v>51.7006339039511</v>
      </c>
      <c r="L419" s="720" t="n">
        <f aca="false">ATAN(A419/Zero2)</f>
        <v>1.55145299794309</v>
      </c>
      <c r="M419" s="707" t="n">
        <f aca="false">SQRT(1+(A419/pole4)^2)</f>
        <v>1.89186059613718</v>
      </c>
      <c r="N419" s="710" t="n">
        <f aca="false">ATAN(A419/pole4)</f>
        <v>1.01386921678541</v>
      </c>
      <c r="O419" s="711" t="n">
        <f aca="false">SQRT((1-(V419/pterm2))^2+(A419/pterm1)^2)</f>
        <v>1.08405470169586</v>
      </c>
      <c r="P419" s="712" t="n">
        <f aca="false">IF((ATAN((A419/pterm1)/(1-A419^2/pterm2))&gt;0),ATAN((A419/pterm1)/(1-A419^2/pterm2)),PI()+ATAN((A419/pterm1)/(1-A419^2/pterm2)))</f>
        <v>0.543387908900953</v>
      </c>
      <c r="Q419" s="713" t="n">
        <f aca="false">20*LOG10(((E419*K419*G419)/(C419*I419*O419*M419))*Adc)</f>
        <v>-21.7016595752032</v>
      </c>
      <c r="R419" s="714" t="n">
        <f aca="false">((F419+L419+H419)-(D419+J419+P419+N419))*radconv</f>
        <v>-183.488112370547</v>
      </c>
      <c r="S419" s="717" t="n">
        <f aca="false">IF(R419&gt;0,R419,R419+180)</f>
        <v>-3.48811237054738</v>
      </c>
      <c r="U419" s="644" t="n">
        <f aca="false">IF(Q419&lt;0,A419,1000000000)</f>
        <v>40274.5</v>
      </c>
      <c r="V419" s="644" t="n">
        <f aca="false">A419^2</f>
        <v>1622035350.25</v>
      </c>
      <c r="X419" s="716" t="n">
        <f aca="false">20*LOG10((K419/(I419*M419))*AEA)</f>
        <v>12.3710419736028</v>
      </c>
      <c r="Y419" s="717" t="n">
        <f aca="false">(L419-(J419+N419))*radconv</f>
        <v>-59.1983753198836</v>
      </c>
      <c r="AA419" s="716" t="n">
        <f aca="false">20*LOG10((E419*G419/(C419*O419))*Acs*Am)</f>
        <v>17.4079238057483</v>
      </c>
      <c r="AB419" s="717" t="n">
        <f aca="false">(F419+H419-(D419+P419))*radconv</f>
        <v>-124.289737050664</v>
      </c>
      <c r="AD419" s="0" t="n">
        <f aca="false">SUM((Q420&lt;0)*(Q419&gt;0))*A419</f>
        <v>0</v>
      </c>
      <c r="AE419" s="0" t="n">
        <f aca="false">IF(AD419&gt;0,S419,0)</f>
        <v>0</v>
      </c>
    </row>
    <row r="420" customFormat="false" ht="12.75" hidden="false" customHeight="false" outlineLevel="0" collapsed="false">
      <c r="A420" s="718" t="n">
        <v>40506.25</v>
      </c>
      <c r="B420" s="706" t="n">
        <f aca="false">A420/1000</f>
        <v>40.50625</v>
      </c>
      <c r="C420" s="707" t="n">
        <f aca="false">SQRT(1+(A420/pole1)^2)</f>
        <v>69.1807115203324</v>
      </c>
      <c r="D420" s="708" t="n">
        <f aca="false">ATAN(A420/pole1)</f>
        <v>1.55634092722901</v>
      </c>
      <c r="E420" s="708" t="n">
        <f aca="false">SQRT(1+(A420/Zero1)^2)</f>
        <v>1.12209529331257</v>
      </c>
      <c r="F420" s="709" t="n">
        <f aca="false">ATAN(A420/Zero1)</f>
        <v>0.470834802617909</v>
      </c>
      <c r="G420" s="708" t="n">
        <f aca="false">IF(VIN_nom&gt;Vout, 1, SQRT(1+(A420/z_RHP)^2))</f>
        <v>1.16636375372978</v>
      </c>
      <c r="H420" s="709" t="n">
        <f aca="false">IF(VIN_nom&gt;Vout, 0, -ATAN(A420/z_RHP))</f>
        <v>-0.540667191700633</v>
      </c>
      <c r="I420" s="707" t="n">
        <f aca="false">SQRT(1+(A420/Pole2)^2)</f>
        <v>168027.449616582</v>
      </c>
      <c r="J420" s="710" t="n">
        <f aca="false">ATAN(A420/Pole2)</f>
        <v>1.57079037538635</v>
      </c>
      <c r="K420" s="719" t="n">
        <f aca="false">SQRT(1+(A420/Zero2)^2)</f>
        <v>51.9980218836557</v>
      </c>
      <c r="L420" s="720" t="n">
        <f aca="false">ATAN(A420/Zero2)</f>
        <v>1.55156364032329</v>
      </c>
      <c r="M420" s="707" t="n">
        <f aca="false">SQRT(1+(A420/pole4)^2)</f>
        <v>1.89971154801205</v>
      </c>
      <c r="N420" s="710" t="n">
        <f aca="false">ATAN(A420/pole4)</f>
        <v>1.01644050307745</v>
      </c>
      <c r="O420" s="711" t="n">
        <f aca="false">SQRT((1-(V420/pterm2))^2+(A420/pterm1)^2)</f>
        <v>1.08501477960417</v>
      </c>
      <c r="P420" s="712" t="n">
        <f aca="false">IF((ATAN((A420/pterm1)/(1-A420^2/pterm2))&gt;0),ATAN((A420/pterm1)/(1-A420^2/pterm2)),PI()+ATAN((A420/pterm1)/(1-A420^2/pterm2)))</f>
        <v>0.546328788175349</v>
      </c>
      <c r="Q420" s="713" t="n">
        <f aca="false">20*LOG10(((E420*K420*G420)/(C420*I420*O420*M420))*Adc)</f>
        <v>-21.7718084154769</v>
      </c>
      <c r="R420" s="714" t="n">
        <f aca="false">((F420+L420+H420)-(D420+J420+P420+N420))*radconv</f>
        <v>-183.81456350586</v>
      </c>
      <c r="S420" s="717" t="n">
        <f aca="false">IF(R420&gt;0,R420,R420+180)</f>
        <v>-3.81456350585975</v>
      </c>
      <c r="U420" s="644" t="n">
        <f aca="false">IF(Q420&lt;0,A420,1000000000)</f>
        <v>40506.25</v>
      </c>
      <c r="V420" s="644" t="n">
        <f aca="false">A420^2</f>
        <v>1640756289.0625</v>
      </c>
      <c r="X420" s="716" t="n">
        <f aca="false">20*LOG10((K420/(I420*M420))*AEA)</f>
        <v>12.3350528157392</v>
      </c>
      <c r="Y420" s="717" t="n">
        <f aca="false">(L420-(J420+N420))*radconv</f>
        <v>-59.3393617932266</v>
      </c>
      <c r="AA420" s="716" t="n">
        <f aca="false">20*LOG10((E420*G420/(C420*O420))*Acs*Am)</f>
        <v>17.3737641233383</v>
      </c>
      <c r="AB420" s="717" t="n">
        <f aca="false">(F420+H420-(D420+P420))*radconv</f>
        <v>-124.475201712633</v>
      </c>
      <c r="AD420" s="0" t="n">
        <f aca="false">SUM((Q421&lt;0)*(Q420&gt;0))*A420</f>
        <v>0</v>
      </c>
      <c r="AE420" s="0" t="n">
        <f aca="false">IF(AD420&gt;0,S420,0)</f>
        <v>0</v>
      </c>
    </row>
    <row r="421" customFormat="false" ht="12.75" hidden="false" customHeight="false" outlineLevel="0" collapsed="false">
      <c r="A421" s="718" t="n">
        <v>40738</v>
      </c>
      <c r="B421" s="706" t="n">
        <f aca="false">A421/1000</f>
        <v>40.738</v>
      </c>
      <c r="C421" s="707" t="n">
        <f aca="false">SQRT(1+(A421/pole1)^2)</f>
        <v>69.5764353777416</v>
      </c>
      <c r="D421" s="708" t="n">
        <f aca="false">ATAN(A421/pole1)</f>
        <v>1.5564231496298</v>
      </c>
      <c r="E421" s="708" t="n">
        <f aca="false">SQRT(1+(A421/Zero1)^2)</f>
        <v>1.12341937935195</v>
      </c>
      <c r="F421" s="709" t="n">
        <f aca="false">ATAN(A421/Zero1)</f>
        <v>0.473145049222553</v>
      </c>
      <c r="G421" s="708" t="n">
        <f aca="false">IF(VIN_nom&gt;Vout, 1, SQRT(1+(A421/z_RHP)^2))</f>
        <v>1.16813534968189</v>
      </c>
      <c r="H421" s="709" t="n">
        <f aca="false">IF(VIN_nom&gt;Vout, 0, -ATAN(A421/z_RHP))</f>
        <v>-0.543188152127649</v>
      </c>
      <c r="I421" s="707" t="n">
        <f aca="false">SQRT(1+(A421/Pole2)^2)</f>
        <v>168988.791667433</v>
      </c>
      <c r="J421" s="710" t="n">
        <f aca="false">ATAN(A421/Pole2)</f>
        <v>1.57079040924267</v>
      </c>
      <c r="K421" s="719" t="n">
        <f aca="false">SQRT(1+(A421/Zero2)^2)</f>
        <v>52.2954104926667</v>
      </c>
      <c r="L421" s="720" t="n">
        <f aca="false">ATAN(A421/Zero2)</f>
        <v>1.55167302432351</v>
      </c>
      <c r="M421" s="707" t="n">
        <f aca="false">SQRT(1+(A421/pole4)^2)</f>
        <v>1.90757495642128</v>
      </c>
      <c r="N421" s="710" t="n">
        <f aca="false">ATAN(A421/pole4)</f>
        <v>1.01899060739339</v>
      </c>
      <c r="O421" s="711" t="n">
        <f aca="false">SQRT((1-(V421/pterm2))^2+(A421/pterm1)^2)</f>
        <v>1.08598015309108</v>
      </c>
      <c r="P421" s="712" t="n">
        <f aca="false">IF((ATAN((A421/pterm1)/(1-A421^2/pterm2))&gt;0),ATAN((A421/pterm1)/(1-A421^2/pterm2)),PI()+ATAN((A421/pterm1)/(1-A421^2/pterm2)))</f>
        <v>0.549266737240286</v>
      </c>
      <c r="Q421" s="713" t="n">
        <f aca="false">20*LOG10(((E421*K421*G421)/(C421*I421*O421*M421))*Adc)</f>
        <v>-21.8415468742448</v>
      </c>
      <c r="R421" s="714" t="n">
        <f aca="false">((F421+L421+H421)-(D421+J421+P421+N421))*radconv</f>
        <v>-184.139524510217</v>
      </c>
      <c r="S421" s="717" t="n">
        <f aca="false">IF(R421&gt;0,R421,R421+180)</f>
        <v>-4.13952451021686</v>
      </c>
      <c r="U421" s="644" t="n">
        <f aca="false">IF(Q421&lt;0,A421,1000000000)</f>
        <v>40738</v>
      </c>
      <c r="V421" s="644" t="n">
        <f aca="false">A421^2</f>
        <v>1659584644</v>
      </c>
      <c r="X421" s="716" t="n">
        <f aca="false">20*LOG10((K421/(I421*M421))*AEA)</f>
        <v>12.2991556038431</v>
      </c>
      <c r="Y421" s="717" t="n">
        <f aca="false">(L421-(J421+N421))*radconv</f>
        <v>-59.4792067062735</v>
      </c>
      <c r="AA421" s="716" t="n">
        <f aca="false">20*LOG10((E421*G421/(C421*O421))*Acs*Am)</f>
        <v>17.3399228764665</v>
      </c>
      <c r="AB421" s="717" t="n">
        <f aca="false">(F421+H421-(D421+P421))*radconv</f>
        <v>-124.660317803943</v>
      </c>
      <c r="AD421" s="0" t="n">
        <f aca="false">SUM((Q422&lt;0)*(Q421&gt;0))*A421</f>
        <v>0</v>
      </c>
      <c r="AE421" s="0" t="n">
        <f aca="false">IF(AD421&gt;0,S421,0)</f>
        <v>0</v>
      </c>
    </row>
    <row r="422" customFormat="false" ht="12.75" hidden="false" customHeight="false" outlineLevel="0" collapsed="false">
      <c r="A422" s="718" t="n">
        <v>40975.25</v>
      </c>
      <c r="B422" s="706" t="n">
        <f aca="false">A422/1000</f>
        <v>40.97525</v>
      </c>
      <c r="C422" s="707" t="n">
        <f aca="false">SQRT(1+(A422/pole1)^2)</f>
        <v>69.9815512215318</v>
      </c>
      <c r="D422" s="708" t="n">
        <f aca="false">ATAN(A422/pole1)</f>
        <v>1.55650636012207</v>
      </c>
      <c r="E422" s="708" t="n">
        <f aca="false">SQRT(1+(A422/Zero1)^2)</f>
        <v>1.12478108550227</v>
      </c>
      <c r="F422" s="709" t="n">
        <f aca="false">ATAN(A422/Zero1)</f>
        <v>0.475504476367787</v>
      </c>
      <c r="G422" s="708" t="n">
        <f aca="false">IF(VIN_nom&gt;Vout, 1, SQRT(1+(A422/z_RHP)^2))</f>
        <v>1.16995665653712</v>
      </c>
      <c r="H422" s="709" t="n">
        <f aca="false">IF(VIN_nom&gt;Vout, 0, -ATAN(A422/z_RHP))</f>
        <v>-0.545761015758614</v>
      </c>
      <c r="I422" s="707" t="n">
        <f aca="false">SQRT(1+(A422/Pole2)^2)</f>
        <v>169972.948739987</v>
      </c>
      <c r="J422" s="710" t="n">
        <f aca="false">ATAN(A422/Pole2)</f>
        <v>1.57079044350578</v>
      </c>
      <c r="K422" s="719" t="n">
        <f aca="false">SQRT(1+(A422/Zero2)^2)</f>
        <v>52.5998575087606</v>
      </c>
      <c r="L422" s="720" t="n">
        <f aca="false">ATAN(A422/Zero2)</f>
        <v>1.55178372302708</v>
      </c>
      <c r="M422" s="707" t="n">
        <f aca="false">SQRT(1+(A422/pole4)^2)</f>
        <v>1.91563772625697</v>
      </c>
      <c r="N422" s="710" t="n">
        <f aca="false">ATAN(A422/pole4)</f>
        <v>1.02157952792877</v>
      </c>
      <c r="O422" s="711" t="n">
        <f aca="false">SQRT((1-(V422/pterm2))^2+(A422/pterm1)^2)</f>
        <v>1.08697391964184</v>
      </c>
      <c r="P422" s="712" t="n">
        <f aca="false">IF((ATAN((A422/pterm1)/(1-A422^2/pterm2))&gt;0),ATAN((A422/pterm1)/(1-A422^2/pterm2)),PI()+ATAN((A422/pterm1)/(1-A422^2/pterm2)))</f>
        <v>0.552271365521056</v>
      </c>
      <c r="Q422" s="713" t="n">
        <f aca="false">20*LOG10(((E422*K422*G422)/(C422*I422*O422*M422))*Adc)</f>
        <v>-21.9125191235697</v>
      </c>
      <c r="R422" s="714" t="n">
        <f aca="false">((F422+L422+H422)-(D422+J422+P422+N422))*radconv</f>
        <v>-184.470667264725</v>
      </c>
      <c r="S422" s="717" t="n">
        <f aca="false">IF(R422&gt;0,R422,R422+180)</f>
        <v>-4.4706672647248</v>
      </c>
      <c r="U422" s="644" t="n">
        <f aca="false">IF(Q422&lt;0,A422,1000000000)</f>
        <v>40975.25</v>
      </c>
      <c r="V422" s="644" t="n">
        <f aca="false">A422^2</f>
        <v>1678971112.5625</v>
      </c>
      <c r="X422" s="716" t="n">
        <f aca="false">20*LOG10((K422/(I422*M422))*AEA)</f>
        <v>12.2625018832468</v>
      </c>
      <c r="Y422" s="717" t="n">
        <f aca="false">(L422-(J422+N422))*radconv</f>
        <v>-59.621200321227</v>
      </c>
      <c r="AA422" s="716" t="n">
        <f aca="false">20*LOG10((E422*G422/(C422*O422))*Acs*Am)</f>
        <v>17.3056043477378</v>
      </c>
      <c r="AB422" s="717" t="n">
        <f aca="false">(F422+H422-(D422+P422))*radconv</f>
        <v>-124.849466943498</v>
      </c>
      <c r="AD422" s="0" t="n">
        <f aca="false">SUM((Q423&lt;0)*(Q422&gt;0))*A422</f>
        <v>0</v>
      </c>
      <c r="AE422" s="0" t="n">
        <f aca="false">IF(AD422&gt;0,S422,0)</f>
        <v>0</v>
      </c>
    </row>
    <row r="423" customFormat="false" ht="12.75" hidden="false" customHeight="false" outlineLevel="0" collapsed="false">
      <c r="A423" s="718" t="n">
        <v>41212.5</v>
      </c>
      <c r="B423" s="706" t="n">
        <f aca="false">A423/1000</f>
        <v>41.2125</v>
      </c>
      <c r="C423" s="707" t="n">
        <f aca="false">SQRT(1+(A423/pole1)^2)</f>
        <v>70.3866675442954</v>
      </c>
      <c r="D423" s="708" t="n">
        <f aca="false">ATAN(A423/pole1)</f>
        <v>1.55658861276507</v>
      </c>
      <c r="E423" s="708" t="n">
        <f aca="false">SQRT(1+(A423/Zero1)^2)</f>
        <v>1.12614903802958</v>
      </c>
      <c r="F423" s="709" t="n">
        <f aca="false">ATAN(A423/Zero1)</f>
        <v>0.47785818451627</v>
      </c>
      <c r="G423" s="708" t="n">
        <f aca="false">IF(VIN_nom&gt;Vout, 1, SQRT(1+(A423/z_RHP)^2))</f>
        <v>1.17178568396437</v>
      </c>
      <c r="H423" s="709" t="n">
        <f aca="false">IF(VIN_nom&gt;Vout, 0, -ATAN(A423/z_RHP))</f>
        <v>-0.548325864414595</v>
      </c>
      <c r="I423" s="707" t="n">
        <f aca="false">SQRT(1+(A423/Pole2)^2)</f>
        <v>170957.105812541</v>
      </c>
      <c r="J423" s="710" t="n">
        <f aca="false">ATAN(A423/Pole2)</f>
        <v>1.57079047737439</v>
      </c>
      <c r="K423" s="719" t="n">
        <f aca="false">SQRT(1+(A423/Zero2)^2)</f>
        <v>52.9043051620052</v>
      </c>
      <c r="L423" s="720" t="n">
        <f aca="false">ATAN(A423/Zero2)</f>
        <v>1.55189314765946</v>
      </c>
      <c r="M423" s="707" t="n">
        <f aca="false">SQRT(1+(A423/pole4)^2)</f>
        <v>1.92371322799497</v>
      </c>
      <c r="N423" s="710" t="n">
        <f aca="false">ATAN(A423/pole4)</f>
        <v>1.02414672963712</v>
      </c>
      <c r="O423" s="711" t="n">
        <f aca="false">SQRT((1-(V423/pterm2))^2+(A423/pterm1)^2)</f>
        <v>1.08797322956452</v>
      </c>
      <c r="P423" s="712" t="n">
        <f aca="false">IF((ATAN((A423/pterm1)/(1-A423^2/pterm2))&gt;0),ATAN((A423/pterm1)/(1-A423^2/pterm2)),PI()+ATAN((A423/pterm1)/(1-A423^2/pterm2)))</f>
        <v>0.555272902184332</v>
      </c>
      <c r="Q423" s="713" t="n">
        <f aca="false">20*LOG10(((E423*K423*G423)/(C423*I423*O423*M423))*Adc)</f>
        <v>-21.9830690194538</v>
      </c>
      <c r="R423" s="714" t="n">
        <f aca="false">((F423+L423+H423)-(D423+J423+P423+N423))*radconv</f>
        <v>-184.800275031188</v>
      </c>
      <c r="S423" s="717" t="n">
        <f aca="false">IF(R423&gt;0,R423,R423+180)</f>
        <v>-4.80027503118822</v>
      </c>
      <c r="U423" s="644" t="n">
        <f aca="false">IF(Q423&lt;0,A423,1000000000)</f>
        <v>41212.5</v>
      </c>
      <c r="V423" s="644" t="n">
        <f aca="false">A423^2</f>
        <v>1698470156.25</v>
      </c>
      <c r="X423" s="716" t="n">
        <f aca="false">20*LOG10((K423/(I423*M423))*AEA)</f>
        <v>12.2259448635725</v>
      </c>
      <c r="Y423" s="717" t="n">
        <f aca="false">(L423-(J423+N423))*radconv</f>
        <v>-59.7620225153535</v>
      </c>
      <c r="AA423" s="716" t="n">
        <f aca="false">20*LOG10((E423*G423/(C423*O423))*Acs*Am)</f>
        <v>17.271611471528</v>
      </c>
      <c r="AB423" s="717" t="n">
        <f aca="false">(F423+H423-(D423+P423))*radconv</f>
        <v>-125.038252515835</v>
      </c>
      <c r="AD423" s="0" t="n">
        <f aca="false">SUM((Q424&lt;0)*(Q423&gt;0))*A423</f>
        <v>0</v>
      </c>
      <c r="AE423" s="0" t="n">
        <f aca="false">IF(AD423&gt;0,S423,0)</f>
        <v>0</v>
      </c>
    </row>
    <row r="424" customFormat="false" ht="12.75" hidden="false" customHeight="false" outlineLevel="0" collapsed="false">
      <c r="A424" s="718" t="n">
        <v>41449.75</v>
      </c>
      <c r="B424" s="706" t="n">
        <f aca="false">A424/1000</f>
        <v>41.44975</v>
      </c>
      <c r="C424" s="707" t="n">
        <f aca="false">SQRT(1+(A424/pole1)^2)</f>
        <v>70.7917843378097</v>
      </c>
      <c r="D424" s="708" t="n">
        <f aca="false">ATAN(A424/pole1)</f>
        <v>1.556669924002</v>
      </c>
      <c r="E424" s="708" t="n">
        <f aca="false">SQRT(1+(A424/Zero1)^2)</f>
        <v>1.12752321419888</v>
      </c>
      <c r="F424" s="709" t="n">
        <f aca="false">ATAN(A424/Zero1)</f>
        <v>0.480206168452203</v>
      </c>
      <c r="G424" s="708" t="n">
        <f aca="false">IF(VIN_nom&gt;Vout, 1, SQRT(1+(A424/z_RHP)^2))</f>
        <v>1.17362239586735</v>
      </c>
      <c r="H424" s="709" t="n">
        <f aca="false">IF(VIN_nom&gt;Vout, 0, -ATAN(A424/z_RHP))</f>
        <v>-0.55088270190178</v>
      </c>
      <c r="I424" s="707" t="n">
        <f aca="false">SQRT(1+(A424/Pole2)^2)</f>
        <v>171941.262885095</v>
      </c>
      <c r="J424" s="710" t="n">
        <f aca="false">ATAN(A424/Pole2)</f>
        <v>1.57079051085529</v>
      </c>
      <c r="K424" s="719" t="n">
        <f aca="false">SQRT(1+(A424/Zero2)^2)</f>
        <v>53.2087534414637</v>
      </c>
      <c r="L424" s="720" t="n">
        <f aca="false">ATAN(A424/Zero2)</f>
        <v>1.55200132008785</v>
      </c>
      <c r="M424" s="707" t="n">
        <f aca="false">SQRT(1+(A424/pole4)^2)</f>
        <v>1.93180130196592</v>
      </c>
      <c r="N424" s="710" t="n">
        <f aca="false">ATAN(A424/pole4)</f>
        <v>1.02669245126408</v>
      </c>
      <c r="O424" s="711" t="n">
        <f aca="false">SQRT((1-(V424/pterm2))^2+(A424/pterm1)^2)</f>
        <v>1.08897807954353</v>
      </c>
      <c r="P424" s="712" t="n">
        <f aca="false">IF((ATAN((A424/pterm1)/(1-A424^2/pterm2))&gt;0),ATAN((A424/pterm1)/(1-A424^2/pterm2)),PI()+ATAN((A424/pterm1)/(1-A424^2/pterm2)))</f>
        <v>0.558271336921706</v>
      </c>
      <c r="Q424" s="713" t="n">
        <f aca="false">20*LOG10(((E424*K424*G424)/(C424*I424*O424*M424))*Adc)</f>
        <v>-22.0532004104843</v>
      </c>
      <c r="R424" s="714" t="n">
        <f aca="false">((F424+L424+H424)-(D424+J424+P424+N424))*radconv</f>
        <v>-185.128361104635</v>
      </c>
      <c r="S424" s="717" t="n">
        <f aca="false">IF(R424&gt;0,R424,R424+180)</f>
        <v>-5.12836110463485</v>
      </c>
      <c r="U424" s="644" t="n">
        <f aca="false">IF(Q424&lt;0,A424,1000000000)</f>
        <v>41449.75</v>
      </c>
      <c r="V424" s="644" t="n">
        <f aca="false">A424^2</f>
        <v>1718081775.0625</v>
      </c>
      <c r="X424" s="716" t="n">
        <f aca="false">20*LOG10((K424/(I424*M424))*AEA)</f>
        <v>12.1894846893238</v>
      </c>
      <c r="Y424" s="717" t="n">
        <f aca="false">(L424-(J424+N424))*radconv</f>
        <v>-59.9016857152615</v>
      </c>
      <c r="AA424" s="716" t="n">
        <f aca="false">20*LOG10((E424*G424/(C424*O424))*Acs*Am)</f>
        <v>17.2379402547463</v>
      </c>
      <c r="AB424" s="717" t="n">
        <f aca="false">(F424+H424-(D424+P424))*radconv</f>
        <v>-125.226675389373</v>
      </c>
      <c r="AD424" s="0" t="n">
        <f aca="false">SUM((Q425&lt;0)*(Q424&gt;0))*A424</f>
        <v>0</v>
      </c>
      <c r="AE424" s="0" t="n">
        <f aca="false">IF(AD424&gt;0,S424,0)</f>
        <v>0</v>
      </c>
    </row>
    <row r="425" customFormat="false" ht="12.75" hidden="false" customHeight="false" outlineLevel="0" collapsed="false">
      <c r="A425" s="718" t="n">
        <v>41687</v>
      </c>
      <c r="B425" s="706" t="n">
        <f aca="false">A425/1000</f>
        <v>41.687</v>
      </c>
      <c r="C425" s="707" t="n">
        <f aca="false">SQRT(1+(A425/pole1)^2)</f>
        <v>71.1969015940386</v>
      </c>
      <c r="D425" s="708" t="n">
        <f aca="false">ATAN(A425/pole1)</f>
        <v>1.55675030990186</v>
      </c>
      <c r="E425" s="708" t="n">
        <f aca="false">SQRT(1+(A425/Zero1)^2)</f>
        <v>1.12890359128269</v>
      </c>
      <c r="F425" s="709" t="n">
        <f aca="false">ATAN(A425/Zero1)</f>
        <v>0.482548423237587</v>
      </c>
      <c r="G425" s="708" t="n">
        <f aca="false">IF(VIN_nom&gt;Vout, 1, SQRT(1+(A425/z_RHP)^2))</f>
        <v>1.17546675622421</v>
      </c>
      <c r="H425" s="709" t="n">
        <f aca="false">IF(VIN_nom&gt;Vout, 0, -ATAN(A425/z_RHP))</f>
        <v>-0.553431532421597</v>
      </c>
      <c r="I425" s="707" t="n">
        <f aca="false">SQRT(1+(A425/Pole2)^2)</f>
        <v>172925.419957649</v>
      </c>
      <c r="J425" s="710" t="n">
        <f aca="false">ATAN(A425/Pole2)</f>
        <v>1.5707905439551</v>
      </c>
      <c r="K425" s="719" t="n">
        <f aca="false">SQRT(1+(A425/Zero2)^2)</f>
        <v>53.5132023364481</v>
      </c>
      <c r="L425" s="720" t="n">
        <f aca="false">ATAN(A425/Zero2)</f>
        <v>1.55210826168191</v>
      </c>
      <c r="M425" s="707" t="n">
        <f aca="false">SQRT(1+(A425/pole4)^2)</f>
        <v>1.93990179091677</v>
      </c>
      <c r="N425" s="710" t="n">
        <f aca="false">ATAN(A425/pole4)</f>
        <v>1.02921692869052</v>
      </c>
      <c r="O425" s="711" t="n">
        <f aca="false">SQRT((1-(V425/pterm2))^2+(A425/pterm1)^2)</f>
        <v>1.08998846625991</v>
      </c>
      <c r="P425" s="712" t="n">
        <f aca="false">IF((ATAN((A425/pterm1)/(1-A425^2/pterm2))&gt;0),ATAN((A425/pterm1)/(1-A425^2/pterm2)),PI()+ATAN((A425/pterm1)/(1-A425^2/pterm2)))</f>
        <v>0.561266659525892</v>
      </c>
      <c r="Q425" s="713" t="n">
        <f aca="false">20*LOG10(((E425*K425*G425)/(C425*I425*O425*M425))*Adc)</f>
        <v>-22.1229171020148</v>
      </c>
      <c r="R425" s="714" t="n">
        <f aca="false">((F425+L425+H425)-(D425+J425+P425+N425))*radconv</f>
        <v>-185.454938635531</v>
      </c>
      <c r="S425" s="717" t="n">
        <f aca="false">IF(R425&gt;0,R425,R425+180)</f>
        <v>-5.45493863553071</v>
      </c>
      <c r="U425" s="644" t="n">
        <f aca="false">IF(Q425&lt;0,A425,1000000000)</f>
        <v>41687</v>
      </c>
      <c r="V425" s="644" t="n">
        <f aca="false">A425^2</f>
        <v>1737805969</v>
      </c>
      <c r="X425" s="716" t="n">
        <f aca="false">20*LOG10((K425/(I425*M425))*AEA)</f>
        <v>12.1531214875987</v>
      </c>
      <c r="Y425" s="717" t="n">
        <f aca="false">(L425-(J425+N425))*radconv</f>
        <v>-60.0402022119156</v>
      </c>
      <c r="AA425" s="716" t="n">
        <f aca="false">20*LOG10((E425*G425/(C425*O425))*Acs*Am)</f>
        <v>17.2045867649409</v>
      </c>
      <c r="AB425" s="717" t="n">
        <f aca="false">(F425+H425-(D425+P425))*radconv</f>
        <v>-125.414736423615</v>
      </c>
      <c r="AD425" s="0" t="n">
        <f aca="false">SUM((Q426&lt;0)*(Q425&gt;0))*A425</f>
        <v>0</v>
      </c>
      <c r="AE425" s="0" t="n">
        <f aca="false">IF(AD425&gt;0,S425,0)</f>
        <v>0</v>
      </c>
    </row>
    <row r="426" customFormat="false" ht="12.75" hidden="false" customHeight="false" outlineLevel="0" collapsed="false">
      <c r="A426" s="718" t="n">
        <v>41929.75</v>
      </c>
      <c r="B426" s="706" t="n">
        <f aca="false">A426/1000</f>
        <v>41.92975</v>
      </c>
      <c r="C426" s="707" t="n">
        <f aca="false">SQRT(1+(A426/pole1)^2)</f>
        <v>71.6114108696223</v>
      </c>
      <c r="D426" s="708" t="n">
        <f aca="false">ATAN(A426/pole1)</f>
        <v>1.55683161794783</v>
      </c>
      <c r="E426" s="708" t="n">
        <f aca="false">SQRT(1+(A426/Zero1)^2)</f>
        <v>1.13032236318962</v>
      </c>
      <c r="F426" s="709" t="n">
        <f aca="false">ATAN(A426/Zero1)</f>
        <v>0.484939042095578</v>
      </c>
      <c r="G426" s="708" t="n">
        <f aca="false">IF(VIN_nom&gt;Vout, 1, SQRT(1+(A426/z_RHP)^2))</f>
        <v>1.17736175207077</v>
      </c>
      <c r="H426" s="709" t="n">
        <f aca="false">IF(VIN_nom&gt;Vout, 0, -ATAN(A426/z_RHP))</f>
        <v>-0.556031167930392</v>
      </c>
      <c r="I426" s="707" t="n">
        <f aca="false">SQRT(1+(A426/Pole2)^2)</f>
        <v>173932.392051907</v>
      </c>
      <c r="J426" s="710" t="n">
        <f aca="false">ATAN(A426/Pole2)</f>
        <v>1.57079057743454</v>
      </c>
      <c r="K426" s="719" t="n">
        <f aca="false">SQRT(1+(A426/Zero2)^2)</f>
        <v>53.8247096823854</v>
      </c>
      <c r="L426" s="720" t="n">
        <f aca="false">ATAN(A426/Zero2)</f>
        <v>1.5522164302447</v>
      </c>
      <c r="M426" s="707" t="n">
        <f aca="false">SQRT(1+(A426/pole4)^2)</f>
        <v>1.94820275630858</v>
      </c>
      <c r="N426" s="710" t="n">
        <f aca="false">ATAN(A426/pole4)</f>
        <v>1.03177818371657</v>
      </c>
      <c r="O426" s="711" t="n">
        <f aca="false">SQRT((1-(V426/pterm2))^2+(A426/pterm1)^2)</f>
        <v>1.09102800335281</v>
      </c>
      <c r="P426" s="712" t="n">
        <f aca="false">IF((ATAN((A426/pterm1)/(1-A426^2/pterm2))&gt;0),ATAN((A426/pterm1)/(1-A426^2/pterm2)),PI()+ATAN((A426/pterm1)/(1-A426^2/pterm2)))</f>
        <v>0.564328188859065</v>
      </c>
      <c r="Q426" s="713" t="n">
        <f aca="false">20*LOG10(((E426*K426*G426)/(C426*I426*O426*M426))*Adc)</f>
        <v>-22.1938246796907</v>
      </c>
      <c r="R426" s="714" t="n">
        <f aca="false">((F426+L426+H426)-(D426+J426+P426+N426))*radconv</f>
        <v>-185.787539144727</v>
      </c>
      <c r="S426" s="717" t="n">
        <f aca="false">IF(R426&gt;0,R426,R426+180)</f>
        <v>-5.78753914472699</v>
      </c>
      <c r="U426" s="644" t="n">
        <f aca="false">IF(Q426&lt;0,A426,1000000000)</f>
        <v>41929.75</v>
      </c>
      <c r="V426" s="644" t="n">
        <f aca="false">A426^2</f>
        <v>1758103935.0625</v>
      </c>
      <c r="X426" s="716" t="n">
        <f aca="false">20*LOG10((K426/(I426*M426))*AEA)</f>
        <v>12.1160157888494</v>
      </c>
      <c r="Y426" s="717" t="n">
        <f aca="false">(L426-(J426+N426))*radconv</f>
        <v>-60.1807556314321</v>
      </c>
      <c r="AA426" s="716" t="n">
        <f aca="false">20*LOG10((E426*G426/(C426*O426))*Acs*Am)</f>
        <v>17.1707848860143</v>
      </c>
      <c r="AB426" s="717" t="n">
        <f aca="false">(F426+H426-(D426+P426))*radconv</f>
        <v>-125.606783513295</v>
      </c>
      <c r="AD426" s="0" t="n">
        <f aca="false">SUM((Q427&lt;0)*(Q426&gt;0))*A426</f>
        <v>0</v>
      </c>
      <c r="AE426" s="0" t="n">
        <f aca="false">IF(AD426&gt;0,S426,0)</f>
        <v>0</v>
      </c>
    </row>
    <row r="427" customFormat="false" ht="12.75" hidden="false" customHeight="false" outlineLevel="0" collapsed="false">
      <c r="A427" s="718" t="n">
        <v>42172.5</v>
      </c>
      <c r="B427" s="706" t="n">
        <f aca="false">A427/1000</f>
        <v>42.1725</v>
      </c>
      <c r="C427" s="707" t="n">
        <f aca="false">SQRT(1+(A427/pole1)^2)</f>
        <v>72.0259206131798</v>
      </c>
      <c r="D427" s="708" t="n">
        <f aca="false">ATAN(A427/pole1)</f>
        <v>1.55691199013744</v>
      </c>
      <c r="E427" s="708" t="n">
        <f aca="false">SQRT(1+(A427/Zero1)^2)</f>
        <v>1.1317475787372</v>
      </c>
      <c r="F427" s="709" t="n">
        <f aca="false">ATAN(A427/Zero1)</f>
        <v>0.487323653515982</v>
      </c>
      <c r="G427" s="708" t="n">
        <f aca="false">IF(VIN_nom&gt;Vout, 1, SQRT(1+(A427/z_RHP)^2))</f>
        <v>1.17926467904827</v>
      </c>
      <c r="H427" s="709" t="n">
        <f aca="false">IF(VIN_nom&gt;Vout, 0, -ATAN(A427/z_RHP))</f>
        <v>-0.558622431071777</v>
      </c>
      <c r="I427" s="707" t="n">
        <f aca="false">SQRT(1+(A427/Pole2)^2)</f>
        <v>174939.364146165</v>
      </c>
      <c r="J427" s="710" t="n">
        <f aca="false">ATAN(A427/Pole2)</f>
        <v>1.57079061052855</v>
      </c>
      <c r="K427" s="719" t="n">
        <f aca="false">SQRT(1+(A427/Zero2)^2)</f>
        <v>54.1362176508478</v>
      </c>
      <c r="L427" s="720" t="n">
        <f aca="false">ATAN(A427/Zero2)</f>
        <v>1.55232335397225</v>
      </c>
      <c r="M427" s="707" t="n">
        <f aca="false">SQRT(1+(A427/pole4)^2)</f>
        <v>1.95651639346868</v>
      </c>
      <c r="N427" s="710" t="n">
        <f aca="false">ATAN(A427/pole4)</f>
        <v>1.03431768869426</v>
      </c>
      <c r="O427" s="711" t="n">
        <f aca="false">SQRT((1-(V427/pterm2))^2+(A427/pterm1)^2)</f>
        <v>1.09207332982733</v>
      </c>
      <c r="P427" s="712" t="n">
        <f aca="false">IF((ATAN((A427/pterm1)/(1-A427^2/pterm2))&gt;0),ATAN((A427/pterm1)/(1-A427^2/pterm2)),PI()+ATAN((A427/pterm1)/(1-A427^2/pterm2)))</f>
        <v>0.567386438797582</v>
      </c>
      <c r="Q427" s="713" t="n">
        <f aca="false">20*LOG10(((E427*K427*G427)/(C427*I427*O427*M427))*Adc)</f>
        <v>-22.2643060321618</v>
      </c>
      <c r="R427" s="714" t="n">
        <f aca="false">((F427+L427+H427)-(D427+J427+P427+N427))*radconv</f>
        <v>-186.118587753078</v>
      </c>
      <c r="S427" s="717" t="n">
        <f aca="false">IF(R427&gt;0,R427,R427+180)</f>
        <v>-6.11858775307769</v>
      </c>
      <c r="U427" s="644" t="n">
        <f aca="false">IF(Q427&lt;0,A427,1000000000)</f>
        <v>42172.5</v>
      </c>
      <c r="V427" s="644" t="n">
        <f aca="false">A427^2</f>
        <v>1778519756.25</v>
      </c>
      <c r="X427" s="716" t="n">
        <f aca="false">20*LOG10((K427/(I427*M427))*AEA)</f>
        <v>12.0790118265294</v>
      </c>
      <c r="Y427" s="717" t="n">
        <f aca="false">(L427-(J427+N427))*radconv</f>
        <v>-60.3201341666947</v>
      </c>
      <c r="AA427" s="716" t="n">
        <f aca="false">20*LOG10((E427*G427/(C427*O427))*Acs*Am)</f>
        <v>17.1373074958632</v>
      </c>
      <c r="AB427" s="717" t="n">
        <f aca="false">(F427+H427-(D427+P427))*radconv</f>
        <v>-125.798453586383</v>
      </c>
      <c r="AD427" s="0" t="n">
        <f aca="false">SUM((Q428&lt;0)*(Q427&gt;0))*A427</f>
        <v>0</v>
      </c>
      <c r="AE427" s="0" t="n">
        <f aca="false">IF(AD427&gt;0,S427,0)</f>
        <v>0</v>
      </c>
    </row>
    <row r="428" customFormat="false" ht="12.75" hidden="false" customHeight="false" outlineLevel="0" collapsed="false">
      <c r="A428" s="718" t="n">
        <v>42415.25</v>
      </c>
      <c r="B428" s="706" t="n">
        <f aca="false">A428/1000</f>
        <v>42.41525</v>
      </c>
      <c r="C428" s="707" t="n">
        <f aca="false">SQRT(1+(A428/pole1)^2)</f>
        <v>72.4404308166778</v>
      </c>
      <c r="D428" s="708" t="n">
        <f aca="false">ATAN(A428/pole1)</f>
        <v>1.55699144253477</v>
      </c>
      <c r="E428" s="708" t="n">
        <f aca="false">SQRT(1+(A428/Zero1)^2)</f>
        <v>1.13317921361264</v>
      </c>
      <c r="F428" s="709" t="n">
        <f aca="false">ATAN(A428/Zero1)</f>
        <v>0.489702253097369</v>
      </c>
      <c r="G428" s="708" t="n">
        <f aca="false">IF(VIN_nom&gt;Vout, 1, SQRT(1+(A428/z_RHP)^2))</f>
        <v>1.18117549882449</v>
      </c>
      <c r="H428" s="709" t="n">
        <f aca="false">IF(VIN_nom&gt;Vout, 0, -ATAN(A428/z_RHP))</f>
        <v>-0.561205327595826</v>
      </c>
      <c r="I428" s="707" t="n">
        <f aca="false">SQRT(1+(A428/Pole2)^2)</f>
        <v>175946.336240423</v>
      </c>
      <c r="J428" s="710" t="n">
        <f aca="false">ATAN(A428/Pole2)</f>
        <v>1.57079064324376</v>
      </c>
      <c r="K428" s="719" t="n">
        <f aca="false">SQRT(1+(A428/Zero2)^2)</f>
        <v>54.4477262311504</v>
      </c>
      <c r="L428" s="720" t="n">
        <f aca="false">ATAN(A428/Zero2)</f>
        <v>1.5524290542281</v>
      </c>
      <c r="M428" s="707" t="n">
        <f aca="false">SQRT(1+(A428/pole4)^2)</f>
        <v>1.96484254154678</v>
      </c>
      <c r="N428" s="710" t="n">
        <f aca="false">ATAN(A428/pole4)</f>
        <v>1.03683568716127</v>
      </c>
      <c r="O428" s="711" t="n">
        <f aca="false">SQRT((1-(V428/pterm2))^2+(A428/pterm1)^2)</f>
        <v>1.09312444211852</v>
      </c>
      <c r="P428" s="712" t="n">
        <f aca="false">IF((ATAN((A428/pterm1)/(1-A428^2/pterm2))&gt;0),ATAN((A428/pterm1)/(1-A428^2/pterm2)),PI()+ATAN((A428/pterm1)/(1-A428^2/pterm2)))</f>
        <v>0.570441398735563</v>
      </c>
      <c r="Q428" s="713" t="n">
        <f aca="false">20*LOG10(((E428*K428*G428)/(C428*I428*O428*M428))*Adc)</f>
        <v>-22.3343650997599</v>
      </c>
      <c r="R428" s="714" t="n">
        <f aca="false">((F428+L428+H428)-(D428+J428+P428+N428))*radconv</f>
        <v>-186.448098084973</v>
      </c>
      <c r="S428" s="717" t="n">
        <f aca="false">IF(R428&gt;0,R428,R428+180)</f>
        <v>-6.44809808497251</v>
      </c>
      <c r="U428" s="644" t="n">
        <f aca="false">IF(Q428&lt;0,A428,1000000000)</f>
        <v>42415.25</v>
      </c>
      <c r="V428" s="644" t="n">
        <f aca="false">A428^2</f>
        <v>1799053432.5625</v>
      </c>
      <c r="X428" s="716" t="n">
        <f aca="false">20*LOG10((K428/(I428*M428))*AEA)</f>
        <v>12.0421096836595</v>
      </c>
      <c r="Y428" s="717" t="n">
        <f aca="false">(L428-(J428+N428))*radconv</f>
        <v>-60.4583505477218</v>
      </c>
      <c r="AA428" s="716" t="n">
        <f aca="false">20*LOG10((E428*G428/(C428*O428))*Acs*Am)</f>
        <v>17.104150571135</v>
      </c>
      <c r="AB428" s="717" t="n">
        <f aca="false">(F428+H428-(D428+P428))*radconv</f>
        <v>-125.989747537251</v>
      </c>
      <c r="AD428" s="0" t="n">
        <f aca="false">SUM((Q429&lt;0)*(Q428&gt;0))*A428</f>
        <v>0</v>
      </c>
      <c r="AE428" s="0" t="n">
        <f aca="false">IF(AD428&gt;0,S428,0)</f>
        <v>0</v>
      </c>
    </row>
    <row r="429" customFormat="false" ht="12.75" hidden="false" customHeight="false" outlineLevel="0" collapsed="false">
      <c r="A429" s="718" t="n">
        <v>42658</v>
      </c>
      <c r="B429" s="706" t="n">
        <f aca="false">A429/1000</f>
        <v>42.658</v>
      </c>
      <c r="C429" s="707" t="n">
        <f aca="false">SQRT(1+(A429/pole1)^2)</f>
        <v>72.8549414722657</v>
      </c>
      <c r="D429" s="708" t="n">
        <f aca="false">ATAN(A429/pole1)</f>
        <v>1.55706999083839</v>
      </c>
      <c r="E429" s="708" t="n">
        <f aca="false">SQRT(1+(A429/Zero1)^2)</f>
        <v>1.13461724351666</v>
      </c>
      <c r="F429" s="709" t="n">
        <f aca="false">ATAN(A429/Zero1)</f>
        <v>0.49207483673258</v>
      </c>
      <c r="G429" s="708" t="n">
        <f aca="false">IF(VIN_nom&gt;Vout, 1, SQRT(1+(A429/z_RHP)^2))</f>
        <v>1.18309417315636</v>
      </c>
      <c r="H429" s="709" t="n">
        <f aca="false">IF(VIN_nom&gt;Vout, 0, -ATAN(A429/z_RHP))</f>
        <v>-0.563779863662073</v>
      </c>
      <c r="I429" s="707" t="n">
        <f aca="false">SQRT(1+(A429/Pole2)^2)</f>
        <v>176953.308334681</v>
      </c>
      <c r="J429" s="710" t="n">
        <f aca="false">ATAN(A429/Pole2)</f>
        <v>1.57079067558662</v>
      </c>
      <c r="K429" s="719" t="n">
        <f aca="false">SQRT(1+(A429/Zero2)^2)</f>
        <v>54.7592354128515</v>
      </c>
      <c r="L429" s="720" t="n">
        <f aca="false">ATAN(A429/Zero2)</f>
        <v>1.55253355188978</v>
      </c>
      <c r="M429" s="707" t="n">
        <f aca="false">SQRT(1+(A429/pole4)^2)</f>
        <v>1.97318104216754</v>
      </c>
      <c r="N429" s="710" t="n">
        <f aca="false">ATAN(A429/pole4)</f>
        <v>1.03933241963871</v>
      </c>
      <c r="O429" s="711" t="n">
        <f aca="false">SQRT((1-(V429/pterm2))^2+(A429/pterm1)^2)</f>
        <v>1.09418133665851</v>
      </c>
      <c r="P429" s="712" t="n">
        <f aca="false">IF((ATAN((A429/pterm1)/(1-A429^2/pterm2))&gt;0),ATAN((A429/pterm1)/(1-A429^2/pterm2)),PI()+ATAN((A429/pterm1)/(1-A429^2/pterm2)))</f>
        <v>0.573493058177362</v>
      </c>
      <c r="Q429" s="713" t="n">
        <f aca="false">20*LOG10(((E429*K429*G429)/(C429*I429*O429*M429))*Adc)</f>
        <v>-22.4040057785219</v>
      </c>
      <c r="R429" s="714" t="n">
        <f aca="false">((F429+L429+H429)-(D429+J429+P429+N429))*radconv</f>
        <v>-186.776083611777</v>
      </c>
      <c r="S429" s="717" t="n">
        <f aca="false">IF(R429&gt;0,R429,R429+180)</f>
        <v>-6.7760836117765</v>
      </c>
      <c r="U429" s="644" t="n">
        <f aca="false">IF(Q429&lt;0,A429,1000000000)</f>
        <v>42658</v>
      </c>
      <c r="V429" s="644" t="n">
        <f aca="false">A429^2</f>
        <v>1819704964</v>
      </c>
      <c r="X429" s="716" t="n">
        <f aca="false">20*LOG10((K429/(I429*M429))*AEA)</f>
        <v>12.005309426469</v>
      </c>
      <c r="Y429" s="717" t="n">
        <f aca="false">(L429-(J429+N429))*radconv</f>
        <v>-60.5954173595354</v>
      </c>
      <c r="AA429" s="716" t="n">
        <f aca="false">20*LOG10((E429*G429/(C429*O429))*Acs*Am)</f>
        <v>17.0713101495635</v>
      </c>
      <c r="AB429" s="717" t="n">
        <f aca="false">(F429+H429-(D429+P429))*radconv</f>
        <v>-126.180666252241</v>
      </c>
      <c r="AD429" s="0" t="n">
        <f aca="false">SUM((Q430&lt;0)*(Q429&gt;0))*A429</f>
        <v>0</v>
      </c>
      <c r="AE429" s="0" t="n">
        <f aca="false">IF(AD429&gt;0,S429,0)</f>
        <v>0</v>
      </c>
    </row>
    <row r="430" customFormat="false" ht="12.75" hidden="false" customHeight="false" outlineLevel="0" collapsed="false">
      <c r="A430" s="718" t="n">
        <v>42906.5</v>
      </c>
      <c r="B430" s="706" t="n">
        <f aca="false">A430/1000</f>
        <v>42.9065</v>
      </c>
      <c r="C430" s="707" t="n">
        <f aca="false">SQRT(1+(A430/pole1)^2)</f>
        <v>73.2792710691523</v>
      </c>
      <c r="D430" s="708" t="n">
        <f aca="false">ATAN(A430/pole1)</f>
        <v>1.55714947925545</v>
      </c>
      <c r="E430" s="708" t="n">
        <f aca="false">SQRT(1+(A430/Zero1)^2)</f>
        <v>1.1360959346087</v>
      </c>
      <c r="F430" s="709" t="n">
        <f aca="false">ATAN(A430/Zero1)</f>
        <v>0.494497384203948</v>
      </c>
      <c r="G430" s="708" t="n">
        <f aca="false">IF(VIN_nom&gt;Vout, 1, SQRT(1+(A430/z_RHP)^2))</f>
        <v>1.18506639097967</v>
      </c>
      <c r="H430" s="709" t="n">
        <f aca="false">IF(VIN_nom&gt;Vout, 0, -ATAN(A430/z_RHP))</f>
        <v>-0.566406729560719</v>
      </c>
      <c r="I430" s="707" t="n">
        <f aca="false">SQRT(1+(A430/Pole2)^2)</f>
        <v>177984.132497084</v>
      </c>
      <c r="J430" s="710" t="n">
        <f aca="false">ATAN(A430/Pole2)</f>
        <v>1.57079070831652</v>
      </c>
      <c r="K430" s="719" t="n">
        <f aca="false">SQRT(1+(A430/Zero2)^2)</f>
        <v>55.0781239001192</v>
      </c>
      <c r="L430" s="720" t="n">
        <f aca="false">ATAN(A430/Zero2)</f>
        <v>1.55263930041915</v>
      </c>
      <c r="M430" s="707" t="n">
        <f aca="false">SQRT(1+(A430/pole4)^2)</f>
        <v>1.98172968830231</v>
      </c>
      <c r="N430" s="710" t="n">
        <f aca="false">ATAN(A430/pole4)</f>
        <v>1.04186651244318</v>
      </c>
      <c r="O430" s="711" t="n">
        <f aca="false">SQRT((1-(V430/pterm2))^2+(A430/pterm1)^2)</f>
        <v>1.09526925136443</v>
      </c>
      <c r="P430" s="712" t="n">
        <f aca="false">IF((ATAN((A430/pterm1)/(1-A430^2/pterm2))&gt;0),ATAN((A430/pterm1)/(1-A430^2/pterm2)),PI()+ATAN((A430/pterm1)/(1-A430^2/pterm2)))</f>
        <v>0.57661357250263</v>
      </c>
      <c r="Q430" s="713" t="n">
        <f aca="false">20*LOG10(((E430*K430*G430)/(C430*I430*O430*M430))*Adc)</f>
        <v>-22.4748666804647</v>
      </c>
      <c r="R430" s="714" t="n">
        <f aca="false">((F430+L430+H430)-(D430+J430+P430+N430))*radconv</f>
        <v>-187.110272600737</v>
      </c>
      <c r="S430" s="717" t="n">
        <f aca="false">IF(R430&gt;0,R430,R430+180)</f>
        <v>-7.11027260073746</v>
      </c>
      <c r="U430" s="644" t="n">
        <f aca="false">IF(Q430&lt;0,A430,1000000000)</f>
        <v>42906.5</v>
      </c>
      <c r="V430" s="644" t="n">
        <f aca="false">A430^2</f>
        <v>1840967742.25</v>
      </c>
      <c r="X430" s="716" t="n">
        <f aca="false">20*LOG10((K430/(I430*M430))*AEA)</f>
        <v>11.9677430708815</v>
      </c>
      <c r="Y430" s="717" t="n">
        <f aca="false">(L430-(J430+N430))*radconv</f>
        <v>-60.7345531131478</v>
      </c>
      <c r="AA430" s="716" t="n">
        <f aca="false">20*LOG10((E430*G430/(C430*O430))*Acs*Am)</f>
        <v>17.0380156032082</v>
      </c>
      <c r="AB430" s="717" t="n">
        <f aca="false">(F430+H430-(D430+P430))*radconv</f>
        <v>-126.37571948759</v>
      </c>
      <c r="AD430" s="0" t="n">
        <f aca="false">SUM((Q431&lt;0)*(Q430&gt;0))*A430</f>
        <v>0</v>
      </c>
      <c r="AE430" s="0" t="n">
        <f aca="false">IF(AD430&gt;0,S430,0)</f>
        <v>0</v>
      </c>
    </row>
    <row r="431" customFormat="false" ht="12.75" hidden="false" customHeight="false" outlineLevel="0" collapsed="false">
      <c r="A431" s="718" t="n">
        <v>43155</v>
      </c>
      <c r="B431" s="706" t="n">
        <f aca="false">A431/1000</f>
        <v>43.155</v>
      </c>
      <c r="C431" s="707" t="n">
        <f aca="false">SQRT(1+(A431/pole1)^2)</f>
        <v>73.703601123716</v>
      </c>
      <c r="D431" s="708" t="n">
        <f aca="false">ATAN(A431/pole1)</f>
        <v>1.55722805240363</v>
      </c>
      <c r="E431" s="708" t="n">
        <f aca="false">SQRT(1+(A431/Zero1)^2)</f>
        <v>1.1375812757919</v>
      </c>
      <c r="F431" s="709" t="n">
        <f aca="false">ATAN(A431/Zero1)</f>
        <v>0.496913619578731</v>
      </c>
      <c r="G431" s="708" t="n">
        <f aca="false">IF(VIN_nom&gt;Vout, 1, SQRT(1+(A431/z_RHP)^2))</f>
        <v>1.18704675905836</v>
      </c>
      <c r="H431" s="709" t="n">
        <f aca="false">IF(VIN_nom&gt;Vout, 0, -ATAN(A431/z_RHP))</f>
        <v>-0.569024848595097</v>
      </c>
      <c r="I431" s="707" t="n">
        <f aca="false">SQRT(1+(A431/Pole2)^2)</f>
        <v>179014.956659487</v>
      </c>
      <c r="J431" s="710" t="n">
        <f aca="false">ATAN(A431/Pole2)</f>
        <v>1.57079074066948</v>
      </c>
      <c r="K431" s="719" t="n">
        <f aca="false">SQRT(1+(A431/Zero2)^2)</f>
        <v>55.3970129962208</v>
      </c>
      <c r="L431" s="720" t="n">
        <f aca="false">ATAN(A431/Zero2)</f>
        <v>1.55274383148139</v>
      </c>
      <c r="M431" s="707" t="n">
        <f aca="false">SQRT(1+(A431/pole4)^2)</f>
        <v>1.99029095099706</v>
      </c>
      <c r="N431" s="710" t="n">
        <f aca="false">ATAN(A431/pole4)</f>
        <v>1.04437882039834</v>
      </c>
      <c r="O431" s="711" t="n">
        <f aca="false">SQRT((1-(V431/pterm2))^2+(A431/pterm1)^2)</f>
        <v>1.09636321791595</v>
      </c>
      <c r="P431" s="712" t="n">
        <f aca="false">IF((ATAN((A431/pterm1)/(1-A431^2/pterm2))&gt;0),ATAN((A431/pterm1)/(1-A431^2/pterm2)),PI()+ATAN((A431/pterm1)/(1-A431^2/pterm2)))</f>
        <v>0.579730606217835</v>
      </c>
      <c r="Q431" s="713" t="n">
        <f aca="false">20*LOG10(((E431*K431*G431)/(C431*I431*O431*M431))*Adc)</f>
        <v>-22.5452972613378</v>
      </c>
      <c r="R431" s="714" t="n">
        <f aca="false">((F431+L431+H431)-(D431+J431+P431+N431))*radconv</f>
        <v>-187.442891776681</v>
      </c>
      <c r="S431" s="717" t="n">
        <f aca="false">IF(R431&gt;0,R431,R431+180)</f>
        <v>-7.44289177668097</v>
      </c>
      <c r="U431" s="644" t="n">
        <f aca="false">IF(Q431&lt;0,A431,1000000000)</f>
        <v>43155</v>
      </c>
      <c r="V431" s="644" t="n">
        <f aca="false">A431^2</f>
        <v>1862354025</v>
      </c>
      <c r="X431" s="716" t="n">
        <f aca="false">20*LOG10((K431/(I431*M431))*AEA)</f>
        <v>11.9302835737114</v>
      </c>
      <c r="Y431" s="717" t="n">
        <f aca="false">(L431-(J431+N431))*radconv</f>
        <v>-60.8725104209663</v>
      </c>
      <c r="AA431" s="716" t="n">
        <f aca="false">20*LOG10((E431*G431/(C431*O431))*Acs*Am)</f>
        <v>17.0050445195052</v>
      </c>
      <c r="AB431" s="717" t="n">
        <f aca="false">(F431+H431-(D431+P431))*radconv</f>
        <v>-126.570381355715</v>
      </c>
      <c r="AD431" s="0" t="n">
        <f aca="false">SUM((Q432&lt;0)*(Q431&gt;0))*A431</f>
        <v>0</v>
      </c>
      <c r="AE431" s="0" t="n">
        <f aca="false">IF(AD431&gt;0,S431,0)</f>
        <v>0</v>
      </c>
    </row>
    <row r="432" customFormat="false" ht="12.75" hidden="false" customHeight="false" outlineLevel="0" collapsed="false">
      <c r="A432" s="718" t="n">
        <v>43403.5</v>
      </c>
      <c r="B432" s="706" t="n">
        <f aca="false">A432/1000</f>
        <v>43.4035</v>
      </c>
      <c r="C432" s="707" t="n">
        <f aca="false">SQRT(1+(A432/pole1)^2)</f>
        <v>74.1279316280971</v>
      </c>
      <c r="D432" s="708" t="n">
        <f aca="false">ATAN(A432/pole1)</f>
        <v>1.55730572599978</v>
      </c>
      <c r="E432" s="708" t="n">
        <f aca="false">SQRT(1+(A432/Zero1)^2)</f>
        <v>1.1390732410513</v>
      </c>
      <c r="F432" s="709" t="n">
        <f aca="false">ATAN(A432/Zero1)</f>
        <v>0.499323539392027</v>
      </c>
      <c r="G432" s="708" t="n">
        <f aca="false">IF(VIN_nom&gt;Vout, 1, SQRT(1+(A432/z_RHP)^2))</f>
        <v>1.18903523666906</v>
      </c>
      <c r="H432" s="709" t="n">
        <f aca="false">IF(VIN_nom&gt;Vout, 0, -ATAN(A432/z_RHP))</f>
        <v>-0.571634228667209</v>
      </c>
      <c r="I432" s="707" t="n">
        <f aca="false">SQRT(1+(A432/Pole2)^2)</f>
        <v>180045.780821889</v>
      </c>
      <c r="J432" s="710" t="n">
        <f aca="false">ATAN(A432/Pole2)</f>
        <v>1.57079077265197</v>
      </c>
      <c r="K432" s="719" t="n">
        <f aca="false">SQRT(1+(A432/Zero2)^2)</f>
        <v>55.7159026907024</v>
      </c>
      <c r="L432" s="720" t="n">
        <f aca="false">ATAN(A432/Zero2)</f>
        <v>1.55284716597872</v>
      </c>
      <c r="M432" s="707" t="n">
        <f aca="false">SQRT(1+(A432/pole4)^2)</f>
        <v>1.99886466813926</v>
      </c>
      <c r="N432" s="710" t="n">
        <f aca="false">ATAN(A432/pole4)</f>
        <v>1.04686959191021</v>
      </c>
      <c r="O432" s="711" t="n">
        <f aca="false">SQRT((1-(V432/pterm2))^2+(A432/pterm1)^2)</f>
        <v>1.09746323247752</v>
      </c>
      <c r="P432" s="712" t="n">
        <f aca="false">IF((ATAN((A432/pterm1)/(1-A432^2/pterm2))&gt;0),ATAN((A432/pterm1)/(1-A432^2/pterm2)),PI()+ATAN((A432/pterm1)/(1-A432^2/pterm2)))</f>
        <v>0.582844148421514</v>
      </c>
      <c r="Q432" s="713" t="n">
        <f aca="false">20*LOG10(((E432*K432*G432)/(C432*I432*O432*M432))*Adc)</f>
        <v>-22.6153015610799</v>
      </c>
      <c r="R432" s="714" t="n">
        <f aca="false">((F432+L432+H432)-(D432+J432+P432+N432))*radconv</f>
        <v>-187.773955102164</v>
      </c>
      <c r="S432" s="717" t="n">
        <f aca="false">IF(R432&gt;0,R432,R432+180)</f>
        <v>-7.77395510216397</v>
      </c>
      <c r="U432" s="644" t="n">
        <f aca="false">IF(Q432&lt;0,A432,1000000000)</f>
        <v>43403.5</v>
      </c>
      <c r="V432" s="644" t="n">
        <f aca="false">A432^2</f>
        <v>1883863812.25</v>
      </c>
      <c r="X432" s="716" t="n">
        <f aca="false">20*LOG10((K432/(I432*M432))*AEA)</f>
        <v>11.8929309548121</v>
      </c>
      <c r="Y432" s="717" t="n">
        <f aca="false">(L432-(J432+N432))*radconv</f>
        <v>-61.0093023183712</v>
      </c>
      <c r="AA432" s="716" t="n">
        <f aca="false">20*LOG10((E432*G432/(C432*O432))*Acs*Am)</f>
        <v>16.9723928386623</v>
      </c>
      <c r="AB432" s="717" t="n">
        <f aca="false">(F432+H432-(D432+P432))*radconv</f>
        <v>-126.764652783793</v>
      </c>
      <c r="AD432" s="0" t="n">
        <f aca="false">SUM((Q433&lt;0)*(Q432&gt;0))*A432</f>
        <v>0</v>
      </c>
      <c r="AE432" s="0" t="n">
        <f aca="false">IF(AD432&gt;0,S432,0)</f>
        <v>0</v>
      </c>
    </row>
    <row r="433" customFormat="false" ht="12.75" hidden="false" customHeight="false" outlineLevel="0" collapsed="false">
      <c r="A433" s="718" t="n">
        <v>43652</v>
      </c>
      <c r="B433" s="706" t="n">
        <f aca="false">A433/1000</f>
        <v>43.652</v>
      </c>
      <c r="C433" s="707" t="n">
        <f aca="false">SQRT(1+(A433/pole1)^2)</f>
        <v>74.552262574615</v>
      </c>
      <c r="D433" s="708" t="n">
        <f aca="false">ATAN(A433/pole1)</f>
        <v>1.55738251540295</v>
      </c>
      <c r="E433" s="708" t="n">
        <f aca="false">SQRT(1+(A433/Zero1)^2)</f>
        <v>1.14057180439232</v>
      </c>
      <c r="F433" s="709" t="n">
        <f aca="false">ATAN(A433/Zero1)</f>
        <v>0.50172714049045</v>
      </c>
      <c r="G433" s="708" t="n">
        <f aca="false">IF(VIN_nom&gt;Vout, 1, SQRT(1+(A433/z_RHP)^2))</f>
        <v>1.19103178319415</v>
      </c>
      <c r="H433" s="709" t="n">
        <f aca="false">IF(VIN_nom&gt;Vout, 0, -ATAN(A433/z_RHP))</f>
        <v>-0.57423487810241</v>
      </c>
      <c r="I433" s="707" t="n">
        <f aca="false">SQRT(1+(A433/Pole2)^2)</f>
        <v>181076.604984293</v>
      </c>
      <c r="J433" s="710" t="n">
        <f aca="false">ATAN(A433/Pole2)</f>
        <v>1.57079080427033</v>
      </c>
      <c r="K433" s="719" t="n">
        <f aca="false">SQRT(1+(A433/Zero2)^2)</f>
        <v>56.0347929733479</v>
      </c>
      <c r="L433" s="720" t="n">
        <f aca="false">ATAN(A433/Zero2)</f>
        <v>1.55294932433761</v>
      </c>
      <c r="M433" s="707" t="n">
        <f aca="false">SQRT(1+(A433/pole4)^2)</f>
        <v>2.00745068015201</v>
      </c>
      <c r="N433" s="710" t="n">
        <f aca="false">ATAN(A433/pole4)</f>
        <v>1.04933907221318</v>
      </c>
      <c r="O433" s="711" t="n">
        <f aca="false">SQRT((1-(V433/pterm2))^2+(A433/pterm1)^2)</f>
        <v>1.09856929121127</v>
      </c>
      <c r="P433" s="712" t="n">
        <f aca="false">IF((ATAN((A433/pterm1)/(1-A433^2/pterm2))&gt;0),ATAN((A433/pterm1)/(1-A433^2/pterm2)),PI()+ATAN((A433/pterm1)/(1-A433^2/pterm2)))</f>
        <v>0.585954188332457</v>
      </c>
      <c r="Q433" s="713" t="n">
        <f aca="false">20*LOG10(((E433*K433*G433)/(C433*I433*O433*M433))*Adc)</f>
        <v>-22.6848835740734</v>
      </c>
      <c r="R433" s="714" t="n">
        <f aca="false">((F433+L433+H433)-(D433+J433+P433+N433))*radconv</f>
        <v>-188.103476378068</v>
      </c>
      <c r="S433" s="717" t="n">
        <f aca="false">IF(R433&gt;0,R433,R433+180)</f>
        <v>-8.1034763780678</v>
      </c>
      <c r="U433" s="644" t="n">
        <f aca="false">IF(Q433&lt;0,A433,1000000000)</f>
        <v>43652</v>
      </c>
      <c r="V433" s="644" t="n">
        <f aca="false">A433^2</f>
        <v>1905497104</v>
      </c>
      <c r="X433" s="716" t="n">
        <f aca="false">20*LOG10((K433/(I433*M433))*AEA)</f>
        <v>11.8556852178989</v>
      </c>
      <c r="Y433" s="717" t="n">
        <f aca="false">(L433-(J433+N433))*radconv</f>
        <v>-61.1449416862688</v>
      </c>
      <c r="AA433" s="716" t="n">
        <f aca="false">20*LOG10((E433*G433/(C433*O433))*Acs*Am)</f>
        <v>16.9400565625821</v>
      </c>
      <c r="AB433" s="717" t="n">
        <f aca="false">(F433+H433-(D433+P433))*radconv</f>
        <v>-126.958534691799</v>
      </c>
      <c r="AD433" s="0" t="n">
        <f aca="false">SUM((Q434&lt;0)*(Q433&gt;0))*A433</f>
        <v>0</v>
      </c>
      <c r="AE433" s="0" t="n">
        <f aca="false">IF(AD433&gt;0,S433,0)</f>
        <v>0</v>
      </c>
    </row>
    <row r="434" customFormat="false" ht="12.75" hidden="false" customHeight="false" outlineLevel="0" collapsed="false">
      <c r="A434" s="718" t="n">
        <v>43906</v>
      </c>
      <c r="B434" s="706" t="n">
        <f aca="false">A434/1000</f>
        <v>43.906</v>
      </c>
      <c r="C434" s="707" t="n">
        <f aca="false">SQRT(1+(A434/pole1)^2)</f>
        <v>74.9859856008493</v>
      </c>
      <c r="D434" s="708" t="n">
        <f aca="false">ATAN(A434/pole1)</f>
        <v>1.55746010623228</v>
      </c>
      <c r="E434" s="708" t="n">
        <f aca="false">SQRT(1+(A434/Zero1)^2)</f>
        <v>1.1421103268406</v>
      </c>
      <c r="F434" s="709" t="n">
        <f aca="false">ATAN(A434/Zero1)</f>
        <v>0.50417740700486</v>
      </c>
      <c r="G434" s="708" t="n">
        <f aca="false">IF(VIN_nom&gt;Vout, 1, SQRT(1+(A434/z_RHP)^2))</f>
        <v>1.19308081547688</v>
      </c>
      <c r="H434" s="709" t="n">
        <f aca="false">IF(VIN_nom&gt;Vout, 0, -ATAN(A434/z_RHP))</f>
        <v>-0.57688407366115</v>
      </c>
      <c r="I434" s="707" t="n">
        <f aca="false">SQRT(1+(A434/Pole2)^2)</f>
        <v>182130.244168399</v>
      </c>
      <c r="J434" s="710" t="n">
        <f aca="false">ATAN(A434/Pole2)</f>
        <v>1.57079083621861</v>
      </c>
      <c r="K434" s="719" t="n">
        <f aca="false">SQRT(1+(A434/Zero2)^2)</f>
        <v>56.3607417872556</v>
      </c>
      <c r="L434" s="720" t="n">
        <f aca="false">ATAN(A434/Zero2)</f>
        <v>1.55305254905488</v>
      </c>
      <c r="M434" s="707" t="n">
        <f aca="false">SQRT(1+(A434/pole4)^2)</f>
        <v>2.01623926716312</v>
      </c>
      <c r="N434" s="710" t="n">
        <f aca="false">ATAN(A434/pole4)</f>
        <v>1.05184145777036</v>
      </c>
      <c r="O434" s="711" t="n">
        <f aca="false">SQRT((1-(V434/pterm2))^2+(A434/pterm1)^2)</f>
        <v>1.09970607243483</v>
      </c>
      <c r="P434" s="712" t="n">
        <f aca="false">IF((ATAN((A434/pterm1)/(1-A434^2/pterm2))&gt;0),ATAN((A434/pterm1)/(1-A434^2/pterm2)),PI()+ATAN((A434/pterm1)/(1-A434^2/pterm2)))</f>
        <v>0.589129431602551</v>
      </c>
      <c r="Q434" s="713" t="n">
        <f aca="false">20*LOG10(((E434*K434*G434)/(C434*I434*O434*M434))*Adc)</f>
        <v>-22.7555733333599</v>
      </c>
      <c r="R434" s="714" t="n">
        <f aca="false">((F434+L434+H434)-(D434+J434+P434+N434))*radconv</f>
        <v>-188.438711459468</v>
      </c>
      <c r="S434" s="717" t="n">
        <f aca="false">IF(R434&gt;0,R434,R434+180)</f>
        <v>-8.43871145946844</v>
      </c>
      <c r="U434" s="644" t="n">
        <f aca="false">IF(Q434&lt;0,A434,1000000000)</f>
        <v>43906</v>
      </c>
      <c r="V434" s="644" t="n">
        <f aca="false">A434^2</f>
        <v>1927736836</v>
      </c>
      <c r="X434" s="716" t="n">
        <f aca="false">20*LOG10((K434/(I434*M434))*AEA)</f>
        <v>11.8177255727649</v>
      </c>
      <c r="Y434" s="717" t="n">
        <f aca="false">(L434-(J434+N434))*radconv</f>
        <v>-61.2824053074275</v>
      </c>
      <c r="AA434" s="716" t="n">
        <f aca="false">20*LOG10((E434*G434/(C434*O434))*Acs*Am)</f>
        <v>16.9073264484297</v>
      </c>
      <c r="AB434" s="717" t="n">
        <f aca="false">(F434+H434-(D434+P434))*radconv</f>
        <v>-127.156306152041</v>
      </c>
      <c r="AD434" s="0" t="n">
        <f aca="false">SUM((Q435&lt;0)*(Q434&gt;0))*A434</f>
        <v>0</v>
      </c>
      <c r="AE434" s="0" t="n">
        <f aca="false">IF(AD434&gt;0,S434,0)</f>
        <v>0</v>
      </c>
    </row>
    <row r="435" customFormat="false" ht="12.75" hidden="false" customHeight="false" outlineLevel="0" collapsed="false">
      <c r="A435" s="718" t="n">
        <v>44160</v>
      </c>
      <c r="B435" s="706" t="n">
        <f aca="false">A435/1000</f>
        <v>44.16</v>
      </c>
      <c r="C435" s="707" t="n">
        <f aca="false">SQRT(1+(A435/pole1)^2)</f>
        <v>75.4197090733322</v>
      </c>
      <c r="D435" s="708" t="n">
        <f aca="false">ATAN(A435/pole1)</f>
        <v>1.55753680464378</v>
      </c>
      <c r="E435" s="708" t="n">
        <f aca="false">SQRT(1+(A435/Zero1)^2)</f>
        <v>1.14365568782471</v>
      </c>
      <c r="F435" s="709" t="n">
        <f aca="false">ATAN(A435/Zero1)</f>
        <v>0.506621066328442</v>
      </c>
      <c r="G435" s="708" t="n">
        <f aca="false">IF(VIN_nom&gt;Vout, 1, SQRT(1+(A435/z_RHP)^2))</f>
        <v>1.19513819233778</v>
      </c>
      <c r="H435" s="709" t="n">
        <f aca="false">IF(VIN_nom&gt;Vout, 0, -ATAN(A435/z_RHP))</f>
        <v>-0.579524166752699</v>
      </c>
      <c r="I435" s="707" t="n">
        <f aca="false">SQRT(1+(A435/Pole2)^2)</f>
        <v>183183.883352506</v>
      </c>
      <c r="J435" s="710" t="n">
        <f aca="false">ATAN(A435/Pole2)</f>
        <v>1.57079086779937</v>
      </c>
      <c r="K435" s="719" t="n">
        <f aca="false">SQRT(1+(A435/Zero2)^2)</f>
        <v>56.6866911948001</v>
      </c>
      <c r="L435" s="720" t="n">
        <f aca="false">ATAN(A435/Zero2)</f>
        <v>1.55315458668558</v>
      </c>
      <c r="M435" s="707" t="n">
        <f aca="false">SQRT(1+(A435/pole4)^2)</f>
        <v>2.02504037009577</v>
      </c>
      <c r="N435" s="710" t="n">
        <f aca="false">ATAN(A435/pole4)</f>
        <v>1.0543221073279</v>
      </c>
      <c r="O435" s="711" t="n">
        <f aca="false">SQRT((1-(V435/pterm2))^2+(A435/pterm1)^2)</f>
        <v>1.1008491602259</v>
      </c>
      <c r="P435" s="712" t="n">
        <f aca="false">IF((ATAN((A435/pterm1)/(1-A435^2/pterm2))&gt;0),ATAN((A435/pterm1)/(1-A435^2/pterm2)),PI()+ATAN((A435/pterm1)/(1-A435^2/pterm2)))</f>
        <v>0.592300993439852</v>
      </c>
      <c r="Q435" s="713" t="n">
        <f aca="false">20*LOG10(((E435*K435*G435)/(C435*I435*O435*M435))*Adc)</f>
        <v>-22.8258302024185</v>
      </c>
      <c r="R435" s="714" t="n">
        <f aca="false">((F435+L435+H435)-(D435+J435+P435+N435))*radconv</f>
        <v>-188.772364122676</v>
      </c>
      <c r="S435" s="717" t="n">
        <f aca="false">IF(R435&gt;0,R435,R435+180)</f>
        <v>-8.7723641226761</v>
      </c>
      <c r="U435" s="644" t="n">
        <f aca="false">IF(Q435&lt;0,A435,1000000000)</f>
        <v>44160</v>
      </c>
      <c r="V435" s="644" t="n">
        <f aca="false">A435^2</f>
        <v>1950105600</v>
      </c>
      <c r="X435" s="716" t="n">
        <f aca="false">20*LOG10((K435/(I435*M435))*AEA)</f>
        <v>11.7798775517486</v>
      </c>
      <c r="Y435" s="717" t="n">
        <f aca="false">(L435-(J435+N435))*radconv</f>
        <v>-61.4186915415351</v>
      </c>
      <c r="AA435" s="716" t="n">
        <f aca="false">20*LOG10((E435*G435/(C435*O435))*Acs*Am)</f>
        <v>16.8749176003873</v>
      </c>
      <c r="AB435" s="717" t="n">
        <f aca="false">(F435+H435-(D435+P435))*radconv</f>
        <v>-127.353672581141</v>
      </c>
      <c r="AD435" s="0" t="n">
        <f aca="false">SUM((Q436&lt;0)*(Q435&gt;0))*A435</f>
        <v>0</v>
      </c>
      <c r="AE435" s="0" t="n">
        <f aca="false">IF(AD435&gt;0,S435,0)</f>
        <v>0</v>
      </c>
    </row>
    <row r="436" customFormat="false" ht="12.75" hidden="false" customHeight="false" outlineLevel="0" collapsed="false">
      <c r="A436" s="718" t="n">
        <v>44414</v>
      </c>
      <c r="B436" s="706" t="n">
        <f aca="false">A436/1000</f>
        <v>44.414</v>
      </c>
      <c r="C436" s="707" t="n">
        <f aca="false">SQRT(1+(A436/pole1)^2)</f>
        <v>75.8534329844089</v>
      </c>
      <c r="D436" s="708" t="n">
        <f aca="false">ATAN(A436/pole1)</f>
        <v>1.55761262594485</v>
      </c>
      <c r="E436" s="708" t="n">
        <f aca="false">SQRT(1+(A436/Zero1)^2)</f>
        <v>1.14520785966058</v>
      </c>
      <c r="F436" s="709" t="n">
        <f aca="false">ATAN(A436/Zero1)</f>
        <v>0.50905811608338</v>
      </c>
      <c r="G436" s="708" t="n">
        <f aca="false">IF(VIN_nom&gt;Vout, 1, SQRT(1+(A436/z_RHP)^2))</f>
        <v>1.19720387075674</v>
      </c>
      <c r="H436" s="709" t="n">
        <f aca="false">IF(VIN_nom&gt;Vout, 0, -ATAN(A436/z_RHP))</f>
        <v>-0.582155167595897</v>
      </c>
      <c r="I436" s="707" t="n">
        <f aca="false">SQRT(1+(A436/Pole2)^2)</f>
        <v>184237.522536612</v>
      </c>
      <c r="J436" s="710" t="n">
        <f aca="false">ATAN(A436/Pole2)</f>
        <v>1.57079089901891</v>
      </c>
      <c r="K436" s="719" t="n">
        <f aca="false">SQRT(1+(A436/Zero2)^2)</f>
        <v>57.0126411857996</v>
      </c>
      <c r="L436" s="720" t="n">
        <f aca="false">ATAN(A436/Zero2)</f>
        <v>1.55325545758783</v>
      </c>
      <c r="M436" s="707" t="n">
        <f aca="false">SQRT(1+(A436/pole4)^2)</f>
        <v>2.03385382646941</v>
      </c>
      <c r="N436" s="710" t="n">
        <f aca="false">ATAN(A436/pole4)</f>
        <v>1.05678127272731</v>
      </c>
      <c r="O436" s="711" t="n">
        <f aca="false">SQRT((1-(V436/pterm2))^2+(A436/pterm1)^2)</f>
        <v>1.10199855048017</v>
      </c>
      <c r="P436" s="712" t="n">
        <f aca="false">IF((ATAN((A436/pterm1)/(1-A436^2/pterm2))&gt;0),ATAN((A436/pterm1)/(1-A436^2/pterm2)),PI()+ATAN((A436/pterm1)/(1-A436^2/pterm2)))</f>
        <v>0.595468862719363</v>
      </c>
      <c r="Q436" s="713" t="n">
        <f aca="false">20*LOG10(((E436*K436*G436)/(C436*I436*O436*M436))*Adc)</f>
        <v>-22.8956583038661</v>
      </c>
      <c r="R436" s="714" t="n">
        <f aca="false">((F436+L436+H436)-(D436+J436+P436+N436))*radconv</f>
        <v>-189.104448592443</v>
      </c>
      <c r="S436" s="717" t="n">
        <f aca="false">IF(R436&gt;0,R436,R436+180)</f>
        <v>-9.10444859244328</v>
      </c>
      <c r="U436" s="644" t="n">
        <f aca="false">IF(Q436&lt;0,A436,1000000000)</f>
        <v>44414</v>
      </c>
      <c r="V436" s="644" t="n">
        <f aca="false">A436^2</f>
        <v>1972603396</v>
      </c>
      <c r="X436" s="716" t="n">
        <f aca="false">20*LOG10((K436/(I436*M436))*AEA)</f>
        <v>11.7421411100249</v>
      </c>
      <c r="Y436" s="717" t="n">
        <f aca="false">(L436-(J436+N436))*radconv</f>
        <v>-61.553813651974</v>
      </c>
      <c r="AA436" s="716" t="n">
        <f aca="false">20*LOG10((E436*G436/(C436*O436))*Acs*Am)</f>
        <v>16.8428259406634</v>
      </c>
      <c r="AB436" s="717" t="n">
        <f aca="false">(F436+H436-(D436+P436))*radconv</f>
        <v>-127.550634940469</v>
      </c>
      <c r="AD436" s="0" t="n">
        <f aca="false">SUM((Q437&lt;0)*(Q436&gt;0))*A436</f>
        <v>0</v>
      </c>
      <c r="AE436" s="0" t="n">
        <f aca="false">IF(AD436&gt;0,S436,0)</f>
        <v>0</v>
      </c>
    </row>
    <row r="437" customFormat="false" ht="12.75" hidden="false" customHeight="false" outlineLevel="0" collapsed="false">
      <c r="A437" s="718" t="n">
        <v>44668</v>
      </c>
      <c r="B437" s="706" t="n">
        <f aca="false">A437/1000</f>
        <v>44.668</v>
      </c>
      <c r="C437" s="707" t="n">
        <f aca="false">SQRT(1+(A437/pole1)^2)</f>
        <v>76.2871573265986</v>
      </c>
      <c r="D437" s="708" t="n">
        <f aca="false">ATAN(A437/pole1)</f>
        <v>1.55768758509484</v>
      </c>
      <c r="E437" s="708" t="n">
        <f aca="false">SQRT(1+(A437/Zero1)^2)</f>
        <v>1.14676681469232</v>
      </c>
      <c r="F437" s="709" t="n">
        <f aca="false">ATAN(A437/Zero1)</f>
        <v>0.511488554218743</v>
      </c>
      <c r="G437" s="708" t="n">
        <f aca="false">IF(VIN_nom&gt;Vout, 1, SQRT(1+(A437/z_RHP)^2))</f>
        <v>1.19927780783708</v>
      </c>
      <c r="H437" s="709" t="n">
        <f aca="false">IF(VIN_nom&gt;Vout, 0, -ATAN(A437/z_RHP))</f>
        <v>-0.584777086842821</v>
      </c>
      <c r="I437" s="707" t="n">
        <f aca="false">SQRT(1+(A437/Pole2)^2)</f>
        <v>185291.161720719</v>
      </c>
      <c r="J437" s="710" t="n">
        <f aca="false">ATAN(A437/Pole2)</f>
        <v>1.5707909298834</v>
      </c>
      <c r="K437" s="719" t="n">
        <f aca="false">SQRT(1+(A437/Zero2)^2)</f>
        <v>57.3385917503039</v>
      </c>
      <c r="L437" s="720" t="n">
        <f aca="false">ATAN(A437/Zero2)</f>
        <v>1.55335518165694</v>
      </c>
      <c r="M437" s="707" t="n">
        <f aca="false">SQRT(1+(A437/pole4)^2)</f>
        <v>2.04267947638154</v>
      </c>
      <c r="N437" s="710" t="n">
        <f aca="false">ATAN(A437/pole4)</f>
        <v>1.05921920250622</v>
      </c>
      <c r="O437" s="711" t="n">
        <f aca="false">SQRT((1-(V437/pterm2))^2+(A437/pterm1)^2)</f>
        <v>1.10315423909178</v>
      </c>
      <c r="P437" s="712" t="n">
        <f aca="false">IF((ATAN((A437/pterm1)/(1-A437^2/pterm2))&gt;0),ATAN((A437/pterm1)/(1-A437^2/pterm2)),PI()+ATAN((A437/pterm1)/(1-A437^2/pterm2)))</f>
        <v>0.598633028446308</v>
      </c>
      <c r="Q437" s="713" t="n">
        <f aca="false">20*LOG10(((E437*K437*G437)/(C437*I437*O437*M437))*Adc)</f>
        <v>-22.9650617136694</v>
      </c>
      <c r="R437" s="714" t="n">
        <f aca="false">((F437+L437+H437)-(D437+J437+P437+N437))*radconv</f>
        <v>-189.434978924345</v>
      </c>
      <c r="S437" s="717" t="n">
        <f aca="false">IF(R437&gt;0,R437,R437+180)</f>
        <v>-9.43497892434453</v>
      </c>
      <c r="U437" s="644" t="n">
        <f aca="false">IF(Q437&lt;0,A437,1000000000)</f>
        <v>44668</v>
      </c>
      <c r="V437" s="644" t="n">
        <f aca="false">A437^2</f>
        <v>1995230224</v>
      </c>
      <c r="X437" s="716" t="n">
        <f aca="false">20*LOG10((K437/(I437*M437))*AEA)</f>
        <v>11.7045161874482</v>
      </c>
      <c r="Y437" s="717" t="n">
        <f aca="false">(L437-(J437+N437))*radconv</f>
        <v>-61.6877847393373</v>
      </c>
      <c r="AA437" s="716" t="n">
        <f aca="false">20*LOG10((E437*G437/(C437*O437))*Acs*Am)</f>
        <v>16.8110474534368</v>
      </c>
      <c r="AB437" s="717" t="n">
        <f aca="false">(F437+H437-(D437+P437))*radconv</f>
        <v>-127.747194185007</v>
      </c>
      <c r="AD437" s="0" t="n">
        <f aca="false">SUM((Q438&lt;0)*(Q437&gt;0))*A437</f>
        <v>0</v>
      </c>
      <c r="AE437" s="0" t="n">
        <f aca="false">IF(AD437&gt;0,S437,0)</f>
        <v>0</v>
      </c>
    </row>
    <row r="438" customFormat="false" ht="12.75" hidden="false" customHeight="false" outlineLevel="0" collapsed="false">
      <c r="A438" s="718" t="n">
        <v>44928.25</v>
      </c>
      <c r="B438" s="706" t="n">
        <f aca="false">A438/1000</f>
        <v>44.92825</v>
      </c>
      <c r="C438" s="707" t="n">
        <f aca="false">SQRT(1+(A438/pole1)^2)</f>
        <v>76.7315544592388</v>
      </c>
      <c r="D438" s="708" t="n">
        <f aca="false">ATAN(A438/pole1)</f>
        <v>1.55776350976595</v>
      </c>
      <c r="E438" s="708" t="n">
        <f aca="false">SQRT(1+(A438/Zero1)^2)</f>
        <v>1.14837113656237</v>
      </c>
      <c r="F438" s="709" t="n">
        <f aca="false">ATAN(A438/Zero1)</f>
        <v>0.513971936985415</v>
      </c>
      <c r="G438" s="708" t="n">
        <f aca="false">IF(VIN_nom&gt;Vout, 1, SQRT(1+(A438/z_RHP)^2))</f>
        <v>1.20141129809192</v>
      </c>
      <c r="H438" s="709" t="n">
        <f aca="false">IF(VIN_nom&gt;Vout, 0, -ATAN(A438/z_RHP))</f>
        <v>-0.587454113864251</v>
      </c>
      <c r="I438" s="707" t="n">
        <f aca="false">SQRT(1+(A438/Pole2)^2)</f>
        <v>186370.727065853</v>
      </c>
      <c r="J438" s="710" t="n">
        <f aca="false">ATAN(A438/Pole2)</f>
        <v>1.57079096114539</v>
      </c>
      <c r="K438" s="719" t="n">
        <f aca="false">SQRT(1+(A438/Zero2)^2)</f>
        <v>57.6725633366045</v>
      </c>
      <c r="L438" s="720" t="n">
        <f aca="false">ATAN(A438/Zero2)</f>
        <v>1.55345619038879</v>
      </c>
      <c r="M438" s="707" t="n">
        <f aca="false">SQRT(1+(A438/pole4)^2)</f>
        <v>2.0517347756138</v>
      </c>
      <c r="N438" s="710" t="n">
        <f aca="false">ATAN(A438/pole4)</f>
        <v>1.06169535133696</v>
      </c>
      <c r="O438" s="711" t="n">
        <f aca="false">SQRT((1-(V438/pterm2))^2+(A438/pterm1)^2)</f>
        <v>1.10434489336122</v>
      </c>
      <c r="P438" s="712" t="n">
        <f aca="false">IF((ATAN((A438/pterm1)/(1-A438^2/pterm2))&gt;0),ATAN((A438/pterm1)/(1-A438^2/pterm2)),PI()+ATAN((A438/pterm1)/(1-A438^2/pterm2)))</f>
        <v>0.601871199851312</v>
      </c>
      <c r="Q438" s="713" t="n">
        <f aca="false">20*LOG10(((E438*K438*G438)/(C438*I438*O438*M438))*Adc)</f>
        <v>-23.0357366031955</v>
      </c>
      <c r="R438" s="714" t="n">
        <f aca="false">((F438+L438+H438)-(D438+J438+P438+N438))*radconv</f>
        <v>-189.772044935914</v>
      </c>
      <c r="S438" s="717" t="n">
        <f aca="false">IF(R438&gt;0,R438,R438+180)</f>
        <v>-9.77204493591367</v>
      </c>
      <c r="U438" s="644" t="n">
        <f aca="false">IF(Q438&lt;0,A438,1000000000)</f>
        <v>44928.25</v>
      </c>
      <c r="V438" s="644" t="n">
        <f aca="false">A438^2</f>
        <v>2018547648.0625</v>
      </c>
      <c r="X438" s="716" t="n">
        <f aca="false">20*LOG10((K438/(I438*M438))*AEA)</f>
        <v>11.6660810453416</v>
      </c>
      <c r="Y438" s="717" t="n">
        <f aca="false">(L438-(J438+N438))*radconv</f>
        <v>-61.8238720340906</v>
      </c>
      <c r="AA438" s="716" t="n">
        <f aca="false">20*LOG10((E438*G438/(C438*O438))*Acs*Am)</f>
        <v>16.7788077060174</v>
      </c>
      <c r="AB438" s="717" t="n">
        <f aca="false">(F438+H438-(D438+P438))*radconv</f>
        <v>-127.948172901823</v>
      </c>
      <c r="AD438" s="0" t="n">
        <f aca="false">SUM((Q439&lt;0)*(Q438&gt;0))*A438</f>
        <v>0</v>
      </c>
      <c r="AE438" s="0" t="n">
        <f aca="false">IF(AD438&gt;0,S438,0)</f>
        <v>0</v>
      </c>
    </row>
    <row r="439" customFormat="false" ht="12.75" hidden="false" customHeight="false" outlineLevel="0" collapsed="false">
      <c r="A439" s="718" t="n">
        <v>45188.5</v>
      </c>
      <c r="B439" s="706" t="n">
        <f aca="false">A439/1000</f>
        <v>45.1885</v>
      </c>
      <c r="C439" s="707" t="n">
        <f aca="false">SQRT(1+(A439/pole1)^2)</f>
        <v>77.1759520291084</v>
      </c>
      <c r="D439" s="708" t="n">
        <f aca="false">ATAN(A439/pole1)</f>
        <v>1.55783856005268</v>
      </c>
      <c r="E439" s="708" t="n">
        <f aca="false">SQRT(1+(A439/Zero1)^2)</f>
        <v>1.14998252086935</v>
      </c>
      <c r="F439" s="709" t="n">
        <f aca="false">ATAN(A439/Zero1)</f>
        <v>0.51644837543293</v>
      </c>
      <c r="G439" s="708" t="n">
        <f aca="false">IF(VIN_nom&gt;Vout, 1, SQRT(1+(A439/z_RHP)^2))</f>
        <v>1.20355336766849</v>
      </c>
      <c r="H439" s="709" t="n">
        <f aca="false">IF(VIN_nom&gt;Vout, 0, -ATAN(A439/z_RHP))</f>
        <v>-0.590121630865847</v>
      </c>
      <c r="I439" s="707" t="n">
        <f aca="false">SQRT(1+(A439/Pole2)^2)</f>
        <v>187450.292410986</v>
      </c>
      <c r="J439" s="710" t="n">
        <f aca="false">ATAN(A439/Pole2)</f>
        <v>1.57079099204728</v>
      </c>
      <c r="K439" s="719" t="n">
        <f aca="false">SQRT(1+(A439/Zero2)^2)</f>
        <v>58.0065355045491</v>
      </c>
      <c r="L439" s="720" t="n">
        <f aca="false">ATAN(A439/Zero2)</f>
        <v>1.55355603600771</v>
      </c>
      <c r="M439" s="707" t="n">
        <f aca="false">SQRT(1+(A439/pole4)^2)</f>
        <v>2.06080254407631</v>
      </c>
      <c r="N439" s="710" t="n">
        <f aca="false">ATAN(A439/pole4)</f>
        <v>1.06414972442624</v>
      </c>
      <c r="O439" s="711" t="n">
        <f aca="false">SQRT((1-(V439/pterm2))^2+(A439/pterm1)^2)</f>
        <v>1.10554215102928</v>
      </c>
      <c r="P439" s="712" t="n">
        <f aca="false">IF((ATAN((A439/pterm1)/(1-A439^2/pterm2))&gt;0),ATAN((A439/pterm1)/(1-A439^2/pterm2)),PI()+ATAN((A439/pterm1)/(1-A439^2/pterm2)))</f>
        <v>0.605105460248792</v>
      </c>
      <c r="Q439" s="713" t="n">
        <f aca="false">20*LOG10(((E439*K439*G439)/(C439*I439*O439*M439))*Adc)</f>
        <v>-23.1059741600622</v>
      </c>
      <c r="R439" s="714" t="n">
        <f aca="false">((F439+L439+H439)-(D439+J439+P439+N439))*radconv</f>
        <v>-190.107508723652</v>
      </c>
      <c r="S439" s="717" t="n">
        <f aca="false">IF(R439&gt;0,R439,R439+180)</f>
        <v>-10.107508723652</v>
      </c>
      <c r="U439" s="644" t="n">
        <f aca="false">IF(Q439&lt;0,A439,1000000000)</f>
        <v>45188.5</v>
      </c>
      <c r="V439" s="644" t="n">
        <f aca="false">A439^2</f>
        <v>2042000532.25</v>
      </c>
      <c r="X439" s="716" t="n">
        <f aca="false">20*LOG10((K439/(I439*M439))*AEA)</f>
        <v>11.6277628032146</v>
      </c>
      <c r="Y439" s="717" t="n">
        <f aca="false">(L439-(J439+N439))*radconv</f>
        <v>-61.9587782915921</v>
      </c>
      <c r="AA439" s="716" t="n">
        <f aca="false">20*LOG10((E439*G439/(C439*O439))*Acs*Am)</f>
        <v>16.7468883912776</v>
      </c>
      <c r="AB439" s="717" t="n">
        <f aca="false">(F439+H439-(D439+P439))*radconv</f>
        <v>-128.14873043206</v>
      </c>
      <c r="AD439" s="0" t="n">
        <f aca="false">SUM((Q440&lt;0)*(Q439&gt;0))*A439</f>
        <v>0</v>
      </c>
      <c r="AE439" s="0" t="n">
        <f aca="false">IF(AD439&gt;0,S439,0)</f>
        <v>0</v>
      </c>
    </row>
    <row r="440" customFormat="false" ht="12.75" hidden="false" customHeight="false" outlineLevel="0" collapsed="false">
      <c r="A440" s="718" t="n">
        <v>45448.75</v>
      </c>
      <c r="B440" s="706" t="n">
        <f aca="false">A440/1000</f>
        <v>45.44875</v>
      </c>
      <c r="C440" s="707" t="n">
        <f aca="false">SQRT(1+(A440/pole1)^2)</f>
        <v>77.6203500286975</v>
      </c>
      <c r="D440" s="708" t="n">
        <f aca="false">ATAN(A440/pole1)</f>
        <v>1.55791275097249</v>
      </c>
      <c r="E440" s="708" t="n">
        <f aca="false">SQRT(1+(A440/Zero1)^2)</f>
        <v>1.15160093796678</v>
      </c>
      <c r="F440" s="709" t="n">
        <f aca="false">ATAN(A440/Zero1)</f>
        <v>0.518917868400988</v>
      </c>
      <c r="G440" s="708" t="n">
        <f aca="false">IF(VIN_nom&gt;Vout, 1, SQRT(1+(A440/z_RHP)^2))</f>
        <v>1.2057039708404</v>
      </c>
      <c r="H440" s="709" t="n">
        <f aca="false">IF(VIN_nom&gt;Vout, 0, -ATAN(A440/z_RHP))</f>
        <v>-0.592779650673413</v>
      </c>
      <c r="I440" s="707" t="n">
        <f aca="false">SQRT(1+(A440/Pole2)^2)</f>
        <v>188529.85775612</v>
      </c>
      <c r="J440" s="710" t="n">
        <f aca="false">ATAN(A440/Pole2)</f>
        <v>1.57079102259528</v>
      </c>
      <c r="K440" s="719" t="n">
        <f aca="false">SQRT(1+(A440/Zero2)^2)</f>
        <v>58.3405082441487</v>
      </c>
      <c r="L440" s="720" t="n">
        <f aca="false">ATAN(A440/Zero2)</f>
        <v>1.55365473848656</v>
      </c>
      <c r="M440" s="707" t="n">
        <f aca="false">SQRT(1+(A440/pole4)^2)</f>
        <v>2.06988261789298</v>
      </c>
      <c r="N440" s="710" t="n">
        <f aca="false">ATAN(A440/pole4)</f>
        <v>1.06658257858318</v>
      </c>
      <c r="O440" s="711" t="n">
        <f aca="false">SQRT((1-(V440/pterm2))^2+(A440/pterm1)^2)</f>
        <v>1.1067460076761</v>
      </c>
      <c r="P440" s="712" t="n">
        <f aca="false">IF((ATAN((A440/pterm1)/(1-A440^2/pterm2))&gt;0),ATAN((A440/pterm1)/(1-A440^2/pterm2)),PI()+ATAN((A440/pterm1)/(1-A440^2/pterm2)))</f>
        <v>0.608335798235708</v>
      </c>
      <c r="Q440" s="713" t="n">
        <f aca="false">20*LOG10(((E440*K440*G440)/(C440*I440*O440*M440))*Adc)</f>
        <v>-23.1757786208971</v>
      </c>
      <c r="R440" s="714" t="n">
        <f aca="false">((F440+L440+H440)-(D440+J440+P440+N440))*radconv</f>
        <v>-190.441384866066</v>
      </c>
      <c r="S440" s="717" t="n">
        <f aca="false">IF(R440&gt;0,R440,R440+180)</f>
        <v>-10.4413848660659</v>
      </c>
      <c r="U440" s="644" t="n">
        <f aca="false">IF(Q440&lt;0,A440,1000000000)</f>
        <v>45448.75</v>
      </c>
      <c r="V440" s="644" t="n">
        <f aca="false">A440^2</f>
        <v>2065588876.5625</v>
      </c>
      <c r="X440" s="716" t="n">
        <f aca="false">20*LOG10((K440/(I440*M440))*AEA)</f>
        <v>11.589561349813</v>
      </c>
      <c r="Y440" s="717" t="n">
        <f aca="false">(L440-(J440+N440))*radconv</f>
        <v>-62.0925170819147</v>
      </c>
      <c r="AA440" s="716" t="n">
        <f aca="false">20*LOG10((E440*G440/(C440*O440))*Acs*Am)</f>
        <v>16.7152853838443</v>
      </c>
      <c r="AB440" s="717" t="n">
        <f aca="false">(F440+H440-(D440+P440))*radconv</f>
        <v>-128.348867784151</v>
      </c>
      <c r="AD440" s="0" t="n">
        <f aca="false">SUM((Q441&lt;0)*(Q440&gt;0))*A440</f>
        <v>0</v>
      </c>
      <c r="AE440" s="0" t="n">
        <f aca="false">IF(AD440&gt;0,S440,0)</f>
        <v>0</v>
      </c>
    </row>
    <row r="441" customFormat="false" ht="12.75" hidden="false" customHeight="false" outlineLevel="0" collapsed="false">
      <c r="A441" s="718" t="n">
        <v>45709</v>
      </c>
      <c r="B441" s="706" t="n">
        <f aca="false">A441/1000</f>
        <v>45.709</v>
      </c>
      <c r="C441" s="707" t="n">
        <f aca="false">SQRT(1+(A441/pole1)^2)</f>
        <v>78.0647484506673</v>
      </c>
      <c r="D441" s="708" t="n">
        <f aca="false">ATAN(A441/pole1)</f>
        <v>1.55798609720086</v>
      </c>
      <c r="E441" s="708" t="n">
        <f aca="false">SQRT(1+(A441/Zero1)^2)</f>
        <v>1.15322635824559</v>
      </c>
      <c r="F441" s="709" t="n">
        <f aca="false">ATAN(A441/Zero1)</f>
        <v>0.521380415074635</v>
      </c>
      <c r="G441" s="708" t="n">
        <f aca="false">IF(VIN_nom&gt;Vout, 1, SQRT(1+(A441/z_RHP)^2))</f>
        <v>1.20786306202538</v>
      </c>
      <c r="H441" s="709" t="n">
        <f aca="false">IF(VIN_nom&gt;Vout, 0, -ATAN(A441/z_RHP))</f>
        <v>-0.595428186558373</v>
      </c>
      <c r="I441" s="707" t="n">
        <f aca="false">SQRT(1+(A441/Pole2)^2)</f>
        <v>189609.423101254</v>
      </c>
      <c r="J441" s="710" t="n">
        <f aca="false">ATAN(A441/Pole2)</f>
        <v>1.57079105279541</v>
      </c>
      <c r="K441" s="719" t="n">
        <f aca="false">SQRT(1+(A441/Zero2)^2)</f>
        <v>58.6744815456418</v>
      </c>
      <c r="L441" s="720" t="n">
        <f aca="false">ATAN(A441/Zero2)</f>
        <v>1.55375231734354</v>
      </c>
      <c r="M441" s="707" t="n">
        <f aca="false">SQRT(1+(A441/pole4)^2)</f>
        <v>2.07897483583024</v>
      </c>
      <c r="N441" s="710" t="n">
        <f aca="false">ATAN(A441/pole4)</f>
        <v>1.06899416715247</v>
      </c>
      <c r="O441" s="711" t="n">
        <f aca="false">SQRT((1-(V441/pterm2))^2+(A441/pterm1)^2)</f>
        <v>1.10795645888123</v>
      </c>
      <c r="P441" s="712" t="n">
        <f aca="false">IF((ATAN((A441/pterm1)/(1-A441^2/pterm2))&gt;0),ATAN((A441/pterm1)/(1-A441^2/pterm2)),PI()+ATAN((A441/pterm1)/(1-A441^2/pterm2)))</f>
        <v>0.61156220255122</v>
      </c>
      <c r="Q441" s="713" t="n">
        <f aca="false">20*LOG10(((E441*K441*G441)/(C441*I441*O441*M441))*Adc)</f>
        <v>-23.2451541740227</v>
      </c>
      <c r="R441" s="714" t="n">
        <f aca="false">((F441+L441+H441)-(D441+J441+P441+N441))*radconv</f>
        <v>-190.773687763507</v>
      </c>
      <c r="S441" s="717" t="n">
        <f aca="false">IF(R441&gt;0,R441,R441+180)</f>
        <v>-10.7736877635068</v>
      </c>
      <c r="U441" s="644" t="n">
        <f aca="false">IF(Q441&lt;0,A441,1000000000)</f>
        <v>45709</v>
      </c>
      <c r="V441" s="644" t="n">
        <f aca="false">A441^2</f>
        <v>2089312681</v>
      </c>
      <c r="X441" s="716" t="n">
        <f aca="false">20*LOG10((K441/(I441*M441))*AEA)</f>
        <v>11.5514765592985</v>
      </c>
      <c r="Y441" s="717" t="n">
        <f aca="false">(L441-(J441+N441))*radconv</f>
        <v>-62.2251018026737</v>
      </c>
      <c r="AA441" s="716" t="n">
        <f aca="false">20*LOG10((E441*G441/(C441*O441))*Acs*Am)</f>
        <v>16.6839946212331</v>
      </c>
      <c r="AB441" s="717" t="n">
        <f aca="false">(F441+H441-(D441+P441))*radconv</f>
        <v>-128.548585960833</v>
      </c>
      <c r="AD441" s="0" t="n">
        <f aca="false">SUM((Q442&lt;0)*(Q441&gt;0))*A441</f>
        <v>0</v>
      </c>
      <c r="AE441" s="0" t="n">
        <f aca="false">IF(AD441&gt;0,S441,0)</f>
        <v>0</v>
      </c>
    </row>
    <row r="442" customFormat="false" ht="12.75" hidden="false" customHeight="false" outlineLevel="0" collapsed="false">
      <c r="A442" s="718" t="n">
        <v>45975.25</v>
      </c>
      <c r="B442" s="706" t="n">
        <f aca="false">A442/1000</f>
        <v>45.97525</v>
      </c>
      <c r="C442" s="707" t="n">
        <f aca="false">SQRT(1+(A442/pole1)^2)</f>
        <v>78.5193927990185</v>
      </c>
      <c r="D442" s="708" t="n">
        <f aca="false">ATAN(A442/pole1)</f>
        <v>1.55806027523662</v>
      </c>
      <c r="E442" s="708" t="n">
        <f aca="false">SQRT(1+(A442/Zero1)^2)</f>
        <v>1.15489646858276</v>
      </c>
      <c r="F442" s="709" t="n">
        <f aca="false">ATAN(A442/Zero1)</f>
        <v>0.523892546308872</v>
      </c>
      <c r="G442" s="708" t="n">
        <f aca="false">IF(VIN_nom&gt;Vout, 1, SQRT(1+(A442/z_RHP)^2))</f>
        <v>1.21008066695118</v>
      </c>
      <c r="H442" s="709" t="n">
        <f aca="false">IF(VIN_nom&gt;Vout, 0, -ATAN(A442/z_RHP))</f>
        <v>-0.598127983670511</v>
      </c>
      <c r="I442" s="707" t="n">
        <f aca="false">SQRT(1+(A442/Pole2)^2)</f>
        <v>190713.877560973</v>
      </c>
      <c r="J442" s="710" t="n">
        <f aca="false">ATAN(A442/Pole2)</f>
        <v>1.57079108333798</v>
      </c>
      <c r="K442" s="719" t="n">
        <f aca="false">SQRT(1+(A442/Zero2)^2)</f>
        <v>59.0161550913184</v>
      </c>
      <c r="L442" s="720" t="n">
        <f aca="false">ATAN(A442/Zero2)</f>
        <v>1.55385100296977</v>
      </c>
      <c r="M442" s="707" t="n">
        <f aca="false">SQRT(1+(A442/pole4)^2)</f>
        <v>2.08828907452887</v>
      </c>
      <c r="N442" s="710" t="n">
        <f aca="false">ATAN(A442/pole4)</f>
        <v>1.07143960825799</v>
      </c>
      <c r="O442" s="711" t="n">
        <f aca="false">SQRT((1-(V442/pterm2))^2+(A442/pterm1)^2)</f>
        <v>1.10920163649713</v>
      </c>
      <c r="P442" s="712" t="n">
        <f aca="false">IF((ATAN((A442/pterm1)/(1-A442^2/pterm2))&gt;0),ATAN((A442/pterm1)/(1-A442^2/pterm2)),PI()+ATAN((A442/pterm1)/(1-A442^2/pterm2)))</f>
        <v>0.614858908482283</v>
      </c>
      <c r="Q442" s="713" t="n">
        <f aca="false">20*LOG10(((E442*K442*G442)/(C442*I442*O442*M442))*Adc)</f>
        <v>-23.3156896269901</v>
      </c>
      <c r="R442" s="714" t="n">
        <f aca="false">((F442+L442+H442)-(D442+J442+P442+N442))*radconv</f>
        <v>-191.112038585656</v>
      </c>
      <c r="S442" s="717" t="n">
        <f aca="false">IF(R442&gt;0,R442,R442+180)</f>
        <v>-11.1120385856564</v>
      </c>
      <c r="U442" s="644" t="n">
        <f aca="false">IF(Q442&lt;0,A442,1000000000)</f>
        <v>45975.25</v>
      </c>
      <c r="V442" s="644" t="n">
        <f aca="false">A442^2</f>
        <v>2113723612.5625</v>
      </c>
      <c r="X442" s="716" t="n">
        <f aca="false">20*LOG10((K442/(I442*M442))*AEA)</f>
        <v>11.5126343156599</v>
      </c>
      <c r="Y442" s="717" t="n">
        <f aca="false">(L442-(J442+N442))*radconv</f>
        <v>-62.3595627373007</v>
      </c>
      <c r="AA442" s="716" t="n">
        <f aca="false">20*LOG10((E442*G442/(C442*O442))*Acs*Am)</f>
        <v>16.6523014119044</v>
      </c>
      <c r="AB442" s="717" t="n">
        <f aca="false">(F442+H442-(D442+P442))*radconv</f>
        <v>-128.752475848356</v>
      </c>
      <c r="AD442" s="0" t="n">
        <f aca="false">SUM((Q443&lt;0)*(Q442&gt;0))*A442</f>
        <v>0</v>
      </c>
      <c r="AE442" s="0" t="n">
        <f aca="false">IF(AD442&gt;0,S442,0)</f>
        <v>0</v>
      </c>
    </row>
    <row r="443" customFormat="false" ht="12.75" hidden="false" customHeight="false" outlineLevel="0" collapsed="false">
      <c r="A443" s="718" t="n">
        <v>46241.5</v>
      </c>
      <c r="B443" s="706" t="n">
        <f aca="false">A443/1000</f>
        <v>46.2415</v>
      </c>
      <c r="C443" s="707" t="n">
        <f aca="false">SQRT(1+(A443/pole1)^2)</f>
        <v>78.9740375744389</v>
      </c>
      <c r="D443" s="708" t="n">
        <f aca="false">ATAN(A443/pole1)</f>
        <v>1.55813359920333</v>
      </c>
      <c r="E443" s="708" t="n">
        <f aca="false">SQRT(1+(A443/Zero1)^2)</f>
        <v>1.15657384616872</v>
      </c>
      <c r="F443" s="709" t="n">
        <f aca="false">ATAN(A443/Zero1)</f>
        <v>0.526397406631175</v>
      </c>
      <c r="G443" s="708" t="n">
        <f aca="false">IF(VIN_nom&gt;Vout, 1, SQRT(1+(A443/z_RHP)^2))</f>
        <v>1.21230705973347</v>
      </c>
      <c r="H443" s="709" t="n">
        <f aca="false">IF(VIN_nom&gt;Vout, 0, -ATAN(A443/z_RHP))</f>
        <v>-0.600817884015099</v>
      </c>
      <c r="I443" s="707" t="n">
        <f aca="false">SQRT(1+(A443/Pole2)^2)</f>
        <v>191818.332020692</v>
      </c>
      <c r="J443" s="710" t="n">
        <f aca="false">ATAN(A443/Pole2)</f>
        <v>1.57079111352884</v>
      </c>
      <c r="K443" s="719" t="n">
        <f aca="false">SQRT(1+(A443/Zero2)^2)</f>
        <v>59.3578292051281</v>
      </c>
      <c r="L443" s="720" t="n">
        <f aca="false">ATAN(A443/Zero2)</f>
        <v>1.55394855249326</v>
      </c>
      <c r="M443" s="707" t="n">
        <f aca="false">SQRT(1+(A443/pole4)^2)</f>
        <v>2.09761569062694</v>
      </c>
      <c r="N443" s="710" t="n">
        <f aca="false">ATAN(A443/pole4)</f>
        <v>1.07386331745026</v>
      </c>
      <c r="O443" s="711" t="n">
        <f aca="false">SQRT((1-(V443/pterm2))^2+(A443/pterm1)^2)</f>
        <v>1.11045370688758</v>
      </c>
      <c r="P443" s="712" t="n">
        <f aca="false">IF((ATAN((A443/pterm1)/(1-A443^2/pterm2))&gt;0),ATAN((A443/pterm1)/(1-A443^2/pterm2)),PI()+ATAN((A443/pterm1)/(1-A443^2/pterm2)))</f>
        <v>0.618151473881751</v>
      </c>
      <c r="Q443" s="713" t="n">
        <f aca="false">20*LOG10(((E443*K443*G443)/(C443*I443*O443*M443))*Adc)</f>
        <v>-23.3857848843032</v>
      </c>
      <c r="R443" s="714" t="n">
        <f aca="false">((F443+L443+H443)-(D443+J443+P443+N443))*radconv</f>
        <v>-191.448772714652</v>
      </c>
      <c r="S443" s="717" t="n">
        <f aca="false">IF(R443&gt;0,R443,R443+180)</f>
        <v>-11.4487727146521</v>
      </c>
      <c r="U443" s="644" t="n">
        <f aca="false">IF(Q443&lt;0,A443,1000000000)</f>
        <v>46241.5</v>
      </c>
      <c r="V443" s="644" t="n">
        <f aca="false">A443^2</f>
        <v>2138276322.25</v>
      </c>
      <c r="X443" s="716" t="n">
        <f aca="false">20*LOG10((K443/(I443*M443))*AEA)</f>
        <v>11.4739138653048</v>
      </c>
      <c r="Y443" s="717" t="n">
        <f aca="false">(L443-(J443+N443))*radconv</f>
        <v>-62.492843598756</v>
      </c>
      <c r="AA443" s="716" t="n">
        <f aca="false">20*LOG10((E443*G443/(C443*O443))*Acs*Am)</f>
        <v>16.6209266049464</v>
      </c>
      <c r="AB443" s="717" t="n">
        <f aca="false">(F443+H443-(D443+P443))*radconv</f>
        <v>-128.955929115896</v>
      </c>
      <c r="AD443" s="0" t="n">
        <f aca="false">SUM((Q444&lt;0)*(Q443&gt;0))*A443</f>
        <v>0</v>
      </c>
      <c r="AE443" s="0" t="n">
        <f aca="false">IF(AD443&gt;0,S443,0)</f>
        <v>0</v>
      </c>
    </row>
    <row r="444" customFormat="false" ht="12.75" hidden="false" customHeight="false" outlineLevel="0" collapsed="false">
      <c r="A444" s="718" t="n">
        <v>46507.75</v>
      </c>
      <c r="B444" s="706" t="n">
        <f aca="false">A444/1000</f>
        <v>46.50775</v>
      </c>
      <c r="C444" s="707" t="n">
        <f aca="false">SQRT(1+(A444/pole1)^2)</f>
        <v>79.4286827695949</v>
      </c>
      <c r="D444" s="708" t="n">
        <f aca="false">ATAN(A444/pole1)</f>
        <v>1.55820608376612</v>
      </c>
      <c r="E444" s="708" t="n">
        <f aca="false">SQRT(1+(A444/Zero1)^2)</f>
        <v>1.15825845943043</v>
      </c>
      <c r="F444" s="709" t="n">
        <f aca="false">ATAN(A444/Zero1)</f>
        <v>0.528894996266227</v>
      </c>
      <c r="G444" s="708" t="n">
        <f aca="false">IF(VIN_nom&gt;Vout, 1, SQRT(1+(A444/z_RHP)^2))</f>
        <v>1.21454219204484</v>
      </c>
      <c r="H444" s="709" t="n">
        <f aca="false">IF(VIN_nom&gt;Vout, 0, -ATAN(A444/z_RHP))</f>
        <v>-0.603497903198908</v>
      </c>
      <c r="I444" s="707" t="n">
        <f aca="false">SQRT(1+(A444/Pole2)^2)</f>
        <v>192922.786480412</v>
      </c>
      <c r="J444" s="710" t="n">
        <f aca="false">ATAN(A444/Pole2)</f>
        <v>1.57079114337402</v>
      </c>
      <c r="K444" s="719" t="n">
        <f aca="false">SQRT(1+(A444/Zero2)^2)</f>
        <v>59.6995038773159</v>
      </c>
      <c r="L444" s="720" t="n">
        <f aca="false">ATAN(A444/Zero2)</f>
        <v>1.55404498541872</v>
      </c>
      <c r="M444" s="707" t="n">
        <f aca="false">SQRT(1+(A444/pole4)^2)</f>
        <v>2.10695451975559</v>
      </c>
      <c r="N444" s="710" t="n">
        <f aca="false">ATAN(A444/pole4)</f>
        <v>1.07626555503593</v>
      </c>
      <c r="O444" s="711" t="n">
        <f aca="false">SQRT((1-(V444/pterm2))^2+(A444/pterm1)^2)</f>
        <v>1.11171266531903</v>
      </c>
      <c r="P444" s="712" t="n">
        <f aca="false">IF((ATAN((A444/pterm1)/(1-A444^2/pterm2))&gt;0),ATAN((A444/pterm1)/(1-A444^2/pterm2)),PI()+ATAN((A444/pterm1)/(1-A444^2/pterm2)))</f>
        <v>0.621439887151507</v>
      </c>
      <c r="Q444" s="713" t="n">
        <f aca="false">20*LOG10(((E444*K444*G444)/(C444*I444*O444*M444))*Adc)</f>
        <v>-23.455444278481</v>
      </c>
      <c r="R444" s="714" t="n">
        <f aca="false">((F444+L444+H444)-(D444+J444+P444+N444))*radconv</f>
        <v>-191.783905004831</v>
      </c>
      <c r="S444" s="717" t="n">
        <f aca="false">IF(R444&gt;0,R444,R444+180)</f>
        <v>-11.783905004831</v>
      </c>
      <c r="U444" s="644" t="n">
        <f aca="false">IF(Q444&lt;0,A444,1000000000)</f>
        <v>46507.75</v>
      </c>
      <c r="V444" s="644" t="n">
        <f aca="false">A444^2</f>
        <v>2162970810.0625</v>
      </c>
      <c r="X444" s="716" t="n">
        <f aca="false">20*LOG10((K444/(I444*M444))*AEA)</f>
        <v>11.4353150295714</v>
      </c>
      <c r="Y444" s="717" t="n">
        <f aca="false">(L444-(J444+N444))*radconv</f>
        <v>-62.6249581843211</v>
      </c>
      <c r="AA444" s="716" t="n">
        <f aca="false">20*LOG10((E444*G444/(C444*O444))*Acs*Am)</f>
        <v>16.5898660465019</v>
      </c>
      <c r="AB444" s="717" t="n">
        <f aca="false">(F444+H444-(D444+P444))*radconv</f>
        <v>-129.15894682051</v>
      </c>
      <c r="AD444" s="0" t="n">
        <f aca="false">SUM((Q445&lt;0)*(Q444&gt;0))*A444</f>
        <v>0</v>
      </c>
      <c r="AE444" s="0" t="n">
        <f aca="false">IF(AD444&gt;0,S444,0)</f>
        <v>0</v>
      </c>
    </row>
    <row r="445" customFormat="false" ht="12.75" hidden="false" customHeight="false" outlineLevel="0" collapsed="false">
      <c r="A445" s="718" t="n">
        <v>46774</v>
      </c>
      <c r="B445" s="706" t="n">
        <f aca="false">A445/1000</f>
        <v>46.774</v>
      </c>
      <c r="C445" s="707" t="n">
        <f aca="false">SQRT(1+(A445/pole1)^2)</f>
        <v>79.8833283773199</v>
      </c>
      <c r="D445" s="708" t="n">
        <f aca="false">ATAN(A445/pole1)</f>
        <v>1.55827774325629</v>
      </c>
      <c r="E445" s="708" t="n">
        <f aca="false">SQRT(1+(A445/Zero1)^2)</f>
        <v>1.15995027684243</v>
      </c>
      <c r="F445" s="709" t="n">
        <f aca="false">ATAN(A445/Zero1)</f>
        <v>0.531385315800239</v>
      </c>
      <c r="G445" s="708" t="n">
        <f aca="false">IF(VIN_nom&gt;Vout, 1, SQRT(1+(A445/z_RHP)^2))</f>
        <v>1.21678601572399</v>
      </c>
      <c r="H445" s="709" t="n">
        <f aca="false">IF(VIN_nom&gt;Vout, 0, -ATAN(A445/z_RHP))</f>
        <v>-0.606168057282032</v>
      </c>
      <c r="I445" s="707" t="n">
        <f aca="false">SQRT(1+(A445/Pole2)^2)</f>
        <v>194027.240940132</v>
      </c>
      <c r="J445" s="710" t="n">
        <f aca="false">ATAN(A445/Pole2)</f>
        <v>1.57079117287942</v>
      </c>
      <c r="K445" s="719" t="n">
        <f aca="false">SQRT(1+(A445/Zero2)^2)</f>
        <v>60.0411790983494</v>
      </c>
      <c r="L445" s="720" t="n">
        <f aca="false">ATAN(A445/Zero2)</f>
        <v>1.55414032080694</v>
      </c>
      <c r="M445" s="707" t="n">
        <f aca="false">SQRT(1+(A445/pole4)^2)</f>
        <v>2.11630540023389</v>
      </c>
      <c r="N445" s="710" t="n">
        <f aca="false">ATAN(A445/pole4)</f>
        <v>1.07864657772127</v>
      </c>
      <c r="O445" s="711" t="n">
        <f aca="false">SQRT((1-(V445/pterm2))^2+(A445/pterm1)^2)</f>
        <v>1.11297850705843</v>
      </c>
      <c r="P445" s="712" t="n">
        <f aca="false">IF((ATAN((A445/pterm1)/(1-A445^2/pterm2))&gt;0),ATAN((A445/pterm1)/(1-A445^2/pterm2)),PI()+ATAN((A445/pterm1)/(1-A445^2/pterm2)))</f>
        <v>0.624724136847559</v>
      </c>
      <c r="Q445" s="713" t="n">
        <f aca="false">20*LOG10(((E445*K445*G445)/(C445*I445*O445*M445))*Adc)</f>
        <v>-23.5246720922632</v>
      </c>
      <c r="R445" s="714" t="n">
        <f aca="false">((F445+L445+H445)-(D445+J445+P445+N445))*radconv</f>
        <v>-192.117450124634</v>
      </c>
      <c r="S445" s="717" t="n">
        <f aca="false">IF(R445&gt;0,R445,R445+180)</f>
        <v>-12.1174501246337</v>
      </c>
      <c r="U445" s="644" t="n">
        <f aca="false">IF(Q445&lt;0,A445,1000000000)</f>
        <v>46774</v>
      </c>
      <c r="V445" s="644" t="n">
        <f aca="false">A445^2</f>
        <v>2187807076</v>
      </c>
      <c r="X445" s="716" t="n">
        <f aca="false">20*LOG10((K445/(I445*M445))*AEA)</f>
        <v>11.3968376161074</v>
      </c>
      <c r="Y445" s="717" t="n">
        <f aca="false">(L445-(J445+N445))*radconv</f>
        <v>-62.7559201104175</v>
      </c>
      <c r="AA445" s="716" t="n">
        <f aca="false">20*LOG10((E445*G445/(C445*O445))*Acs*Am)</f>
        <v>16.5591156461838</v>
      </c>
      <c r="AB445" s="717" t="n">
        <f aca="false">(F445+H445-(D445+P445))*radconv</f>
        <v>-129.361530014216</v>
      </c>
      <c r="AD445" s="0" t="n">
        <f aca="false">SUM((Q446&lt;0)*(Q445&gt;0))*A445</f>
        <v>0</v>
      </c>
      <c r="AE445" s="0" t="n">
        <f aca="false">IF(AD445&gt;0,S445,0)</f>
        <v>0</v>
      </c>
    </row>
    <row r="446" customFormat="false" ht="12.75" hidden="false" customHeight="false" outlineLevel="0" collapsed="false">
      <c r="A446" s="718" t="n">
        <v>47046.25</v>
      </c>
      <c r="B446" s="706" t="n">
        <f aca="false">A446/1000</f>
        <v>47.04625</v>
      </c>
      <c r="C446" s="707" t="n">
        <f aca="false">SQRT(1+(A446/pole1)^2)</f>
        <v>80.3482199391902</v>
      </c>
      <c r="D446" s="708" t="n">
        <f aca="false">ATAN(A446/pole1)</f>
        <v>1.55835017902723</v>
      </c>
      <c r="E446" s="708" t="n">
        <f aca="false">SQRT(1+(A446/Zero1)^2)</f>
        <v>1.16168763642499</v>
      </c>
      <c r="F446" s="709" t="n">
        <f aca="false">ATAN(A446/Zero1)</f>
        <v>0.53392423849917</v>
      </c>
      <c r="G446" s="708" t="n">
        <f aca="false">IF(VIN_nom&gt;Vout, 1, SQRT(1+(A446/z_RHP)^2))</f>
        <v>1.21908934181158</v>
      </c>
      <c r="H446" s="709" t="n">
        <f aca="false">IF(VIN_nom&gt;Vout, 0, -ATAN(A446/z_RHP))</f>
        <v>-0.608888199975362</v>
      </c>
      <c r="I446" s="707" t="n">
        <f aca="false">SQRT(1+(A446/Pole2)^2)</f>
        <v>195156.584514437</v>
      </c>
      <c r="J446" s="710" t="n">
        <f aca="false">ATAN(A446/Pole2)</f>
        <v>1.5707912027044</v>
      </c>
      <c r="K446" s="719" t="n">
        <f aca="false">SQRT(1+(A446/Zero2)^2)</f>
        <v>60.390554600506</v>
      </c>
      <c r="L446" s="720" t="n">
        <f aca="false">ATAN(A446/Zero2)</f>
        <v>1.55423668908867</v>
      </c>
      <c r="M446" s="707" t="n">
        <f aca="false">SQRT(1+(A446/pole4)^2)</f>
        <v>2.1258793008792</v>
      </c>
      <c r="N446" s="710" t="n">
        <f aca="false">ATAN(A446/pole4)</f>
        <v>1.08105958356716</v>
      </c>
      <c r="O446" s="711" t="n">
        <f aca="false">SQRT((1-(V446/pterm2))^2+(A446/pterm1)^2)</f>
        <v>1.11427998760961</v>
      </c>
      <c r="P446" s="712" t="n">
        <f aca="false">IF((ATAN((A446/pterm1)/(1-A446^2/pterm2))&gt;0),ATAN((A446/pterm1)/(1-A446^2/pterm2)),PI()+ATAN((A446/pterm1)/(1-A446^2/pterm2)))</f>
        <v>0.628078080671314</v>
      </c>
      <c r="Q446" s="713" t="n">
        <f aca="false">20*LOG10(((E446*K446*G446)/(C446*I446*O446*M446))*Adc)</f>
        <v>-23.5950181013308</v>
      </c>
      <c r="R446" s="714" t="n">
        <f aca="false">((F446+L446+H446)-(D446+J446+P446+N446))*radconv</f>
        <v>-192.456885619583</v>
      </c>
      <c r="S446" s="717" t="n">
        <f aca="false">IF(R446&gt;0,R446,R446+180)</f>
        <v>-12.4568856195825</v>
      </c>
      <c r="U446" s="644" t="n">
        <f aca="false">IF(Q446&lt;0,A446,1000000000)</f>
        <v>47046.25</v>
      </c>
      <c r="V446" s="644" t="n">
        <f aca="false">A446^2</f>
        <v>2213349639.0625</v>
      </c>
      <c r="X446" s="716" t="n">
        <f aca="false">20*LOG10((K446/(I446*M446))*AEA)</f>
        <v>11.3576184493382</v>
      </c>
      <c r="Y446" s="717" t="n">
        <f aca="false">(L446-(J446+N446))*radconv</f>
        <v>-62.8886553745022</v>
      </c>
      <c r="AA446" s="716" t="n">
        <f aca="false">20*LOG10((E446*G446/(C446*O446))*Acs*Am)</f>
        <v>16.5279888038853</v>
      </c>
      <c r="AB446" s="717" t="n">
        <f aca="false">(F446+H446-(D446+P446))*radconv</f>
        <v>-129.56823024508</v>
      </c>
      <c r="AD446" s="0" t="n">
        <f aca="false">SUM((Q447&lt;0)*(Q446&gt;0))*A446</f>
        <v>0</v>
      </c>
      <c r="AE446" s="0" t="n">
        <f aca="false">IF(AD446&gt;0,S446,0)</f>
        <v>0</v>
      </c>
    </row>
    <row r="447" customFormat="false" ht="12.75" hidden="false" customHeight="false" outlineLevel="0" collapsed="false">
      <c r="A447" s="718" t="n">
        <v>47318.5</v>
      </c>
      <c r="B447" s="706" t="n">
        <f aca="false">A447/1000</f>
        <v>47.3185</v>
      </c>
      <c r="C447" s="707" t="n">
        <f aca="false">SQRT(1+(A447/pole1)^2)</f>
        <v>80.8131119177924</v>
      </c>
      <c r="D447" s="708" t="n">
        <f aca="false">ATAN(A447/pole1)</f>
        <v>1.5584217813989</v>
      </c>
      <c r="E447" s="708" t="n">
        <f aca="false">SQRT(1+(A447/Zero1)^2)</f>
        <v>1.1634324620023</v>
      </c>
      <c r="F447" s="709" t="n">
        <f aca="false">ATAN(A447/Zero1)</f>
        <v>0.536455562116809</v>
      </c>
      <c r="G447" s="708" t="n">
        <f aca="false">IF(VIN_nom&gt;Vout, 1, SQRT(1+(A447/z_RHP)^2))</f>
        <v>1.22140165409635</v>
      </c>
      <c r="H447" s="709" t="n">
        <f aca="false">IF(VIN_nom&gt;Vout, 0, -ATAN(A447/z_RHP))</f>
        <v>-0.611598063309938</v>
      </c>
      <c r="I447" s="707" t="n">
        <f aca="false">SQRT(1+(A447/Pole2)^2)</f>
        <v>196285.928088742</v>
      </c>
      <c r="J447" s="710" t="n">
        <f aca="false">ATAN(A447/Pole2)</f>
        <v>1.57079123218618</v>
      </c>
      <c r="K447" s="719" t="n">
        <f aca="false">SQRT(1+(A447/Zero2)^2)</f>
        <v>60.7399306570485</v>
      </c>
      <c r="L447" s="720" t="n">
        <f aca="false">ATAN(A447/Zero2)</f>
        <v>1.55433194875064</v>
      </c>
      <c r="M447" s="707" t="n">
        <f aca="false">SQRT(1+(A447/pole4)^2)</f>
        <v>2.13546546863212</v>
      </c>
      <c r="N447" s="710" t="n">
        <f aca="false">ATAN(A447/pole4)</f>
        <v>1.08345093912355</v>
      </c>
      <c r="O447" s="711" t="n">
        <f aca="false">SQRT((1-(V447/pterm2))^2+(A447/pterm1)^2)</f>
        <v>1.11558865519169</v>
      </c>
      <c r="P447" s="712" t="n">
        <f aca="false">IF((ATAN((A447/pterm1)/(1-A447^2/pterm2))&gt;0),ATAN((A447/pterm1)/(1-A447^2/pterm2)),PI()+ATAN((A447/pterm1)/(1-A447^2/pterm2)))</f>
        <v>0.631427647443357</v>
      </c>
      <c r="Q447" s="713" t="n">
        <f aca="false">20*LOG10(((E447*K447*G447)/(C447*I447*O447*M447))*Adc)</f>
        <v>-23.664921759997</v>
      </c>
      <c r="R447" s="714" t="n">
        <f aca="false">((F447+L447+H447)-(D447+J447+P447+N447))*radconv</f>
        <v>-192.79469203845</v>
      </c>
      <c r="S447" s="717" t="n">
        <f aca="false">IF(R447&gt;0,R447,R447+180)</f>
        <v>-12.7946920384497</v>
      </c>
      <c r="U447" s="644" t="n">
        <f aca="false">IF(Q447&lt;0,A447,1000000000)</f>
        <v>47318.5</v>
      </c>
      <c r="V447" s="644" t="n">
        <f aca="false">A447^2</f>
        <v>2239040442.25</v>
      </c>
      <c r="X447" s="716" t="n">
        <f aca="false">20*LOG10((K447/(I447*M447))*AEA)</f>
        <v>11.3185257907514</v>
      </c>
      <c r="Y447" s="717" t="n">
        <f aca="false">(L447-(J447+N447))*radconv</f>
        <v>-63.0202136679422</v>
      </c>
      <c r="AA447" s="716" t="n">
        <f aca="false">20*LOG10((E447*G447/(C447*O447))*Acs*Am)</f>
        <v>16.4971778038059</v>
      </c>
      <c r="AB447" s="717" t="n">
        <f aca="false">(F447+H447-(D447+P447))*radconv</f>
        <v>-129.774478370507</v>
      </c>
      <c r="AD447" s="0" t="n">
        <f aca="false">SUM((Q448&lt;0)*(Q447&gt;0))*A447</f>
        <v>0</v>
      </c>
      <c r="AE447" s="0" t="n">
        <f aca="false">IF(AD447&gt;0,S447,0)</f>
        <v>0</v>
      </c>
    </row>
    <row r="448" customFormat="false" ht="12.75" hidden="false" customHeight="false" outlineLevel="0" collapsed="false">
      <c r="A448" s="718" t="n">
        <v>47590.75</v>
      </c>
      <c r="B448" s="706" t="n">
        <f aca="false">A448/1000</f>
        <v>47.59075</v>
      </c>
      <c r="C448" s="707" t="n">
        <f aca="false">SQRT(1+(A448/pole1)^2)</f>
        <v>81.2780043059757</v>
      </c>
      <c r="D448" s="708" t="n">
        <f aca="false">ATAN(A448/pole1)</f>
        <v>1.55849256467116</v>
      </c>
      <c r="E448" s="708" t="n">
        <f aca="false">SQRT(1+(A448/Zero1)^2)</f>
        <v>1.1651847200341</v>
      </c>
      <c r="F448" s="709" t="n">
        <f aca="false">ATAN(A448/Zero1)</f>
        <v>0.538979288424765</v>
      </c>
      <c r="G448" s="708" t="n">
        <f aca="false">IF(VIN_nom&gt;Vout, 1, SQRT(1+(A448/z_RHP)^2))</f>
        <v>1.2237229016381</v>
      </c>
      <c r="H448" s="709" t="n">
        <f aca="false">IF(VIN_nom&gt;Vout, 0, -ATAN(A448/z_RHP))</f>
        <v>-0.614297665870261</v>
      </c>
      <c r="I448" s="707" t="n">
        <f aca="false">SQRT(1+(A448/Pole2)^2)</f>
        <v>197415.271663048</v>
      </c>
      <c r="J448" s="710" t="n">
        <f aca="false">ATAN(A448/Pole2)</f>
        <v>1.57079126133065</v>
      </c>
      <c r="K448" s="719" t="n">
        <f aca="false">SQRT(1+(A448/Zero2)^2)</f>
        <v>61.0893072584651</v>
      </c>
      <c r="L448" s="720" t="n">
        <f aca="false">ATAN(A448/Zero2)</f>
        <v>1.55442611881207</v>
      </c>
      <c r="M448" s="707" t="n">
        <f aca="false">SQRT(1+(A448/pole4)^2)</f>
        <v>2.14506373902965</v>
      </c>
      <c r="N448" s="710" t="n">
        <f aca="false">ATAN(A448/pole4)</f>
        <v>1.08582090748375</v>
      </c>
      <c r="O448" s="711" t="n">
        <f aca="false">SQRT((1-(V448/pterm2))^2+(A448/pterm1)^2)</f>
        <v>1.11690450474786</v>
      </c>
      <c r="P448" s="712" t="n">
        <f aca="false">IF((ATAN((A448/pterm1)/(1-A448^2/pterm2))&gt;0),ATAN((A448/pterm1)/(1-A448^2/pterm2)),PI()+ATAN((A448/pterm1)/(1-A448^2/pterm2)))</f>
        <v>0.634772825425414</v>
      </c>
      <c r="Q448" s="713" t="n">
        <f aca="false">20*LOG10(((E448*K448*G448)/(C448*I448*O448*M448))*Adc)</f>
        <v>-23.7343874904379</v>
      </c>
      <c r="R448" s="714" t="n">
        <f aca="false">((F448+L448+H448)-(D448+J448+P448+N448))*radconv</f>
        <v>-193.130884476061</v>
      </c>
      <c r="S448" s="717" t="n">
        <f aca="false">IF(R448&gt;0,R448,R448+180)</f>
        <v>-13.130884476061</v>
      </c>
      <c r="U448" s="644" t="n">
        <f aca="false">IF(Q448&lt;0,A448,1000000000)</f>
        <v>47590.75</v>
      </c>
      <c r="V448" s="644" t="n">
        <f aca="false">A448^2</f>
        <v>2264879485.5625</v>
      </c>
      <c r="X448" s="716" t="n">
        <f aca="false">20*LOG10((K448/(I448*M448))*AEA)</f>
        <v>11.2795593937139</v>
      </c>
      <c r="Y448" s="717" t="n">
        <f aca="false">(L448-(J448+N448))*radconv</f>
        <v>-63.1506089754889</v>
      </c>
      <c r="AA448" s="716" t="n">
        <f aca="false">20*LOG10((E448*G448/(C448*O448))*Acs*Am)</f>
        <v>16.4666784704026</v>
      </c>
      <c r="AB448" s="717" t="n">
        <f aca="false">(F448+H448-(D448+P448))*radconv</f>
        <v>-129.980275500572</v>
      </c>
      <c r="AD448" s="0" t="n">
        <f aca="false">SUM((Q449&lt;0)*(Q448&gt;0))*A448</f>
        <v>0</v>
      </c>
      <c r="AE448" s="0" t="n">
        <f aca="false">IF(AD448&gt;0,S448,0)</f>
        <v>0</v>
      </c>
    </row>
    <row r="449" customFormat="false" ht="12.75" hidden="false" customHeight="false" outlineLevel="0" collapsed="false">
      <c r="A449" s="718" t="n">
        <v>47863</v>
      </c>
      <c r="B449" s="706" t="n">
        <f aca="false">A449/1000</f>
        <v>47.863</v>
      </c>
      <c r="C449" s="707" t="n">
        <f aca="false">SQRT(1+(A449/pole1)^2)</f>
        <v>81.7428970967519</v>
      </c>
      <c r="D449" s="708" t="n">
        <f aca="false">ATAN(A449/pole1)</f>
        <v>1.55856254281857</v>
      </c>
      <c r="E449" s="708" t="n">
        <f aca="false">SQRT(1+(A449/Zero1)^2)</f>
        <v>1.16694437703918</v>
      </c>
      <c r="F449" s="709" t="n">
        <f aca="false">ATAN(A449/Zero1)</f>
        <v>0.541495419571139</v>
      </c>
      <c r="G449" s="708" t="n">
        <f aca="false">IF(VIN_nom&gt;Vout, 1, SQRT(1+(A449/z_RHP)^2))</f>
        <v>1.22605303368632</v>
      </c>
      <c r="H449" s="709" t="n">
        <f aca="false">IF(VIN_nom&gt;Vout, 0, -ATAN(A449/z_RHP))</f>
        <v>-0.616987026698589</v>
      </c>
      <c r="I449" s="707" t="n">
        <f aca="false">SQRT(1+(A449/Pole2)^2)</f>
        <v>198544.615237354</v>
      </c>
      <c r="J449" s="710" t="n">
        <f aca="false">ATAN(A449/Pole2)</f>
        <v>1.57079129014357</v>
      </c>
      <c r="K449" s="719" t="n">
        <f aca="false">SQRT(1+(A449/Zero2)^2)</f>
        <v>61.4386843954604</v>
      </c>
      <c r="L449" s="720" t="n">
        <f aca="false">ATAN(A449/Zero2)</f>
        <v>1.55451921785963</v>
      </c>
      <c r="M449" s="707" t="n">
        <f aca="false">SQRT(1+(A449/pole4)^2)</f>
        <v>2.15467395033345</v>
      </c>
      <c r="N449" s="710" t="n">
        <f aca="false">ATAN(A449/pole4)</f>
        <v>1.08816974801717</v>
      </c>
      <c r="O449" s="711" t="n">
        <f aca="false">SQRT((1-(V449/pterm2))^2+(A449/pterm1)^2)</f>
        <v>1.11822753122314</v>
      </c>
      <c r="P449" s="712" t="n">
        <f aca="false">IF((ATAN((A449/pterm1)/(1-A449^2/pterm2))&gt;0),ATAN((A449/pterm1)/(1-A449^2/pterm2)),PI()+ATAN((A449/pterm1)/(1-A449^2/pterm2)))</f>
        <v>0.638113603045674</v>
      </c>
      <c r="Q449" s="713" t="n">
        <f aca="false">20*LOG10(((E449*K449*G449)/(C449*I449*O449*M449))*Adc)</f>
        <v>-23.8034196635769</v>
      </c>
      <c r="R449" s="714" t="n">
        <f aca="false">((F449+L449+H449)-(D449+J449+P449+N449))*radconv</f>
        <v>-193.465477834214</v>
      </c>
      <c r="S449" s="717" t="n">
        <f aca="false">IF(R449&gt;0,R449,R449+180)</f>
        <v>-13.4654778342139</v>
      </c>
      <c r="U449" s="644" t="n">
        <f aca="false">IF(Q449&lt;0,A449,1000000000)</f>
        <v>47863</v>
      </c>
      <c r="V449" s="644" t="n">
        <f aca="false">A449^2</f>
        <v>2290866769</v>
      </c>
      <c r="X449" s="716" t="n">
        <f aca="false">20*LOG10((K449/(I449*M449))*AEA)</f>
        <v>11.2407189988784</v>
      </c>
      <c r="Y449" s="717" t="n">
        <f aca="false">(L449-(J449+N449))*radconv</f>
        <v>-63.2798550933073</v>
      </c>
      <c r="AA449" s="716" t="n">
        <f aca="false">20*LOG10((E449*G449/(C449*O449))*Acs*Am)</f>
        <v>16.436486692099</v>
      </c>
      <c r="AB449" s="717" t="n">
        <f aca="false">(F449+H449-(D449+P449))*radconv</f>
        <v>-130.185622740907</v>
      </c>
      <c r="AD449" s="0" t="n">
        <f aca="false">SUM((Q450&lt;0)*(Q449&gt;0))*A449</f>
        <v>0</v>
      </c>
      <c r="AE449" s="0" t="n">
        <f aca="false">IF(AD449&gt;0,S449,0)</f>
        <v>0</v>
      </c>
    </row>
    <row r="450" customFormat="false" ht="12.75" hidden="false" customHeight="false" outlineLevel="0" collapsed="false">
      <c r="A450" s="718" t="n">
        <v>48141.75</v>
      </c>
      <c r="B450" s="706" t="n">
        <f aca="false">A450/1000</f>
        <v>48.14175</v>
      </c>
      <c r="C450" s="707" t="n">
        <f aca="false">SQRT(1+(A450/pole1)^2)</f>
        <v>82.2188896662637</v>
      </c>
      <c r="D450" s="708" t="n">
        <f aca="false">ATAN(A450/pole1)</f>
        <v>1.55863337177652</v>
      </c>
      <c r="E450" s="708" t="n">
        <f aca="false">SQRT(1+(A450/Zero1)^2)</f>
        <v>1.16875367721417</v>
      </c>
      <c r="F450" s="709" t="n">
        <f aca="false">ATAN(A450/Zero1)</f>
        <v>0.544063756942023</v>
      </c>
      <c r="G450" s="708" t="n">
        <f aca="false">IF(VIN_nom&gt;Vout, 1, SQRT(1+(A450/z_RHP)^2))</f>
        <v>1.22844795032152</v>
      </c>
      <c r="H450" s="709" t="n">
        <f aca="false">IF(VIN_nom&gt;Vout, 0, -ATAN(A450/z_RHP))</f>
        <v>-0.619730005248285</v>
      </c>
      <c r="I450" s="707" t="n">
        <f aca="false">SQRT(1+(A450/Pole2)^2)</f>
        <v>199700.922019127</v>
      </c>
      <c r="J450" s="710" t="n">
        <f aca="false">ATAN(A450/Pole2)</f>
        <v>1.57079131930675</v>
      </c>
      <c r="K450" s="719" t="n">
        <f aca="false">SQRT(1+(A450/Zero2)^2)</f>
        <v>61.7964034971295</v>
      </c>
      <c r="L450" s="720" t="n">
        <f aca="false">ATAN(A450/Zero2)</f>
        <v>1.55461344895203</v>
      </c>
      <c r="M450" s="707" t="n">
        <f aca="false">SQRT(1+(A450/pole4)^2)</f>
        <v>2.16452581237843</v>
      </c>
      <c r="N450" s="710" t="n">
        <f aca="false">ATAN(A450/pole4)</f>
        <v>1.09055304390961</v>
      </c>
      <c r="O450" s="711" t="n">
        <f aca="false">SQRT((1-(V450/pterm2))^2+(A450/pterm1)^2)</f>
        <v>1.11958957581973</v>
      </c>
      <c r="P450" s="712" t="n">
        <f aca="false">IF((ATAN((A450/pterm1)/(1-A450^2/pterm2))&gt;0),ATAN((A450/pterm1)/(1-A450^2/pterm2)),PI()+ATAN((A450/pterm1)/(1-A450^2/pterm2)))</f>
        <v>0.641529570999795</v>
      </c>
      <c r="Q450" s="713" t="n">
        <f aca="false">20*LOG10(((E450*K450*G450)/(C450*I450*O450*M450))*Adc)</f>
        <v>-23.8736552917521</v>
      </c>
      <c r="R450" s="714" t="n">
        <f aca="false">((F450+L450+H450)-(D450+J450+P450+N450))*radconv</f>
        <v>-193.806418207161</v>
      </c>
      <c r="S450" s="717" t="n">
        <f aca="false">IF(R450&gt;0,R450,R450+180)</f>
        <v>-13.8064182071613</v>
      </c>
      <c r="U450" s="644" t="n">
        <f aca="false">IF(Q450&lt;0,A450,1000000000)</f>
        <v>48141.75</v>
      </c>
      <c r="V450" s="644" t="n">
        <f aca="false">A450^2</f>
        <v>2317628093.0625</v>
      </c>
      <c r="X450" s="716" t="n">
        <f aca="false">20*LOG10((K450/(I450*M450))*AEA)</f>
        <v>11.2010815520977</v>
      </c>
      <c r="Y450" s="717" t="n">
        <f aca="false">(L450-(J450+N450))*radconv</f>
        <v>-63.4110105164588</v>
      </c>
      <c r="AA450" s="716" t="n">
        <f aca="false">20*LOG10((E450*G450/(C450*O450))*Acs*Am)</f>
        <v>16.4058885107047</v>
      </c>
      <c r="AB450" s="717" t="n">
        <f aca="false">(F450+H450-(D450+P450))*radconv</f>
        <v>-130.395407690702</v>
      </c>
      <c r="AD450" s="0" t="n">
        <f aca="false">SUM((Q451&lt;0)*(Q450&gt;0))*A450</f>
        <v>0</v>
      </c>
      <c r="AE450" s="0" t="n">
        <f aca="false">IF(AD450&gt;0,S450,0)</f>
        <v>0</v>
      </c>
    </row>
    <row r="451" customFormat="false" ht="12.75" hidden="false" customHeight="false" outlineLevel="0" collapsed="false">
      <c r="A451" s="718" t="n">
        <v>48420.5</v>
      </c>
      <c r="B451" s="706" t="n">
        <f aca="false">A451/1000</f>
        <v>48.4205</v>
      </c>
      <c r="C451" s="707" t="n">
        <f aca="false">SQRT(1+(A451/pole1)^2)</f>
        <v>82.6948826434981</v>
      </c>
      <c r="D451" s="708" t="n">
        <f aca="false">ATAN(A451/pole1)</f>
        <v>1.55870338534975</v>
      </c>
      <c r="E451" s="708" t="n">
        <f aca="false">SQRT(1+(A451/Zero1)^2)</f>
        <v>1.17057066304335</v>
      </c>
      <c r="F451" s="709" t="n">
        <f aca="false">ATAN(A451/Zero1)</f>
        <v>0.546624137897682</v>
      </c>
      <c r="G451" s="708" t="n">
        <f aca="false">IF(VIN_nom&gt;Vout, 1, SQRT(1+(A451/z_RHP)^2))</f>
        <v>1.23085207370626</v>
      </c>
      <c r="H451" s="709" t="n">
        <f aca="false">IF(VIN_nom&gt;Vout, 0, -ATAN(A451/z_RHP))</f>
        <v>-0.622462289014312</v>
      </c>
      <c r="I451" s="707" t="n">
        <f aca="false">SQRT(1+(A451/Pole2)^2)</f>
        <v>200857.2288009</v>
      </c>
      <c r="J451" s="710" t="n">
        <f aca="false">ATAN(A451/Pole2)</f>
        <v>1.57079134813415</v>
      </c>
      <c r="K451" s="719" t="n">
        <f aca="false">SQRT(1+(A451/Zero2)^2)</f>
        <v>62.1541231412035</v>
      </c>
      <c r="L451" s="720" t="n">
        <f aca="false">ATAN(A451/Zero2)</f>
        <v>1.55470659537664</v>
      </c>
      <c r="M451" s="707" t="n">
        <f aca="false">SQRT(1+(A451/pole4)^2)</f>
        <v>2.17438985769306</v>
      </c>
      <c r="N451" s="710" t="n">
        <f aca="false">ATAN(A451/pole4)</f>
        <v>1.09291472963466</v>
      </c>
      <c r="O451" s="711" t="n">
        <f aca="false">SQRT((1-(V451/pterm2))^2+(A451/pterm1)^2)</f>
        <v>1.12095913340811</v>
      </c>
      <c r="P451" s="712" t="n">
        <f aca="false">IF((ATAN((A451/pterm1)/(1-A451^2/pterm2))&gt;0),ATAN((A451/pterm1)/(1-A451^2/pterm2)),PI()+ATAN((A451/pterm1)/(1-A451^2/pterm2)))</f>
        <v>0.644940901946334</v>
      </c>
      <c r="Q451" s="713" t="n">
        <f aca="false">20*LOG10(((E451*K451*G451)/(C451*I451*O451*M451))*Adc)</f>
        <v>-23.9434455252839</v>
      </c>
      <c r="R451" s="714" t="n">
        <f aca="false">((F451+L451+H451)-(D451+J451+P451+N451))*radconv</f>
        <v>-194.145713240346</v>
      </c>
      <c r="S451" s="717" t="n">
        <f aca="false">IF(R451&gt;0,R451,R451+180)</f>
        <v>-14.1457132403462</v>
      </c>
      <c r="U451" s="644" t="n">
        <f aca="false">IF(Q451&lt;0,A451,1000000000)</f>
        <v>48420.5</v>
      </c>
      <c r="V451" s="644" t="n">
        <f aca="false">A451^2</f>
        <v>2344544820.25</v>
      </c>
      <c r="X451" s="716" t="n">
        <f aca="false">20*LOG10((K451/(I451*M451))*AEA)</f>
        <v>11.1615756071387</v>
      </c>
      <c r="Y451" s="717" t="n">
        <f aca="false">(L451-(J451+N451))*radconv</f>
        <v>-63.5409898958705</v>
      </c>
      <c r="AA451" s="716" t="n">
        <f aca="false">20*LOG10((E451*G451/(C451*O451))*Acs*Am)</f>
        <v>16.3756042221318</v>
      </c>
      <c r="AB451" s="717" t="n">
        <f aca="false">(F451+H451-(D451+P451))*radconv</f>
        <v>-130.604723344476</v>
      </c>
      <c r="AD451" s="0" t="n">
        <f aca="false">SUM((Q452&lt;0)*(Q451&gt;0))*A451</f>
        <v>0</v>
      </c>
      <c r="AE451" s="0" t="n">
        <f aca="false">IF(AD451&gt;0,S451,0)</f>
        <v>0</v>
      </c>
    </row>
    <row r="452" customFormat="false" ht="12.75" hidden="false" customHeight="false" outlineLevel="0" collapsed="false">
      <c r="A452" s="718" t="n">
        <v>48699.25</v>
      </c>
      <c r="B452" s="706" t="n">
        <f aca="false">A452/1000</f>
        <v>48.69925</v>
      </c>
      <c r="C452" s="707" t="n">
        <f aca="false">SQRT(1+(A452/pole1)^2)</f>
        <v>83.1708760214548</v>
      </c>
      <c r="D452" s="708" t="n">
        <f aca="false">ATAN(A452/pole1)</f>
        <v>1.55877259753708</v>
      </c>
      <c r="E452" s="708" t="n">
        <f aca="false">SQRT(1+(A452/Zero1)^2)</f>
        <v>1.17239529879288</v>
      </c>
      <c r="F452" s="709" t="n">
        <f aca="false">ATAN(A452/Zero1)</f>
        <v>0.549176565939484</v>
      </c>
      <c r="G452" s="708" t="n">
        <f aca="false">IF(VIN_nom&gt;Vout, 1, SQRT(1+(A452/z_RHP)^2))</f>
        <v>1.23326534999774</v>
      </c>
      <c r="H452" s="709" t="n">
        <f aca="false">IF(VIN_nom&gt;Vout, 0, -ATAN(A452/z_RHP))</f>
        <v>-0.625183899865956</v>
      </c>
      <c r="I452" s="707" t="n">
        <f aca="false">SQRT(1+(A452/Pole2)^2)</f>
        <v>202013.535582674</v>
      </c>
      <c r="J452" s="710" t="n">
        <f aca="false">ATAN(A452/Pole2)</f>
        <v>1.57079137663155</v>
      </c>
      <c r="K452" s="719" t="n">
        <f aca="false">SQRT(1+(A452/Zero2)^2)</f>
        <v>62.5118433183708</v>
      </c>
      <c r="L452" s="720" t="n">
        <f aca="false">ATAN(A452/Zero2)</f>
        <v>1.55479867575267</v>
      </c>
      <c r="M452" s="707" t="n">
        <f aca="false">SQRT(1+(A452/pole4)^2)</f>
        <v>2.18426592122009</v>
      </c>
      <c r="N452" s="710" t="n">
        <f aca="false">ATAN(A452/pole4)</f>
        <v>1.09525507179604</v>
      </c>
      <c r="O452" s="711" t="n">
        <f aca="false">SQRT((1-(V452/pterm2))^2+(A452/pterm1)^2)</f>
        <v>1.12233619857046</v>
      </c>
      <c r="P452" s="712" t="n">
        <f aca="false">IF((ATAN((A452/pterm1)/(1-A452^2/pterm2))&gt;0),ATAN((A452/pterm1)/(1-A452^2/pterm2)),PI()+ATAN((A452/pterm1)/(1-A452^2/pterm2)))</f>
        <v>0.648347584003523</v>
      </c>
      <c r="Q452" s="713" t="n">
        <f aca="false">20*LOG10(((E452*K452*G452)/(C452*I452*O452*M452))*Adc)</f>
        <v>-24.012794893568</v>
      </c>
      <c r="R452" s="714" t="n">
        <f aca="false">((F452+L452+H452)-(D452+J452+P452+N452))*radconv</f>
        <v>-194.483378316268</v>
      </c>
      <c r="S452" s="717" t="n">
        <f aca="false">IF(R452&gt;0,R452,R452+180)</f>
        <v>-14.4833783162681</v>
      </c>
      <c r="U452" s="644" t="n">
        <f aca="false">IF(Q452&lt;0,A452,1000000000)</f>
        <v>48699.25</v>
      </c>
      <c r="V452" s="644" t="n">
        <f aca="false">A452^2</f>
        <v>2371616950.5625</v>
      </c>
      <c r="X452" s="716" t="n">
        <f aca="false">20*LOG10((K452/(I452*M452))*AEA)</f>
        <v>11.122200847586</v>
      </c>
      <c r="Y452" s="717" t="n">
        <f aca="false">(L452-(J452+N452))*radconv</f>
        <v>-63.6698074403387</v>
      </c>
      <c r="AA452" s="716" t="n">
        <f aca="false">20*LOG10((E452*G452/(C452*O452))*Acs*Am)</f>
        <v>16.3456296134003</v>
      </c>
      <c r="AB452" s="717" t="n">
        <f aca="false">(F452+H452-(D452+P452))*radconv</f>
        <v>-130.813570875929</v>
      </c>
      <c r="AD452" s="0" t="n">
        <f aca="false">SUM((Q453&lt;0)*(Q452&gt;0))*A452</f>
        <v>0</v>
      </c>
      <c r="AE452" s="0" t="n">
        <f aca="false">IF(AD452&gt;0,S452,0)</f>
        <v>0</v>
      </c>
    </row>
    <row r="453" customFormat="false" ht="12.75" hidden="false" customHeight="false" outlineLevel="0" collapsed="false">
      <c r="A453" s="718" t="n">
        <v>48978</v>
      </c>
      <c r="B453" s="706" t="n">
        <f aca="false">A453/1000</f>
        <v>48.978</v>
      </c>
      <c r="C453" s="707" t="n">
        <f aca="false">SQRT(1+(A453/pole1)^2)</f>
        <v>83.6468697932927</v>
      </c>
      <c r="D453" s="708" t="n">
        <f aca="false">ATAN(A453/pole1)</f>
        <v>1.55884102201875</v>
      </c>
      <c r="E453" s="708" t="n">
        <f aca="false">SQRT(1+(A453/Zero1)^2)</f>
        <v>1.17422754880106</v>
      </c>
      <c r="F453" s="709" t="n">
        <f aca="false">ATAN(A453/Zero1)</f>
        <v>0.551721044961576</v>
      </c>
      <c r="G453" s="708" t="n">
        <f aca="false">IF(VIN_nom&gt;Vout, 1, SQRT(1+(A453/z_RHP)^2))</f>
        <v>1.23568772556956</v>
      </c>
      <c r="H453" s="709" t="n">
        <f aca="false">IF(VIN_nom&gt;Vout, 0, -ATAN(A453/z_RHP))</f>
        <v>-0.627894860134433</v>
      </c>
      <c r="I453" s="707" t="n">
        <f aca="false">SQRT(1+(A453/Pole2)^2)</f>
        <v>203169.842364448</v>
      </c>
      <c r="J453" s="710" t="n">
        <f aca="false">ATAN(A453/Pole2)</f>
        <v>1.57079140480456</v>
      </c>
      <c r="K453" s="719" t="n">
        <f aca="false">SQRT(1+(A453/Zero2)^2)</f>
        <v>62.8695640195317</v>
      </c>
      <c r="L453" s="720" t="n">
        <f aca="false">ATAN(A453/Zero2)</f>
        <v>1.55488970827565</v>
      </c>
      <c r="M453" s="707" t="n">
        <f aca="false">SQRT(1+(A453/pole4)^2)</f>
        <v>2.19415384067469</v>
      </c>
      <c r="N453" s="710" t="n">
        <f aca="false">ATAN(A453/pole4)</f>
        <v>1.09757433313568</v>
      </c>
      <c r="O453" s="711" t="n">
        <f aca="false">SQRT((1-(V453/pterm2))^2+(A453/pterm1)^2)</f>
        <v>1.12372076589234</v>
      </c>
      <c r="P453" s="712" t="n">
        <f aca="false">IF((ATAN((A453/pterm1)/(1-A453^2/pterm2))&gt;0),ATAN((A453/pterm1)/(1-A453^2/pterm2)),PI()+ATAN((A453/pterm1)/(1-A453^2/pterm2)))</f>
        <v>0.651749605470062</v>
      </c>
      <c r="Q453" s="713" t="n">
        <f aca="false">20*LOG10(((E453*K453*G453)/(C453*I453*O453*M453))*Adc)</f>
        <v>-24.0817078729052</v>
      </c>
      <c r="R453" s="714" t="n">
        <f aca="false">((F453+L453+H453)-(D453+J453+P453+N453))*radconv</f>
        <v>-194.819428616479</v>
      </c>
      <c r="S453" s="717" t="n">
        <f aca="false">IF(R453&gt;0,R453,R453+180)</f>
        <v>-14.8194286164787</v>
      </c>
      <c r="U453" s="644" t="n">
        <f aca="false">IF(Q453&lt;0,A453,1000000000)</f>
        <v>48978</v>
      </c>
      <c r="V453" s="644" t="n">
        <f aca="false">A453^2</f>
        <v>2398844484</v>
      </c>
      <c r="X453" s="716" t="n">
        <f aca="false">20*LOG10((K453/(I453*M453))*AEA)</f>
        <v>11.0829569452767</v>
      </c>
      <c r="Y453" s="717" t="n">
        <f aca="false">(L453-(J453+N453))*radconv</f>
        <v>-63.7974771616646</v>
      </c>
      <c r="AA453" s="716" t="n">
        <f aca="false">20*LOG10((E453*G453/(C453*O453))*Acs*Am)</f>
        <v>16.3159605363725</v>
      </c>
      <c r="AB453" s="717" t="n">
        <f aca="false">(F453+H453-(D453+P453))*radconv</f>
        <v>-131.021951454814</v>
      </c>
      <c r="AD453" s="0" t="n">
        <f aca="false">SUM((Q454&lt;0)*(Q453&gt;0))*A453</f>
        <v>0</v>
      </c>
      <c r="AE453" s="0" t="n">
        <f aca="false">IF(AD453&gt;0,S453,0)</f>
        <v>0</v>
      </c>
    </row>
    <row r="454" customFormat="false" ht="12.75" hidden="false" customHeight="false" outlineLevel="0" collapsed="false">
      <c r="A454" s="718" t="n">
        <v>49263.25</v>
      </c>
      <c r="B454" s="706" t="n">
        <f aca="false">A454/1000</f>
        <v>49.26325</v>
      </c>
      <c r="C454" s="707" t="n">
        <f aca="false">SQRT(1+(A454/pole1)^2)</f>
        <v>84.1339633722602</v>
      </c>
      <c r="D454" s="708" t="n">
        <f aca="false">ATAN(A454/pole1)</f>
        <v>1.5589102405247</v>
      </c>
      <c r="E454" s="708" t="n">
        <f aca="false">SQRT(1+(A454/Zero1)^2)</f>
        <v>1.17611036945045</v>
      </c>
      <c r="F454" s="709" t="n">
        <f aca="false">ATAN(A454/Zero1)</f>
        <v>0.554316632377844</v>
      </c>
      <c r="G454" s="708" t="n">
        <f aca="false">IF(VIN_nom&gt;Vout, 1, SQRT(1+(A454/z_RHP)^2))</f>
        <v>1.23817595133498</v>
      </c>
      <c r="H454" s="709" t="n">
        <f aca="false">IF(VIN_nom&gt;Vout, 0, -ATAN(A454/z_RHP))</f>
        <v>-0.630658033381636</v>
      </c>
      <c r="I454" s="707" t="n">
        <f aca="false">SQRT(1+(A454/Pole2)^2)</f>
        <v>204353.112353689</v>
      </c>
      <c r="J454" s="710" t="n">
        <f aca="false">ATAN(A454/Pole2)</f>
        <v>1.57079143330446</v>
      </c>
      <c r="K454" s="719" t="n">
        <f aca="false">SQRT(1+(A454/Zero2)^2)</f>
        <v>63.2356267231437</v>
      </c>
      <c r="L454" s="720" t="n">
        <f aca="false">ATAN(A454/Zero2)</f>
        <v>1.55498179729211</v>
      </c>
      <c r="M454" s="707" t="n">
        <f aca="false">SQRT(1+(A454/pole4)^2)</f>
        <v>2.20428443783291</v>
      </c>
      <c r="N454" s="710" t="n">
        <f aca="false">ATAN(A454/pole4)</f>
        <v>1.09992612212179</v>
      </c>
      <c r="O454" s="711" t="n">
        <f aca="false">SQRT((1-(V454/pterm2))^2+(A454/pterm1)^2)</f>
        <v>1.12514538005053</v>
      </c>
      <c r="P454" s="712" t="n">
        <f aca="false">IF((ATAN((A454/pterm1)/(1-A454^2/pterm2))&gt;0),ATAN((A454/pterm1)/(1-A454^2/pterm2)),PI()+ATAN((A454/pterm1)/(1-A454^2/pterm2)))</f>
        <v>0.655226119691998</v>
      </c>
      <c r="Q454" s="713" t="n">
        <f aca="false">20*LOG10(((E454*K454*G454)/(C454*I454*O454*M454))*Adc)</f>
        <v>-24.1517806354555</v>
      </c>
      <c r="R454" s="714" t="n">
        <f aca="false">((F454+L454+H454)-(D454+J454+P454+N454))*radconv</f>
        <v>-195.161659002428</v>
      </c>
      <c r="S454" s="717" t="n">
        <f aca="false">IF(R454&gt;0,R454,R454+180)</f>
        <v>-15.1616590024281</v>
      </c>
      <c r="U454" s="644" t="n">
        <f aca="false">IF(Q454&lt;0,A454,1000000000)</f>
        <v>49263.25</v>
      </c>
      <c r="V454" s="644" t="n">
        <f aca="false">A454^2</f>
        <v>2426867800.5625</v>
      </c>
      <c r="X454" s="716" t="n">
        <f aca="false">20*LOG10((K454/(I454*M454))*AEA)</f>
        <v>11.0429330542551</v>
      </c>
      <c r="Y454" s="717" t="n">
        <f aca="false">(L454-(J454+N454))*radconv</f>
        <v>-63.9269500659627</v>
      </c>
      <c r="AA454" s="716" t="n">
        <f aca="false">20*LOG10((E454*G454/(C454*O454))*Acs*Am)</f>
        <v>16.2859116648437</v>
      </c>
      <c r="AB454" s="717" t="n">
        <f aca="false">(F454+H454-(D454+P454))*radconv</f>
        <v>-131.234708936465</v>
      </c>
      <c r="AD454" s="0" t="n">
        <f aca="false">SUM((Q455&lt;0)*(Q454&gt;0))*A454</f>
        <v>0</v>
      </c>
      <c r="AE454" s="0" t="n">
        <f aca="false">IF(AD454&gt;0,S454,0)</f>
        <v>0</v>
      </c>
    </row>
    <row r="455" customFormat="false" ht="12.75" hidden="false" customHeight="false" outlineLevel="0" collapsed="false">
      <c r="A455" s="718" t="n">
        <v>49548.5</v>
      </c>
      <c r="B455" s="706" t="n">
        <f aca="false">A455/1000</f>
        <v>49.5485</v>
      </c>
      <c r="C455" s="707" t="n">
        <f aca="false">SQRT(1+(A455/pole1)^2)</f>
        <v>84.6210573496898</v>
      </c>
      <c r="D455" s="708" t="n">
        <f aca="false">ATAN(A455/pole1)</f>
        <v>1.55897866216272</v>
      </c>
      <c r="E455" s="708" t="n">
        <f aca="false">SQRT(1+(A455/Zero1)^2)</f>
        <v>1.17800108828271</v>
      </c>
      <c r="F455" s="709" t="n">
        <f aca="false">ATAN(A455/Zero1)</f>
        <v>0.556903905223284</v>
      </c>
      <c r="G455" s="708" t="n">
        <f aca="false">IF(VIN_nom&gt;Vout, 1, SQRT(1+(A455/z_RHP)^2))</f>
        <v>1.24067359276892</v>
      </c>
      <c r="H455" s="709" t="n">
        <f aca="false">IF(VIN_nom&gt;Vout, 0, -ATAN(A455/z_RHP))</f>
        <v>-0.633410102298264</v>
      </c>
      <c r="I455" s="707" t="n">
        <f aca="false">SQRT(1+(A455/Pole2)^2)</f>
        <v>205536.38234293</v>
      </c>
      <c r="J455" s="710" t="n">
        <f aca="false">ATAN(A455/Pole2)</f>
        <v>1.57079146147622</v>
      </c>
      <c r="K455" s="719" t="n">
        <f aca="false">SQRT(1+(A455/Zero2)^2)</f>
        <v>63.6016899568454</v>
      </c>
      <c r="L455" s="720" t="n">
        <f aca="false">ATAN(A455/Zero2)</f>
        <v>1.55507282626194</v>
      </c>
      <c r="M455" s="707" t="n">
        <f aca="false">SQRT(1+(A455/pole4)^2)</f>
        <v>2.21442711510441</v>
      </c>
      <c r="N455" s="710" t="n">
        <f aca="false">ATAN(A455/pole4)</f>
        <v>1.10225638023434</v>
      </c>
      <c r="O455" s="711" t="n">
        <f aca="false">SQRT((1-(V455/pterm2))^2+(A455/pterm1)^2)</f>
        <v>1.12657783886426</v>
      </c>
      <c r="P455" s="712" t="n">
        <f aca="false">IF((ATAN((A455/pterm1)/(1-A455^2/pterm2))&gt;0),ATAN((A455/pterm1)/(1-A455^2/pterm2)),PI()+ATAN((A455/pterm1)/(1-A455^2/pterm2)))</f>
        <v>0.65869772921765</v>
      </c>
      <c r="Q455" s="713" t="n">
        <f aca="false">20*LOG10(((E455*K455*G455)/(C455*I455*O455*M455))*Adc)</f>
        <v>-24.2214057373203</v>
      </c>
      <c r="R455" s="714" t="n">
        <f aca="false">((F455+L455+H455)-(D455+J455+P455+N455))*radconv</f>
        <v>-195.502229960563</v>
      </c>
      <c r="S455" s="717" t="n">
        <f aca="false">IF(R455&gt;0,R455,R455+180)</f>
        <v>-15.5022299605629</v>
      </c>
      <c r="U455" s="644" t="n">
        <f aca="false">IF(Q455&lt;0,A455,1000000000)</f>
        <v>49548.5</v>
      </c>
      <c r="V455" s="644" t="n">
        <f aca="false">A455^2</f>
        <v>2455053852.25</v>
      </c>
      <c r="X455" s="716" t="n">
        <f aca="false">20*LOG10((K455/(I455*M455))*AEA)</f>
        <v>11.003045463621</v>
      </c>
      <c r="Y455" s="717" t="n">
        <f aca="false">(L455-(J455+N455))*radconv</f>
        <v>-64.0552500594726</v>
      </c>
      <c r="AA455" s="716" t="n">
        <f aca="false">20*LOG10((E455*G455/(C455*O455))*Acs*Am)</f>
        <v>16.2561741536131</v>
      </c>
      <c r="AB455" s="717" t="n">
        <f aca="false">(F455+H455-(D455+P455))*radconv</f>
        <v>-131.44697990109</v>
      </c>
      <c r="AD455" s="0" t="n">
        <f aca="false">SUM((Q456&lt;0)*(Q455&gt;0))*A455</f>
        <v>0</v>
      </c>
      <c r="AE455" s="0" t="n">
        <f aca="false">IF(AD455&gt;0,S455,0)</f>
        <v>0</v>
      </c>
    </row>
    <row r="456" customFormat="false" ht="12.75" hidden="false" customHeight="false" outlineLevel="0" collapsed="false">
      <c r="A456" s="718" t="n">
        <v>49833.75</v>
      </c>
      <c r="B456" s="706" t="n">
        <f aca="false">A456/1000</f>
        <v>49.83375</v>
      </c>
      <c r="C456" s="707" t="n">
        <f aca="false">SQRT(1+(A456/pole1)^2)</f>
        <v>85.1081517187401</v>
      </c>
      <c r="D456" s="708" t="n">
        <f aca="false">ATAN(A456/pole1)</f>
        <v>1.55904630061415</v>
      </c>
      <c r="E456" s="708" t="n">
        <f aca="false">SQRT(1+(A456/Zero1)^2)</f>
        <v>1.17989966732874</v>
      </c>
      <c r="F456" s="709" t="n">
        <f aca="false">ATAN(A456/Zero1)</f>
        <v>0.559482868913678</v>
      </c>
      <c r="G456" s="708" t="n">
        <f aca="false">IF(VIN_nom&gt;Vout, 1, SQRT(1+(A456/z_RHP)^2))</f>
        <v>1.24318059312109</v>
      </c>
      <c r="H456" s="709" t="n">
        <f aca="false">IF(VIN_nom&gt;Vout, 0, -ATAN(A456/z_RHP))</f>
        <v>-0.636151092250389</v>
      </c>
      <c r="I456" s="707" t="n">
        <f aca="false">SQRT(1+(A456/Pole2)^2)</f>
        <v>206719.652332172</v>
      </c>
      <c r="J456" s="710" t="n">
        <f aca="false">ATAN(A456/Pole2)</f>
        <v>1.57079148932546</v>
      </c>
      <c r="K456" s="719" t="n">
        <f aca="false">SQRT(1+(A456/Zero2)^2)</f>
        <v>63.9677537115362</v>
      </c>
      <c r="L456" s="720" t="n">
        <f aca="false">ATAN(A456/Zero2)</f>
        <v>1.55516281338237</v>
      </c>
      <c r="M456" s="707" t="n">
        <f aca="false">SQRT(1+(A456/pole4)^2)</f>
        <v>2.2245817072563</v>
      </c>
      <c r="N456" s="710" t="n">
        <f aca="false">ATAN(A456/pole4)</f>
        <v>1.10456537683915</v>
      </c>
      <c r="O456" s="711" t="n">
        <f aca="false">SQRT((1-(V456/pterm2))^2+(A456/pterm1)^2)</f>
        <v>1.12801813654457</v>
      </c>
      <c r="P456" s="712" t="n">
        <f aca="false">IF((ATAN((A456/pterm1)/(1-A456^2/pterm2))&gt;0),ATAN((A456/pterm1)/(1-A456^2/pterm2)),PI()+ATAN((A456/pterm1)/(1-A456^2/pterm2)))</f>
        <v>0.662164422090491</v>
      </c>
      <c r="Q456" s="713" t="n">
        <f aca="false">20*LOG10(((E456*K456*G456)/(C456*I456*O456*M456))*Adc)</f>
        <v>-24.2905878076002</v>
      </c>
      <c r="R456" s="714" t="n">
        <f aca="false">((F456+L456+H456)-(D456+J456+P456+N456))*radconv</f>
        <v>-195.841157123998</v>
      </c>
      <c r="S456" s="717" t="n">
        <f aca="false">IF(R456&gt;0,R456,R456+180)</f>
        <v>-15.8411571239981</v>
      </c>
      <c r="U456" s="644" t="n">
        <f aca="false">IF(Q456&lt;0,A456,1000000000)</f>
        <v>49833.75</v>
      </c>
      <c r="V456" s="644" t="n">
        <f aca="false">A456^2</f>
        <v>2483402639.0625</v>
      </c>
      <c r="X456" s="716" t="n">
        <f aca="false">20*LOG10((K456/(I456*M456))*AEA)</f>
        <v>10.9632937868323</v>
      </c>
      <c r="Y456" s="717" t="n">
        <f aca="false">(L456-(J456+N456))*radconv</f>
        <v>-64.1823915334166</v>
      </c>
      <c r="AA456" s="716" t="n">
        <f aca="false">20*LOG10((E456*G456/(C456*O456))*Acs*Am)</f>
        <v>16.2267437601219</v>
      </c>
      <c r="AB456" s="717" t="n">
        <f aca="false">(F456+H456-(D456+P456))*radconv</f>
        <v>-131.658765590582</v>
      </c>
      <c r="AD456" s="0" t="n">
        <f aca="false">SUM((Q457&lt;0)*(Q456&gt;0))*A456</f>
        <v>0</v>
      </c>
      <c r="AE456" s="0" t="n">
        <f aca="false">IF(AD456&gt;0,S456,0)</f>
        <v>0</v>
      </c>
    </row>
    <row r="457" customFormat="false" ht="12.75" hidden="false" customHeight="false" outlineLevel="0" collapsed="false">
      <c r="A457" s="718" t="n">
        <v>50119</v>
      </c>
      <c r="B457" s="706" t="n">
        <f aca="false">A457/1000</f>
        <v>50.119</v>
      </c>
      <c r="C457" s="707" t="n">
        <f aca="false">SQRT(1+(A457/pole1)^2)</f>
        <v>85.5952464727252</v>
      </c>
      <c r="D457" s="708" t="n">
        <f aca="false">ATAN(A457/pole1)</f>
        <v>1.55911316924896</v>
      </c>
      <c r="E457" s="708" t="n">
        <f aca="false">SQRT(1+(A457/Zero1)^2)</f>
        <v>1.18180606870608</v>
      </c>
      <c r="F457" s="709" t="n">
        <f aca="false">ATAN(A457/Zero1)</f>
        <v>0.562053529272194</v>
      </c>
      <c r="G457" s="708" t="n">
        <f aca="false">IF(VIN_nom&gt;Vout, 1, SQRT(1+(A457/z_RHP)^2))</f>
        <v>1.24569689588621</v>
      </c>
      <c r="H457" s="709" t="n">
        <f aca="false">IF(VIN_nom&gt;Vout, 0, -ATAN(A457/z_RHP))</f>
        <v>-0.638881029066161</v>
      </c>
      <c r="I457" s="707" t="n">
        <f aca="false">SQRT(1+(A457/Pole2)^2)</f>
        <v>207902.922321414</v>
      </c>
      <c r="J457" s="710" t="n">
        <f aca="false">ATAN(A457/Pole2)</f>
        <v>1.5707915168577</v>
      </c>
      <c r="K457" s="719" t="n">
        <f aca="false">SQRT(1+(A457/Zero2)^2)</f>
        <v>64.3338179783227</v>
      </c>
      <c r="L457" s="720" t="n">
        <f aca="false">ATAN(A457/Zero2)</f>
        <v>1.55525177643654</v>
      </c>
      <c r="M457" s="707" t="n">
        <f aca="false">SQRT(1+(A457/pole4)^2)</f>
        <v>2.2347480518666</v>
      </c>
      <c r="N457" s="710" t="n">
        <f aca="false">ATAN(A457/pole4)</f>
        <v>1.10685337731592</v>
      </c>
      <c r="O457" s="711" t="n">
        <f aca="false">SQRT((1-(V457/pterm2))^2+(A457/pterm1)^2)</f>
        <v>1.12946626730769</v>
      </c>
      <c r="P457" s="712" t="n">
        <f aca="false">IF((ATAN((A457/pterm1)/(1-A457^2/pterm2))&gt;0),ATAN((A457/pterm1)/(1-A457^2/pterm2)),PI()+ATAN((A457/pterm1)/(1-A457^2/pterm2)))</f>
        <v>0.665626186548914</v>
      </c>
      <c r="Q457" s="713" t="n">
        <f aca="false">20*LOG10(((E457*K457*G457)/(C457*I457*O457*M457))*Adc)</f>
        <v>-24.3593314204746</v>
      </c>
      <c r="R457" s="714" t="n">
        <f aca="false">((F457+L457+H457)-(D457+J457+P457+N457))*radconv</f>
        <v>-196.17845591764</v>
      </c>
      <c r="S457" s="717" t="n">
        <f aca="false">IF(R457&gt;0,R457,R457+180)</f>
        <v>-16.17845591764</v>
      </c>
      <c r="U457" s="644" t="n">
        <f aca="false">IF(Q457&lt;0,A457,1000000000)</f>
        <v>50119</v>
      </c>
      <c r="V457" s="644" t="n">
        <f aca="false">A457^2</f>
        <v>2511914161</v>
      </c>
      <c r="X457" s="716" t="n">
        <f aca="false">20*LOG10((K457/(I457*M457))*AEA)</f>
        <v>10.9236776266477</v>
      </c>
      <c r="Y457" s="717" t="n">
        <f aca="false">(L457-(J457+N457))*radconv</f>
        <v>-64.308388674348</v>
      </c>
      <c r="AA457" s="716" t="n">
        <f aca="false">20*LOG10((E457*G457/(C457*O457))*Acs*Am)</f>
        <v>16.197616307432</v>
      </c>
      <c r="AB457" s="717" t="n">
        <f aca="false">(F457+H457-(D457+P457))*radconv</f>
        <v>-131.870067243292</v>
      </c>
      <c r="AD457" s="0" t="n">
        <f aca="false">SUM((Q458&lt;0)*(Q457&gt;0))*A457</f>
        <v>0</v>
      </c>
      <c r="AE457" s="0" t="n">
        <f aca="false">IF(AD457&gt;0,S457,0)</f>
        <v>0</v>
      </c>
    </row>
    <row r="458" customFormat="false" ht="12.75" hidden="false" customHeight="false" outlineLevel="0" collapsed="false">
      <c r="A458" s="718" t="n">
        <v>50410.75</v>
      </c>
      <c r="B458" s="706" t="n">
        <f aca="false">A458/1000</f>
        <v>50.41075</v>
      </c>
      <c r="C458" s="707" t="n">
        <f aca="false">SQRT(1+(A458/pole1)^2)</f>
        <v>86.0934410603393</v>
      </c>
      <c r="D458" s="708" t="n">
        <f aca="false">ATAN(A458/pole1)</f>
        <v>1.55918077891038</v>
      </c>
      <c r="E458" s="708" t="n">
        <f aca="false">SQRT(1+(A458/Zero1)^2)</f>
        <v>1.18376396364841</v>
      </c>
      <c r="F458" s="709" t="n">
        <f aca="false">ATAN(A458/Zero1)</f>
        <v>0.564674184532966</v>
      </c>
      <c r="G458" s="708" t="n">
        <f aca="false">IF(VIN_nom&gt;Vout, 1, SQRT(1+(A458/z_RHP)^2))</f>
        <v>1.24828010186827</v>
      </c>
      <c r="H458" s="709" t="n">
        <f aca="false">IF(VIN_nom&gt;Vout, 0, -ATAN(A458/z_RHP))</f>
        <v>-0.641661766616319</v>
      </c>
      <c r="I458" s="707" t="n">
        <f aca="false">SQRT(1+(A458/Pole2)^2)</f>
        <v>209113.155518123</v>
      </c>
      <c r="J458" s="710" t="n">
        <f aca="false">ATAN(A458/Pole2)</f>
        <v>1.570791544695</v>
      </c>
      <c r="K458" s="719" t="n">
        <f aca="false">SQRT(1+(A458/Zero2)^2)</f>
        <v>64.7082242828175</v>
      </c>
      <c r="L458" s="720" t="n">
        <f aca="false">ATAN(A458/Zero2)</f>
        <v>1.55534172547268</v>
      </c>
      <c r="M458" s="707" t="n">
        <f aca="false">SQRT(1+(A458/pole4)^2)</f>
        <v>2.24515804807712</v>
      </c>
      <c r="N458" s="710" t="n">
        <f aca="false">ATAN(A458/pole4)</f>
        <v>1.10917206777806</v>
      </c>
      <c r="O458" s="711" t="n">
        <f aca="false">SQRT((1-(V458/pterm2))^2+(A458/pterm1)^2)</f>
        <v>1.13095549350129</v>
      </c>
      <c r="P458" s="712" t="n">
        <f aca="false">IF((ATAN((A458/pterm1)/(1-A458^2/pterm2))&gt;0),ATAN((A458/pterm1)/(1-A458^2/pterm2)),PI()+ATAN((A458/pterm1)/(1-A458^2/pterm2)))</f>
        <v>0.669161724128724</v>
      </c>
      <c r="Q458" s="713" t="n">
        <f aca="false">20*LOG10(((E458*K458*G458)/(C458*I458*O458*M458))*Adc)</f>
        <v>-24.4291926490066</v>
      </c>
      <c r="R458" s="714" t="n">
        <f aca="false">((F458+L458+H458)-(D458+J458+P458+N458))*radconv</f>
        <v>-196.521772159771</v>
      </c>
      <c r="S458" s="717" t="n">
        <f aca="false">IF(R458&gt;0,R458,R458+180)</f>
        <v>-16.5217721597707</v>
      </c>
      <c r="U458" s="644" t="n">
        <f aca="false">IF(Q458&lt;0,A458,1000000000)</f>
        <v>50410.75</v>
      </c>
      <c r="V458" s="644" t="n">
        <f aca="false">A458^2</f>
        <v>2541243715.5625</v>
      </c>
      <c r="X458" s="716" t="n">
        <f aca="false">20*LOG10((K458/(I458*M458))*AEA)</f>
        <v>10.8832984909685</v>
      </c>
      <c r="Y458" s="717" t="n">
        <f aca="false">(L458-(J458+N458))*radconv</f>
        <v>-64.4360877467894</v>
      </c>
      <c r="AA458" s="716" t="n">
        <f aca="false">20*LOG10((E458*G458/(C458*O458))*Acs*Am)</f>
        <v>16.1681342145793</v>
      </c>
      <c r="AB458" s="717" t="n">
        <f aca="false">(F458+H458-(D458+P458))*radconv</f>
        <v>-132.085684412981</v>
      </c>
      <c r="AD458" s="0" t="n">
        <f aca="false">SUM((Q459&lt;0)*(Q458&gt;0))*A458</f>
        <v>0</v>
      </c>
      <c r="AE458" s="0" t="n">
        <f aca="false">IF(AD458&gt;0,S458,0)</f>
        <v>0</v>
      </c>
    </row>
    <row r="459" customFormat="false" ht="12.75" hidden="false" customHeight="false" outlineLevel="0" collapsed="false">
      <c r="A459" s="718" t="n">
        <v>50702.5</v>
      </c>
      <c r="B459" s="706" t="n">
        <f aca="false">A459/1000</f>
        <v>50.7025</v>
      </c>
      <c r="C459" s="707" t="n">
        <f aca="false">SQRT(1+(A459/pole1)^2)</f>
        <v>86.5916360369639</v>
      </c>
      <c r="D459" s="708" t="n">
        <f aca="false">ATAN(A459/pole1)</f>
        <v>1.55924761060334</v>
      </c>
      <c r="E459" s="708" t="n">
        <f aca="false">SQRT(1+(A459/Zero1)^2)</f>
        <v>1.18572996160423</v>
      </c>
      <c r="F459" s="709" t="n">
        <f aca="false">ATAN(A459/Zero1)</f>
        <v>0.567286167335149</v>
      </c>
      <c r="G459" s="708" t="n">
        <f aca="false">IF(VIN_nom&gt;Vout, 1, SQRT(1+(A459/z_RHP)^2))</f>
        <v>1.25087292026796</v>
      </c>
      <c r="H459" s="709" t="n">
        <f aca="false">IF(VIN_nom&gt;Vout, 0, -ATAN(A459/z_RHP))</f>
        <v>-0.644430997640119</v>
      </c>
      <c r="I459" s="707" t="n">
        <f aca="false">SQRT(1+(A459/Pole2)^2)</f>
        <v>210323.388714832</v>
      </c>
      <c r="J459" s="710" t="n">
        <f aca="false">ATAN(A459/Pole2)</f>
        <v>1.57079157221194</v>
      </c>
      <c r="K459" s="719" t="n">
        <f aca="false">SQRT(1+(A459/Zero2)^2)</f>
        <v>65.0826311048319</v>
      </c>
      <c r="L459" s="720" t="n">
        <f aca="false">ATAN(A459/Zero2)</f>
        <v>1.55543063959339</v>
      </c>
      <c r="M459" s="707" t="n">
        <f aca="false">SQRT(1+(A459/pole4)^2)</f>
        <v>2.25558000353251</v>
      </c>
      <c r="N459" s="710" t="n">
        <f aca="false">ATAN(A459/pole4)</f>
        <v>1.11146934337887</v>
      </c>
      <c r="O459" s="711" t="n">
        <f aca="false">SQRT((1-(V459/pterm2))^2+(A459/pterm1)^2)</f>
        <v>1.13245290160996</v>
      </c>
      <c r="P459" s="712" t="n">
        <f aca="false">IF((ATAN((A459/pterm1)/(1-A459^2/pterm2))&gt;0),ATAN((A459/pterm1)/(1-A459^2/pterm2)),PI()+ATAN((A459/pterm1)/(1-A459^2/pterm2)))</f>
        <v>0.672692081860104</v>
      </c>
      <c r="Q459" s="713" t="n">
        <f aca="false">20*LOG10(((E459*K459*G459)/(C459*I459*O459*M459))*Adc)</f>
        <v>-24.4986047167594</v>
      </c>
      <c r="R459" s="714" t="n">
        <f aca="false">((F459+L459+H459)-(D459+J459+P459+N459))*radconv</f>
        <v>-196.863416960773</v>
      </c>
      <c r="S459" s="717" t="n">
        <f aca="false">IF(R459&gt;0,R459,R459+180)</f>
        <v>-16.8634169607726</v>
      </c>
      <c r="U459" s="644" t="n">
        <f aca="false">IF(Q459&lt;0,A459,1000000000)</f>
        <v>50702.5</v>
      </c>
      <c r="V459" s="644" t="n">
        <f aca="false">A459^2</f>
        <v>2570743506.25</v>
      </c>
      <c r="X459" s="716" t="n">
        <f aca="false">20*LOG10((K459/(I459*M459))*AEA)</f>
        <v>10.8430602456276</v>
      </c>
      <c r="Y459" s="717" t="n">
        <f aca="false">(L459-(J459+N459))*radconv</f>
        <v>-64.5626191159871</v>
      </c>
      <c r="AA459" s="716" t="n">
        <f aca="false">20*LOG10((E459*G459/(C459*O459))*Acs*Am)</f>
        <v>16.1389603921674</v>
      </c>
      <c r="AB459" s="717" t="n">
        <f aca="false">(F459+H459-(D459+P459))*radconv</f>
        <v>-132.300797844786</v>
      </c>
      <c r="AD459" s="0" t="n">
        <f aca="false">SUM((Q460&lt;0)*(Q459&gt;0))*A459</f>
        <v>0</v>
      </c>
      <c r="AE459" s="0" t="n">
        <f aca="false">IF(AD459&gt;0,S459,0)</f>
        <v>0</v>
      </c>
    </row>
    <row r="460" customFormat="false" ht="12.75" hidden="false" customHeight="false" outlineLevel="0" collapsed="false">
      <c r="A460" s="718" t="n">
        <v>50994.25</v>
      </c>
      <c r="B460" s="706" t="n">
        <f aca="false">A460/1000</f>
        <v>50.99425</v>
      </c>
      <c r="C460" s="707" t="n">
        <f aca="false">SQRT(1+(A460/pole1)^2)</f>
        <v>87.089831395923</v>
      </c>
      <c r="D460" s="708" t="n">
        <f aca="false">ATAN(A460/pole1)</f>
        <v>1.5593136776783</v>
      </c>
      <c r="E460" s="708" t="n">
        <f aca="false">SQRT(1+(A460/Zero1)^2)</f>
        <v>1.18770402233494</v>
      </c>
      <c r="F460" s="709" t="n">
        <f aca="false">ATAN(A460/Zero1)</f>
        <v>0.569889485193354</v>
      </c>
      <c r="G460" s="708" t="n">
        <f aca="false">IF(VIN_nom&gt;Vout, 1, SQRT(1+(A460/z_RHP)^2))</f>
        <v>1.2534752914353</v>
      </c>
      <c r="H460" s="709" t="n">
        <f aca="false">IF(VIN_nom&gt;Vout, 0, -ATAN(A460/z_RHP))</f>
        <v>-0.647188751200606</v>
      </c>
      <c r="I460" s="707" t="n">
        <f aca="false">SQRT(1+(A460/Pole2)^2)</f>
        <v>211533.621911542</v>
      </c>
      <c r="J460" s="710" t="n">
        <f aca="false">ATAN(A460/Pole2)</f>
        <v>1.57079159941402</v>
      </c>
      <c r="K460" s="719" t="n">
        <f aca="false">SQRT(1+(A460/Zero2)^2)</f>
        <v>65.4570384354853</v>
      </c>
      <c r="L460" s="720" t="n">
        <f aca="false">ATAN(A460/Zero2)</f>
        <v>1.55551853655608</v>
      </c>
      <c r="M460" s="707" t="n">
        <f aca="false">SQRT(1+(A460/pole4)^2)</f>
        <v>2.26601375322223</v>
      </c>
      <c r="N460" s="710" t="n">
        <f aca="false">ATAN(A460/pole4)</f>
        <v>1.11374547551326</v>
      </c>
      <c r="O460" s="711" t="n">
        <f aca="false">SQRT((1-(V460/pterm2))^2+(A460/pterm1)^2)</f>
        <v>1.13395848546469</v>
      </c>
      <c r="P460" s="712" t="n">
        <f aca="false">IF((ATAN((A460/pterm1)/(1-A460^2/pterm2))&gt;0),ATAN((A460/pterm1)/(1-A460^2/pterm2)),PI()+ATAN((A460/pterm1)/(1-A460^2/pterm2)))</f>
        <v>0.676217247786504</v>
      </c>
      <c r="Q460" s="713" t="n">
        <f aca="false">20*LOG10(((E460*K460*G460)/(C460*I460*O460*M460))*Adc)</f>
        <v>-24.5675723445851</v>
      </c>
      <c r="R460" s="714" t="n">
        <f aca="false">((F460+L460+H460)-(D460+J460+P460+N460))*radconv</f>
        <v>-197.203406167819</v>
      </c>
      <c r="S460" s="717" t="n">
        <f aca="false">IF(R460&gt;0,R460,R460+180)</f>
        <v>-17.2034061678191</v>
      </c>
      <c r="U460" s="644" t="n">
        <f aca="false">IF(Q460&lt;0,A460,1000000000)</f>
        <v>50994.25</v>
      </c>
      <c r="V460" s="644" t="n">
        <f aca="false">A460^2</f>
        <v>2600413533.0625</v>
      </c>
      <c r="X460" s="716" t="n">
        <f aca="false">20*LOG10((K460/(I460*M460))*AEA)</f>
        <v>10.8029624341129</v>
      </c>
      <c r="Y460" s="717" t="n">
        <f aca="false">(L460-(J460+N460))*radconv</f>
        <v>-64.6879973146154</v>
      </c>
      <c r="AA460" s="716" t="n">
        <f aca="false">20*LOG10((E460*G460/(C460*O460))*Acs*Am)</f>
        <v>16.1100905758564</v>
      </c>
      <c r="AB460" s="717" t="n">
        <f aca="false">(F460+H460-(D460+P460))*radconv</f>
        <v>-132.515408853204</v>
      </c>
      <c r="AD460" s="0" t="n">
        <f aca="false">SUM((Q461&lt;0)*(Q460&gt;0))*A460</f>
        <v>0</v>
      </c>
      <c r="AE460" s="0" t="n">
        <f aca="false">IF(AD460&gt;0,S460,0)</f>
        <v>0</v>
      </c>
    </row>
    <row r="461" customFormat="false" ht="12.75" hidden="false" customHeight="false" outlineLevel="0" collapsed="false">
      <c r="A461" s="718" t="n">
        <v>51286</v>
      </c>
      <c r="B461" s="706" t="n">
        <f aca="false">A461/1000</f>
        <v>51.286</v>
      </c>
      <c r="C461" s="707" t="n">
        <f aca="false">SQRT(1+(A461/pole1)^2)</f>
        <v>87.5880271306925</v>
      </c>
      <c r="D461" s="708" t="n">
        <f aca="false">ATAN(A461/pole1)</f>
        <v>1.55937899318198</v>
      </c>
      <c r="E461" s="708" t="n">
        <f aca="false">SQRT(1+(A461/Zero1)^2)</f>
        <v>1.18968610570458</v>
      </c>
      <c r="F461" s="709" t="n">
        <f aca="false">ATAN(A461/Zero1)</f>
        <v>0.572484146042211</v>
      </c>
      <c r="G461" s="708" t="n">
        <f aca="false">IF(VIN_nom&gt;Vout, 1, SQRT(1+(A461/z_RHP)^2))</f>
        <v>1.25608715599581</v>
      </c>
      <c r="H461" s="709" t="n">
        <f aca="false">IF(VIN_nom&gt;Vout, 0, -ATAN(A461/z_RHP))</f>
        <v>-0.649935056818726</v>
      </c>
      <c r="I461" s="707" t="n">
        <f aca="false">SQRT(1+(A461/Pole2)^2)</f>
        <v>212743.855108252</v>
      </c>
      <c r="J461" s="710" t="n">
        <f aca="false">ATAN(A461/Pole2)</f>
        <v>1.57079162630661</v>
      </c>
      <c r="K461" s="719" t="n">
        <f aca="false">SQRT(1+(A461/Zero2)^2)</f>
        <v>65.8314462660993</v>
      </c>
      <c r="L461" s="720" t="n">
        <f aca="false">ATAN(A461/Zero2)</f>
        <v>1.55560543371423</v>
      </c>
      <c r="M461" s="707" t="n">
        <f aca="false">SQRT(1+(A461/pole4)^2)</f>
        <v>2.27645913497589</v>
      </c>
      <c r="N461" s="710" t="n">
        <f aca="false">ATAN(A461/pole4)</f>
        <v>1.11600073147982</v>
      </c>
      <c r="O461" s="711" t="n">
        <f aca="false">SQRT((1-(V461/pterm2))^2+(A461/pterm1)^2)</f>
        <v>1.13547223890371</v>
      </c>
      <c r="P461" s="712" t="n">
        <f aca="false">IF((ATAN((A461/pterm1)/(1-A461^2/pterm2))&gt;0),ATAN((A461/pterm1)/(1-A461^2/pterm2)),PI()+ATAN((A461/pterm1)/(1-A461^2/pterm2)))</f>
        <v>0.679737210161115</v>
      </c>
      <c r="Q461" s="713" t="n">
        <f aca="false">20*LOG10(((E461*K461*G461)/(C461*I461*O461*M461))*Adc)</f>
        <v>-24.6361001966125</v>
      </c>
      <c r="R461" s="714" t="n">
        <f aca="false">((F461+L461+H461)-(D461+J461+P461+N461))*radconv</f>
        <v>-197.541755413301</v>
      </c>
      <c r="S461" s="717" t="n">
        <f aca="false">IF(R461&gt;0,R461,R461+180)</f>
        <v>-17.5417554133012</v>
      </c>
      <c r="U461" s="644" t="n">
        <f aca="false">IF(Q461&lt;0,A461,1000000000)</f>
        <v>51286</v>
      </c>
      <c r="V461" s="644" t="n">
        <f aca="false">A461^2</f>
        <v>2630253796</v>
      </c>
      <c r="X461" s="716" t="n">
        <f aca="false">20*LOG10((K461/(I461*M461))*AEA)</f>
        <v>10.7630045903306</v>
      </c>
      <c r="Y461" s="717" t="n">
        <f aca="false">(L461-(J461+N461))*radconv</f>
        <v>-64.812236663781</v>
      </c>
      <c r="AA461" s="716" t="n">
        <f aca="false">20*LOG10((E461*G461/(C461*O461))*Acs*Am)</f>
        <v>16.0815205676113</v>
      </c>
      <c r="AB461" s="717" t="n">
        <f aca="false">(F461+H461-(D461+P461))*radconv</f>
        <v>-132.72951874952</v>
      </c>
      <c r="AD461" s="0" t="n">
        <f aca="false">SUM((Q462&lt;0)*(Q461&gt;0))*A461</f>
        <v>0</v>
      </c>
      <c r="AE461" s="0" t="n">
        <f aca="false">IF(AD461&gt;0,S461,0)</f>
        <v>0</v>
      </c>
    </row>
    <row r="462" customFormat="false" ht="12.75" hidden="false" customHeight="false" outlineLevel="0" collapsed="false">
      <c r="A462" s="718" t="n">
        <v>51584.75</v>
      </c>
      <c r="B462" s="706" t="n">
        <f aca="false">A462/1000</f>
        <v>51.58475</v>
      </c>
      <c r="C462" s="707" t="n">
        <f aca="false">SQRT(1+(A462/pole1)^2)</f>
        <v>88.0981765306571</v>
      </c>
      <c r="D462" s="708" t="n">
        <f aca="false">ATAN(A462/pole1)</f>
        <v>1.55944511029163</v>
      </c>
      <c r="E462" s="708" t="n">
        <f aca="false">SQRT(1+(A462/Zero1)^2)</f>
        <v>1.19172401735327</v>
      </c>
      <c r="F462" s="709" t="n">
        <f aca="false">ATAN(A462/Zero1)</f>
        <v>0.575132098622901</v>
      </c>
      <c r="G462" s="708" t="n">
        <f aca="false">IF(VIN_nom&gt;Vout, 1, SQRT(1+(A462/z_RHP)^2))</f>
        <v>1.25877146346186</v>
      </c>
      <c r="H462" s="709" t="n">
        <f aca="false">IF(VIN_nom&gt;Vout, 0, -ATAN(A462/z_RHP))</f>
        <v>-0.652735423004888</v>
      </c>
      <c r="I462" s="707" t="n">
        <f aca="false">SQRT(1+(A462/Pole2)^2)</f>
        <v>213983.125605311</v>
      </c>
      <c r="J462" s="710" t="n">
        <f aca="false">ATAN(A462/Pole2)</f>
        <v>1.5707916535292</v>
      </c>
      <c r="K462" s="719" t="n">
        <f aca="false">SQRT(1+(A462/Zero2)^2)</f>
        <v>66.2148378272524</v>
      </c>
      <c r="L462" s="720" t="n">
        <f aca="false">ATAN(A462/Zero2)</f>
        <v>1.55569339744796</v>
      </c>
      <c r="M462" s="707" t="n">
        <f aca="false">SQRT(1+(A462/pole4)^2)</f>
        <v>2.28716702186069</v>
      </c>
      <c r="N462" s="710" t="n">
        <f aca="false">ATAN(A462/pole4)</f>
        <v>1.1182887396003</v>
      </c>
      <c r="O462" s="711" t="n">
        <f aca="false">SQRT((1-(V462/pterm2))^2+(A462/pterm1)^2)</f>
        <v>1.13703077157675</v>
      </c>
      <c r="P462" s="712" t="n">
        <f aca="false">IF((ATAN((A462/pterm1)/(1-A462^2/pterm2))&gt;0),ATAN((A462/pterm1)/(1-A462^2/pterm2)),PI()+ATAN((A462/pterm1)/(1-A462^2/pterm2)))</f>
        <v>0.683336223127915</v>
      </c>
      <c r="Q462" s="713" t="n">
        <f aca="false">20*LOG10(((E462*K462*G462)/(C462*I462*O462*M462))*Adc)</f>
        <v>-24.7058213307638</v>
      </c>
      <c r="R462" s="714" t="n">
        <f aca="false">((F462+L462+H462)-(D462+J462+P462+N462))*radconv</f>
        <v>-197.886539372619</v>
      </c>
      <c r="S462" s="717" t="n">
        <f aca="false">IF(R462&gt;0,R462,R462+180)</f>
        <v>-17.8865393726187</v>
      </c>
      <c r="U462" s="644" t="n">
        <f aca="false">IF(Q462&lt;0,A462,1000000000)</f>
        <v>51584.75</v>
      </c>
      <c r="V462" s="644" t="n">
        <f aca="false">A462^2</f>
        <v>2660986432.5625</v>
      </c>
      <c r="X462" s="716" t="n">
        <f aca="false">20*LOG10((K462/(I462*M462))*AEA)</f>
        <v>10.7222325812201</v>
      </c>
      <c r="Y462" s="717" t="n">
        <f aca="false">(L462-(J462+N462))*radconv</f>
        <v>-64.9382914817675</v>
      </c>
      <c r="AA462" s="716" t="n">
        <f aca="false">20*LOG10((E462*G462/(C462*O462))*Acs*Am)</f>
        <v>16.0525714425704</v>
      </c>
      <c r="AB462" s="717" t="n">
        <f aca="false">(F462+H462-(D462+P462))*radconv</f>
        <v>-132.948247890851</v>
      </c>
      <c r="AD462" s="0" t="n">
        <f aca="false">SUM((Q463&lt;0)*(Q462&gt;0))*A462</f>
        <v>0</v>
      </c>
      <c r="AE462" s="0" t="n">
        <f aca="false">IF(AD462&gt;0,S462,0)</f>
        <v>0</v>
      </c>
    </row>
    <row r="463" customFormat="false" ht="12.75" hidden="false" customHeight="false" outlineLevel="0" collapsed="false">
      <c r="A463" s="718" t="n">
        <v>51883.5</v>
      </c>
      <c r="B463" s="706" t="n">
        <f aca="false">A463/1000</f>
        <v>51.8835</v>
      </c>
      <c r="C463" s="707" t="n">
        <f aca="false">SQRT(1+(A463/pole1)^2)</f>
        <v>88.6083263113059</v>
      </c>
      <c r="D463" s="708" t="n">
        <f aca="false">ATAN(A463/pole1)</f>
        <v>1.55951046608194</v>
      </c>
      <c r="E463" s="708" t="n">
        <f aca="false">SQRT(1+(A463/Zero1)^2)</f>
        <v>1.19377025639371</v>
      </c>
      <c r="F463" s="709" t="n">
        <f aca="false">ATAN(A463/Zero1)</f>
        <v>0.577770991954169</v>
      </c>
      <c r="G463" s="708" t="n">
        <f aca="false">IF(VIN_nom&gt;Vout, 1, SQRT(1+(A463/z_RHP)^2))</f>
        <v>1.26146560022156</v>
      </c>
      <c r="H463" s="709" t="n">
        <f aca="false">IF(VIN_nom&gt;Vout, 0, -ATAN(A463/z_RHP))</f>
        <v>-0.655523849386698</v>
      </c>
      <c r="I463" s="707" t="n">
        <f aca="false">SQRT(1+(A463/Pole2)^2)</f>
        <v>215222.396102371</v>
      </c>
      <c r="J463" s="710" t="n">
        <f aca="false">ATAN(A463/Pole2)</f>
        <v>1.5707916804383</v>
      </c>
      <c r="K463" s="719" t="n">
        <f aca="false">SQRT(1+(A463/Zero2)^2)</f>
        <v>66.5982298948517</v>
      </c>
      <c r="L463" s="720" t="n">
        <f aca="false">ATAN(A463/Zero2)</f>
        <v>1.55578034840475</v>
      </c>
      <c r="M463" s="707" t="n">
        <f aca="false">SQRT(1+(A463/pole4)^2)</f>
        <v>2.29788677039723</v>
      </c>
      <c r="N463" s="710" t="n">
        <f aca="false">ATAN(A463/pole4)</f>
        <v>1.12055541216638</v>
      </c>
      <c r="O463" s="711" t="n">
        <f aca="false">SQRT((1-(V463/pterm2))^2+(A463/pterm1)^2)</f>
        <v>1.13859785751322</v>
      </c>
      <c r="P463" s="712" t="n">
        <f aca="false">IF((ATAN((A463/pterm1)/(1-A463^2/pterm2))&gt;0),ATAN((A463/pterm1)/(1-A463^2/pterm2)),PI()+ATAN((A463/pterm1)/(1-A463^2/pterm2)))</f>
        <v>0.686929755588075</v>
      </c>
      <c r="Q463" s="713" t="n">
        <f aca="false">20*LOG10(((E463*K463*G463)/(C463*I463*O463*M463))*Adc)</f>
        <v>-24.7750910525506</v>
      </c>
      <c r="R463" s="714" t="n">
        <f aca="false">((F463+L463+H463)-(D463+J463+P463+N463))*radconv</f>
        <v>-198.229636230669</v>
      </c>
      <c r="S463" s="717" t="n">
        <f aca="false">IF(R463&gt;0,R463,R463+180)</f>
        <v>-18.2296362306694</v>
      </c>
      <c r="U463" s="644" t="n">
        <f aca="false">IF(Q463&lt;0,A463,1000000000)</f>
        <v>51883.5</v>
      </c>
      <c r="V463" s="644" t="n">
        <f aca="false">A463^2</f>
        <v>2691897572.25</v>
      </c>
      <c r="X463" s="716" t="n">
        <f aca="false">20*LOG10((K463/(I463*M463))*AEA)</f>
        <v>10.6816063190834</v>
      </c>
      <c r="Y463" s="717" t="n">
        <f aca="false">(L463-(J463+N463))*radconv</f>
        <v>-65.0631818724133</v>
      </c>
      <c r="AA463" s="716" t="n">
        <f aca="false">20*LOG10((E463*G463/(C463*O463))*Acs*Am)</f>
        <v>16.0239279829203</v>
      </c>
      <c r="AB463" s="717" t="n">
        <f aca="false">(F463+H463-(D463+P463))*radconv</f>
        <v>-133.166454358256</v>
      </c>
      <c r="AD463" s="0" t="n">
        <f aca="false">SUM((Q464&lt;0)*(Q463&gt;0))*A463</f>
        <v>0</v>
      </c>
      <c r="AE463" s="0" t="n">
        <f aca="false">IF(AD463&gt;0,S463,0)</f>
        <v>0</v>
      </c>
    </row>
    <row r="464" customFormat="false" ht="12.75" hidden="false" customHeight="false" outlineLevel="0" collapsed="false">
      <c r="A464" s="718" t="n">
        <v>52182.25</v>
      </c>
      <c r="B464" s="706" t="n">
        <f aca="false">A464/1000</f>
        <v>52.18225</v>
      </c>
      <c r="C464" s="707" t="n">
        <f aca="false">SQRT(1+(A464/pole1)^2)</f>
        <v>89.1184764661012</v>
      </c>
      <c r="D464" s="708" t="n">
        <f aca="false">ATAN(A464/pole1)</f>
        <v>1.55957507362664</v>
      </c>
      <c r="E464" s="708" t="n">
        <f aca="false">SQRT(1+(A464/Zero1)^2)</f>
        <v>1.19582478007757</v>
      </c>
      <c r="F464" s="709" t="n">
        <f aca="false">ATAN(A464/Zero1)</f>
        <v>0.580400835882401</v>
      </c>
      <c r="G464" s="708" t="n">
        <f aca="false">IF(VIN_nom&gt;Vout, 1, SQRT(1+(A464/z_RHP)^2))</f>
        <v>1.26416950343177</v>
      </c>
      <c r="H464" s="709" t="n">
        <f aca="false">IF(VIN_nom&gt;Vout, 0, -ATAN(A464/z_RHP))</f>
        <v>-0.65830036907737</v>
      </c>
      <c r="I464" s="707" t="n">
        <f aca="false">SQRT(1+(A464/Pole2)^2)</f>
        <v>216461.666599431</v>
      </c>
      <c r="J464" s="710" t="n">
        <f aca="false">ATAN(A464/Pole2)</f>
        <v>1.57079170703928</v>
      </c>
      <c r="K464" s="719" t="n">
        <f aca="false">SQRT(1+(A464/Zero2)^2)</f>
        <v>66.9816224602008</v>
      </c>
      <c r="L464" s="720" t="n">
        <f aca="false">ATAN(A464/Zero2)</f>
        <v>1.55586630397423</v>
      </c>
      <c r="M464" s="707" t="n">
        <f aca="false">SQRT(1+(A464/pole4)^2)</f>
        <v>2.30861821535171</v>
      </c>
      <c r="N464" s="710" t="n">
        <f aca="false">ATAN(A464/pole4)</f>
        <v>1.12280102325352</v>
      </c>
      <c r="O464" s="711" t="n">
        <f aca="false">SQRT((1-(V464/pterm2))^2+(A464/pterm1)^2)</f>
        <v>1.14017349012342</v>
      </c>
      <c r="P464" s="712" t="n">
        <f aca="false">IF((ATAN((A464/pterm1)/(1-A464^2/pterm2))&gt;0),ATAN((A464/pterm1)/(1-A464^2/pterm2)),PI()+ATAN((A464/pterm1)/(1-A464^2/pterm2)))</f>
        <v>0.690517795606315</v>
      </c>
      <c r="Q464" s="713" t="n">
        <f aca="false">20*LOG10(((E464*K464*G464)/(C464*I464*O464*M464))*Adc)</f>
        <v>-24.8439141902827</v>
      </c>
      <c r="R464" s="714" t="n">
        <f aca="false">((F464+L464+H464)-(D464+J464+P464+N464))*radconv</f>
        <v>-198.571062093098</v>
      </c>
      <c r="S464" s="717" t="n">
        <f aca="false">IF(R464&gt;0,R464,R464+180)</f>
        <v>-18.5710620930979</v>
      </c>
      <c r="U464" s="644" t="n">
        <f aca="false">IF(Q464&lt;0,A464,1000000000)</f>
        <v>52182.25</v>
      </c>
      <c r="V464" s="644" t="n">
        <f aca="false">A464^2</f>
        <v>2722987215.0625</v>
      </c>
      <c r="X464" s="716" t="n">
        <f aca="false">20*LOG10((K464/(I464*M464))*AEA)</f>
        <v>10.6411252753919</v>
      </c>
      <c r="Y464" s="717" t="n">
        <f aca="false">(L464-(J464+N464))*radconv</f>
        <v>-65.1869225430431</v>
      </c>
      <c r="AA464" s="716" t="n">
        <f aca="false">20*LOG10((E464*G464/(C464*O464))*Acs*Am)</f>
        <v>15.9955858888798</v>
      </c>
      <c r="AB464" s="717" t="n">
        <f aca="false">(F464+H464-(D464+P464))*radconv</f>
        <v>-133.384139550055</v>
      </c>
      <c r="AD464" s="0" t="n">
        <f aca="false">SUM((Q465&lt;0)*(Q464&gt;0))*A464</f>
        <v>0</v>
      </c>
      <c r="AE464" s="0" t="n">
        <f aca="false">IF(AD464&gt;0,S464,0)</f>
        <v>0</v>
      </c>
    </row>
    <row r="465" customFormat="false" ht="12.75" hidden="false" customHeight="false" outlineLevel="0" collapsed="false">
      <c r="A465" s="718" t="n">
        <v>52481</v>
      </c>
      <c r="B465" s="706" t="n">
        <f aca="false">A465/1000</f>
        <v>52.481</v>
      </c>
      <c r="C465" s="707" t="n">
        <f aca="false">SQRT(1+(A465/pole1)^2)</f>
        <v>89.6286269886545</v>
      </c>
      <c r="D465" s="708" t="n">
        <f aca="false">ATAN(A465/pole1)</f>
        <v>1.55963894570184</v>
      </c>
      <c r="E465" s="708" t="n">
        <f aca="false">SQRT(1+(A465/Zero1)^2)</f>
        <v>1.19788754577732</v>
      </c>
      <c r="F465" s="709" t="n">
        <f aca="false">ATAN(A465/Zero1)</f>
        <v>0.583021640687254</v>
      </c>
      <c r="G465" s="708" t="n">
        <f aca="false">IF(VIN_nom&gt;Vout, 1, SQRT(1+(A465/z_RHP)^2))</f>
        <v>1.26688311055901</v>
      </c>
      <c r="H465" s="709" t="n">
        <f aca="false">IF(VIN_nom&gt;Vout, 0, -ATAN(A465/z_RHP))</f>
        <v>-0.661065015642252</v>
      </c>
      <c r="I465" s="707" t="n">
        <f aca="false">SQRT(1+(A465/Pole2)^2)</f>
        <v>217700.93709649</v>
      </c>
      <c r="J465" s="710" t="n">
        <f aca="false">ATAN(A465/Pole2)</f>
        <v>1.57079173333741</v>
      </c>
      <c r="K465" s="719" t="n">
        <f aca="false">SQRT(1+(A465/Zero2)^2)</f>
        <v>67.3650155148013</v>
      </c>
      <c r="L465" s="720" t="n">
        <f aca="false">ATAN(A465/Zero2)</f>
        <v>1.55595128115018</v>
      </c>
      <c r="M465" s="707" t="n">
        <f aca="false">SQRT(1+(A465/pole4)^2)</f>
        <v>2.31936119436976</v>
      </c>
      <c r="N465" s="710" t="n">
        <f aca="false">ATAN(A465/pole4)</f>
        <v>1.12502584271726</v>
      </c>
      <c r="O465" s="711" t="n">
        <f aca="false">SQRT((1-(V465/pterm2))^2+(A465/pterm1)^2)</f>
        <v>1.14175766282736</v>
      </c>
      <c r="P465" s="712" t="n">
        <f aca="false">IF((ATAN((A465/pterm1)/(1-A465^2/pterm2))&gt;0),ATAN((A465/pterm1)/(1-A465^2/pterm2)),PI()+ATAN((A465/pterm1)/(1-A465^2/pterm2)))</f>
        <v>0.694100331473724</v>
      </c>
      <c r="Q465" s="713" t="n">
        <f aca="false">20*LOG10(((E465*K465*G465)/(C465*I465*O465*M465))*Adc)</f>
        <v>-24.9122955133884</v>
      </c>
      <c r="R465" s="714" t="n">
        <f aca="false">((F465+L465+H465)-(D465+J465+P465+N465))*radconv</f>
        <v>-198.910832843433</v>
      </c>
      <c r="S465" s="717" t="n">
        <f aca="false">IF(R465&gt;0,R465,R465+180)</f>
        <v>-18.910832843433</v>
      </c>
      <c r="U465" s="644" t="n">
        <f aca="false">IF(Q465&lt;0,A465,1000000000)</f>
        <v>52481</v>
      </c>
      <c r="V465" s="644" t="n">
        <f aca="false">A465^2</f>
        <v>2754255361</v>
      </c>
      <c r="X465" s="716" t="n">
        <f aca="false">20*LOG10((K465/(I465*M465))*AEA)</f>
        <v>10.6007889131549</v>
      </c>
      <c r="Y465" s="717" t="n">
        <f aca="false">(L465-(J465+N465))*radconv</f>
        <v>-65.3095279818685</v>
      </c>
      <c r="AA465" s="716" t="n">
        <f aca="false">20*LOG10((E465*G465/(C465*O465))*Acs*Am)</f>
        <v>15.967540928011</v>
      </c>
      <c r="AB465" s="717" t="n">
        <f aca="false">(F465+H465-(D465+P465))*radconv</f>
        <v>-133.601304861565</v>
      </c>
      <c r="AD465" s="0" t="n">
        <f aca="false">SUM((Q466&lt;0)*(Q465&gt;0))*A465</f>
        <v>0</v>
      </c>
      <c r="AE465" s="0" t="n">
        <f aca="false">IF(AD465&gt;0,S465,0)</f>
        <v>0</v>
      </c>
    </row>
    <row r="466" customFormat="false" ht="12.75" hidden="false" customHeight="false" outlineLevel="0" collapsed="false">
      <c r="A466" s="718" t="n">
        <v>52786.5</v>
      </c>
      <c r="B466" s="706" t="n">
        <f aca="false">A466/1000</f>
        <v>52.7865</v>
      </c>
      <c r="C466" s="707" t="n">
        <f aca="false">SQRT(1+(A466/pole1)^2)</f>
        <v>90.1503042984985</v>
      </c>
      <c r="D466" s="708" t="n">
        <f aca="false">ATAN(A466/pole1)</f>
        <v>1.55970351333748</v>
      </c>
      <c r="E466" s="708" t="n">
        <f aca="false">SQRT(1+(A466/Zero1)^2)</f>
        <v>1.20000539706377</v>
      </c>
      <c r="F466" s="709" t="n">
        <f aca="false">ATAN(A466/Zero1)</f>
        <v>0.585692323708476</v>
      </c>
      <c r="G466" s="708" t="n">
        <f aca="false">IF(VIN_nom&gt;Vout, 1, SQRT(1+(A466/z_RHP)^2))</f>
        <v>1.26966799975341</v>
      </c>
      <c r="H466" s="709" t="n">
        <f aca="false">IF(VIN_nom&gt;Vout, 0, -ATAN(A466/z_RHP))</f>
        <v>-0.663879883907323</v>
      </c>
      <c r="I466" s="707" t="n">
        <f aca="false">SQRT(1+(A466/Pole2)^2)</f>
        <v>218968.207847459</v>
      </c>
      <c r="J466" s="710" t="n">
        <f aca="false">ATAN(A466/Pole2)</f>
        <v>1.57079175992188</v>
      </c>
      <c r="K466" s="719" t="n">
        <f aca="false">SQRT(1+(A466/Zero2)^2)</f>
        <v>67.7570715039228</v>
      </c>
      <c r="L466" s="720" t="n">
        <f aca="false">ATAN(A466/Zero2)</f>
        <v>1.55603718381381</v>
      </c>
      <c r="M466" s="707" t="n">
        <f aca="false">SQRT(1+(A466/pole4)^2)</f>
        <v>2.33035866348827</v>
      </c>
      <c r="N466" s="710" t="n">
        <f aca="false">ATAN(A466/pole4)</f>
        <v>1.12727970530788</v>
      </c>
      <c r="O466" s="711" t="n">
        <f aca="false">SQRT((1-(V466/pterm2))^2+(A466/pterm1)^2)</f>
        <v>1.14338645341719</v>
      </c>
      <c r="P466" s="712" t="n">
        <f aca="false">IF((ATAN((A466/pterm1)/(1-A466^2/pterm2))&gt;0),ATAN((A466/pterm1)/(1-A466^2/pterm2)),PI()+ATAN((A466/pterm1)/(1-A466^2/pterm2)))</f>
        <v>0.69775810760417</v>
      </c>
      <c r="Q466" s="713" t="n">
        <f aca="false">20*LOG10(((E466*K466*G466)/(C466*I466*O466*M466))*Adc)</f>
        <v>-24.9817698614218</v>
      </c>
      <c r="R466" s="714" t="n">
        <f aca="false">((F466+L466+H466)-(D466+J466+P466+N466))*radconv</f>
        <v>-199.256585114611</v>
      </c>
      <c r="S466" s="717" t="n">
        <f aca="false">IF(R466&gt;0,R466,R466+180)</f>
        <v>-19.2565851146106</v>
      </c>
      <c r="U466" s="644" t="n">
        <f aca="false">IF(Q466&lt;0,A466,1000000000)</f>
        <v>52786.5</v>
      </c>
      <c r="V466" s="644" t="n">
        <f aca="false">A466^2</f>
        <v>2786414582.25</v>
      </c>
      <c r="X466" s="716" t="n">
        <f aca="false">20*LOG10((K466/(I466*M466))*AEA)</f>
        <v>10.5596902393518</v>
      </c>
      <c r="Y466" s="717" t="n">
        <f aca="false">(L466-(J466+N466))*radconv</f>
        <v>-65.4337444591587</v>
      </c>
      <c r="AA466" s="716" t="n">
        <f aca="false">20*LOG10((E466*G466/(C466*O466))*Acs*Am)</f>
        <v>15.9391652537807</v>
      </c>
      <c r="AB466" s="717" t="n">
        <f aca="false">(F466+H466-(D466+P466))*radconv</f>
        <v>-133.822840655452</v>
      </c>
      <c r="AD466" s="0" t="n">
        <f aca="false">SUM((Q467&lt;0)*(Q466&gt;0))*A466</f>
        <v>0</v>
      </c>
      <c r="AE466" s="0" t="n">
        <f aca="false">IF(AD466&gt;0,S466,0)</f>
        <v>0</v>
      </c>
    </row>
    <row r="467" customFormat="false" ht="12.75" hidden="false" customHeight="false" outlineLevel="0" collapsed="false">
      <c r="A467" s="718" t="n">
        <v>53092</v>
      </c>
      <c r="B467" s="706" t="n">
        <f aca="false">A467/1000</f>
        <v>53.092</v>
      </c>
      <c r="C467" s="707" t="n">
        <f aca="false">SQRT(1+(A467/pole1)^2)</f>
        <v>90.6719819798526</v>
      </c>
      <c r="D467" s="708" t="n">
        <f aca="false">ATAN(A467/pole1)</f>
        <v>1.55976733799868</v>
      </c>
      <c r="E467" s="708" t="n">
        <f aca="false">SQRT(1+(A467/Zero1)^2)</f>
        <v>1.20213177725261</v>
      </c>
      <c r="F467" s="709" t="n">
        <f aca="false">ATAN(A467/Zero1)</f>
        <v>0.588353577627199</v>
      </c>
      <c r="G467" s="708" t="n">
        <f aca="false">IF(VIN_nom&gt;Vout, 1, SQRT(1+(A467/z_RHP)^2))</f>
        <v>1.27246290505956</v>
      </c>
      <c r="H467" s="709" t="n">
        <f aca="false">IF(VIN_nom&gt;Vout, 0, -ATAN(A467/z_RHP))</f>
        <v>-0.666682408843867</v>
      </c>
      <c r="I467" s="707" t="n">
        <f aca="false">SQRT(1+(A467/Pole2)^2)</f>
        <v>220235.478598428</v>
      </c>
      <c r="J467" s="710" t="n">
        <f aca="false">ATAN(A467/Pole2)</f>
        <v>1.57079178620041</v>
      </c>
      <c r="K467" s="719" t="n">
        <f aca="false">SQRT(1+(A467/Zero2)^2)</f>
        <v>68.1491279872889</v>
      </c>
      <c r="L467" s="720" t="n">
        <f aca="false">ATAN(A467/Zero2)</f>
        <v>1.55612209809575</v>
      </c>
      <c r="M467" s="707" t="n">
        <f aca="false">SQRT(1+(A467/pole4)^2)</f>
        <v>2.34136785934625</v>
      </c>
      <c r="N467" s="710" t="n">
        <f aca="false">ATAN(A467/pole4)</f>
        <v>1.12951238366573</v>
      </c>
      <c r="O467" s="711" t="n">
        <f aca="false">SQRT((1-(V467/pterm2))^2+(A467/pterm1)^2)</f>
        <v>1.14502416048875</v>
      </c>
      <c r="P467" s="712" t="n">
        <f aca="false">IF((ATAN((A467/pterm1)/(1-A467^2/pterm2))&gt;0),ATAN((A467/pterm1)/(1-A467^2/pterm2)),PI()+ATAN((A467/pterm1)/(1-A467^2/pterm2)))</f>
        <v>0.70141010400588</v>
      </c>
      <c r="Q467" s="713" t="n">
        <f aca="false">20*LOG10(((E467*K467*G467)/(C467*I467*O467*M467))*Adc)</f>
        <v>-25.0507921070279</v>
      </c>
      <c r="R467" s="714" t="n">
        <f aca="false">((F467+L467+H467)-(D467+J467+P467+N467))*radconv</f>
        <v>-199.600639535011</v>
      </c>
      <c r="S467" s="717" t="n">
        <f aca="false">IF(R467&gt;0,R467,R467+180)</f>
        <v>-19.6006395350111</v>
      </c>
      <c r="U467" s="644" t="n">
        <f aca="false">IF(Q467&lt;0,A467,1000000000)</f>
        <v>53092</v>
      </c>
      <c r="V467" s="644" t="n">
        <f aca="false">A467^2</f>
        <v>2818760464</v>
      </c>
      <c r="X467" s="716" t="n">
        <f aca="false">20*LOG10((K467/(I467*M467))*AEA)</f>
        <v>10.5187416979719</v>
      </c>
      <c r="Y467" s="717" t="n">
        <f aca="false">(L467-(J467+N467))*radconv</f>
        <v>-65.5568037818873</v>
      </c>
      <c r="AA467" s="716" t="n">
        <f aca="false">20*LOG10((E467*G467/(C467*O467))*Acs*Am)</f>
        <v>15.9110915495546</v>
      </c>
      <c r="AB467" s="717" t="n">
        <f aca="false">(F467+H467-(D467+P467))*radconv</f>
        <v>-134.043835753124</v>
      </c>
      <c r="AD467" s="0" t="n">
        <f aca="false">SUM((Q468&lt;0)*(Q467&gt;0))*A467</f>
        <v>0</v>
      </c>
      <c r="AE467" s="0" t="n">
        <f aca="false">IF(AD467&gt;0,S467,0)</f>
        <v>0</v>
      </c>
    </row>
    <row r="468" customFormat="false" ht="12.75" hidden="false" customHeight="false" outlineLevel="0" collapsed="false">
      <c r="A468" s="718" t="n">
        <v>53397.5</v>
      </c>
      <c r="B468" s="706" t="n">
        <f aca="false">A468/1000</f>
        <v>53.3975</v>
      </c>
      <c r="C468" s="707" t="n">
        <f aca="false">SQRT(1+(A468/pole1)^2)</f>
        <v>91.193660026341</v>
      </c>
      <c r="D468" s="708" t="n">
        <f aca="false">ATAN(A468/pole1)</f>
        <v>1.55983043243559</v>
      </c>
      <c r="E468" s="708" t="n">
        <f aca="false">SQRT(1+(A468/Zero1)^2)</f>
        <v>1.20426664116528</v>
      </c>
      <c r="F468" s="709" t="n">
        <f aca="false">ATAN(A468/Zero1)</f>
        <v>0.591005414794842</v>
      </c>
      <c r="G468" s="708" t="n">
        <f aca="false">IF(VIN_nom&gt;Vout, 1, SQRT(1+(A468/z_RHP)^2))</f>
        <v>1.27526776062288</v>
      </c>
      <c r="H468" s="709" t="n">
        <f aca="false">IF(VIN_nom&gt;Vout, 0, -ATAN(A468/z_RHP))</f>
        <v>-0.669472627729262</v>
      </c>
      <c r="I468" s="707" t="n">
        <f aca="false">SQRT(1+(A468/Pole2)^2)</f>
        <v>221502.749349396</v>
      </c>
      <c r="J468" s="710" t="n">
        <f aca="false">ATAN(A468/Pole2)</f>
        <v>1.57079181217825</v>
      </c>
      <c r="K468" s="719" t="n">
        <f aca="false">SQRT(1+(A468/Zero2)^2)</f>
        <v>68.5411849564185</v>
      </c>
      <c r="L468" s="720" t="n">
        <f aca="false">ATAN(A468/Zero2)</f>
        <v>1.55620604095546</v>
      </c>
      <c r="M468" s="707" t="n">
        <f aca="false">SQRT(1+(A468/pole4)^2)</f>
        <v>2.35238861730002</v>
      </c>
      <c r="N468" s="710" t="n">
        <f aca="false">ATAN(A468/pole4)</f>
        <v>1.13172415311366</v>
      </c>
      <c r="O468" s="711" t="n">
        <f aca="false">SQRT((1-(V468/pterm2))^2+(A468/pterm1)^2)</f>
        <v>1.1466707770402</v>
      </c>
      <c r="P468" s="712" t="n">
        <f aca="false">IF((ATAN((A468/pterm1)/(1-A468^2/pterm2))&gt;0),ATAN((A468/pterm1)/(1-A468^2/pterm2)),PI()+ATAN((A468/pterm1)/(1-A468^2/pterm2)))</f>
        <v>0.705056308885308</v>
      </c>
      <c r="Q468" s="713" t="n">
        <f aca="false">20*LOG10(((E468*K468*G468)/(C468*I468*O468*M468))*Adc)</f>
        <v>-25.1193671646572</v>
      </c>
      <c r="R468" s="714" t="n">
        <f aca="false">((F468+L468+H468)-(D468+J468+P468+N468))*radconv</f>
        <v>-199.943012391029</v>
      </c>
      <c r="S468" s="717" t="n">
        <f aca="false">IF(R468&gt;0,R468,R468+180)</f>
        <v>-19.9430123910294</v>
      </c>
      <c r="U468" s="644" t="n">
        <f aca="false">IF(Q468&lt;0,A468,1000000000)</f>
        <v>53397.5</v>
      </c>
      <c r="V468" s="644" t="n">
        <f aca="false">A468^2</f>
        <v>2851293006.25</v>
      </c>
      <c r="X468" s="716" t="n">
        <f aca="false">20*LOG10((K468/(I468*M468))*AEA)</f>
        <v>10.4779426903955</v>
      </c>
      <c r="Y468" s="717" t="n">
        <f aca="false">(L468-(J468+N468))*radconv</f>
        <v>-65.678720753488</v>
      </c>
      <c r="AA468" s="716" t="n">
        <f aca="false">20*LOG10((E468*G468/(C468*O468))*Acs*Am)</f>
        <v>15.8833154995017</v>
      </c>
      <c r="AB468" s="717" t="n">
        <f aca="false">(F468+H468-(D468+P468))*radconv</f>
        <v>-134.264291637541</v>
      </c>
      <c r="AD468" s="0" t="n">
        <f aca="false">SUM((Q469&lt;0)*(Q468&gt;0))*A468</f>
        <v>0</v>
      </c>
      <c r="AE468" s="0" t="n">
        <f aca="false">IF(AD468&gt;0,S468,0)</f>
        <v>0</v>
      </c>
    </row>
    <row r="469" customFormat="false" ht="12.75" hidden="false" customHeight="false" outlineLevel="0" collapsed="false">
      <c r="A469" s="718" t="n">
        <v>53703</v>
      </c>
      <c r="B469" s="706" t="n">
        <f aca="false">A469/1000</f>
        <v>53.703</v>
      </c>
      <c r="C469" s="707" t="n">
        <f aca="false">SQRT(1+(A469/pole1)^2)</f>
        <v>91.7153384317331</v>
      </c>
      <c r="D469" s="708" t="n">
        <f aca="false">ATAN(A469/pole1)</f>
        <v>1.55989280910828</v>
      </c>
      <c r="E469" s="708" t="n">
        <f aca="false">SQRT(1+(A469/Zero1)^2)</f>
        <v>1.20640994376334</v>
      </c>
      <c r="F469" s="709" t="n">
        <f aca="false">ATAN(A469/Zero1)</f>
        <v>0.593647848005336</v>
      </c>
      <c r="G469" s="708" t="n">
        <f aca="false">IF(VIN_nom&gt;Vout, 1, SQRT(1+(A469/z_RHP)^2))</f>
        <v>1.27808250093342</v>
      </c>
      <c r="H469" s="709" t="n">
        <f aca="false">IF(VIN_nom&gt;Vout, 0, -ATAN(A469/z_RHP))</f>
        <v>-0.67225057828069</v>
      </c>
      <c r="I469" s="707" t="n">
        <f aca="false">SQRT(1+(A469/Pole2)^2)</f>
        <v>222770.020100365</v>
      </c>
      <c r="J469" s="710" t="n">
        <f aca="false">ATAN(A469/Pole2)</f>
        <v>1.57079183786053</v>
      </c>
      <c r="K469" s="719" t="n">
        <f aca="false">SQRT(1+(A469/Zero2)^2)</f>
        <v>68.9332424030232</v>
      </c>
      <c r="L469" s="720" t="n">
        <f aca="false">ATAN(A469/Zero2)</f>
        <v>1.55628902896662</v>
      </c>
      <c r="M469" s="707" t="n">
        <f aca="false">SQRT(1+(A469/pole4)^2)</f>
        <v>2.36342077560557</v>
      </c>
      <c r="N469" s="710" t="n">
        <f aca="false">ATAN(A469/pole4)</f>
        <v>1.13391528466023</v>
      </c>
      <c r="O469" s="711" t="n">
        <f aca="false">SQRT((1-(V469/pterm2))^2+(A469/pterm1)^2)</f>
        <v>1.14832629608218</v>
      </c>
      <c r="P469" s="712" t="n">
        <f aca="false">IF((ATAN((A469/pterm1)/(1-A469^2/pterm2))&gt;0),ATAN((A469/pterm1)/(1-A469^2/pterm2)),PI()+ATAN((A469/pterm1)/(1-A469^2/pterm2)))</f>
        <v>0.708696710691461</v>
      </c>
      <c r="Q469" s="713" t="n">
        <f aca="false">20*LOG10(((E469*K469*G469)/(C469*I469*O469*M469))*Adc)</f>
        <v>-25.1874998879618</v>
      </c>
      <c r="R469" s="714" t="n">
        <f aca="false">((F469+L469+H469)-(D469+J469+P469+N469))*radconv</f>
        <v>-200.283719741088</v>
      </c>
      <c r="S469" s="717" t="n">
        <f aca="false">IF(R469&gt;0,R469,R469+180)</f>
        <v>-20.2837197410878</v>
      </c>
      <c r="U469" s="644" t="n">
        <f aca="false">IF(Q469&lt;0,A469,1000000000)</f>
        <v>53703</v>
      </c>
      <c r="V469" s="644" t="n">
        <f aca="false">A469^2</f>
        <v>2884012209</v>
      </c>
      <c r="X469" s="716" t="n">
        <f aca="false">20*LOG10((K469/(I469*M469))*AEA)</f>
        <v>10.4372926107476</v>
      </c>
      <c r="Y469" s="717" t="n">
        <f aca="false">(L469-(J469+N469))*radconv</f>
        <v>-65.799509952299</v>
      </c>
      <c r="AA469" s="716" t="n">
        <f aca="false">20*LOG10((E469*G469/(C469*O469))*Acs*Am)</f>
        <v>15.8558328558449</v>
      </c>
      <c r="AB469" s="717" t="n">
        <f aca="false">(F469+H469-(D469+P469))*radconv</f>
        <v>-134.484209788789</v>
      </c>
      <c r="AD469" s="0" t="n">
        <f aca="false">SUM((Q470&lt;0)*(Q469&gt;0))*A469</f>
        <v>0</v>
      </c>
      <c r="AE469" s="0" t="n">
        <f aca="false">IF(AD469&gt;0,S469,0)</f>
        <v>0</v>
      </c>
    </row>
    <row r="470" customFormat="false" ht="12.75" hidden="false" customHeight="false" outlineLevel="0" collapsed="false">
      <c r="A470" s="718" t="n">
        <v>54015.75</v>
      </c>
      <c r="B470" s="706" t="n">
        <f aca="false">A470/1000</f>
        <v>54.01575</v>
      </c>
      <c r="C470" s="707" t="n">
        <f aca="false">SQRT(1+(A470/pole1)^2)</f>
        <v>92.2493974593052</v>
      </c>
      <c r="D470" s="708" t="n">
        <f aca="false">ATAN(A470/pole1)</f>
        <v>1.55995593527482</v>
      </c>
      <c r="E470" s="708" t="n">
        <f aca="false">SQRT(1+(A470/Zero1)^2)</f>
        <v>1.20861280491732</v>
      </c>
      <c r="F470" s="709" t="n">
        <f aca="false">ATAN(A470/Zero1)</f>
        <v>0.596343262803782</v>
      </c>
      <c r="G470" s="708" t="n">
        <f aca="false">IF(VIN_nom&gt;Vout, 1, SQRT(1+(A470/z_RHP)^2))</f>
        <v>1.28097421086813</v>
      </c>
      <c r="H470" s="709" t="n">
        <f aca="false">IF(VIN_nom&gt;Vout, 0, -ATAN(A470/z_RHP))</f>
        <v>-0.675081785326983</v>
      </c>
      <c r="I470" s="707" t="n">
        <f aca="false">SQRT(1+(A470/Pole2)^2)</f>
        <v>224067.365198125</v>
      </c>
      <c r="J470" s="710" t="n">
        <f aca="false">ATAN(A470/Pole2)</f>
        <v>1.57079186385136</v>
      </c>
      <c r="K470" s="719" t="n">
        <f aca="false">SQRT(1+(A470/Zero2)^2)</f>
        <v>69.3346044814007</v>
      </c>
      <c r="L470" s="720" t="n">
        <f aca="false">ATAN(A470/Zero2)</f>
        <v>1.55637301421798</v>
      </c>
      <c r="M470" s="707" t="n">
        <f aca="false">SQRT(1+(A470/pole4)^2)</f>
        <v>2.37472638803672</v>
      </c>
      <c r="N470" s="710" t="n">
        <f aca="false">ATAN(A470/pole4)</f>
        <v>1.13613731536756</v>
      </c>
      <c r="O470" s="711" t="n">
        <f aca="false">SQRT((1-(V470/pterm2))^2+(A470/pterm1)^2)</f>
        <v>1.15003031783821</v>
      </c>
      <c r="P470" s="712" t="n">
        <f aca="false">IF((ATAN((A470/pterm1)/(1-A470^2/pterm2))&gt;0),ATAN((A470/pterm1)/(1-A470^2/pterm2)),PI()+ATAN((A470/pterm1)/(1-A470^2/pterm2)))</f>
        <v>0.712417481923536</v>
      </c>
      <c r="Q470" s="713" t="n">
        <f aca="false">20*LOG10(((E470*K470*G470)/(C470*I470*O470*M470))*Adc)</f>
        <v>-25.2567963087523</v>
      </c>
      <c r="R470" s="714" t="n">
        <f aca="false">((F470+L470+H470)-(D470+J470+P470+N470))*radconv</f>
        <v>-200.630803885427</v>
      </c>
      <c r="S470" s="717" t="n">
        <f aca="false">IF(R470&gt;0,R470,R470+180)</f>
        <v>-20.6308038854272</v>
      </c>
      <c r="U470" s="644" t="n">
        <f aca="false">IF(Q470&lt;0,A470,1000000000)</f>
        <v>54015.75</v>
      </c>
      <c r="V470" s="644" t="n">
        <f aca="false">A470^2</f>
        <v>2917701248.0625</v>
      </c>
      <c r="X470" s="716" t="n">
        <f aca="false">20*LOG10((K470/(I470*M470))*AEA)</f>
        <v>10.3958314717714</v>
      </c>
      <c r="Y470" s="717" t="n">
        <f aca="false">(L470-(J470+N470))*radconv</f>
        <v>-65.9220124226383</v>
      </c>
      <c r="AA470" s="716" t="n">
        <f aca="false">20*LOG10((E470*G470/(C470*O470))*Acs*Am)</f>
        <v>15.8279975740307</v>
      </c>
      <c r="AB470" s="717" t="n">
        <f aca="false">(F470+H470-(D470+P470))*radconv</f>
        <v>-134.708791462789</v>
      </c>
      <c r="AD470" s="0" t="n">
        <f aca="false">SUM((Q471&lt;0)*(Q470&gt;0))*A470</f>
        <v>0</v>
      </c>
      <c r="AE470" s="0" t="n">
        <f aca="false">IF(AD470&gt;0,S470,0)</f>
        <v>0</v>
      </c>
    </row>
    <row r="471" customFormat="false" ht="12.75" hidden="false" customHeight="false" outlineLevel="0" collapsed="false">
      <c r="A471" s="718" t="n">
        <v>54328.5</v>
      </c>
      <c r="B471" s="706" t="n">
        <f aca="false">A471/1000</f>
        <v>54.3285</v>
      </c>
      <c r="C471" s="707" t="n">
        <f aca="false">SQRT(1+(A471/pole1)^2)</f>
        <v>92.7834568502513</v>
      </c>
      <c r="D471" s="708" t="n">
        <f aca="false">ATAN(A471/pole1)</f>
        <v>1.56001833473616</v>
      </c>
      <c r="E471" s="708" t="n">
        <f aca="false">SQRT(1+(A471/Zero1)^2)</f>
        <v>1.2108244149713</v>
      </c>
      <c r="F471" s="709" t="n">
        <f aca="false">ATAN(A471/Zero1)</f>
        <v>0.599028850529424</v>
      </c>
      <c r="G471" s="708" t="n">
        <f aca="false">IF(VIN_nom&gt;Vout, 1, SQRT(1+(A471/z_RHP)^2))</f>
        <v>1.28387614244906</v>
      </c>
      <c r="H471" s="709" t="n">
        <f aca="false">IF(VIN_nom&gt;Vout, 0, -ATAN(A471/z_RHP))</f>
        <v>-0.677900216185861</v>
      </c>
      <c r="I471" s="707" t="n">
        <f aca="false">SQRT(1+(A471/Pole2)^2)</f>
        <v>225364.710295885</v>
      </c>
      <c r="J471" s="710" t="n">
        <f aca="false">ATAN(A471/Pole2)</f>
        <v>1.57079188954295</v>
      </c>
      <c r="K471" s="719" t="n">
        <f aca="false">SQRT(1+(A471/Zero2)^2)</f>
        <v>69.735967043202</v>
      </c>
      <c r="L471" s="720" t="n">
        <f aca="false">ATAN(A471/Zero2)</f>
        <v>1.55645603272242</v>
      </c>
      <c r="M471" s="707" t="n">
        <f aca="false">SQRT(1+(A471/pole4)^2)</f>
        <v>2.38604361434535</v>
      </c>
      <c r="N471" s="710" t="n">
        <f aca="false">ATAN(A471/pole4)</f>
        <v>1.13833827826053</v>
      </c>
      <c r="O471" s="711" t="n">
        <f aca="false">SQRT((1-(V471/pterm2))^2+(A471/pterm1)^2)</f>
        <v>1.15174365485713</v>
      </c>
      <c r="P471" s="712" t="n">
        <f aca="false">IF((ATAN((A471/pterm1)/(1-A471^2/pterm2))&gt;0),ATAN((A471/pterm1)/(1-A471^2/pterm2)),PI()+ATAN((A471/pterm1)/(1-A471^2/pterm2)))</f>
        <v>0.71613214765624</v>
      </c>
      <c r="Q471" s="713" t="n">
        <f aca="false">20*LOG10(((E471*K471*G471)/(C471*I471*O471*M471))*Adc)</f>
        <v>-25.3256392542288</v>
      </c>
      <c r="R471" s="714" t="n">
        <f aca="false">((F471+L471+H471)-(D471+J471+P471+N471))*radconv</f>
        <v>-200.976175877983</v>
      </c>
      <c r="S471" s="717" t="n">
        <f aca="false">IF(R471&gt;0,R471,R471+180)</f>
        <v>-20.9761758779833</v>
      </c>
      <c r="U471" s="644" t="n">
        <f aca="false">IF(Q471&lt;0,A471,1000000000)</f>
        <v>54328.5</v>
      </c>
      <c r="V471" s="644" t="n">
        <f aca="false">A471^2</f>
        <v>2951585912.25</v>
      </c>
      <c r="X471" s="716" t="n">
        <f aca="false">20*LOG10((K471/(I471*M471))*AEA)</f>
        <v>10.35452510684</v>
      </c>
      <c r="Y471" s="717" t="n">
        <f aca="false">(L471-(J471+N471))*radconv</f>
        <v>-66.0433631695026</v>
      </c>
      <c r="AA471" s="716" t="n">
        <f aca="false">20*LOG10((E471*G471/(C471*O471))*Acs*Am)</f>
        <v>15.8004609934856</v>
      </c>
      <c r="AB471" s="717" t="n">
        <f aca="false">(F471+H471-(D471+P471))*radconv</f>
        <v>-134.932812708481</v>
      </c>
      <c r="AD471" s="0" t="n">
        <f aca="false">SUM((Q472&lt;0)*(Q471&gt;0))*A471</f>
        <v>0</v>
      </c>
      <c r="AE471" s="0" t="n">
        <f aca="false">IF(AD471&gt;0,S471,0)</f>
        <v>0</v>
      </c>
    </row>
    <row r="472" customFormat="false" ht="12.75" hidden="false" customHeight="false" outlineLevel="0" collapsed="false">
      <c r="A472" s="718" t="n">
        <v>54641.25</v>
      </c>
      <c r="B472" s="706" t="n">
        <f aca="false">A472/1000</f>
        <v>54.64125</v>
      </c>
      <c r="C472" s="707" t="n">
        <f aca="false">SQRT(1+(A472/pole1)^2)</f>
        <v>93.3175165983325</v>
      </c>
      <c r="D472" s="708" t="n">
        <f aca="false">ATAN(A472/pole1)</f>
        <v>1.56008001996868</v>
      </c>
      <c r="E472" s="708" t="n">
        <f aca="false">SQRT(1+(A472/Zero1)^2)</f>
        <v>1.21304472607259</v>
      </c>
      <c r="F472" s="709" t="n">
        <f aca="false">ATAN(A472/Zero1)</f>
        <v>0.601704626299036</v>
      </c>
      <c r="G472" s="708" t="n">
        <f aca="false">IF(VIN_nom&gt;Vout, 1, SQRT(1+(A472/z_RHP)^2))</f>
        <v>1.28678822652146</v>
      </c>
      <c r="H472" s="709" t="n">
        <f aca="false">IF(VIN_nom&gt;Vout, 0, -ATAN(A472/z_RHP))</f>
        <v>-0.680705912669424</v>
      </c>
      <c r="I472" s="707" t="n">
        <f aca="false">SQRT(1+(A472/Pole2)^2)</f>
        <v>226662.055393645</v>
      </c>
      <c r="J472" s="710" t="n">
        <f aca="false">ATAN(A472/Pole2)</f>
        <v>1.57079191494044</v>
      </c>
      <c r="K472" s="719" t="n">
        <f aca="false">SQRT(1+(A472/Zero2)^2)</f>
        <v>70.1373300801278</v>
      </c>
      <c r="L472" s="720" t="n">
        <f aca="false">ATAN(A472/Zero2)</f>
        <v>1.55653810107552</v>
      </c>
      <c r="M472" s="707" t="n">
        <f aca="false">SQRT(1+(A472/pole4)^2)</f>
        <v>2.39737229005528</v>
      </c>
      <c r="N472" s="710" t="n">
        <f aca="false">ATAN(A472/pole4)</f>
        <v>1.14051845052804</v>
      </c>
      <c r="O472" s="711" t="n">
        <f aca="false">SQRT((1-(V472/pterm2))^2+(A472/pterm1)^2)</f>
        <v>1.15346629968365</v>
      </c>
      <c r="P472" s="712" t="n">
        <f aca="false">IF((ATAN((A472/pterm1)/(1-A472^2/pterm2))&gt;0),ATAN((A472/pterm1)/(1-A472^2/pterm2)),PI()+ATAN((A472/pterm1)/(1-A472^2/pterm2)))</f>
        <v>0.719840696277945</v>
      </c>
      <c r="Q472" s="713" t="n">
        <f aca="false">20*LOG10(((E472*K472*G472)/(C472*I472*O472*M472))*Adc)</f>
        <v>-25.394033739446</v>
      </c>
      <c r="R472" s="714" t="n">
        <f aca="false">((F472+L472+H472)-(D472+J472+P472+N472))*radconv</f>
        <v>-201.319852229026</v>
      </c>
      <c r="S472" s="717" t="n">
        <f aca="false">IF(R472&gt;0,R472,R472+180)</f>
        <v>-21.3198522290263</v>
      </c>
      <c r="U472" s="644" t="n">
        <f aca="false">IF(Q472&lt;0,A472,1000000000)</f>
        <v>54641.25</v>
      </c>
      <c r="V472" s="644" t="n">
        <f aca="false">A472^2</f>
        <v>2985666201.5625</v>
      </c>
      <c r="X472" s="716" t="n">
        <f aca="false">20*LOG10((K472/(I472*M472))*AEA)</f>
        <v>10.3133728452224</v>
      </c>
      <c r="Y472" s="717" t="n">
        <f aca="false">(L472-(J472+N472))*radconv</f>
        <v>-66.1635771240847</v>
      </c>
      <c r="AA472" s="716" t="n">
        <f aca="false">20*LOG10((E472*G472/(C472*O472))*Acs*Am)</f>
        <v>15.773218769886</v>
      </c>
      <c r="AB472" s="717" t="n">
        <f aca="false">(F472+H472-(D472+P472))*radconv</f>
        <v>-135.156275104942</v>
      </c>
      <c r="AD472" s="0" t="n">
        <f aca="false">SUM((Q473&lt;0)*(Q472&gt;0))*A472</f>
        <v>0</v>
      </c>
      <c r="AE472" s="0" t="n">
        <f aca="false">IF(AD472&gt;0,S472,0)</f>
        <v>0</v>
      </c>
    </row>
    <row r="473" customFormat="false" ht="12.75" hidden="false" customHeight="false" outlineLevel="0" collapsed="false">
      <c r="A473" s="718" t="n">
        <v>54954</v>
      </c>
      <c r="B473" s="706" t="n">
        <f aca="false">A473/1000</f>
        <v>54.954</v>
      </c>
      <c r="C473" s="707" t="n">
        <f aca="false">SQRT(1+(A473/pole1)^2)</f>
        <v>93.851576697452</v>
      </c>
      <c r="D473" s="708" t="n">
        <f aca="false">ATAN(A473/pole1)</f>
        <v>1.56014100316482</v>
      </c>
      <c r="E473" s="708" t="n">
        <f aca="false">SQRT(1+(A473/Zero1)^2)</f>
        <v>1.21527369053061</v>
      </c>
      <c r="F473" s="709" t="n">
        <f aca="false">ATAN(A473/Zero1)</f>
        <v>0.604370605681148</v>
      </c>
      <c r="G473" s="708" t="n">
        <f aca="false">IF(VIN_nom&gt;Vout, 1, SQRT(1+(A473/z_RHP)^2))</f>
        <v>1.28971039431427</v>
      </c>
      <c r="H473" s="709" t="n">
        <f aca="false">IF(VIN_nom&gt;Vout, 0, -ATAN(A473/z_RHP))</f>
        <v>-0.683498917014756</v>
      </c>
      <c r="I473" s="707" t="n">
        <f aca="false">SQRT(1+(A473/Pole2)^2)</f>
        <v>227959.400491405</v>
      </c>
      <c r="J473" s="710" t="n">
        <f aca="false">ATAN(A473/Pole2)</f>
        <v>1.57079194004885</v>
      </c>
      <c r="K473" s="719" t="n">
        <f aca="false">SQRT(1+(A473/Zero2)^2)</f>
        <v>70.5386935840678</v>
      </c>
      <c r="L473" s="720" t="n">
        <f aca="false">ATAN(A473/Zero2)</f>
        <v>1.55661923549517</v>
      </c>
      <c r="M473" s="707" t="n">
        <f aca="false">SQRT(1+(A473/pole4)^2)</f>
        <v>2.40871225361977</v>
      </c>
      <c r="N473" s="710" t="n">
        <f aca="false">ATAN(A473/pole4)</f>
        <v>1.14267810493759</v>
      </c>
      <c r="O473" s="711" t="n">
        <f aca="false">SQRT((1-(V473/pterm2))^2+(A473/pterm1)^2)</f>
        <v>1.15519824487815</v>
      </c>
      <c r="P473" s="712" t="n">
        <f aca="false">IF((ATAN((A473/pterm1)/(1-A473^2/pterm2))&gt;0),ATAN((A473/pterm1)/(1-A473^2/pterm2)),PI()+ATAN((A473/pterm1)/(1-A473^2/pterm2)))</f>
        <v>0.723543116437601</v>
      </c>
      <c r="Q473" s="713" t="n">
        <f aca="false">20*LOG10(((E473*K473*G473)/(C473*I473*O473*M473))*Adc)</f>
        <v>-25.4619847164006</v>
      </c>
      <c r="R473" s="714" t="n">
        <f aca="false">((F473+L473+H473)-(D473+J473+P473+N473))*radconv</f>
        <v>-201.661849214256</v>
      </c>
      <c r="S473" s="717" t="n">
        <f aca="false">IF(R473&gt;0,R473,R473+180)</f>
        <v>-21.6618492142558</v>
      </c>
      <c r="U473" s="644" t="n">
        <f aca="false">IF(Q473&lt;0,A473,1000000000)</f>
        <v>54954</v>
      </c>
      <c r="V473" s="644" t="n">
        <f aca="false">A473^2</f>
        <v>3019942116</v>
      </c>
      <c r="X473" s="716" t="n">
        <f aca="false">20*LOG10((K473/(I473*M473))*AEA)</f>
        <v>10.2723740101429</v>
      </c>
      <c r="Y473" s="717" t="n">
        <f aca="false">(L473-(J473+N473))*radconv</f>
        <v>-66.2826689858817</v>
      </c>
      <c r="AA473" s="716" t="n">
        <f aca="false">20*LOG10((E473*G473/(C473*O473))*Acs*Am)</f>
        <v>15.7462666280109</v>
      </c>
      <c r="AB473" s="717" t="n">
        <f aca="false">(F473+H473-(D473+P473))*radconv</f>
        <v>-135.379180228374</v>
      </c>
      <c r="AD473" s="0" t="n">
        <f aca="false">SUM((Q474&lt;0)*(Q473&gt;0))*A473</f>
        <v>0</v>
      </c>
      <c r="AE473" s="0" t="n">
        <f aca="false">IF(AD473&gt;0,S473,0)</f>
        <v>0</v>
      </c>
    </row>
    <row r="474" customFormat="false" ht="12.75" hidden="false" customHeight="false" outlineLevel="0" collapsed="false">
      <c r="A474" s="718" t="n">
        <v>55274</v>
      </c>
      <c r="B474" s="706" t="n">
        <f aca="false">A474/1000</f>
        <v>55.274</v>
      </c>
      <c r="C474" s="707" t="n">
        <f aca="false">SQRT(1+(A474/pole1)^2)</f>
        <v>94.3980174437636</v>
      </c>
      <c r="D474" s="708" t="n">
        <f aca="false">ATAN(A474/pole1)</f>
        <v>1.56020268583156</v>
      </c>
      <c r="E474" s="708" t="n">
        <f aca="false">SQRT(1+(A474/Zero1)^2)</f>
        <v>1.21756323263445</v>
      </c>
      <c r="F474" s="709" t="n">
        <f aca="false">ATAN(A474/Zero1)</f>
        <v>0.607088263385962</v>
      </c>
      <c r="G474" s="708" t="n">
        <f aca="false">IF(VIN_nom&gt;Vout, 1, SQRT(1+(A474/z_RHP)^2))</f>
        <v>1.29271066794341</v>
      </c>
      <c r="H474" s="709" t="n">
        <f aca="false">IF(VIN_nom&gt;Vout, 0, -ATAN(A474/z_RHP))</f>
        <v>-0.686343574868179</v>
      </c>
      <c r="I474" s="707" t="n">
        <f aca="false">SQRT(1+(A474/Pole2)^2)</f>
        <v>229286.819935956</v>
      </c>
      <c r="J474" s="710" t="n">
        <f aca="false">ATAN(A474/Pole2)</f>
        <v>1.57079196544521</v>
      </c>
      <c r="K474" s="719" t="n">
        <f aca="false">SQRT(1+(A474/Zero2)^2)</f>
        <v>70.9493617530592</v>
      </c>
      <c r="L474" s="720" t="n">
        <f aca="false">ATAN(A474/Zero2)</f>
        <v>1.55670130060036</v>
      </c>
      <c r="M474" s="707" t="n">
        <f aca="false">SQRT(1+(A474/pole4)^2)</f>
        <v>2.4203266119377</v>
      </c>
      <c r="N474" s="710" t="n">
        <f aca="false">ATAN(A474/pole4)</f>
        <v>1.14486686640658</v>
      </c>
      <c r="O474" s="711" t="n">
        <f aca="false">SQRT((1-(V474/pterm2))^2+(A474/pterm1)^2)</f>
        <v>1.1569799576001</v>
      </c>
      <c r="P474" s="712" t="n">
        <f aca="false">IF((ATAN((A474/pterm1)/(1-A474^2/pterm2))&gt;0),ATAN((A474/pterm1)/(1-A474^2/pterm2)),PI()+ATAN((A474/pterm1)/(1-A474^2/pterm2)))</f>
        <v>0.72732500930645</v>
      </c>
      <c r="Q474" s="713" t="n">
        <f aca="false">20*LOG10(((E474*K474*G474)/(C474*I474*O474*M474))*Adc)</f>
        <v>-25.5310569465946</v>
      </c>
      <c r="R474" s="714" t="n">
        <f aca="false">((F474+L474+H474)-(D474+J474+P474+N474))*radconv</f>
        <v>-202.010052709061</v>
      </c>
      <c r="S474" s="717" t="n">
        <f aca="false">IF(R474&gt;0,R474,R474+180)</f>
        <v>-22.0100527090611</v>
      </c>
      <c r="U474" s="644" t="n">
        <f aca="false">IF(Q474&lt;0,A474,1000000000)</f>
        <v>55274</v>
      </c>
      <c r="V474" s="644" t="n">
        <f aca="false">A474^2</f>
        <v>3055215076</v>
      </c>
      <c r="X474" s="716" t="n">
        <f aca="false">20*LOG10((K474/(I474*M474))*AEA)</f>
        <v>10.230582853377</v>
      </c>
      <c r="Y474" s="717" t="n">
        <f aca="false">(L474-(J474+N474))*radconv</f>
        <v>-66.4033752514851</v>
      </c>
      <c r="AA474" s="716" t="n">
        <f aca="false">20*LOG10((E474*G474/(C474*O474))*Acs*Am)</f>
        <v>15.7189855545828</v>
      </c>
      <c r="AB474" s="717" t="n">
        <f aca="false">(F474+H474-(D474+P474))*radconv</f>
        <v>-135.606677457576</v>
      </c>
      <c r="AD474" s="0" t="n">
        <f aca="false">SUM((Q475&lt;0)*(Q474&gt;0))*A474</f>
        <v>0</v>
      </c>
      <c r="AE474" s="0" t="n">
        <f aca="false">IF(AD474&gt;0,S474,0)</f>
        <v>0</v>
      </c>
    </row>
    <row r="475" customFormat="false" ht="12.75" hidden="false" customHeight="false" outlineLevel="0" collapsed="false">
      <c r="A475" s="718" t="n">
        <v>55594</v>
      </c>
      <c r="B475" s="706" t="n">
        <f aca="false">A475/1000</f>
        <v>55.594</v>
      </c>
      <c r="C475" s="707" t="n">
        <f aca="false">SQRT(1+(A475/pole1)^2)</f>
        <v>94.9444585451021</v>
      </c>
      <c r="D475" s="708" t="n">
        <f aca="false">ATAN(A475/pole1)</f>
        <v>1.5602636584846</v>
      </c>
      <c r="E475" s="708" t="n">
        <f aca="false">SQRT(1+(A475/Zero1)^2)</f>
        <v>1.21986173345598</v>
      </c>
      <c r="F475" s="709" t="n">
        <f aca="false">ATAN(A475/Zero1)</f>
        <v>0.609795699636666</v>
      </c>
      <c r="G475" s="708" t="n">
        <f aca="false">IF(VIN_nom&gt;Vout, 1, SQRT(1+(A475/z_RHP)^2))</f>
        <v>1.29572135379517</v>
      </c>
      <c r="H475" s="709" t="n">
        <f aca="false">IF(VIN_nom&gt;Vout, 0, -ATAN(A475/z_RHP))</f>
        <v>-0.6891750360811</v>
      </c>
      <c r="I475" s="707" t="n">
        <f aca="false">SQRT(1+(A475/Pole2)^2)</f>
        <v>230614.239380507</v>
      </c>
      <c r="J475" s="710" t="n">
        <f aca="false">ATAN(A475/Pole2)</f>
        <v>1.57079199054921</v>
      </c>
      <c r="K475" s="719" t="n">
        <f aca="false">SQRT(1+(A475/Zero2)^2)</f>
        <v>71.3600303943723</v>
      </c>
      <c r="L475" s="720" t="n">
        <f aca="false">ATAN(A475/Zero2)</f>
        <v>1.55678242115591</v>
      </c>
      <c r="M475" s="707" t="n">
        <f aca="false">SQRT(1+(A475/pole4)^2)</f>
        <v>2.43195245447658</v>
      </c>
      <c r="N475" s="710" t="n">
        <f aca="false">ATAN(A475/pole4)</f>
        <v>1.14703471162117</v>
      </c>
      <c r="O475" s="711" t="n">
        <f aca="false">SQRT((1-(V475/pterm2))^2+(A475/pterm1)^2)</f>
        <v>1.1587713911747</v>
      </c>
      <c r="P475" s="712" t="n">
        <f aca="false">IF((ATAN((A475/pterm1)/(1-A475^2/pterm2))&gt;0),ATAN((A475/pterm1)/(1-A475^2/pterm2)),PI()+ATAN((A475/pterm1)/(1-A475^2/pterm2)))</f>
        <v>0.731100463073101</v>
      </c>
      <c r="Q475" s="713" t="n">
        <f aca="false">20*LOG10(((E475*K475*G475)/(C475*I475*O475*M475))*Adc)</f>
        <v>-25.5996751582211</v>
      </c>
      <c r="R475" s="714" t="n">
        <f aca="false">((F475+L475+H475)-(D475+J475+P475+N475))*radconv</f>
        <v>-202.356531812929</v>
      </c>
      <c r="S475" s="717" t="n">
        <f aca="false">IF(R475&gt;0,R475,R475+180)</f>
        <v>-22.3565318129293</v>
      </c>
      <c r="U475" s="644" t="n">
        <f aca="false">IF(Q475&lt;0,A475,1000000000)</f>
        <v>55594</v>
      </c>
      <c r="V475" s="644" t="n">
        <f aca="false">A475^2</f>
        <v>3090692836</v>
      </c>
      <c r="X475" s="716" t="n">
        <f aca="false">20*LOG10((K475/(I475*M475))*AEA)</f>
        <v>10.1889508679404</v>
      </c>
      <c r="Y475" s="717" t="n">
        <f aca="false">(L475-(J475+N475))*radconv</f>
        <v>-66.5229372059441</v>
      </c>
      <c r="AA475" s="716" t="n">
        <f aca="false">20*LOG10((E475*G475/(C475*O475))*Acs*Am)</f>
        <v>15.6919993283929</v>
      </c>
      <c r="AB475" s="717" t="n">
        <f aca="false">(F475+H475-(D475+P475))*radconv</f>
        <v>-135.833594606985</v>
      </c>
      <c r="AD475" s="0" t="n">
        <f aca="false">SUM((Q476&lt;0)*(Q475&gt;0))*A475</f>
        <v>0</v>
      </c>
      <c r="AE475" s="0" t="n">
        <f aca="false">IF(AD475&gt;0,S475,0)</f>
        <v>0</v>
      </c>
    </row>
    <row r="476" customFormat="false" ht="12.75" hidden="false" customHeight="false" outlineLevel="0" collapsed="false">
      <c r="A476" s="718" t="n">
        <v>55914</v>
      </c>
      <c r="B476" s="706" t="n">
        <f aca="false">A476/1000</f>
        <v>55.914</v>
      </c>
      <c r="C476" s="707" t="n">
        <f aca="false">SQRT(1+(A476/pole1)^2)</f>
        <v>95.4908999953724</v>
      </c>
      <c r="D476" s="708" t="n">
        <f aca="false">ATAN(A476/pole1)</f>
        <v>1.56032393331252</v>
      </c>
      <c r="E476" s="708" t="n">
        <f aca="false">SQRT(1+(A476/Zero1)^2)</f>
        <v>1.22216914244995</v>
      </c>
      <c r="F476" s="709" t="n">
        <f aca="false">ATAN(A476/Zero1)</f>
        <v>0.612492932522658</v>
      </c>
      <c r="G476" s="708" t="n">
        <f aca="false">IF(VIN_nom&gt;Vout, 1, SQRT(1+(A476/z_RHP)^2))</f>
        <v>1.29874237945813</v>
      </c>
      <c r="H476" s="709" t="n">
        <f aca="false">IF(VIN_nom&gt;Vout, 0, -ATAN(A476/z_RHP))</f>
        <v>-0.691993347186043</v>
      </c>
      <c r="I476" s="707" t="n">
        <f aca="false">SQRT(1+(A476/Pole2)^2)</f>
        <v>231941.658825058</v>
      </c>
      <c r="J476" s="710" t="n">
        <f aca="false">ATAN(A476/Pole2)</f>
        <v>1.57079201536587</v>
      </c>
      <c r="K476" s="719" t="n">
        <f aca="false">SQRT(1+(A476/Zero2)^2)</f>
        <v>71.7706994998994</v>
      </c>
      <c r="L476" s="720" t="n">
        <f aca="false">ATAN(A476/Zero2)</f>
        <v>1.55686261337476</v>
      </c>
      <c r="M476" s="707" t="n">
        <f aca="false">SQRT(1+(A476/pole4)^2)</f>
        <v>2.44358961732131</v>
      </c>
      <c r="N476" s="710" t="n">
        <f aca="false">ATAN(A476/pole4)</f>
        <v>1.14918191888886</v>
      </c>
      <c r="O476" s="711" t="n">
        <f aca="false">SQRT((1-(V476/pterm2))^2+(A476/pterm1)^2)</f>
        <v>1.16057253768695</v>
      </c>
      <c r="P476" s="712" t="n">
        <f aca="false">IF((ATAN((A476/pterm1)/(1-A476^2/pterm2))&gt;0),ATAN((A476/pterm1)/(1-A476^2/pterm2)),PI()+ATAN((A476/pterm1)/(1-A476^2/pterm2)))</f>
        <v>0.734869466415735</v>
      </c>
      <c r="Q476" s="713" t="n">
        <f aca="false">20*LOG10(((E476*K476*G476)/(C476*I476*O476*M476))*Adc)</f>
        <v>-25.6678444565228</v>
      </c>
      <c r="R476" s="714" t="n">
        <f aca="false">((F476+L476+H476)-(D476+J476+P476+N476))*radconv</f>
        <v>-202.701303222393</v>
      </c>
      <c r="S476" s="717" t="n">
        <f aca="false">IF(R476&gt;0,R476,R476+180)</f>
        <v>-22.7013032223927</v>
      </c>
      <c r="U476" s="644" t="n">
        <f aca="false">IF(Q476&lt;0,A476,1000000000)</f>
        <v>55914</v>
      </c>
      <c r="V476" s="644" t="n">
        <f aca="false">A476^2</f>
        <v>3126375396</v>
      </c>
      <c r="X476" s="716" t="n">
        <f aca="false">20*LOG10((K476/(I476*M476))*AEA)</f>
        <v>10.1474773120572</v>
      </c>
      <c r="Y476" s="717" t="n">
        <f aca="false">(L476-(J476+N476))*radconv</f>
        <v>-66.6413698664579</v>
      </c>
      <c r="AA476" s="716" t="n">
        <f aca="false">20*LOG10((E476*G476/(C476*O476))*Acs*Am)</f>
        <v>15.6653035859743</v>
      </c>
      <c r="AB476" s="717" t="n">
        <f aca="false">(F476+H476-(D476+P476))*radconv</f>
        <v>-136.059933355935</v>
      </c>
      <c r="AD476" s="0" t="n">
        <f aca="false">SUM((Q477&lt;0)*(Q476&gt;0))*A476</f>
        <v>0</v>
      </c>
      <c r="AE476" s="0" t="n">
        <f aca="false">IF(AD476&gt;0,S476,0)</f>
        <v>0</v>
      </c>
    </row>
    <row r="477" customFormat="false" ht="12.75" hidden="false" customHeight="false" outlineLevel="0" collapsed="false">
      <c r="A477" s="718" t="n">
        <v>56234</v>
      </c>
      <c r="B477" s="706" t="n">
        <f aca="false">A477/1000</f>
        <v>56.234</v>
      </c>
      <c r="C477" s="707" t="n">
        <f aca="false">SQRT(1+(A477/pole1)^2)</f>
        <v>96.0373417886185</v>
      </c>
      <c r="D477" s="708" t="n">
        <f aca="false">ATAN(A477/pole1)</f>
        <v>1.56038352222652</v>
      </c>
      <c r="E477" s="708" t="n">
        <f aca="false">SQRT(1+(A477/Zero1)^2)</f>
        <v>1.22448540925692</v>
      </c>
      <c r="F477" s="709" t="n">
        <f aca="false">ATAN(A477/Zero1)</f>
        <v>0.615179980591092</v>
      </c>
      <c r="G477" s="708" t="n">
        <f aca="false">IF(VIN_nom&gt;Vout, 1, SQRT(1+(A477/z_RHP)^2))</f>
        <v>1.3017736729455</v>
      </c>
      <c r="H477" s="709" t="n">
        <f aca="false">IF(VIN_nom&gt;Vout, 0, -ATAN(A477/z_RHP))</f>
        <v>-0.694798555119926</v>
      </c>
      <c r="I477" s="707" t="n">
        <f aca="false">SQRT(1+(A477/Pole2)^2)</f>
        <v>233269.07826961</v>
      </c>
      <c r="J477" s="710" t="n">
        <f aca="false">ATAN(A477/Pole2)</f>
        <v>1.57079203990009</v>
      </c>
      <c r="K477" s="719" t="n">
        <f aca="false">SQRT(1+(A477/Zero2)^2)</f>
        <v>72.1813690617171</v>
      </c>
      <c r="L477" s="720" t="n">
        <f aca="false">ATAN(A477/Zero2)</f>
        <v>1.55694189310093</v>
      </c>
      <c r="M477" s="707" t="n">
        <f aca="false">SQRT(1+(A477/pole4)^2)</f>
        <v>2.45523793950636</v>
      </c>
      <c r="N477" s="710" t="n">
        <f aca="false">ATAN(A477/pole4)</f>
        <v>1.15130876200461</v>
      </c>
      <c r="O477" s="711" t="n">
        <f aca="false">SQRT((1-(V477/pterm2))^2+(A477/pterm1)^2)</f>
        <v>1.16238338924113</v>
      </c>
      <c r="P477" s="712" t="n">
        <f aca="false">IF((ATAN((A477/pterm1)/(1-A477^2/pterm2))&gt;0),ATAN((A477/pterm1)/(1-A477^2/pterm2)),PI()+ATAN((A477/pterm1)/(1-A477^2/pterm2)))</f>
        <v>0.738632008291332</v>
      </c>
      <c r="Q477" s="713" t="n">
        <f aca="false">20*LOG10(((E477*K477*G477)/(C477*I477*O477*M477))*Adc)</f>
        <v>-25.7355698814904</v>
      </c>
      <c r="R477" s="714" t="n">
        <f aca="false">((F477+L477+H477)-(D477+J477+P477+N477))*radconv</f>
        <v>-203.044383393589</v>
      </c>
      <c r="S477" s="717" t="n">
        <f aca="false">IF(R477&gt;0,R477,R477+180)</f>
        <v>-23.0443833935891</v>
      </c>
      <c r="U477" s="644" t="n">
        <f aca="false">IF(Q477&lt;0,A477,1000000000)</f>
        <v>56234</v>
      </c>
      <c r="V477" s="644" t="n">
        <f aca="false">A477^2</f>
        <v>3162262756</v>
      </c>
      <c r="X477" s="716" t="n">
        <f aca="false">20*LOG10((K477/(I477*M477))*AEA)</f>
        <v>10.1061614391662</v>
      </c>
      <c r="Y477" s="717" t="n">
        <f aca="false">(L477-(J477+N477))*radconv</f>
        <v>-66.7586880128075</v>
      </c>
      <c r="AA477" s="716" t="n">
        <f aca="false">20*LOG10((E477*G477/(C477*O477))*Acs*Am)</f>
        <v>15.6388940338978</v>
      </c>
      <c r="AB477" s="717" t="n">
        <f aca="false">(F477+H477-(D477+P477))*radconv</f>
        <v>-136.285695380782</v>
      </c>
      <c r="AD477" s="0" t="n">
        <f aca="false">SUM((Q478&lt;0)*(Q477&gt;0))*A477</f>
        <v>0</v>
      </c>
      <c r="AE477" s="0" t="n">
        <f aca="false">IF(AD477&gt;0,S477,0)</f>
        <v>0</v>
      </c>
    </row>
    <row r="478" customFormat="false" ht="12.75" hidden="false" customHeight="false" outlineLevel="0" collapsed="false">
      <c r="A478" s="718" t="n">
        <v>56561.5</v>
      </c>
      <c r="B478" s="706" t="n">
        <f aca="false">A478/1000</f>
        <v>56.5615</v>
      </c>
      <c r="C478" s="707" t="n">
        <f aca="false">SQRT(1+(A478/pole1)^2)</f>
        <v>96.5965911604476</v>
      </c>
      <c r="D478" s="708" t="n">
        <f aca="false">ATAN(A478/pole1)</f>
        <v>1.56044380968591</v>
      </c>
      <c r="E478" s="708" t="n">
        <f aca="false">SQRT(1+(A478/Zero1)^2)</f>
        <v>1.22686508286651</v>
      </c>
      <c r="F478" s="709" t="n">
        <f aca="false">ATAN(A478/Zero1)</f>
        <v>0.61791948049877</v>
      </c>
      <c r="G478" s="708" t="n">
        <f aca="false">IF(VIN_nom&gt;Vout, 1, SQRT(1+(A478/z_RHP)^2))</f>
        <v>1.30488656932361</v>
      </c>
      <c r="H478" s="709" t="n">
        <f aca="false">IF(VIN_nom&gt;Vout, 0, -ATAN(A478/z_RHP))</f>
        <v>-0.697655992074797</v>
      </c>
      <c r="I478" s="707" t="n">
        <f aca="false">SQRT(1+(A478/Pole2)^2)</f>
        <v>234627.609107393</v>
      </c>
      <c r="J478" s="710" t="n">
        <f aca="false">ATAN(A478/Pole2)</f>
        <v>1.57079206472189</v>
      </c>
      <c r="K478" s="719" t="n">
        <f aca="false">SQRT(1+(A478/Zero2)^2)</f>
        <v>72.6016641557673</v>
      </c>
      <c r="L478" s="720" t="n">
        <f aca="false">ATAN(A478/Zero2)</f>
        <v>1.55702210227991</v>
      </c>
      <c r="M478" s="707" t="n">
        <f aca="false">SQRT(1+(A478/pole4)^2)</f>
        <v>2.46717065902801</v>
      </c>
      <c r="N478" s="710" t="n">
        <f aca="false">ATAN(A478/pole4)</f>
        <v>1.15346464839279</v>
      </c>
      <c r="O478" s="711" t="n">
        <f aca="false">SQRT((1-(V478/pterm2))^2+(A478/pterm1)^2)</f>
        <v>1.1642467233104</v>
      </c>
      <c r="P478" s="712" t="n">
        <f aca="false">IF((ATAN((A478/pterm1)/(1-A478^2/pterm2))&gt;0),ATAN((A478/pterm1)/(1-A478^2/pterm2)),PI()+ATAN((A478/pterm1)/(1-A478^2/pterm2)))</f>
        <v>0.742476033106621</v>
      </c>
      <c r="Q478" s="713" t="n">
        <f aca="false">20*LOG10(((E478*K478*G478)/(C478*I478*O478*M478))*Adc)</f>
        <v>-25.8044282127588</v>
      </c>
      <c r="R478" s="714" t="n">
        <f aca="false">((F478+L478+H478)-(D478+J478+P478+N478))*radconv</f>
        <v>-203.393770270184</v>
      </c>
      <c r="S478" s="717" t="n">
        <f aca="false">IF(R478&gt;0,R478,R478+180)</f>
        <v>-23.393770270184</v>
      </c>
      <c r="U478" s="644" t="n">
        <f aca="false">IF(Q478&lt;0,A478,1000000000)</f>
        <v>56561.5</v>
      </c>
      <c r="V478" s="644" t="n">
        <f aca="false">A478^2</f>
        <v>3199203282.25</v>
      </c>
      <c r="X478" s="716" t="n">
        <f aca="false">20*LOG10((K478/(I478*M478))*AEA)</f>
        <v>10.0640397117148</v>
      </c>
      <c r="Y478" s="717" t="n">
        <f aca="false">(L478-(J478+N478))*radconv</f>
        <v>-66.8776169788462</v>
      </c>
      <c r="AA478" s="716" t="n">
        <f aca="false">20*LOG10((E478*G478/(C478*O478))*Acs*Am)</f>
        <v>15.6121574300808</v>
      </c>
      <c r="AB478" s="717" t="n">
        <f aca="false">(F478+H478-(D478+P478))*radconv</f>
        <v>-136.516153291338</v>
      </c>
      <c r="AD478" s="0" t="n">
        <f aca="false">SUM((Q479&lt;0)*(Q478&gt;0))*A478</f>
        <v>0</v>
      </c>
      <c r="AE478" s="0" t="n">
        <f aca="false">IF(AD478&gt;0,S478,0)</f>
        <v>0</v>
      </c>
    </row>
    <row r="479" customFormat="false" ht="12.75" hidden="false" customHeight="false" outlineLevel="0" collapsed="false">
      <c r="A479" s="718" t="n">
        <v>56889</v>
      </c>
      <c r="B479" s="706" t="n">
        <f aca="false">A479/1000</f>
        <v>56.889</v>
      </c>
      <c r="C479" s="707" t="n">
        <f aca="false">SQRT(1+(A479/pole1)^2)</f>
        <v>97.1558408793226</v>
      </c>
      <c r="D479" s="708" t="n">
        <f aca="false">ATAN(A479/pole1)</f>
        <v>1.5605034030906</v>
      </c>
      <c r="E479" s="708" t="n">
        <f aca="false">SQRT(1+(A479/Zero1)^2)</f>
        <v>1.22925392823743</v>
      </c>
      <c r="F479" s="709" t="n">
        <f aca="false">ATAN(A479/Zero1)</f>
        <v>0.620648353318345</v>
      </c>
      <c r="G479" s="708" t="n">
        <f aca="false">IF(VIN_nom&gt;Vout, 1, SQRT(1+(A479/z_RHP)^2))</f>
        <v>1.30801006926755</v>
      </c>
      <c r="H479" s="709" t="n">
        <f aca="false">IF(VIN_nom&gt;Vout, 0, -ATAN(A479/z_RHP))</f>
        <v>-0.700499805160947</v>
      </c>
      <c r="I479" s="707" t="n">
        <f aca="false">SQRT(1+(A479/Pole2)^2)</f>
        <v>235986.139945176</v>
      </c>
      <c r="J479" s="710" t="n">
        <f aca="false">ATAN(A479/Pole2)</f>
        <v>1.57079208925789</v>
      </c>
      <c r="K479" s="719" t="n">
        <f aca="false">SQRT(1+(A479/Zero2)^2)</f>
        <v>73.0219597115245</v>
      </c>
      <c r="L479" s="720" t="n">
        <f aca="false">ATAN(A479/Zero2)</f>
        <v>1.55710138813272</v>
      </c>
      <c r="M479" s="707" t="n">
        <f aca="false">SQRT(1+(A479/pole4)^2)</f>
        <v>2.47911473515985</v>
      </c>
      <c r="N479" s="710" t="n">
        <f aca="false">ATAN(A479/pole4)</f>
        <v>1.15559977102339</v>
      </c>
      <c r="O479" s="711" t="n">
        <f aca="false">SQRT((1-(V479/pterm2))^2+(A479/pterm1)^2)</f>
        <v>1.1661202060064</v>
      </c>
      <c r="P479" s="712" t="n">
        <f aca="false">IF((ATAN((A479/pterm1)/(1-A479^2/pterm2))&gt;0),ATAN((A479/pterm1)/(1-A479^2/pterm2)),PI()+ATAN((A479/pterm1)/(1-A479^2/pterm2)))</f>
        <v>0.74631326750648</v>
      </c>
      <c r="Q479" s="713" t="n">
        <f aca="false">20*LOG10(((E479*K479*G479)/(C479*I479*O479*M479))*Adc)</f>
        <v>-25.8728320967057</v>
      </c>
      <c r="R479" s="714" t="n">
        <f aca="false">((F479+L479+H479)-(D479+J479+P479+N479))*radconv</f>
        <v>-203.741419825987</v>
      </c>
      <c r="S479" s="717" t="n">
        <f aca="false">IF(R479&gt;0,R479,R479+180)</f>
        <v>-23.741419825987</v>
      </c>
      <c r="U479" s="644" t="n">
        <f aca="false">IF(Q479&lt;0,A479,1000000000)</f>
        <v>56889</v>
      </c>
      <c r="V479" s="644" t="n">
        <f aca="false">A479^2</f>
        <v>3236358321</v>
      </c>
      <c r="X479" s="716" t="n">
        <f aca="false">20*LOG10((K479/(I479*M479))*AEA)</f>
        <v>10.0220815494383</v>
      </c>
      <c r="Y479" s="717" t="n">
        <f aca="false">(L479-(J479+N479))*radconv</f>
        <v>-66.9954091555259</v>
      </c>
      <c r="AA479" s="716" t="n">
        <f aca="false">20*LOG10((E479*G479/(C479*O479))*Acs*Am)</f>
        <v>15.5857117084104</v>
      </c>
      <c r="AB479" s="717" t="n">
        <f aca="false">(F479+H479-(D479+P479))*radconv</f>
        <v>-136.746010670461</v>
      </c>
      <c r="AD479" s="0" t="n">
        <f aca="false">SUM((Q480&lt;0)*(Q479&gt;0))*A479</f>
        <v>0</v>
      </c>
      <c r="AE479" s="0" t="n">
        <f aca="false">IF(AD479&gt;0,S479,0)</f>
        <v>0</v>
      </c>
    </row>
    <row r="480" customFormat="false" ht="12.75" hidden="false" customHeight="false" outlineLevel="0" collapsed="false">
      <c r="A480" s="718" t="n">
        <v>57216.5</v>
      </c>
      <c r="B480" s="706" t="n">
        <f aca="false">A480/1000</f>
        <v>57.2165</v>
      </c>
      <c r="C480" s="707" t="n">
        <f aca="false">SQRT(1+(A480/pole1)^2)</f>
        <v>97.715090939285</v>
      </c>
      <c r="D480" s="708" t="n">
        <f aca="false">ATAN(A480/pole1)</f>
        <v>1.56056231435694</v>
      </c>
      <c r="E480" s="708" t="n">
        <f aca="false">SQRT(1+(A480/Zero1)^2)</f>
        <v>1.23165189200253</v>
      </c>
      <c r="F480" s="709" t="n">
        <f aca="false">ATAN(A480/Zero1)</f>
        <v>0.6233666203607</v>
      </c>
      <c r="G480" s="708" t="n">
        <f aca="false">IF(VIN_nom&gt;Vout, 1, SQRT(1+(A480/z_RHP)^2))</f>
        <v>1.31114409699564</v>
      </c>
      <c r="H480" s="709" t="n">
        <f aca="false">IF(VIN_nom&gt;Vout, 0, -ATAN(A480/z_RHP))</f>
        <v>-0.703330045912255</v>
      </c>
      <c r="I480" s="707" t="n">
        <f aca="false">SQRT(1+(A480/Pole2)^2)</f>
        <v>237344.670782959</v>
      </c>
      <c r="J480" s="710" t="n">
        <f aca="false">ATAN(A480/Pole2)</f>
        <v>1.57079211351302</v>
      </c>
      <c r="K480" s="719" t="n">
        <f aca="false">SQRT(1+(A480/Zero2)^2)</f>
        <v>73.4422557210617</v>
      </c>
      <c r="L480" s="720" t="n">
        <f aca="false">ATAN(A480/Zero2)</f>
        <v>1.55717976651042</v>
      </c>
      <c r="M480" s="707" t="n">
        <f aca="false">SQRT(1+(A480/pole4)^2)</f>
        <v>2.4910700045453</v>
      </c>
      <c r="N480" s="710" t="n">
        <f aca="false">ATAN(A480/pole4)</f>
        <v>1.15771440923975</v>
      </c>
      <c r="O480" s="711" t="n">
        <f aca="false">SQRT((1-(V480/pterm2))^2+(A480/pterm1)^2)</f>
        <v>1.16800382893114</v>
      </c>
      <c r="P480" s="712" t="n">
        <f aca="false">IF((ATAN((A480/pterm1)/(1-A480^2/pterm2))&gt;0),ATAN((A480/pterm1)/(1-A480^2/pterm2)),PI()+ATAN((A480/pterm1)/(1-A480^2/pterm2)))</f>
        <v>0.750143700548586</v>
      </c>
      <c r="Q480" s="713" t="n">
        <f aca="false">20*LOG10(((E480*K480*G480)/(C480*I480*O480*M480))*Adc)</f>
        <v>-25.9407867298006</v>
      </c>
      <c r="R480" s="714" t="n">
        <f aca="false">((F480+L480+H480)-(D480+J480+P480+N480))*radconv</f>
        <v>-204.087348945733</v>
      </c>
      <c r="S480" s="717" t="n">
        <f aca="false">IF(R480&gt;0,R480,R480+180)</f>
        <v>-24.0873489457327</v>
      </c>
      <c r="U480" s="644" t="n">
        <f aca="false">IF(Q480&lt;0,A480,1000000000)</f>
        <v>57216.5</v>
      </c>
      <c r="V480" s="644" t="n">
        <f aca="false">A480^2</f>
        <v>3273727872.25</v>
      </c>
      <c r="X480" s="716" t="n">
        <f aca="false">20*LOG10((K480/(I480*M480))*AEA)</f>
        <v>9.98028613915114</v>
      </c>
      <c r="Y480" s="717" t="n">
        <f aca="false">(L480-(J480+N480))*radconv</f>
        <v>-67.1120796401226</v>
      </c>
      <c r="AA480" s="716" t="n">
        <f aca="false">20*LOG10((E480*G480/(C480*O480))*Acs*Am)</f>
        <v>15.5595524856026</v>
      </c>
      <c r="AB480" s="717" t="n">
        <f aca="false">(F480+H480-(D480+P480))*radconv</f>
        <v>-136.97526930561</v>
      </c>
      <c r="AD480" s="0" t="n">
        <f aca="false">SUM((Q481&lt;0)*(Q480&gt;0))*A480</f>
        <v>0</v>
      </c>
      <c r="AE480" s="0" t="n">
        <f aca="false">IF(AD480&gt;0,S480,0)</f>
        <v>0</v>
      </c>
    </row>
    <row r="481" customFormat="false" ht="12.75" hidden="false" customHeight="false" outlineLevel="0" collapsed="false">
      <c r="A481" s="718" t="n">
        <v>57544</v>
      </c>
      <c r="B481" s="706" t="n">
        <f aca="false">A481/1000</f>
        <v>57.544</v>
      </c>
      <c r="C481" s="707" t="n">
        <f aca="false">SQRT(1+(A481/pole1)^2)</f>
        <v>98.2743413345114</v>
      </c>
      <c r="D481" s="708" t="n">
        <f aca="false">ATAN(A481/pole1)</f>
        <v>1.56062055513008</v>
      </c>
      <c r="E481" s="708" t="n">
        <f aca="false">SQRT(1+(A481/Zero1)^2)</f>
        <v>1.23405892100653</v>
      </c>
      <c r="F481" s="709" t="n">
        <f aca="false">ATAN(A481/Zero1)</f>
        <v>0.626074303398318</v>
      </c>
      <c r="G481" s="708" t="n">
        <f aca="false">IF(VIN_nom&gt;Vout, 1, SQRT(1+(A481/z_RHP)^2))</f>
        <v>1.31428857719481</v>
      </c>
      <c r="H481" s="709" t="n">
        <f aca="false">IF(VIN_nom&gt;Vout, 0, -ATAN(A481/z_RHP))</f>
        <v>-0.706146766241634</v>
      </c>
      <c r="I481" s="707" t="n">
        <f aca="false">SQRT(1+(A481/Pole2)^2)</f>
        <v>238703.201620743</v>
      </c>
      <c r="J481" s="710" t="n">
        <f aca="false">ATAN(A481/Pole2)</f>
        <v>1.57079213749206</v>
      </c>
      <c r="K481" s="719" t="n">
        <f aca="false">SQRT(1+(A481/Zero2)^2)</f>
        <v>73.8625521766327</v>
      </c>
      <c r="L481" s="720" t="n">
        <f aca="false">ATAN(A481/Zero2)</f>
        <v>1.55725725290331</v>
      </c>
      <c r="M481" s="707" t="n">
        <f aca="false">SQRT(1+(A481/pole4)^2)</f>
        <v>2.50303630679713</v>
      </c>
      <c r="N481" s="710" t="n">
        <f aca="false">ATAN(A481/pole4)</f>
        <v>1.15980883778365</v>
      </c>
      <c r="O481" s="711" t="n">
        <f aca="false">SQRT((1-(V481/pterm2))^2+(A481/pterm1)^2)</f>
        <v>1.16989758370995</v>
      </c>
      <c r="P481" s="712" t="n">
        <f aca="false">IF((ATAN((A481/pterm1)/(1-A481^2/pterm2))&gt;0),ATAN((A481/pterm1)/(1-A481^2/pterm2)),PI()+ATAN((A481/pterm1)/(1-A481^2/pterm2)))</f>
        <v>0.753967321588606</v>
      </c>
      <c r="Q481" s="713" t="n">
        <f aca="false">20*LOG10(((E481*K481*G481)/(C481*I481*O481*M481))*Adc)</f>
        <v>-26.0082972409424</v>
      </c>
      <c r="R481" s="714" t="n">
        <f aca="false">((F481+L481+H481)-(D481+J481+P481+N481))*radconv</f>
        <v>-204.431574267973</v>
      </c>
      <c r="S481" s="717" t="n">
        <f aca="false">IF(R481&gt;0,R481,R481+180)</f>
        <v>-24.4315742679728</v>
      </c>
      <c r="U481" s="644" t="n">
        <f aca="false">IF(Q481&lt;0,A481,1000000000)</f>
        <v>57544</v>
      </c>
      <c r="V481" s="644" t="n">
        <f aca="false">A481^2</f>
        <v>3311311936</v>
      </c>
      <c r="X481" s="716" t="n">
        <f aca="false">20*LOG10((K481/(I481*M481))*AEA)</f>
        <v>9.93865266416614</v>
      </c>
      <c r="Y481" s="717" t="n">
        <f aca="false">(L481-(J481+N481))*radconv</f>
        <v>-67.2276432869269</v>
      </c>
      <c r="AA481" s="716" t="n">
        <f aca="false">20*LOG10((E481*G481/(C481*O481))*Acs*Am)</f>
        <v>15.5336754494458</v>
      </c>
      <c r="AB481" s="717" t="n">
        <f aca="false">(F481+H481-(D481+P481))*radconv</f>
        <v>-137.203930981046</v>
      </c>
      <c r="AD481" s="0" t="n">
        <f aca="false">SUM((Q482&lt;0)*(Q481&gt;0))*A481</f>
        <v>0</v>
      </c>
      <c r="AE481" s="0" t="n">
        <f aca="false">IF(AD481&gt;0,S481,0)</f>
        <v>0</v>
      </c>
    </row>
    <row r="482" customFormat="false" ht="12.75" hidden="false" customHeight="false" outlineLevel="0" collapsed="false">
      <c r="A482" s="718" t="n">
        <v>57879</v>
      </c>
      <c r="B482" s="706" t="n">
        <f aca="false">A482/1000</f>
        <v>57.879</v>
      </c>
      <c r="C482" s="707" t="n">
        <f aca="false">SQRT(1+(A482/pole1)^2)</f>
        <v>98.8463993316336</v>
      </c>
      <c r="D482" s="708" t="n">
        <f aca="false">ATAN(A482/pole1)</f>
        <v>1.56067944782403</v>
      </c>
      <c r="E482" s="708" t="n">
        <f aca="false">SQRT(1+(A482/Zero1)^2)</f>
        <v>1.23653039663865</v>
      </c>
      <c r="F482" s="709" t="n">
        <f aca="false">ATAN(A482/Zero1)</f>
        <v>0.62883306726311</v>
      </c>
      <c r="G482" s="708" t="n">
        <f aca="false">IF(VIN_nom&gt;Vout, 1, SQRT(1+(A482/z_RHP)^2))</f>
        <v>1.31751580463428</v>
      </c>
      <c r="H482" s="709" t="n">
        <f aca="false">IF(VIN_nom&gt;Vout, 0, -ATAN(A482/z_RHP))</f>
        <v>-0.709014057708164</v>
      </c>
      <c r="I482" s="707" t="n">
        <f aca="false">SQRT(1+(A482/Pole2)^2)</f>
        <v>240092.843851758</v>
      </c>
      <c r="J482" s="710" t="n">
        <f aca="false">ATAN(A482/Pole2)</f>
        <v>1.57079216173948</v>
      </c>
      <c r="K482" s="719" t="n">
        <f aca="false">SQRT(1+(A482/Zero2)^2)</f>
        <v>74.2924741954539</v>
      </c>
      <c r="L482" s="720" t="n">
        <f aca="false">ATAN(A482/Zero2)</f>
        <v>1.5573356067157</v>
      </c>
      <c r="M482" s="707" t="n">
        <f aca="false">SQRT(1+(A482/pole4)^2)</f>
        <v>2.51528789709708</v>
      </c>
      <c r="N482" s="710" t="n">
        <f aca="false">ATAN(A482/pole4)</f>
        <v>1.16193060282843</v>
      </c>
      <c r="O482" s="711" t="n">
        <f aca="false">SQRT((1-(V482/pterm2))^2+(A482/pterm1)^2)</f>
        <v>1.17184518076487</v>
      </c>
      <c r="P482" s="712" t="n">
        <f aca="false">IF((ATAN((A482/pterm1)/(1-A482^2/pterm2))&gt;0),ATAN((A482/pterm1)/(1-A482^2/pterm2)),PI()+ATAN((A482/pterm1)/(1-A482^2/pterm2)))</f>
        <v>0.757871447894282</v>
      </c>
      <c r="Q482" s="713" t="n">
        <f aca="false">20*LOG10(((E482*K482*G482)/(C482*I482*O482*M482))*Adc)</f>
        <v>-26.0768995769245</v>
      </c>
      <c r="R482" s="714" t="n">
        <f aca="false">((F482+L482+H482)-(D482+J482+P482+N482))*radconv</f>
        <v>-204.781936933423</v>
      </c>
      <c r="S482" s="717" t="n">
        <f aca="false">IF(R482&gt;0,R482,R482+180)</f>
        <v>-24.7819369334227</v>
      </c>
      <c r="U482" s="644" t="n">
        <f aca="false">IF(Q482&lt;0,A482,1000000000)</f>
        <v>57879</v>
      </c>
      <c r="V482" s="644" t="n">
        <f aca="false">A482^2</f>
        <v>3349978641</v>
      </c>
      <c r="X482" s="716" t="n">
        <f aca="false">20*LOG10((K482/(I482*M482))*AEA)</f>
        <v>9.89623243659168</v>
      </c>
      <c r="Y482" s="717" t="n">
        <f aca="false">(L482-(J482+N482))*radconv</f>
        <v>-67.3447235157613</v>
      </c>
      <c r="AA482" s="716" t="n">
        <f aca="false">20*LOG10((E482*G482/(C482*O482))*Acs*Am)</f>
        <v>15.5074933410382</v>
      </c>
      <c r="AB482" s="717" t="n">
        <f aca="false">(F482+H482-(D482+P482))*radconv</f>
        <v>-137.437213417661</v>
      </c>
      <c r="AD482" s="0" t="n">
        <f aca="false">SUM((Q483&lt;0)*(Q482&gt;0))*A482</f>
        <v>0</v>
      </c>
      <c r="AE482" s="0" t="n">
        <f aca="false">IF(AD482&gt;0,S482,0)</f>
        <v>0</v>
      </c>
    </row>
    <row r="483" customFormat="false" ht="12.75" hidden="false" customHeight="false" outlineLevel="0" collapsed="false">
      <c r="A483" s="718" t="n">
        <v>58214</v>
      </c>
      <c r="B483" s="706" t="n">
        <f aca="false">A483/1000</f>
        <v>58.214</v>
      </c>
      <c r="C483" s="707" t="n">
        <f aca="false">SQRT(1+(A483/pole1)^2)</f>
        <v>99.4184576676443</v>
      </c>
      <c r="D483" s="708" t="n">
        <f aca="false">ATAN(A483/pole1)</f>
        <v>1.5607376627757</v>
      </c>
      <c r="E483" s="708" t="n">
        <f aca="false">SQRT(1+(A483/Zero1)^2)</f>
        <v>1.23901124564313</v>
      </c>
      <c r="F483" s="709" t="n">
        <f aca="false">ATAN(A483/Zero1)</f>
        <v>0.631580804328303</v>
      </c>
      <c r="G483" s="708" t="n">
        <f aca="false">IF(VIN_nom&gt;Vout, 1, SQRT(1+(A483/z_RHP)^2))</f>
        <v>1.32075381085986</v>
      </c>
      <c r="H483" s="709" t="n">
        <f aca="false">IF(VIN_nom&gt;Vout, 0, -ATAN(A483/z_RHP))</f>
        <v>-0.711867313432684</v>
      </c>
      <c r="I483" s="707" t="n">
        <f aca="false">SQRT(1+(A483/Pole2)^2)</f>
        <v>241482.486082774</v>
      </c>
      <c r="J483" s="710" t="n">
        <f aca="false">ATAN(A483/Pole2)</f>
        <v>1.57079218570783</v>
      </c>
      <c r="K483" s="719" t="n">
        <f aca="false">SQRT(1+(A483/Zero2)^2)</f>
        <v>74.7223966651318</v>
      </c>
      <c r="L483" s="720" t="n">
        <f aca="false">ATAN(A483/Zero2)</f>
        <v>1.55741305889622</v>
      </c>
      <c r="M483" s="707" t="n">
        <f aca="false">SQRT(1+(A483/pole4)^2)</f>
        <v>2.52755070113375</v>
      </c>
      <c r="N483" s="710" t="n">
        <f aca="false">ATAN(A483/pole4)</f>
        <v>1.16403178911216</v>
      </c>
      <c r="O483" s="711" t="n">
        <f aca="false">SQRT((1-(V483/pterm2))^2+(A483/pterm1)^2)</f>
        <v>1.17380336139305</v>
      </c>
      <c r="P483" s="712" t="n">
        <f aca="false">IF((ATAN((A483/pterm1)/(1-A483^2/pterm2))&gt;0),ATAN((A483/pterm1)/(1-A483^2/pterm2)),PI()+ATAN((A483/pterm1)/(1-A483^2/pterm2)))</f>
        <v>0.761768425041098</v>
      </c>
      <c r="Q483" s="713" t="n">
        <f aca="false">20*LOG10(((E483*K483*G483)/(C483*I483*O483*M483))*Adc)</f>
        <v>-26.1450478601819</v>
      </c>
      <c r="R483" s="714" t="n">
        <f aca="false">((F483+L483+H483)-(D483+J483+P483+N483))*radconv</f>
        <v>-205.130551318323</v>
      </c>
      <c r="S483" s="717" t="n">
        <f aca="false">IF(R483&gt;0,R483,R483+180)</f>
        <v>-25.1305513183225</v>
      </c>
      <c r="U483" s="644" t="n">
        <f aca="false">IF(Q483&lt;0,A483,1000000000)</f>
        <v>58214</v>
      </c>
      <c r="V483" s="644" t="n">
        <f aca="false">A483^2</f>
        <v>3388869796</v>
      </c>
      <c r="X483" s="716" t="n">
        <f aca="false">20*LOG10((K483/(I483*M483))*AEA)</f>
        <v>9.8539799079898</v>
      </c>
      <c r="Y483" s="717" t="n">
        <f aca="false">(L483-(J483+N483))*radconv</f>
        <v>-67.4606763121497</v>
      </c>
      <c r="AA483" s="716" t="n">
        <f aca="false">20*LOG10((E483*G483/(C483*O483))*Acs*Am)</f>
        <v>15.4815975863827</v>
      </c>
      <c r="AB483" s="717" t="n">
        <f aca="false">(F483+H483-(D483+P483))*radconv</f>
        <v>-137.669875006173</v>
      </c>
      <c r="AD483" s="0" t="n">
        <f aca="false">SUM((Q484&lt;0)*(Q483&gt;0))*A483</f>
        <v>0</v>
      </c>
      <c r="AE483" s="0" t="n">
        <f aca="false">IF(AD483&gt;0,S483,0)</f>
        <v>0</v>
      </c>
    </row>
    <row r="484" customFormat="false" ht="12.75" hidden="false" customHeight="false" outlineLevel="0" collapsed="false">
      <c r="A484" s="718" t="n">
        <v>58549</v>
      </c>
      <c r="B484" s="706" t="n">
        <f aca="false">A484/1000</f>
        <v>58.549</v>
      </c>
      <c r="C484" s="707" t="n">
        <f aca="false">SQRT(1+(A484/pole1)^2)</f>
        <v>99.9905163367269</v>
      </c>
      <c r="D484" s="708" t="n">
        <f aca="false">ATAN(A484/pole1)</f>
        <v>1.56079521161702</v>
      </c>
      <c r="E484" s="708" t="n">
        <f aca="false">SQRT(1+(A484/Zero1)^2)</f>
        <v>1.2415014118285</v>
      </c>
      <c r="F484" s="709" t="n">
        <f aca="false">ATAN(A484/Zero1)</f>
        <v>0.634317539330407</v>
      </c>
      <c r="G484" s="708" t="n">
        <f aca="false">IF(VIN_nom&gt;Vout, 1, SQRT(1+(A484/z_RHP)^2))</f>
        <v>1.32400251678911</v>
      </c>
      <c r="H484" s="709" t="n">
        <f aca="false">IF(VIN_nom&gt;Vout, 0, -ATAN(A484/z_RHP))</f>
        <v>-0.714706590106401</v>
      </c>
      <c r="I484" s="707" t="n">
        <f aca="false">SQRT(1+(A484/Pole2)^2)</f>
        <v>242872.12831379</v>
      </c>
      <c r="J484" s="710" t="n">
        <f aca="false">ATAN(A484/Pole2)</f>
        <v>1.5707922094019</v>
      </c>
      <c r="K484" s="719" t="n">
        <f aca="false">SQRT(1+(A484/Zero2)^2)</f>
        <v>75.1523195779289</v>
      </c>
      <c r="L484" s="720" t="n">
        <f aca="false">ATAN(A484/Zero2)</f>
        <v>1.5574896249178</v>
      </c>
      <c r="M484" s="707" t="n">
        <f aca="false">SQRT(1+(A484/pole4)^2)</f>
        <v>2.53982455648035</v>
      </c>
      <c r="N484" s="710" t="n">
        <f aca="false">ATAN(A484/pole4)</f>
        <v>1.16611267629028</v>
      </c>
      <c r="O484" s="711" t="n">
        <f aca="false">SQRT((1-(V484/pterm2))^2+(A484/pterm1)^2)</f>
        <v>1.17577211671052</v>
      </c>
      <c r="P484" s="712" t="n">
        <f aca="false">IF((ATAN((A484/pterm1)/(1-A484^2/pterm2))&gt;0),ATAN((A484/pterm1)/(1-A484^2/pterm2)),PI()+ATAN((A484/pterm1)/(1-A484^2/pterm2)))</f>
        <v>0.765658242590963</v>
      </c>
      <c r="Q484" s="713" t="n">
        <f aca="false">20*LOG10(((E484*K484*G484)/(C484*I484*O484*M484))*Adc)</f>
        <v>-26.2127473669509</v>
      </c>
      <c r="R484" s="714" t="n">
        <f aca="false">((F484+L484+H484)-(D484+J484+P484+N484))*radconv</f>
        <v>-205.477434458762</v>
      </c>
      <c r="S484" s="717" t="n">
        <f aca="false">IF(R484&gt;0,R484,R484+180)</f>
        <v>-25.477434458762</v>
      </c>
      <c r="U484" s="644" t="n">
        <f aca="false">IF(Q484&lt;0,A484,1000000000)</f>
        <v>58549</v>
      </c>
      <c r="V484" s="644" t="n">
        <f aca="false">A484^2</f>
        <v>3427985401</v>
      </c>
      <c r="X484" s="716" t="n">
        <f aca="false">20*LOG10((K484/(I484*M484))*AEA)</f>
        <v>9.81189419542543</v>
      </c>
      <c r="Y484" s="717" t="n">
        <f aca="false">(L484-(J484+N484))*radconv</f>
        <v>-67.5755168129093</v>
      </c>
      <c r="AA484" s="716" t="n">
        <f aca="false">20*LOG10((E484*G484/(C484*O484))*Acs*Am)</f>
        <v>15.4559837921781</v>
      </c>
      <c r="AB484" s="717" t="n">
        <f aca="false">(F484+H484-(D484+P484))*radconv</f>
        <v>-137.901917645853</v>
      </c>
      <c r="AD484" s="0" t="n">
        <f aca="false">SUM((Q485&lt;0)*(Q484&gt;0))*A484</f>
        <v>0</v>
      </c>
      <c r="AE484" s="0" t="n">
        <f aca="false">IF(AD484&gt;0,S484,0)</f>
        <v>0</v>
      </c>
    </row>
    <row r="485" customFormat="false" ht="12.75" hidden="false" customHeight="false" outlineLevel="0" collapsed="false">
      <c r="A485" s="718" t="n">
        <v>58884</v>
      </c>
      <c r="B485" s="706" t="n">
        <f aca="false">A485/1000</f>
        <v>58.884</v>
      </c>
      <c r="C485" s="707" t="n">
        <f aca="false">SQRT(1+(A485/pole1)^2)</f>
        <v>100.562575333198</v>
      </c>
      <c r="D485" s="708" t="n">
        <f aca="false">ATAN(A485/pole1)</f>
        <v>1.56085210571531</v>
      </c>
      <c r="E485" s="708" t="n">
        <f aca="false">SQRT(1+(A485/Zero1)^2)</f>
        <v>1.24400083924306</v>
      </c>
      <c r="F485" s="709" t="n">
        <f aca="false">ATAN(A485/Zero1)</f>
        <v>0.637043297467458</v>
      </c>
      <c r="G485" s="708" t="n">
        <f aca="false">IF(VIN_nom&gt;Vout, 1, SQRT(1+(A485/z_RHP)^2))</f>
        <v>1.32726184385384</v>
      </c>
      <c r="H485" s="709" t="n">
        <f aca="false">IF(VIN_nom&gt;Vout, 0, -ATAN(A485/z_RHP))</f>
        <v>-0.717531944767934</v>
      </c>
      <c r="I485" s="707" t="n">
        <f aca="false">SQRT(1+(A485/Pole2)^2)</f>
        <v>244261.770544805</v>
      </c>
      <c r="J485" s="710" t="n">
        <f aca="false">ATAN(A485/Pole2)</f>
        <v>1.57079223282637</v>
      </c>
      <c r="K485" s="719" t="n">
        <f aca="false">SQRT(1+(A485/Zero2)^2)</f>
        <v>75.5822429262836</v>
      </c>
      <c r="L485" s="720" t="n">
        <f aca="false">ATAN(A485/Zero2)</f>
        <v>1.55756531990136</v>
      </c>
      <c r="M485" s="707" t="n">
        <f aca="false">SQRT(1+(A485/pole4)^2)</f>
        <v>2.55210930368973</v>
      </c>
      <c r="N485" s="710" t="n">
        <f aca="false">ATAN(A485/pole4)</f>
        <v>1.16817353934411</v>
      </c>
      <c r="O485" s="711" t="n">
        <f aca="false">SQRT((1-(V485/pterm2))^2+(A485/pterm1)^2)</f>
        <v>1.17775143786119</v>
      </c>
      <c r="P485" s="712" t="n">
        <f aca="false">IF((ATAN((A485/pterm1)/(1-A485^2/pterm2))&gt;0),ATAN((A485/pterm1)/(1-A485^2/pterm2)),PI()+ATAN((A485/pterm1)/(1-A485^2/pterm2)))</f>
        <v>0.769540890422961</v>
      </c>
      <c r="Q485" s="713" t="n">
        <f aca="false">20*LOG10(((E485*K485*G485)/(C485*I485*O485*M485))*Adc)</f>
        <v>-26.2800033036716</v>
      </c>
      <c r="R485" s="714" t="n">
        <f aca="false">((F485+L485+H485)-(D485+J485+P485+N485))*radconv</f>
        <v>-205.822603139658</v>
      </c>
      <c r="S485" s="717" t="n">
        <f aca="false">IF(R485&gt;0,R485,R485+180)</f>
        <v>-25.8226031396581</v>
      </c>
      <c r="U485" s="644" t="n">
        <f aca="false">IF(Q485&lt;0,A485,1000000000)</f>
        <v>58884</v>
      </c>
      <c r="V485" s="644" t="n">
        <f aca="false">A485^2</f>
        <v>3467325456</v>
      </c>
      <c r="X485" s="716" t="n">
        <f aca="false">20*LOG10((K485/(I485*M485))*AEA)</f>
        <v>9.76997441377653</v>
      </c>
      <c r="Y485" s="717" t="n">
        <f aca="false">(L485-(J485+N485))*radconv</f>
        <v>-67.6892599072137</v>
      </c>
      <c r="AA485" s="716" t="n">
        <f aca="false">20*LOG10((E485*G485/(C485*O485))*Acs*Am)</f>
        <v>15.4306476371062</v>
      </c>
      <c r="AB485" s="717" t="n">
        <f aca="false">(F485+H485-(D485+P485))*radconv</f>
        <v>-138.133343232444</v>
      </c>
      <c r="AD485" s="0" t="n">
        <f aca="false">SUM((Q486&lt;0)*(Q485&gt;0))*A485</f>
        <v>0</v>
      </c>
      <c r="AE485" s="0" t="n">
        <f aca="false">IF(AD485&gt;0,S485,0)</f>
        <v>0</v>
      </c>
    </row>
    <row r="486" customFormat="false" ht="12.75" hidden="false" customHeight="false" outlineLevel="0" collapsed="false">
      <c r="A486" s="718" t="n">
        <v>59227</v>
      </c>
      <c r="B486" s="706" t="n">
        <f aca="false">A486/1000</f>
        <v>59.227</v>
      </c>
      <c r="C486" s="707" t="n">
        <f aca="false">SQRT(1+(A486/pole1)^2)</f>
        <v>101.148295773439</v>
      </c>
      <c r="D486" s="708" t="n">
        <f aca="false">ATAN(A486/pole1)</f>
        <v>1.56090969169675</v>
      </c>
      <c r="E486" s="708" t="n">
        <f aca="false">SQRT(1+(A486/Zero1)^2)</f>
        <v>1.24656949191229</v>
      </c>
      <c r="F486" s="709" t="n">
        <f aca="false">ATAN(A486/Zero1)</f>
        <v>0.639822801929118</v>
      </c>
      <c r="G486" s="708" t="n">
        <f aca="false">IF(VIN_nom&gt;Vout, 1, SQRT(1+(A486/z_RHP)^2))</f>
        <v>1.3306099287046</v>
      </c>
      <c r="H486" s="709" t="n">
        <f aca="false">IF(VIN_nom&gt;Vout, 0, -ATAN(A486/z_RHP))</f>
        <v>-0.720410405820952</v>
      </c>
      <c r="I486" s="707" t="n">
        <f aca="false">SQRT(1+(A486/Pole2)^2)</f>
        <v>245684.598261935</v>
      </c>
      <c r="J486" s="710" t="n">
        <f aca="false">ATAN(A486/Pole2)</f>
        <v>1.57079225653568</v>
      </c>
      <c r="K486" s="719" t="n">
        <f aca="false">SQRT(1+(A486/Zero2)^2)</f>
        <v>76.0224335444342</v>
      </c>
      <c r="L486" s="720" t="n">
        <f aca="false">ATAN(A486/Zero2)</f>
        <v>1.55764193547084</v>
      </c>
      <c r="M486" s="707" t="n">
        <f aca="false">SQRT(1+(A486/pole4)^2)</f>
        <v>2.56469853966457</v>
      </c>
      <c r="N486" s="710" t="n">
        <f aca="false">ATAN(A486/pole4)</f>
        <v>1.17026315228178</v>
      </c>
      <c r="O486" s="711" t="n">
        <f aca="false">SQRT((1-(V486/pterm2))^2+(A486/pterm1)^2)</f>
        <v>1.17978896448718</v>
      </c>
      <c r="P486" s="712" t="n">
        <f aca="false">IF((ATAN((A486/pterm1)/(1-A486^2/pterm2))&gt;0),ATAN((A486/pterm1)/(1-A486^2/pterm2)),PI()+ATAN((A486/pterm1)/(1-A486^2/pterm2)))</f>
        <v>0.773508819376172</v>
      </c>
      <c r="Q486" s="713" t="n">
        <f aca="false">20*LOG10(((E486*K486*G486)/(C486*I486*O486*M486))*Adc)</f>
        <v>-26.3484111318138</v>
      </c>
      <c r="R486" s="714" t="n">
        <f aca="false">((F486+L486+H486)-(D486+J486+P486+N486))*radconv</f>
        <v>-206.174255563034</v>
      </c>
      <c r="S486" s="717" t="n">
        <f aca="false">IF(R486&gt;0,R486,R486+180)</f>
        <v>-26.1742555630335</v>
      </c>
      <c r="U486" s="644" t="n">
        <f aca="false">IF(Q486&lt;0,A486,1000000000)</f>
        <v>59227</v>
      </c>
      <c r="V486" s="644" t="n">
        <f aca="false">A486^2</f>
        <v>3507837529</v>
      </c>
      <c r="X486" s="716" t="n">
        <f aca="false">20*LOG10((K486/(I486*M486))*AEA)</f>
        <v>9.72722455845293</v>
      </c>
      <c r="Y486" s="717" t="n">
        <f aca="false">(L486-(J486+N486))*radconv</f>
        <v>-67.804597519157</v>
      </c>
      <c r="AA486" s="716" t="n">
        <f aca="false">20*LOG10((E486*G486/(C486*O486))*Acs*Am)</f>
        <v>15.4049896642877</v>
      </c>
      <c r="AB486" s="717" t="n">
        <f aca="false">(F486+H486-(D486+P486))*radconv</f>
        <v>-138.369658043877</v>
      </c>
      <c r="AD486" s="0" t="n">
        <f aca="false">SUM((Q487&lt;0)*(Q486&gt;0))*A486</f>
        <v>0</v>
      </c>
      <c r="AE486" s="0" t="n">
        <f aca="false">IF(AD486&gt;0,S486,0)</f>
        <v>0</v>
      </c>
    </row>
    <row r="487" customFormat="false" ht="12.75" hidden="false" customHeight="false" outlineLevel="0" collapsed="false">
      <c r="A487" s="718" t="n">
        <v>59570</v>
      </c>
      <c r="B487" s="706" t="n">
        <f aca="false">A487/1000</f>
        <v>59.57</v>
      </c>
      <c r="C487" s="707" t="n">
        <f aca="false">SQRT(1+(A487/pole1)^2)</f>
        <v>101.734016545241</v>
      </c>
      <c r="D487" s="708" t="n">
        <f aca="false">ATAN(A487/pole1)</f>
        <v>1.56096661459032</v>
      </c>
      <c r="E487" s="708" t="n">
        <f aca="false">SQRT(1+(A487/Zero1)^2)</f>
        <v>1.24914773548457</v>
      </c>
      <c r="F487" s="709" t="n">
        <f aca="false">ATAN(A487/Zero1)</f>
        <v>0.64259085389619</v>
      </c>
      <c r="G487" s="708" t="n">
        <f aca="false">IF(VIN_nom&gt;Vout, 1, SQRT(1+(A487/z_RHP)^2))</f>
        <v>1.33396898297974</v>
      </c>
      <c r="H487" s="709" t="n">
        <f aca="false">IF(VIN_nom&gt;Vout, 0, -ATAN(A487/z_RHP))</f>
        <v>-0.72327439405495</v>
      </c>
      <c r="I487" s="707" t="n">
        <f aca="false">SQRT(1+(A487/Pole2)^2)</f>
        <v>247107.425979065</v>
      </c>
      <c r="J487" s="710" t="n">
        <f aca="false">ATAN(A487/Pole2)</f>
        <v>1.57079227997196</v>
      </c>
      <c r="K487" s="719" t="n">
        <f aca="false">SQRT(1+(A487/Zero2)^2)</f>
        <v>76.4626246036943</v>
      </c>
      <c r="L487" s="720" t="n">
        <f aca="false">ATAN(A487/Zero2)</f>
        <v>1.55771766889765</v>
      </c>
      <c r="M487" s="707" t="n">
        <f aca="false">SQRT(1+(A487/pole4)^2)</f>
        <v>2.57729886491779</v>
      </c>
      <c r="N487" s="710" t="n">
        <f aca="false">ATAN(A487/pole4)</f>
        <v>1.17233234208992</v>
      </c>
      <c r="O487" s="711" t="n">
        <f aca="false">SQRT((1-(V487/pterm2))^2+(A487/pterm1)^2)</f>
        <v>1.1818375489107</v>
      </c>
      <c r="P487" s="712" t="n">
        <f aca="false">IF((ATAN((A487/pterm1)/(1-A487^2/pterm2))&gt;0),ATAN((A487/pterm1)/(1-A487^2/pterm2)),PI()+ATAN((A487/pterm1)/(1-A487^2/pterm2)))</f>
        <v>0.77746921162369</v>
      </c>
      <c r="Q487" s="713" t="n">
        <f aca="false">20*LOG10(((E487*K487*G487)/(C487*I487*O487*M487))*Adc)</f>
        <v>-26.4163647781525</v>
      </c>
      <c r="R487" s="714" t="n">
        <f aca="false">((F487+L487+H487)-(D487+J487+P487+N487))*radconv</f>
        <v>-206.524145489283</v>
      </c>
      <c r="S487" s="717" t="n">
        <f aca="false">IF(R487&gt;0,R487,R487+180)</f>
        <v>-26.5241454892826</v>
      </c>
      <c r="U487" s="644" t="n">
        <f aca="false">IF(Q487&lt;0,A487,1000000000)</f>
        <v>59570</v>
      </c>
      <c r="V487" s="644" t="n">
        <f aca="false">A487^2</f>
        <v>3548584900</v>
      </c>
      <c r="X487" s="716" t="n">
        <f aca="false">20*LOG10((K487/(I487*M487))*AEA)</f>
        <v>9.68464677033175</v>
      </c>
      <c r="Y487" s="717" t="n">
        <f aca="false">(L487-(J487+N487))*radconv</f>
        <v>-67.9188154993813</v>
      </c>
      <c r="AA487" s="716" t="n">
        <f aca="false">20*LOG10((E487*G487/(C487*O487))*Acs*Am)</f>
        <v>15.3796138060702</v>
      </c>
      <c r="AB487" s="717" t="n">
        <f aca="false">(F487+H487-(D487+P487))*radconv</f>
        <v>-138.605329989901</v>
      </c>
      <c r="AD487" s="0" t="n">
        <f aca="false">SUM((Q488&lt;0)*(Q487&gt;0))*A487</f>
        <v>0</v>
      </c>
      <c r="AE487" s="0" t="n">
        <f aca="false">IF(AD487&gt;0,S487,0)</f>
        <v>0</v>
      </c>
    </row>
    <row r="488" customFormat="false" ht="12.75" hidden="false" customHeight="false" outlineLevel="0" collapsed="false">
      <c r="A488" s="718" t="n">
        <v>59913</v>
      </c>
      <c r="B488" s="706" t="n">
        <f aca="false">A488/1000</f>
        <v>59.913</v>
      </c>
      <c r="C488" s="707" t="n">
        <f aca="false">SQRT(1+(A488/pole1)^2)</f>
        <v>102.319737642908</v>
      </c>
      <c r="D488" s="708" t="n">
        <f aca="false">ATAN(A488/pole1)</f>
        <v>1.56102288578303</v>
      </c>
      <c r="E488" s="708" t="n">
        <f aca="false">SQRT(1+(A488/Zero1)^2)</f>
        <v>1.25173551069575</v>
      </c>
      <c r="F488" s="709" t="n">
        <f aca="false">ATAN(A488/Zero1)</f>
        <v>0.64534748184866</v>
      </c>
      <c r="G488" s="708" t="n">
        <f aca="false">IF(VIN_nom&gt;Vout, 1, SQRT(1+(A488/z_RHP)^2))</f>
        <v>1.33733892402208</v>
      </c>
      <c r="H488" s="709" t="n">
        <f aca="false">IF(VIN_nom&gt;Vout, 0, -ATAN(A488/z_RHP))</f>
        <v>-0.726123971719297</v>
      </c>
      <c r="I488" s="707" t="n">
        <f aca="false">SQRT(1+(A488/Pole2)^2)</f>
        <v>248530.253696195</v>
      </c>
      <c r="J488" s="710" t="n">
        <f aca="false">ATAN(A488/Pole2)</f>
        <v>1.57079230313989</v>
      </c>
      <c r="K488" s="719" t="n">
        <f aca="false">SQRT(1+(A488/Zero2)^2)</f>
        <v>76.9028160964892</v>
      </c>
      <c r="L488" s="720" t="n">
        <f aca="false">ATAN(A488/Zero2)</f>
        <v>1.55779253532905</v>
      </c>
      <c r="M488" s="707" t="n">
        <f aca="false">SQRT(1+(A488/pole4)^2)</f>
        <v>2.58991011759608</v>
      </c>
      <c r="N488" s="710" t="n">
        <f aca="false">ATAN(A488/pole4)</f>
        <v>1.17438138926334</v>
      </c>
      <c r="O488" s="711" t="n">
        <f aca="false">SQRT((1-(V488/pterm2))^2+(A488/pterm1)^2)</f>
        <v>1.18389718172043</v>
      </c>
      <c r="P488" s="712" t="n">
        <f aca="false">IF((ATAN((A488/pterm1)/(1-A488^2/pterm2))&gt;0),ATAN((A488/pterm1)/(1-A488^2/pterm2)),PI()+ATAN((A488/pterm1)/(1-A488^2/pterm2)))</f>
        <v>0.781422057320237</v>
      </c>
      <c r="Q488" s="713" t="n">
        <f aca="false">20*LOG10(((E488*K488*G488)/(C488*I488*O488*M488))*Adc)</f>
        <v>-26.4838696102405</v>
      </c>
      <c r="R488" s="714" t="n">
        <f aca="false">((F488+L488+H488)-(D488+J488+P488+N488))*radconv</f>
        <v>-206.872290145145</v>
      </c>
      <c r="S488" s="717" t="n">
        <f aca="false">IF(R488&gt;0,R488,R488+180)</f>
        <v>-26.8722901451451</v>
      </c>
      <c r="U488" s="644" t="n">
        <f aca="false">IF(Q488&lt;0,A488,1000000000)</f>
        <v>59913</v>
      </c>
      <c r="V488" s="644" t="n">
        <f aca="false">A488^2</f>
        <v>3589567569</v>
      </c>
      <c r="X488" s="716" t="n">
        <f aca="false">20*LOG10((K488/(I488*M488))*AEA)</f>
        <v>9.64224009460166</v>
      </c>
      <c r="Y488" s="717" t="n">
        <f aca="false">(L488-(J488+N488))*radconv</f>
        <v>-68.0319290514485</v>
      </c>
      <c r="AA488" s="716" t="n">
        <f aca="false">20*LOG10((E488*G488/(C488*O488))*Acs*Am)</f>
        <v>15.3545156497123</v>
      </c>
      <c r="AB488" s="717" t="n">
        <f aca="false">(F488+H488-(D488+P488))*radconv</f>
        <v>-138.840361093697</v>
      </c>
      <c r="AD488" s="0" t="n">
        <f aca="false">SUM((Q489&lt;0)*(Q488&gt;0))*A488</f>
        <v>0</v>
      </c>
      <c r="AE488" s="0" t="n">
        <f aca="false">IF(AD488&gt;0,S488,0)</f>
        <v>0</v>
      </c>
    </row>
    <row r="489" customFormat="false" ht="12.75" hidden="false" customHeight="false" outlineLevel="0" collapsed="false">
      <c r="A489" s="718" t="n">
        <v>60256</v>
      </c>
      <c r="B489" s="706" t="n">
        <f aca="false">A489/1000</f>
        <v>60.256</v>
      </c>
      <c r="C489" s="707" t="n">
        <f aca="false">SQRT(1+(A489/pole1)^2)</f>
        <v>102.905459060878</v>
      </c>
      <c r="D489" s="708" t="n">
        <f aca="false">ATAN(A489/pole1)</f>
        <v>1.56107851640266</v>
      </c>
      <c r="E489" s="708" t="n">
        <f aca="false">SQRT(1+(A489/Zero1)^2)</f>
        <v>1.25433275855252</v>
      </c>
      <c r="F489" s="709" t="n">
        <f aca="false">ATAN(A489/Zero1)</f>
        <v>0.648092714726413</v>
      </c>
      <c r="G489" s="708" t="n">
        <f aca="false">IF(VIN_nom&gt;Vout, 1, SQRT(1+(A489/z_RHP)^2))</f>
        <v>1.34071966973892</v>
      </c>
      <c r="H489" s="709" t="n">
        <f aca="false">IF(VIN_nom&gt;Vout, 0, -ATAN(A489/z_RHP))</f>
        <v>-0.728959201374648</v>
      </c>
      <c r="I489" s="707" t="n">
        <f aca="false">SQRT(1+(A489/Pole2)^2)</f>
        <v>249953.081413325</v>
      </c>
      <c r="J489" s="710" t="n">
        <f aca="false">ATAN(A489/Pole2)</f>
        <v>1.57079232604406</v>
      </c>
      <c r="K489" s="719" t="n">
        <f aca="false">SQRT(1+(A489/Zero2)^2)</f>
        <v>77.3430080154165</v>
      </c>
      <c r="L489" s="720" t="n">
        <f aca="false">ATAN(A489/Zero2)</f>
        <v>1.55786654956754</v>
      </c>
      <c r="M489" s="707" t="n">
        <f aca="false">SQRT(1+(A489/pole4)^2)</f>
        <v>2.60253213884432</v>
      </c>
      <c r="N489" s="710" t="n">
        <f aca="false">ATAN(A489/pole4)</f>
        <v>1.176410569539</v>
      </c>
      <c r="O489" s="711" t="n">
        <f aca="false">SQRT((1-(V489/pterm2))^2+(A489/pterm1)^2)</f>
        <v>1.18596785353809</v>
      </c>
      <c r="P489" s="712" t="n">
        <f aca="false">IF((ATAN((A489/pterm1)/(1-A489^2/pterm2))&gt;0),ATAN((A489/pterm1)/(1-A489^2/pterm2)),PI()+ATAN((A489/pterm1)/(1-A489^2/pterm2)))</f>
        <v>0.78536734695869</v>
      </c>
      <c r="Q489" s="713" t="n">
        <f aca="false">20*LOG10(((E489*K489*G489)/(C489*I489*O489*M489))*Adc)</f>
        <v>-26.5509309232991</v>
      </c>
      <c r="R489" s="714" t="n">
        <f aca="false">((F489+L489+H489)-(D489+J489+P489+N489))*radconv</f>
        <v>-207.218706500513</v>
      </c>
      <c r="S489" s="717" t="n">
        <f aca="false">IF(R489&gt;0,R489,R489+180)</f>
        <v>-27.2187065005131</v>
      </c>
      <c r="U489" s="644" t="n">
        <f aca="false">IF(Q489&lt;0,A489,1000000000)</f>
        <v>60256</v>
      </c>
      <c r="V489" s="644" t="n">
        <f aca="false">A489^2</f>
        <v>3630785536</v>
      </c>
      <c r="X489" s="716" t="n">
        <f aca="false">20*LOG10((K489/(I489*M489))*AEA)</f>
        <v>9.60000357559336</v>
      </c>
      <c r="Y489" s="717" t="n">
        <f aca="false">(L489-(J489+N489))*radconv</f>
        <v>-68.1439531260663</v>
      </c>
      <c r="AA489" s="716" t="n">
        <f aca="false">20*LOG10((E489*G489/(C489*O489))*Acs*Am)</f>
        <v>15.3296908556619</v>
      </c>
      <c r="AB489" s="717" t="n">
        <f aca="false">(F489+H489-(D489+P489))*radconv</f>
        <v>-139.074753374447</v>
      </c>
      <c r="AD489" s="0" t="n">
        <f aca="false">SUM((Q490&lt;0)*(Q489&gt;0))*A489</f>
        <v>0</v>
      </c>
      <c r="AE489" s="0" t="n">
        <f aca="false">IF(AD489&gt;0,S489,0)</f>
        <v>0</v>
      </c>
    </row>
    <row r="490" customFormat="false" ht="12.75" hidden="false" customHeight="false" outlineLevel="0" collapsed="false">
      <c r="A490" s="718" t="n">
        <v>60607</v>
      </c>
      <c r="B490" s="706" t="n">
        <f aca="false">A490/1000</f>
        <v>60.607</v>
      </c>
      <c r="C490" s="707" t="n">
        <f aca="false">SQRT(1+(A490/pole1)^2)</f>
        <v>103.504841945713</v>
      </c>
      <c r="D490" s="708" t="n">
        <f aca="false">ATAN(A490/pole1)</f>
        <v>1.56113479271677</v>
      </c>
      <c r="E490" s="708" t="n">
        <f aca="false">SQRT(1+(A490/Zero1)^2)</f>
        <v>1.25700032898337</v>
      </c>
      <c r="F490" s="709" t="n">
        <f aca="false">ATAN(A490/Zero1)</f>
        <v>0.650890210187196</v>
      </c>
      <c r="G490" s="708" t="n">
        <f aca="false">IF(VIN_nom&gt;Vout, 1, SQRT(1+(A490/z_RHP)^2))</f>
        <v>1.34419036723133</v>
      </c>
      <c r="H490" s="709" t="n">
        <f aca="false">IF(VIN_nom&gt;Vout, 0, -ATAN(A490/z_RHP))</f>
        <v>-0.731845770531281</v>
      </c>
      <c r="I490" s="707" t="n">
        <f aca="false">SQRT(1+(A490/Pole2)^2)</f>
        <v>251409.094616569</v>
      </c>
      <c r="J490" s="710" t="n">
        <f aca="false">ATAN(A490/Pole2)</f>
        <v>1.57079234921405</v>
      </c>
      <c r="K490" s="719" t="n">
        <f aca="false">SQRT(1+(A490/Zero2)^2)</f>
        <v>77.7934672348675</v>
      </c>
      <c r="L490" s="720" t="n">
        <f aca="false">ATAN(A490/Zero2)</f>
        <v>1.55794142293854</v>
      </c>
      <c r="M490" s="707" t="n">
        <f aca="false">SQRT(1+(A490/pole4)^2)</f>
        <v>2.61545953684315</v>
      </c>
      <c r="N490" s="710" t="n">
        <f aca="false">ATAN(A490/pole4)</f>
        <v>1.17846679306266</v>
      </c>
      <c r="O490" s="711" t="n">
        <f aca="false">SQRT((1-(V490/pterm2))^2+(A490/pterm1)^2)</f>
        <v>1.18809823937412</v>
      </c>
      <c r="P490" s="712" t="n">
        <f aca="false">IF((ATAN((A490/pterm1)/(1-A490^2/pterm2))&gt;0),ATAN((A490/pterm1)/(1-A490^2/pterm2)),PI()+ATAN((A490/pterm1)/(1-A490^2/pterm2)))</f>
        <v>0.789396822982371</v>
      </c>
      <c r="Q490" s="713" t="n">
        <f aca="false">20*LOG10(((E490*K490*G490)/(C490*I490*O490*M490))*Adc)</f>
        <v>-26.6191026419986</v>
      </c>
      <c r="R490" s="714" t="n">
        <f aca="false">((F490+L490+H490)-(D490+J490+P490+N490))*radconv</f>
        <v>-207.571430741872</v>
      </c>
      <c r="S490" s="717" t="n">
        <f aca="false">IF(R490&gt;0,R490,R490+180)</f>
        <v>-27.5714307418722</v>
      </c>
      <c r="U490" s="644" t="n">
        <f aca="false">IF(Q490&lt;0,A490,1000000000)</f>
        <v>60607</v>
      </c>
      <c r="V490" s="644" t="n">
        <f aca="false">A490^2</f>
        <v>3673208449</v>
      </c>
      <c r="X490" s="716" t="n">
        <f aca="false">20*LOG10((K490/(I490*M490))*AEA)</f>
        <v>9.5569571066888</v>
      </c>
      <c r="Y490" s="717" t="n">
        <f aca="false">(L490-(J490+N490))*radconv</f>
        <v>-68.2574774552229</v>
      </c>
      <c r="AA490" s="716" t="n">
        <f aca="false">20*LOG10((E490*G490/(C490*O490))*Acs*Am)</f>
        <v>15.304565605867</v>
      </c>
      <c r="AB490" s="717" t="n">
        <f aca="false">(F490+H490-(D490+P490))*radconv</f>
        <v>-139.313953286649</v>
      </c>
      <c r="AD490" s="0" t="n">
        <f aca="false">SUM((Q491&lt;0)*(Q490&gt;0))*A490</f>
        <v>0</v>
      </c>
      <c r="AE490" s="0" t="n">
        <f aca="false">IF(AD490&gt;0,S490,0)</f>
        <v>0</v>
      </c>
    </row>
    <row r="491" customFormat="false" ht="12.75" hidden="false" customHeight="false" outlineLevel="0" collapsed="false">
      <c r="A491" s="718" t="n">
        <v>60958</v>
      </c>
      <c r="B491" s="706" t="n">
        <f aca="false">A491/1000</f>
        <v>60.958</v>
      </c>
      <c r="C491" s="707" t="n">
        <f aca="false">SQRT(1+(A491/pole1)^2)</f>
        <v>104.104225154576</v>
      </c>
      <c r="D491" s="708" t="n">
        <f aca="false">ATAN(A491/pole1)</f>
        <v>1.56119042100591</v>
      </c>
      <c r="E491" s="708" t="n">
        <f aca="false">SQRT(1+(A491/Zero1)^2)</f>
        <v>1.25967769496596</v>
      </c>
      <c r="F491" s="709" t="n">
        <f aca="false">ATAN(A491/Zero1)</f>
        <v>0.653675835568693</v>
      </c>
      <c r="G491" s="708" t="n">
        <f aca="false">IF(VIN_nom&gt;Vout, 1, SQRT(1+(A491/z_RHP)^2))</f>
        <v>1.34767220715377</v>
      </c>
      <c r="H491" s="709" t="n">
        <f aca="false">IF(VIN_nom&gt;Vout, 0, -ATAN(A491/z_RHP))</f>
        <v>-0.734717448058284</v>
      </c>
      <c r="I491" s="707" t="n">
        <f aca="false">SQRT(1+(A491/Pole2)^2)</f>
        <v>252865.107819814</v>
      </c>
      <c r="J491" s="710" t="n">
        <f aca="false">ATAN(A491/Pole2)</f>
        <v>1.57079237211721</v>
      </c>
      <c r="K491" s="719" t="n">
        <f aca="false">SQRT(1+(A491/Zero2)^2)</f>
        <v>78.2439268854088</v>
      </c>
      <c r="L491" s="720" t="n">
        <f aca="false">ATAN(A491/Zero2)</f>
        <v>1.55801543420005</v>
      </c>
      <c r="M491" s="707" t="n">
        <f aca="false">SQRT(1+(A491/pole4)^2)</f>
        <v>2.6283978843447</v>
      </c>
      <c r="N491" s="710" t="n">
        <f aca="false">ATAN(A491/pole4)</f>
        <v>1.18050278151136</v>
      </c>
      <c r="O491" s="711" t="n">
        <f aca="false">SQRT((1-(V491/pterm2))^2+(A491/pterm1)^2)</f>
        <v>1.19024016540018</v>
      </c>
      <c r="P491" s="712" t="n">
        <f aca="false">IF((ATAN((A491/pterm1)/(1-A491^2/pterm2))&gt;0),ATAN((A491/pterm1)/(1-A491^2/pterm2)),PI()+ATAN((A491/pterm1)/(1-A491^2/pterm2)))</f>
        <v>0.793418367297553</v>
      </c>
      <c r="Q491" s="713" t="n">
        <f aca="false">20*LOG10(((E491*K491*G491)/(C491*I491*O491*M491))*Adc)</f>
        <v>-26.6868209035829</v>
      </c>
      <c r="R491" s="714" t="n">
        <f aca="false">((F491+L491+H491)-(D491+J491+P491+N491))*radconv</f>
        <v>-207.922380274185</v>
      </c>
      <c r="S491" s="717" t="n">
        <f aca="false">IF(R491&gt;0,R491,R491+180)</f>
        <v>-27.9223802741845</v>
      </c>
      <c r="U491" s="644" t="n">
        <f aca="false">IF(Q491&lt;0,A491,1000000000)</f>
        <v>60958</v>
      </c>
      <c r="V491" s="644" t="n">
        <f aca="false">A491^2</f>
        <v>3715877764</v>
      </c>
      <c r="X491" s="716" t="n">
        <f aca="false">20*LOG10((K491/(I491*M491))*AEA)</f>
        <v>9.51408679825812</v>
      </c>
      <c r="Y491" s="717" t="n">
        <f aca="false">(L491-(J491+N491))*radconv</f>
        <v>-68.3698917799329</v>
      </c>
      <c r="AA491" s="716" t="n">
        <f aca="false">20*LOG10((E491*G491/(C491*O491))*Acs*Am)</f>
        <v>15.2797176527134</v>
      </c>
      <c r="AB491" s="717" t="n">
        <f aca="false">(F491+H491-(D491+P491))*radconv</f>
        <v>-139.552488494252</v>
      </c>
      <c r="AD491" s="0" t="n">
        <f aca="false">SUM((Q492&lt;0)*(Q491&gt;0))*A491</f>
        <v>0</v>
      </c>
      <c r="AE491" s="0" t="n">
        <f aca="false">IF(AD491&gt;0,S491,0)</f>
        <v>0</v>
      </c>
    </row>
    <row r="492" customFormat="false" ht="12.75" hidden="false" customHeight="false" outlineLevel="0" collapsed="false">
      <c r="A492" s="718" t="n">
        <v>61309</v>
      </c>
      <c r="B492" s="706" t="n">
        <f aca="false">A492/1000</f>
        <v>61.309</v>
      </c>
      <c r="C492" s="707" t="n">
        <f aca="false">SQRT(1+(A492/pole1)^2)</f>
        <v>104.703608681902</v>
      </c>
      <c r="D492" s="708" t="n">
        <f aca="false">ATAN(A492/pole1)</f>
        <v>1.56124541239874</v>
      </c>
      <c r="E492" s="708" t="n">
        <f aca="false">SQRT(1+(A492/Zero1)^2)</f>
        <v>1.26236479417375</v>
      </c>
      <c r="F492" s="709" t="n">
        <f aca="false">ATAN(A492/Zero1)</f>
        <v>0.656449623303206</v>
      </c>
      <c r="G492" s="708" t="n">
        <f aca="false">IF(VIN_nom&gt;Vout, 1, SQRT(1+(A492/z_RHP)^2))</f>
        <v>1.35116510336688</v>
      </c>
      <c r="H492" s="709" t="n">
        <f aca="false">IF(VIN_nom&gt;Vout, 0, -ATAN(A492/z_RHP))</f>
        <v>-0.737574301898974</v>
      </c>
      <c r="I492" s="707" t="n">
        <f aca="false">SQRT(1+(A492/Pole2)^2)</f>
        <v>254321.121023058</v>
      </c>
      <c r="J492" s="710" t="n">
        <f aca="false">ATAN(A492/Pole2)</f>
        <v>1.57079239475812</v>
      </c>
      <c r="K492" s="719" t="n">
        <f aca="false">SQRT(1+(A492/Zero2)^2)</f>
        <v>78.6943869596375</v>
      </c>
      <c r="L492" s="720" t="n">
        <f aca="false">ATAN(A492/Zero2)</f>
        <v>1.55808859815582</v>
      </c>
      <c r="M492" s="707" t="n">
        <f aca="false">SQRT(1+(A492/pole4)^2)</f>
        <v>2.64134702044418</v>
      </c>
      <c r="N492" s="710" t="n">
        <f aca="false">ATAN(A492/pole4)</f>
        <v>1.18251881548647</v>
      </c>
      <c r="O492" s="711" t="n">
        <f aca="false">SQRT((1-(V492/pterm2))^2+(A492/pterm1)^2)</f>
        <v>1.19239362167771</v>
      </c>
      <c r="P492" s="712" t="n">
        <f aca="false">IF((ATAN((A492/pterm1)/(1-A492^2/pterm2))&gt;0),ATAN((A492/pterm1)/(1-A492^2/pterm2)),PI()+ATAN((A492/pterm1)/(1-A492^2/pterm2)))</f>
        <v>0.797431970798474</v>
      </c>
      <c r="Q492" s="713" t="n">
        <f aca="false">20*LOG10(((E492*K492*G492)/(C492*I492*O492*M492))*Adc)</f>
        <v>-26.754091154115</v>
      </c>
      <c r="R492" s="714" t="n">
        <f aca="false">((F492+L492+H492)-(D492+J492+P492+N492))*radconv</f>
        <v>-208.271572477328</v>
      </c>
      <c r="S492" s="717" t="n">
        <f aca="false">IF(R492&gt;0,R492,R492+180)</f>
        <v>-28.2715724773283</v>
      </c>
      <c r="U492" s="644" t="n">
        <f aca="false">IF(Q492&lt;0,A492,1000000000)</f>
        <v>61309</v>
      </c>
      <c r="V492" s="644" t="n">
        <f aca="false">A492^2</f>
        <v>3758793481</v>
      </c>
      <c r="X492" s="716" t="n">
        <f aca="false">20*LOG10((K492/(I492*M492))*AEA)</f>
        <v>9.47139162561087</v>
      </c>
      <c r="Y492" s="717" t="n">
        <f aca="false">(L492-(J492+N492))*radconv</f>
        <v>-68.4812113295401</v>
      </c>
      <c r="AA492" s="716" t="n">
        <f aca="false">20*LOG10((E492*G492/(C492*O492))*Acs*Am)</f>
        <v>15.2551425748285</v>
      </c>
      <c r="AB492" s="717" t="n">
        <f aca="false">(F492+H492-(D492+P492))*radconv</f>
        <v>-139.790361147788</v>
      </c>
      <c r="AD492" s="0" t="n">
        <f aca="false">SUM((Q493&lt;0)*(Q492&gt;0))*A492</f>
        <v>0</v>
      </c>
      <c r="AE492" s="0" t="n">
        <f aca="false">IF(AD492&gt;0,S492,0)</f>
        <v>0</v>
      </c>
    </row>
    <row r="493" customFormat="false" ht="12.75" hidden="false" customHeight="false" outlineLevel="0" collapsed="false">
      <c r="A493" s="718" t="n">
        <v>61660</v>
      </c>
      <c r="B493" s="706" t="n">
        <f aca="false">A493/1000</f>
        <v>61.66</v>
      </c>
      <c r="C493" s="707" t="n">
        <f aca="false">SQRT(1+(A493/pole1)^2)</f>
        <v>105.302992522252</v>
      </c>
      <c r="D493" s="708" t="n">
        <f aca="false">ATAN(A493/pole1)</f>
        <v>1.56129977777054</v>
      </c>
      <c r="E493" s="708" t="n">
        <f aca="false">SQRT(1+(A493/Zero1)^2)</f>
        <v>1.26506156458412</v>
      </c>
      <c r="F493" s="709" t="n">
        <f aca="false">ATAN(A493/Zero1)</f>
        <v>0.659211606276604</v>
      </c>
      <c r="G493" s="708" t="n">
        <f aca="false">IF(VIN_nom&gt;Vout, 1, SQRT(1+(A493/z_RHP)^2))</f>
        <v>1.35466897034762</v>
      </c>
      <c r="H493" s="709" t="n">
        <f aca="false">IF(VIN_nom&gt;Vout, 0, -ATAN(A493/z_RHP))</f>
        <v>-0.740416400264932</v>
      </c>
      <c r="I493" s="707" t="n">
        <f aca="false">SQRT(1+(A493/Pole2)^2)</f>
        <v>255777.134226302</v>
      </c>
      <c r="J493" s="710" t="n">
        <f aca="false">ATAN(A493/Pole2)</f>
        <v>1.57079241714127</v>
      </c>
      <c r="K493" s="719" t="n">
        <f aca="false">SQRT(1+(A493/Zero2)^2)</f>
        <v>79.1448474503194</v>
      </c>
      <c r="L493" s="720" t="n">
        <f aca="false">ATAN(A493/Zero2)</f>
        <v>1.55816092927263</v>
      </c>
      <c r="M493" s="707" t="n">
        <f aca="false">SQRT(1+(A493/pole4)^2)</f>
        <v>2.65430678724386</v>
      </c>
      <c r="N493" s="710" t="n">
        <f aca="false">ATAN(A493/pole4)</f>
        <v>1.18451517076488</v>
      </c>
      <c r="O493" s="711" t="n">
        <f aca="false">SQRT((1-(V493/pterm2))^2+(A493/pterm1)^2)</f>
        <v>1.19455859830692</v>
      </c>
      <c r="P493" s="712" t="n">
        <f aca="false">IF((ATAN((A493/pterm1)/(1-A493^2/pterm2))&gt;0),ATAN((A493/pterm1)/(1-A493^2/pterm2)),PI()+ATAN((A493/pterm1)/(1-A493^2/pterm2)))</f>
        <v>0.801437624738284</v>
      </c>
      <c r="Q493" s="713" t="n">
        <f aca="false">20*LOG10(((E493*K493*G493)/(C493*I493*O493*M493))*Adc)</f>
        <v>-26.8209187649119</v>
      </c>
      <c r="R493" s="714" t="n">
        <f aca="false">((F493+L493+H493)-(D493+J493+P493+N493))*radconv</f>
        <v>-208.619024469491</v>
      </c>
      <c r="S493" s="717" t="n">
        <f aca="false">IF(R493&gt;0,R493,R493+180)</f>
        <v>-28.6190244694908</v>
      </c>
      <c r="U493" s="644" t="n">
        <f aca="false">IF(Q493&lt;0,A493,1000000000)</f>
        <v>61660</v>
      </c>
      <c r="V493" s="644" t="n">
        <f aca="false">A493^2</f>
        <v>3801955600</v>
      </c>
      <c r="X493" s="716" t="n">
        <f aca="false">20*LOG10((K493/(I493*M493))*AEA)</f>
        <v>9.42887056455067</v>
      </c>
      <c r="Y493" s="717" t="n">
        <f aca="false">(L493-(J493+N493))*radconv</f>
        <v>-68.5914510762669</v>
      </c>
      <c r="AA493" s="716" t="n">
        <f aca="false">20*LOG10((E493*G493/(C493*O493))*Acs*Am)</f>
        <v>15.2308360250918</v>
      </c>
      <c r="AB493" s="717" t="n">
        <f aca="false">(F493+H493-(D493+P493))*radconv</f>
        <v>-140.027573393224</v>
      </c>
      <c r="AD493" s="0" t="n">
        <f aca="false">SUM((Q494&lt;0)*(Q493&gt;0))*A493</f>
        <v>0</v>
      </c>
      <c r="AE493" s="0" t="n">
        <f aca="false">IF(AD493&gt;0,S493,0)</f>
        <v>0</v>
      </c>
    </row>
    <row r="494" customFormat="false" ht="12.75" hidden="false" customHeight="false" outlineLevel="0" collapsed="false">
      <c r="A494" s="718" t="n">
        <v>62019</v>
      </c>
      <c r="B494" s="706" t="n">
        <f aca="false">A494/1000</f>
        <v>62.019</v>
      </c>
      <c r="C494" s="707" t="n">
        <f aca="false">SQRT(1+(A494/pole1)^2)</f>
        <v>105.916037851022</v>
      </c>
      <c r="D494" s="708" t="n">
        <f aca="false">ATAN(A494/pole1)</f>
        <v>1.56135474573044</v>
      </c>
      <c r="E494" s="708" t="n">
        <f aca="false">SQRT(1+(A494/Zero1)^2)</f>
        <v>1.26782973987474</v>
      </c>
      <c r="F494" s="709" t="n">
        <f aca="false">ATAN(A494/Zero1)</f>
        <v>0.662024363759545</v>
      </c>
      <c r="G494" s="708" t="n">
        <f aca="false">IF(VIN_nom&gt;Vout, 1, SQRT(1+(A494/z_RHP)^2))</f>
        <v>1.3582639577343</v>
      </c>
      <c r="H494" s="709" t="n">
        <f aca="false">IF(VIN_nom&gt;Vout, 0, -ATAN(A494/z_RHP))</f>
        <v>-0.743308083393794</v>
      </c>
      <c r="I494" s="707" t="n">
        <f aca="false">SQRT(1+(A494/Pole2)^2)</f>
        <v>257266.332915661</v>
      </c>
      <c r="J494" s="710" t="n">
        <f aca="false">ATAN(A494/Pole2)</f>
        <v>1.57079243977249</v>
      </c>
      <c r="K494" s="719" t="n">
        <f aca="false">SQRT(1+(A494/Zero2)^2)</f>
        <v>79.605575270202</v>
      </c>
      <c r="L494" s="720" t="n">
        <f aca="false">ATAN(A494/Zero2)</f>
        <v>1.5582340621691</v>
      </c>
      <c r="M494" s="707" t="n">
        <f aca="false">SQRT(1+(A494/pole4)^2)</f>
        <v>2.66757276875198</v>
      </c>
      <c r="N494" s="710" t="n">
        <f aca="false">ATAN(A494/pole4)</f>
        <v>1.18653695292061</v>
      </c>
      <c r="O494" s="711" t="n">
        <f aca="false">SQRT((1-(V494/pterm2))^2+(A494/pterm1)^2)</f>
        <v>1.19678482605764</v>
      </c>
      <c r="P494" s="712" t="n">
        <f aca="false">IF((ATAN((A494/pterm1)/(1-A494^2/pterm2))&gt;0),ATAN((A494/pterm1)/(1-A494^2/pterm2)),PI()+ATAN((A494/pterm1)/(1-A494^2/pterm2)))</f>
        <v>0.805526343484335</v>
      </c>
      <c r="Q494" s="713" t="n">
        <f aca="false">20*LOG10(((E494*K494*G494)/(C494*I494*O494*M494))*Adc)</f>
        <v>-26.8888171458228</v>
      </c>
      <c r="R494" s="714" t="n">
        <f aca="false">((F494+L494+H494)-(D494+J494+P494+N494))*radconv</f>
        <v>-208.972613011157</v>
      </c>
      <c r="S494" s="717" t="n">
        <f aca="false">IF(R494&gt;0,R494,R494+180)</f>
        <v>-28.9726130111567</v>
      </c>
      <c r="U494" s="644" t="n">
        <f aca="false">IF(Q494&lt;0,A494,1000000000)</f>
        <v>62019</v>
      </c>
      <c r="V494" s="644" t="n">
        <f aca="false">A494^2</f>
        <v>3846356361</v>
      </c>
      <c r="X494" s="716" t="n">
        <f aca="false">20*LOG10((K494/(I494*M494))*AEA)</f>
        <v>9.38555940516924</v>
      </c>
      <c r="Y494" s="717" t="n">
        <f aca="false">(L494-(J494+N494))*radconv</f>
        <v>-68.7031017513746</v>
      </c>
      <c r="AA494" s="716" t="n">
        <f aca="false">20*LOG10((E494*G494/(C494*O494))*Acs*Am)</f>
        <v>15.2062488035623</v>
      </c>
      <c r="AB494" s="717" t="n">
        <f aca="false">(F494+H494-(D494+P494))*radconv</f>
        <v>-140.269511259782</v>
      </c>
      <c r="AD494" s="0" t="n">
        <f aca="false">SUM((Q495&lt;0)*(Q494&gt;0))*A494</f>
        <v>0</v>
      </c>
      <c r="AE494" s="0" t="n">
        <f aca="false">IF(AD494&gt;0,S494,0)</f>
        <v>0</v>
      </c>
    </row>
    <row r="495" customFormat="false" ht="12.75" hidden="false" customHeight="false" outlineLevel="0" collapsed="false">
      <c r="A495" s="718" t="n">
        <v>62378</v>
      </c>
      <c r="B495" s="706" t="n">
        <f aca="false">A495/1000</f>
        <v>62.378</v>
      </c>
      <c r="C495" s="707" t="n">
        <f aca="false">SQRT(1+(A495/pole1)^2)</f>
        <v>106.529083496131</v>
      </c>
      <c r="D495" s="708" t="n">
        <f aca="false">ATAN(A495/pole1)</f>
        <v>1.56140908103944</v>
      </c>
      <c r="E495" s="708" t="n">
        <f aca="false">SQRT(1+(A495/Zero1)^2)</f>
        <v>1.27060790198121</v>
      </c>
      <c r="F495" s="709" t="n">
        <f aca="false">ATAN(A495/Zero1)</f>
        <v>0.66482484322748</v>
      </c>
      <c r="G495" s="708" t="n">
        <f aca="false">IF(VIN_nom&gt;Vout, 1, SQRT(1+(A495/z_RHP)^2))</f>
        <v>1.3618702426777</v>
      </c>
      <c r="H495" s="709" t="n">
        <f aca="false">IF(VIN_nom&gt;Vout, 0, -ATAN(A495/z_RHP))</f>
        <v>-0.746184475891703</v>
      </c>
      <c r="I495" s="707" t="n">
        <f aca="false">SQRT(1+(A495/Pole2)^2)</f>
        <v>258755.531605019</v>
      </c>
      <c r="J495" s="710" t="n">
        <f aca="false">ATAN(A495/Pole2)</f>
        <v>1.57079246214322</v>
      </c>
      <c r="K495" s="719" t="n">
        <f aca="false">SQRT(1+(A495/Zero2)^2)</f>
        <v>80.0663035109487</v>
      </c>
      <c r="L495" s="720" t="n">
        <f aca="false">ATAN(A495/Zero2)</f>
        <v>1.55830635340375</v>
      </c>
      <c r="M495" s="707" t="n">
        <f aca="false">SQRT(1+(A495/pole4)^2)</f>
        <v>2.6808495462979</v>
      </c>
      <c r="N495" s="710" t="n">
        <f aca="false">ATAN(A495/pole4)</f>
        <v>1.18853871763496</v>
      </c>
      <c r="O495" s="711" t="n">
        <f aca="false">SQRT((1-(V495/pterm2))^2+(A495/pterm1)^2)</f>
        <v>1.19902308446718</v>
      </c>
      <c r="P495" s="712" t="n">
        <f aca="false">IF((ATAN((A495/pterm1)/(1-A495^2/pterm2))&gt;0),ATAN((A495/pterm1)/(1-A495^2/pterm2)),PI()+ATAN((A495/pterm1)/(1-A495^2/pterm2)))</f>
        <v>0.809606728793982</v>
      </c>
      <c r="Q495" s="713" t="n">
        <f aca="false">20*LOG10(((E495*K495*G495)/(C495*I495*O495*M495))*Adc)</f>
        <v>-26.9562636111086</v>
      </c>
      <c r="R495" s="714" t="n">
        <f aca="false">((F495+L495+H495)-(D495+J495+P495+N495))*radconv</f>
        <v>-209.324416517518</v>
      </c>
      <c r="S495" s="717" t="n">
        <f aca="false">IF(R495&gt;0,R495,R495+180)</f>
        <v>-29.3244165175177</v>
      </c>
      <c r="U495" s="644" t="n">
        <f aca="false">IF(Q495&lt;0,A495,1000000000)</f>
        <v>62378</v>
      </c>
      <c r="V495" s="644" t="n">
        <f aca="false">A495^2</f>
        <v>3891014884</v>
      </c>
      <c r="X495" s="716" t="n">
        <f aca="false">20*LOG10((K495/(I495*M495))*AEA)</f>
        <v>9.34242822022395</v>
      </c>
      <c r="Y495" s="717" t="n">
        <f aca="false">(L495-(J495+N495))*radconv</f>
        <v>-68.8136537203178</v>
      </c>
      <c r="AA495" s="716" t="n">
        <f aca="false">20*LOG10((E495*G495/(C495*O495))*Acs*Am)</f>
        <v>15.1819335232218</v>
      </c>
      <c r="AB495" s="717" t="n">
        <f aca="false">(F495+H495-(D495+P495))*radconv</f>
        <v>-140.5107627972</v>
      </c>
      <c r="AD495" s="0" t="n">
        <f aca="false">SUM((Q496&lt;0)*(Q495&gt;0))*A495</f>
        <v>0</v>
      </c>
      <c r="AE495" s="0" t="n">
        <f aca="false">IF(AD495&gt;0,S495,0)</f>
        <v>0</v>
      </c>
    </row>
    <row r="496" customFormat="false" ht="12.75" hidden="false" customHeight="false" outlineLevel="0" collapsed="false">
      <c r="A496" s="718" t="n">
        <v>62737</v>
      </c>
      <c r="B496" s="706" t="n">
        <f aca="false">A496/1000</f>
        <v>62.737</v>
      </c>
      <c r="C496" s="707" t="n">
        <f aca="false">SQRT(1+(A496/pole1)^2)</f>
        <v>107.14212945215</v>
      </c>
      <c r="D496" s="708" t="n">
        <f aca="false">ATAN(A496/pole1)</f>
        <v>1.56146279455694</v>
      </c>
      <c r="E496" s="708" t="n">
        <f aca="false">SQRT(1+(A496/Zero1)^2)</f>
        <v>1.27339598553896</v>
      </c>
      <c r="F496" s="709" t="n">
        <f aca="false">ATAN(A496/Zero1)</f>
        <v>0.667613081258062</v>
      </c>
      <c r="G496" s="708" t="n">
        <f aca="false">IF(VIN_nom&gt;Vout, 1, SQRT(1+(A496/z_RHP)^2))</f>
        <v>1.36548773566649</v>
      </c>
      <c r="H496" s="709" t="n">
        <f aca="false">IF(VIN_nom&gt;Vout, 0, -ATAN(A496/z_RHP))</f>
        <v>-0.749045651499003</v>
      </c>
      <c r="I496" s="707" t="n">
        <f aca="false">SQRT(1+(A496/Pole2)^2)</f>
        <v>260244.730294378</v>
      </c>
      <c r="J496" s="710" t="n">
        <f aca="false">ATAN(A496/Pole2)</f>
        <v>1.57079248425792</v>
      </c>
      <c r="K496" s="719" t="n">
        <f aca="false">SQRT(1+(A496/Zero2)^2)</f>
        <v>80.5270321653357</v>
      </c>
      <c r="L496" s="720" t="n">
        <f aca="false">ATAN(A496/Zero2)</f>
        <v>1.55837781742231</v>
      </c>
      <c r="M496" s="707" t="n">
        <f aca="false">SQRT(1+(A496/pole4)^2)</f>
        <v>2.69413696027216</v>
      </c>
      <c r="N496" s="710" t="n">
        <f aca="false">ATAN(A496/pole4)</f>
        <v>1.19052074492243</v>
      </c>
      <c r="O496" s="711" t="n">
        <f aca="false">SQRT((1-(V496/pterm2))^2+(A496/pterm1)^2)</f>
        <v>1.20127336307312</v>
      </c>
      <c r="P496" s="712" t="n">
        <f aca="false">IF((ATAN((A496/pterm1)/(1-A496^2/pterm2))&gt;0),ATAN((A496/pterm1)/(1-A496^2/pterm2)),PI()+ATAN((A496/pterm1)/(1-A496^2/pterm2)))</f>
        <v>0.813678772453797</v>
      </c>
      <c r="Q496" s="713" t="n">
        <f aca="false">20*LOG10(((E496*K496*G496)/(C496*I496*O496*M496))*Adc)</f>
        <v>-27.0232636723035</v>
      </c>
      <c r="R496" s="714" t="n">
        <f aca="false">((F496+L496+H496)-(D496+J496+P496+N496))*radconv</f>
        <v>-209.674452485668</v>
      </c>
      <c r="S496" s="717" t="n">
        <f aca="false">IF(R496&gt;0,R496,R496+180)</f>
        <v>-29.6744524856678</v>
      </c>
      <c r="U496" s="644" t="n">
        <f aca="false">IF(Q496&lt;0,A496,1000000000)</f>
        <v>62737</v>
      </c>
      <c r="V496" s="644" t="n">
        <f aca="false">A496^2</f>
        <v>3935931169</v>
      </c>
      <c r="X496" s="716" t="n">
        <f aca="false">20*LOG10((K496/(I496*M496))*AEA)</f>
        <v>9.29947591751392</v>
      </c>
      <c r="Y496" s="717" t="n">
        <f aca="false">(L496-(J496+N496))*radconv</f>
        <v>-68.9231221993234</v>
      </c>
      <c r="AA496" s="716" t="n">
        <f aca="false">20*LOG10((E496*G496/(C496*O496))*Acs*Am)</f>
        <v>15.157885764737</v>
      </c>
      <c r="AB496" s="717" t="n">
        <f aca="false">(F496+H496-(D496+P496))*radconv</f>
        <v>-140.751330286344</v>
      </c>
      <c r="AD496" s="0" t="n">
        <f aca="false">SUM((Q497&lt;0)*(Q496&gt;0))*A496</f>
        <v>0</v>
      </c>
      <c r="AE496" s="0" t="n">
        <f aca="false">IF(AD496&gt;0,S496,0)</f>
        <v>0</v>
      </c>
    </row>
    <row r="497" customFormat="false" ht="12.75" hidden="false" customHeight="false" outlineLevel="0" collapsed="false">
      <c r="A497" s="718" t="n">
        <v>63096</v>
      </c>
      <c r="B497" s="706" t="n">
        <f aca="false">A497/1000</f>
        <v>63.096</v>
      </c>
      <c r="C497" s="707" t="n">
        <f aca="false">SQRT(1+(A497/pole1)^2)</f>
        <v>107.755175713771</v>
      </c>
      <c r="D497" s="708" t="n">
        <f aca="false">ATAN(A497/pole1)</f>
        <v>1.5615158968952</v>
      </c>
      <c r="E497" s="708" t="n">
        <f aca="false">SQRT(1+(A497/Zero1)^2)</f>
        <v>1.27619392552222</v>
      </c>
      <c r="F497" s="709" t="n">
        <f aca="false">ATAN(A497/Zero1)</f>
        <v>0.670389114871227</v>
      </c>
      <c r="G497" s="708" t="n">
        <f aca="false">IF(VIN_nom&gt;Vout, 1, SQRT(1+(A497/z_RHP)^2))</f>
        <v>1.36911634785864</v>
      </c>
      <c r="H497" s="709" t="n">
        <f aca="false">IF(VIN_nom&gt;Vout, 0, -ATAN(A497/z_RHP))</f>
        <v>-0.751891684174478</v>
      </c>
      <c r="I497" s="707" t="n">
        <f aca="false">SQRT(1+(A497/Pole2)^2)</f>
        <v>261733.928983737</v>
      </c>
      <c r="J497" s="710" t="n">
        <f aca="false">ATAN(A497/Pole2)</f>
        <v>1.57079250612096</v>
      </c>
      <c r="K497" s="719" t="n">
        <f aca="false">SQRT(1+(A497/Zero2)^2)</f>
        <v>80.9877612263036</v>
      </c>
      <c r="L497" s="720" t="n">
        <f aca="false">ATAN(A497/Zero2)</f>
        <v>1.55844846834183</v>
      </c>
      <c r="M497" s="707" t="n">
        <f aca="false">SQRT(1+(A497/pole4)^2)</f>
        <v>2.70743485407195</v>
      </c>
      <c r="N497" s="710" t="n">
        <f aca="false">ATAN(A497/pole4)</f>
        <v>1.19248330992317</v>
      </c>
      <c r="O497" s="711" t="n">
        <f aca="false">SQRT((1-(V497/pterm2))^2+(A497/pterm1)^2)</f>
        <v>1.20353565145806</v>
      </c>
      <c r="P497" s="712" t="n">
        <f aca="false">IF((ATAN((A497/pterm1)/(1-A497^2/pterm2))&gt;0),ATAN((A497/pterm1)/(1-A497^2/pterm2)),PI()+ATAN((A497/pterm1)/(1-A497^2/pterm2)))</f>
        <v>0.81774246662961</v>
      </c>
      <c r="Q497" s="713" t="n">
        <f aca="false">20*LOG10(((E497*K497*G497)/(C497*I497*O497*M497))*Adc)</f>
        <v>-27.0898227639178</v>
      </c>
      <c r="R497" s="714" t="n">
        <f aca="false">((F497+L497+H497)-(D497+J497+P497+N497))*radconv</f>
        <v>-210.022738146993</v>
      </c>
      <c r="S497" s="717" t="n">
        <f aca="false">IF(R497&gt;0,R497,R497+180)</f>
        <v>-30.0227381469927</v>
      </c>
      <c r="U497" s="644" t="n">
        <f aca="false">IF(Q497&lt;0,A497,1000000000)</f>
        <v>63096</v>
      </c>
      <c r="V497" s="644" t="n">
        <f aca="false">A497^2</f>
        <v>3981105216</v>
      </c>
      <c r="X497" s="716" t="n">
        <f aca="false">20*LOG10((K497/(I497*M497))*AEA)</f>
        <v>9.25670140669401</v>
      </c>
      <c r="Y497" s="717" t="n">
        <f aca="false">(L497-(J497+N497))*radconv</f>
        <v>-69.0315221441632</v>
      </c>
      <c r="AA497" s="716" t="n">
        <f aca="false">20*LOG10((E497*G497/(C497*O497))*Acs*Am)</f>
        <v>15.1341011839425</v>
      </c>
      <c r="AB497" s="717" t="n">
        <f aca="false">(F497+H497-(D497+P497))*radconv</f>
        <v>-140.991216002829</v>
      </c>
      <c r="AD497" s="0" t="n">
        <f aca="false">SUM((Q498&lt;0)*(Q497&gt;0))*A497</f>
        <v>0</v>
      </c>
      <c r="AE497" s="0" t="n">
        <f aca="false">IF(AD497&gt;0,S497,0)</f>
        <v>0</v>
      </c>
    </row>
    <row r="498" customFormat="false" ht="12.75" hidden="false" customHeight="false" outlineLevel="0" collapsed="false">
      <c r="A498" s="718" t="n">
        <v>63463.25</v>
      </c>
      <c r="B498" s="706" t="n">
        <f aca="false">A498/1000</f>
        <v>63.46325</v>
      </c>
      <c r="C498" s="707" t="n">
        <f aca="false">SQRT(1+(A498/pole1)^2)</f>
        <v>108.382310396673</v>
      </c>
      <c r="D498" s="708" t="n">
        <f aca="false">ATAN(A498/pole1)</f>
        <v>1.56156959795663</v>
      </c>
      <c r="E498" s="708" t="n">
        <f aca="false">SQRT(1+(A498/Zero1)^2)</f>
        <v>1.27906629491251</v>
      </c>
      <c r="F498" s="709" t="n">
        <f aca="false">ATAN(A498/Zero1)</f>
        <v>0.673216353842344</v>
      </c>
      <c r="G498" s="708" t="n">
        <f aca="false">IF(VIN_nom&gt;Vout, 1, SQRT(1+(A498/z_RHP)^2))</f>
        <v>1.37283976087309</v>
      </c>
      <c r="H498" s="709" t="n">
        <f aca="false">IF(VIN_nom&gt;Vout, 0, -ATAN(A498/z_RHP))</f>
        <v>-0.754787528513318</v>
      </c>
      <c r="I498" s="707" t="n">
        <f aca="false">SQRT(1+(A498/Pole2)^2)</f>
        <v>263257.350205651</v>
      </c>
      <c r="J498" s="710" t="n">
        <f aca="false">ATAN(A498/Pole2)</f>
        <v>1.57079252823049</v>
      </c>
      <c r="K498" s="719" t="n">
        <f aca="false">SQRT(1+(A498/Zero2)^2)</f>
        <v>81.4590784856091</v>
      </c>
      <c r="L498" s="720" t="n">
        <f aca="false">ATAN(A498/Zero2)</f>
        <v>1.55851991589742</v>
      </c>
      <c r="M498" s="707" t="n">
        <f aca="false">SQRT(1+(A498/pole4)^2)</f>
        <v>2.72104902377733</v>
      </c>
      <c r="N498" s="710" t="n">
        <f aca="false">ATAN(A498/pole4)</f>
        <v>1.19447111921495</v>
      </c>
      <c r="O498" s="711" t="n">
        <f aca="false">SQRT((1-(V498/pterm2))^2+(A498/pterm1)^2)</f>
        <v>1.20586234448675</v>
      </c>
      <c r="P498" s="712" t="n">
        <f aca="false">IF((ATAN((A498/pterm1)/(1-A498^2/pterm2))&gt;0),ATAN((A498/pterm1)/(1-A498^2/pterm2)),PI()+ATAN((A498/pterm1)/(1-A498^2/pterm2)))</f>
        <v>0.821890899259109</v>
      </c>
      <c r="Q498" s="713" t="n">
        <f aca="false">20*LOG10(((E498*K498*G498)/(C498*I498*O498*M498))*Adc)</f>
        <v>-27.1574607170564</v>
      </c>
      <c r="R498" s="714" t="n">
        <f aca="false">((F498+L498+H498)-(D498+J498+P498+N498))*radconv</f>
        <v>-210.377234177146</v>
      </c>
      <c r="S498" s="717" t="n">
        <f aca="false">IF(R498&gt;0,R498,R498+180)</f>
        <v>-30.3772341771465</v>
      </c>
      <c r="U498" s="644" t="n">
        <f aca="false">IF(Q498&lt;0,A498,1000000000)</f>
        <v>63463.25</v>
      </c>
      <c r="V498" s="644" t="n">
        <f aca="false">A498^2</f>
        <v>4027584100.5625</v>
      </c>
      <c r="X498" s="716" t="n">
        <f aca="false">20*LOG10((K498/(I498*M498))*AEA)</f>
        <v>9.21312674901773</v>
      </c>
      <c r="Y498" s="717" t="n">
        <f aca="false">(L498-(J498+N498))*radconv</f>
        <v>-69.1413228505752</v>
      </c>
      <c r="AA498" s="716" t="n">
        <f aca="false">20*LOG10((E498*G498/(C498*O498))*Acs*Am)</f>
        <v>15.1100378884802</v>
      </c>
      <c r="AB498" s="717" t="n">
        <f aca="false">(F498+H498-(D498+P498))*radconv</f>
        <v>-141.235911326571</v>
      </c>
      <c r="AD498" s="0" t="n">
        <f aca="false">SUM((Q499&lt;0)*(Q498&gt;0))*A498</f>
        <v>0</v>
      </c>
      <c r="AE498" s="0" t="n">
        <f aca="false">IF(AD498&gt;0,S498,0)</f>
        <v>0</v>
      </c>
    </row>
    <row r="499" customFormat="false" ht="12.75" hidden="false" customHeight="false" outlineLevel="0" collapsed="false">
      <c r="A499" s="718" t="n">
        <v>63830.5</v>
      </c>
      <c r="B499" s="706" t="n">
        <f aca="false">A499/1000</f>
        <v>63.8305</v>
      </c>
      <c r="C499" s="707" t="n">
        <f aca="false">SQRT(1+(A499/pole1)^2)</f>
        <v>109.009445388532</v>
      </c>
      <c r="D499" s="708" t="n">
        <f aca="false">ATAN(A499/pole1)</f>
        <v>1.56162268113019</v>
      </c>
      <c r="E499" s="708" t="n">
        <f aca="false">SQRT(1+(A499/Zero1)^2)</f>
        <v>1.28194884237448</v>
      </c>
      <c r="F499" s="709" t="n">
        <f aca="false">ATAN(A499/Zero1)</f>
        <v>0.676030900756085</v>
      </c>
      <c r="G499" s="708" t="n">
        <f aca="false">IF(VIN_nom&gt;Vout, 1, SQRT(1+(A499/z_RHP)^2))</f>
        <v>1.37657462406915</v>
      </c>
      <c r="H499" s="709" t="n">
        <f aca="false">IF(VIN_nom&gt;Vout, 0, -ATAN(A499/z_RHP))</f>
        <v>-0.757667683134762</v>
      </c>
      <c r="I499" s="707" t="n">
        <f aca="false">SQRT(1+(A499/Pole2)^2)</f>
        <v>264780.771427565</v>
      </c>
      <c r="J499" s="710" t="n">
        <f aca="false">ATAN(A499/Pole2)</f>
        <v>1.5707925500856</v>
      </c>
      <c r="K499" s="719" t="n">
        <f aca="false">SQRT(1+(A499/Zero2)^2)</f>
        <v>81.9303961559587</v>
      </c>
      <c r="L499" s="720" t="n">
        <f aca="false">ATAN(A499/Zero2)</f>
        <v>1.55859054142646</v>
      </c>
      <c r="M499" s="707" t="n">
        <f aca="false">SQRT(1+(A499/pole4)^2)</f>
        <v>2.73467383831886</v>
      </c>
      <c r="N499" s="710" t="n">
        <f aca="false">ATAN(A499/pole4)</f>
        <v>1.19643912871362</v>
      </c>
      <c r="O499" s="711" t="n">
        <f aca="false">SQRT((1-(V499/pterm2))^2+(A499/pterm1)^2)</f>
        <v>1.20820158371132</v>
      </c>
      <c r="P499" s="712" t="n">
        <f aca="false">IF((ATAN((A499/pterm1)/(1-A499^2/pterm2))&gt;0),ATAN((A499/pterm1)/(1-A499^2/pterm2)),PI()+ATAN((A499/pterm1)/(1-A499^2/pterm2)))</f>
        <v>0.826030578859732</v>
      </c>
      <c r="Q499" s="713" t="n">
        <f aca="false">20*LOG10(((E499*K499*G499)/(C499*I499*O499*M499))*Adc)</f>
        <v>-27.2246484635126</v>
      </c>
      <c r="R499" s="714" t="n">
        <f aca="false">((F499+L499+H499)-(D499+J499+P499+N499))*radconv</f>
        <v>-210.729934179546</v>
      </c>
      <c r="S499" s="717" t="n">
        <f aca="false">IF(R499&gt;0,R499,R499+180)</f>
        <v>-30.7299341795463</v>
      </c>
      <c r="U499" s="644" t="n">
        <f aca="false">IF(Q499&lt;0,A499,1000000000)</f>
        <v>63830.5</v>
      </c>
      <c r="V499" s="644" t="n">
        <f aca="false">A499^2</f>
        <v>4074332730.25</v>
      </c>
      <c r="X499" s="716" t="n">
        <f aca="false">20*LOG10((K499/(I499*M499))*AEA)</f>
        <v>9.16973584751038</v>
      </c>
      <c r="Y499" s="717" t="n">
        <f aca="false">(L499-(J499+N499))*radconv</f>
        <v>-69.2500361964807</v>
      </c>
      <c r="AA499" s="716" t="n">
        <f aca="false">20*LOG10((E499*G499/(C499*O499))*Acs*Am)</f>
        <v>15.0862410435314</v>
      </c>
      <c r="AB499" s="717" t="n">
        <f aca="false">(F499+H499-(D499+P499))*radconv</f>
        <v>-141.479897983066</v>
      </c>
      <c r="AD499" s="0" t="n">
        <f aca="false">SUM((Q500&lt;0)*(Q499&gt;0))*A499</f>
        <v>0</v>
      </c>
      <c r="AE499" s="0" t="n">
        <f aca="false">IF(AD499&gt;0,S499,0)</f>
        <v>0</v>
      </c>
    </row>
    <row r="500" customFormat="false" ht="12.75" hidden="false" customHeight="false" outlineLevel="0" collapsed="false">
      <c r="A500" s="718" t="n">
        <v>64197.75</v>
      </c>
      <c r="B500" s="706" t="n">
        <f aca="false">A500/1000</f>
        <v>64.19775</v>
      </c>
      <c r="C500" s="707" t="n">
        <f aca="false">SQRT(1+(A500/pole1)^2)</f>
        <v>109.636580684046</v>
      </c>
      <c r="D500" s="708" t="n">
        <f aca="false">ATAN(A500/pole1)</f>
        <v>1.56167515701879</v>
      </c>
      <c r="E500" s="708" t="n">
        <f aca="false">SQRT(1+(A500/Zero1)^2)</f>
        <v>1.2848414994045</v>
      </c>
      <c r="F500" s="709" t="n">
        <f aca="false">ATAN(A500/Zero1)</f>
        <v>0.678832796594484</v>
      </c>
      <c r="G500" s="708" t="n">
        <f aca="false">IF(VIN_nom&gt;Vout, 1, SQRT(1+(A500/z_RHP)^2))</f>
        <v>1.38032084450135</v>
      </c>
      <c r="H500" s="709" t="n">
        <f aca="false">IF(VIN_nom&gt;Vout, 0, -ATAN(A500/z_RHP))</f>
        <v>-0.760532227808153</v>
      </c>
      <c r="I500" s="707" t="n">
        <f aca="false">SQRT(1+(A500/Pole2)^2)</f>
        <v>266304.192649479</v>
      </c>
      <c r="J500" s="710" t="n">
        <f aca="false">ATAN(A500/Pole2)</f>
        <v>1.57079257169067</v>
      </c>
      <c r="K500" s="719" t="n">
        <f aca="false">SQRT(1+(A500/Zero2)^2)</f>
        <v>82.4017142302995</v>
      </c>
      <c r="L500" s="720" t="n">
        <f aca="false">ATAN(A500/Zero2)</f>
        <v>1.55866035903361</v>
      </c>
      <c r="M500" s="707" t="n">
        <f aca="false">SQRT(1+(A500/pole4)^2)</f>
        <v>2.74830913938037</v>
      </c>
      <c r="N500" s="710" t="n">
        <f aca="false">ATAN(A500/pole4)</f>
        <v>1.19838761776099</v>
      </c>
      <c r="O500" s="711" t="n">
        <f aca="false">SQRT((1-(V500/pterm2))^2+(A500/pterm1)^2)</f>
        <v>1.2105533581298</v>
      </c>
      <c r="P500" s="712" t="n">
        <f aca="false">IF((ATAN((A500/pterm1)/(1-A500^2/pterm2))&gt;0),ATAN((A500/pterm1)/(1-A500^2/pterm2)),PI()+ATAN((A500/pterm1)/(1-A500^2/pterm2)))</f>
        <v>0.830161498254164</v>
      </c>
      <c r="Q500" s="713" t="n">
        <f aca="false">20*LOG10(((E500*K500*G500)/(C500*I500*O500*M500))*Adc)</f>
        <v>-27.2913915784162</v>
      </c>
      <c r="R500" s="714" t="n">
        <f aca="false">((F500+L500+H500)-(D500+J500+P500+N500))*radconv</f>
        <v>-211.080855770032</v>
      </c>
      <c r="S500" s="717" t="n">
        <f aca="false">IF(R500&gt;0,R500,R500+180)</f>
        <v>-31.080855770032</v>
      </c>
      <c r="U500" s="644" t="n">
        <f aca="false">IF(Q500&lt;0,A500,1000000000)</f>
        <v>64197.75</v>
      </c>
      <c r="V500" s="644" t="n">
        <f aca="false">A500^2</f>
        <v>4121351105.0625</v>
      </c>
      <c r="X500" s="716" t="n">
        <f aca="false">20*LOG10((K500/(I500*M500))*AEA)</f>
        <v>9.12652754278908</v>
      </c>
      <c r="Y500" s="717" t="n">
        <f aca="false">(L500-(J500+N500))*radconv</f>
        <v>-69.3576773790995</v>
      </c>
      <c r="AA500" s="716" t="n">
        <f aca="false">20*LOG10((E500*G500/(C500*O500))*Acs*Am)</f>
        <v>15.0627062333491</v>
      </c>
      <c r="AB500" s="717" t="n">
        <f aca="false">(F500+H500-(D500+P500))*radconv</f>
        <v>-141.723178390932</v>
      </c>
      <c r="AD500" s="0" t="n">
        <f aca="false">SUM((Q501&lt;0)*(Q500&gt;0))*A500</f>
        <v>0</v>
      </c>
      <c r="AE500" s="0" t="n">
        <f aca="false">IF(AD500&gt;0,S500,0)</f>
        <v>0</v>
      </c>
    </row>
    <row r="501" customFormat="false" ht="12.75" hidden="false" customHeight="false" outlineLevel="0" collapsed="false">
      <c r="A501" s="718" t="n">
        <v>64565</v>
      </c>
      <c r="B501" s="706" t="n">
        <f aca="false">A501/1000</f>
        <v>64.565</v>
      </c>
      <c r="C501" s="707" t="n">
        <f aca="false">SQRT(1+(A501/pole1)^2)</f>
        <v>110.263716278034</v>
      </c>
      <c r="D501" s="708" t="n">
        <f aca="false">ATAN(A501/pole1)</f>
        <v>1.5617270359841</v>
      </c>
      <c r="E501" s="708" t="n">
        <f aca="false">SQRT(1+(A501/Zero1)^2)</f>
        <v>1.28774419787527</v>
      </c>
      <c r="F501" s="709" t="n">
        <f aca="false">ATAN(A501/Zero1)</f>
        <v>0.681622082766543</v>
      </c>
      <c r="G501" s="708" t="n">
        <f aca="false">IF(VIN_nom&gt;Vout, 1, SQRT(1+(A501/z_RHP)^2))</f>
        <v>1.38407832994938</v>
      </c>
      <c r="H501" s="709" t="n">
        <f aca="false">IF(VIN_nom&gt;Vout, 0, -ATAN(A501/z_RHP))</f>
        <v>-0.763381242465243</v>
      </c>
      <c r="I501" s="707" t="n">
        <f aca="false">SQRT(1+(A501/Pole2)^2)</f>
        <v>267827.613871393</v>
      </c>
      <c r="J501" s="710" t="n">
        <f aca="false">ATAN(A501/Pole2)</f>
        <v>1.57079259304995</v>
      </c>
      <c r="K501" s="719" t="n">
        <f aca="false">SQRT(1+(A501/Zero2)^2)</f>
        <v>82.8730327017384</v>
      </c>
      <c r="L501" s="720" t="n">
        <f aca="false">ATAN(A501/Zero2)</f>
        <v>1.55872938250271</v>
      </c>
      <c r="M501" s="707" t="n">
        <f aca="false">SQRT(1+(A501/pole4)^2)</f>
        <v>2.76195477165138</v>
      </c>
      <c r="N501" s="710" t="n">
        <f aca="false">ATAN(A501/pole4)</f>
        <v>1.20031686077776</v>
      </c>
      <c r="O501" s="711" t="n">
        <f aca="false">SQRT((1-(V501/pterm2))^2+(A501/pterm1)^2)</f>
        <v>1.2129176567922</v>
      </c>
      <c r="P501" s="712" t="n">
        <f aca="false">IF((ATAN((A501/pterm1)/(1-A501^2/pterm2))&gt;0),ATAN((A501/pterm1)/(1-A501^2/pterm2)),PI()+ATAN((A501/pterm1)/(1-A501^2/pterm2)))</f>
        <v>0.834283650665159</v>
      </c>
      <c r="Q501" s="713" t="n">
        <f aca="false">20*LOG10(((E501*K501*G501)/(C501*I501*O501*M501))*Adc)</f>
        <v>-27.3576955575348</v>
      </c>
      <c r="R501" s="714" t="n">
        <f aca="false">((F501+L501+H501)-(D501+J501+P501+N501))*radconv</f>
        <v>-211.430016294803</v>
      </c>
      <c r="S501" s="717" t="n">
        <f aca="false">IF(R501&gt;0,R501,R501+180)</f>
        <v>-31.430016294803</v>
      </c>
      <c r="U501" s="644" t="n">
        <f aca="false">IF(Q501&lt;0,A501,1000000000)</f>
        <v>64565</v>
      </c>
      <c r="V501" s="644" t="n">
        <f aca="false">A501^2</f>
        <v>4168639225</v>
      </c>
      <c r="X501" s="716" t="n">
        <f aca="false">20*LOG10((K501/(I501*M501))*AEA)</f>
        <v>9.08350067869495</v>
      </c>
      <c r="Y501" s="717" t="n">
        <f aca="false">(L501-(J501+N501))*radconv</f>
        <v>-69.4642613320668</v>
      </c>
      <c r="AA501" s="716" t="n">
        <f aca="false">20*LOG10((E501*G501/(C501*O501))*Acs*Am)</f>
        <v>15.0394291183247</v>
      </c>
      <c r="AB501" s="717" t="n">
        <f aca="false">(F501+H501-(D501+P501))*radconv</f>
        <v>-141.965754962736</v>
      </c>
      <c r="AD501" s="0" t="n">
        <f aca="false">SUM((Q502&lt;0)*(Q501&gt;0))*A501</f>
        <v>0</v>
      </c>
      <c r="AE501" s="0" t="n">
        <f aca="false">IF(AD501&gt;0,S501,0)</f>
        <v>0</v>
      </c>
    </row>
    <row r="502" customFormat="false" ht="12.75" hidden="false" customHeight="false" outlineLevel="0" collapsed="false">
      <c r="A502" s="718" t="n">
        <v>64941</v>
      </c>
      <c r="B502" s="706" t="n">
        <f aca="false">A502/1000</f>
        <v>64.941</v>
      </c>
      <c r="C502" s="707" t="n">
        <f aca="false">SQRT(1+(A502/pole1)^2)</f>
        <v>110.905794140418</v>
      </c>
      <c r="D502" s="708" t="n">
        <f aca="false">ATAN(A502/pole1)</f>
        <v>1.56177954315183</v>
      </c>
      <c r="E502" s="708" t="n">
        <f aca="false">SQRT(1+(A502/Zero1)^2)</f>
        <v>1.29072638767364</v>
      </c>
      <c r="F502" s="709" t="n">
        <f aca="false">ATAN(A502/Zero1)</f>
        <v>0.684464805500769</v>
      </c>
      <c r="G502" s="708" t="n">
        <f aca="false">IF(VIN_nom&gt;Vout, 1, SQRT(1+(A502/z_RHP)^2))</f>
        <v>1.38793691550526</v>
      </c>
      <c r="H502" s="709" t="n">
        <f aca="false">IF(VIN_nom&gt;Vout, 0, -ATAN(A502/z_RHP))</f>
        <v>-0.766282131156266</v>
      </c>
      <c r="I502" s="707" t="n">
        <f aca="false">SQRT(1+(A502/Pole2)^2)</f>
        <v>269387.331718745</v>
      </c>
      <c r="J502" s="710" t="n">
        <f aca="false">ATAN(A502/Pole2)</f>
        <v>1.57079261466785</v>
      </c>
      <c r="K502" s="719" t="n">
        <f aca="false">SQRT(1+(A502/Zero2)^2)</f>
        <v>83.3555810850344</v>
      </c>
      <c r="L502" s="720" t="n">
        <f aca="false">ATAN(A502/Zero2)</f>
        <v>1.55879924182798</v>
      </c>
      <c r="M502" s="707" t="n">
        <f aca="false">SQRT(1+(A502/pole4)^2)</f>
        <v>2.77593606536431</v>
      </c>
      <c r="N502" s="710" t="n">
        <f aca="false">ATAN(A502/pole4)</f>
        <v>1.20227241160156</v>
      </c>
      <c r="O502" s="711" t="n">
        <f aca="false">SQRT((1-(V502/pterm2))^2+(A502/pterm1)^2)</f>
        <v>1.21535125061869</v>
      </c>
      <c r="P502" s="712" t="n">
        <f aca="false">IF((ATAN((A502/pterm1)/(1-A502^2/pterm2))&gt;0),ATAN((A502/pterm1)/(1-A502^2/pterm2)),PI()+ATAN((A502/pterm1)/(1-A502^2/pterm2)))</f>
        <v>0.838494926921436</v>
      </c>
      <c r="Q502" s="713" t="n">
        <f aca="false">20*LOG10(((E502*K502*G502)/(C502*I502*O502*M502))*Adc)</f>
        <v>-27.4251299798175</v>
      </c>
      <c r="R502" s="714" t="n">
        <f aca="false">((F502+L502+H502)-(D502+J502+P502+N502))*radconv</f>
        <v>-211.785689156942</v>
      </c>
      <c r="S502" s="717" t="n">
        <f aca="false">IF(R502&gt;0,R502,R502+180)</f>
        <v>-31.7856891569425</v>
      </c>
      <c r="U502" s="644" t="n">
        <f aca="false">IF(Q502&lt;0,A502,1000000000)</f>
        <v>64941</v>
      </c>
      <c r="V502" s="644" t="n">
        <f aca="false">A502^2</f>
        <v>4217333481</v>
      </c>
      <c r="X502" s="716" t="n">
        <f aca="false">20*LOG10((K502/(I502*M502))*AEA)</f>
        <v>9.03963544098023</v>
      </c>
      <c r="Y502" s="717" t="n">
        <f aca="false">(L502-(J502+N502))*radconv</f>
        <v>-69.5723047351341</v>
      </c>
      <c r="AA502" s="716" t="n">
        <f aca="false">20*LOG10((E502*G502/(C502*O502))*Acs*Am)</f>
        <v>15.0158599337566</v>
      </c>
      <c r="AB502" s="717" t="n">
        <f aca="false">(F502+H502-(D502+P502))*radconv</f>
        <v>-142.213384421808</v>
      </c>
      <c r="AD502" s="0" t="n">
        <f aca="false">SUM((Q503&lt;0)*(Q502&gt;0))*A502</f>
        <v>0</v>
      </c>
      <c r="AE502" s="0" t="n">
        <f aca="false">IF(AD502&gt;0,S502,0)</f>
        <v>0</v>
      </c>
    </row>
    <row r="503" customFormat="false" ht="12.75" hidden="false" customHeight="false" outlineLevel="0" collapsed="false">
      <c r="A503" s="718" t="n">
        <v>65317</v>
      </c>
      <c r="B503" s="706" t="n">
        <f aca="false">A503/1000</f>
        <v>65.317</v>
      </c>
      <c r="C503" s="707" t="n">
        <f aca="false">SQRT(1+(A503/pole1)^2)</f>
        <v>111.547872305051</v>
      </c>
      <c r="D503" s="708" t="n">
        <f aca="false">ATAN(A503/pole1)</f>
        <v>1.56183144584908</v>
      </c>
      <c r="E503" s="708" t="n">
        <f aca="false">SQRT(1+(A503/Zero1)^2)</f>
        <v>1.29371895978946</v>
      </c>
      <c r="F503" s="709" t="n">
        <f aca="false">ATAN(A503/Zero1)</f>
        <v>0.687294399698204</v>
      </c>
      <c r="G503" s="708" t="n">
        <f aca="false">IF(VIN_nom&gt;Vout, 1, SQRT(1+(A503/z_RHP)^2))</f>
        <v>1.39180711594793</v>
      </c>
      <c r="H503" s="709" t="n">
        <f aca="false">IF(VIN_nom&gt;Vout, 0, -ATAN(A503/z_RHP))</f>
        <v>-0.769166910998578</v>
      </c>
      <c r="I503" s="707" t="n">
        <f aca="false">SQRT(1+(A503/Pole2)^2)</f>
        <v>270947.049566096</v>
      </c>
      <c r="J503" s="710" t="n">
        <f aca="false">ATAN(A503/Pole2)</f>
        <v>1.57079263603686</v>
      </c>
      <c r="K503" s="719" t="n">
        <f aca="false">SQRT(1+(A503/Zero2)^2)</f>
        <v>83.8381298704499</v>
      </c>
      <c r="L503" s="720" t="n">
        <f aca="false">ATAN(A503/Zero2)</f>
        <v>1.55886829697217</v>
      </c>
      <c r="M503" s="707" t="n">
        <f aca="false">SQRT(1+(A503/pole4)^2)</f>
        <v>2.7899278683325</v>
      </c>
      <c r="N503" s="710" t="n">
        <f aca="false">ATAN(A503/pole4)</f>
        <v>1.20420835515107</v>
      </c>
      <c r="O503" s="711" t="n">
        <f aca="false">SQRT((1-(V503/pterm2))^2+(A503/pterm1)^2)</f>
        <v>1.21779794953726</v>
      </c>
      <c r="P503" s="712" t="n">
        <f aca="false">IF((ATAN((A503/pterm1)/(1-A503^2/pterm2))&gt;0),ATAN((A503/pterm1)/(1-A503^2/pterm2)),PI()+ATAN((A503/pterm1)/(1-A503^2/pterm2)))</f>
        <v>0.842697000348769</v>
      </c>
      <c r="Q503" s="713" t="n">
        <f aca="false">20*LOG10(((E503*K503*G503)/(C503*I503*O503*M503))*Adc)</f>
        <v>-27.4921155006705</v>
      </c>
      <c r="R503" s="714" t="n">
        <f aca="false">((F503+L503+H503)-(D503+J503+P503+N503))*radconv</f>
        <v>-212.139551990777</v>
      </c>
      <c r="S503" s="717" t="n">
        <f aca="false">IF(R503&gt;0,R503,R503+180)</f>
        <v>-32.1395519907766</v>
      </c>
      <c r="U503" s="644" t="n">
        <f aca="false">IF(Q503&lt;0,A503,1000000000)</f>
        <v>65317</v>
      </c>
      <c r="V503" s="644" t="n">
        <f aca="false">A503^2</f>
        <v>4266310489</v>
      </c>
      <c r="X503" s="716" t="n">
        <f aca="false">20*LOG10((K503/(I503*M503))*AEA)</f>
        <v>8.99595795157894</v>
      </c>
      <c r="Y503" s="717" t="n">
        <f aca="false">(L503-(J503+N503))*radconv</f>
        <v>-69.6792707860571</v>
      </c>
      <c r="AA503" s="716" t="n">
        <f aca="false">20*LOG10((E503*G503/(C503*O503))*Acs*Am)</f>
        <v>14.9925519023049</v>
      </c>
      <c r="AB503" s="717" t="n">
        <f aca="false">(F503+H503-(D503+P503))*radconv</f>
        <v>-142.46028120472</v>
      </c>
      <c r="AD503" s="0" t="n">
        <f aca="false">SUM((Q504&lt;0)*(Q503&gt;0))*A503</f>
        <v>0</v>
      </c>
      <c r="AE503" s="0" t="n">
        <f aca="false">IF(AD503&gt;0,S503,0)</f>
        <v>0</v>
      </c>
    </row>
    <row r="504" customFormat="false" ht="12.75" hidden="false" customHeight="false" outlineLevel="0" collapsed="false">
      <c r="A504" s="718" t="n">
        <v>65693</v>
      </c>
      <c r="B504" s="706" t="n">
        <f aca="false">A504/1000</f>
        <v>65.693</v>
      </c>
      <c r="C504" s="707" t="n">
        <f aca="false">SQRT(1+(A504/pole1)^2)</f>
        <v>112.189950766742</v>
      </c>
      <c r="D504" s="708" t="n">
        <f aca="false">ATAN(A504/pole1)</f>
        <v>1.56188275445397</v>
      </c>
      <c r="E504" s="708" t="n">
        <f aca="false">SQRT(1+(A504/Zero1)^2)</f>
        <v>1.29672184234184</v>
      </c>
      <c r="F504" s="709" t="n">
        <f aca="false">ATAN(A504/Zero1)</f>
        <v>0.690110911098583</v>
      </c>
      <c r="G504" s="708" t="n">
        <f aca="false">IF(VIN_nom&gt;Vout, 1, SQRT(1+(A504/z_RHP)^2))</f>
        <v>1.39568883465426</v>
      </c>
      <c r="H504" s="709" t="n">
        <f aca="false">IF(VIN_nom&gt;Vout, 0, -ATAN(A504/z_RHP))</f>
        <v>-0.772035668185222</v>
      </c>
      <c r="I504" s="707" t="n">
        <f aca="false">SQRT(1+(A504/Pole2)^2)</f>
        <v>272506.767413448</v>
      </c>
      <c r="J504" s="710" t="n">
        <f aca="false">ATAN(A504/Pole2)</f>
        <v>1.57079265716126</v>
      </c>
      <c r="K504" s="719" t="n">
        <f aca="false">SQRT(1+(A504/Zero2)^2)</f>
        <v>84.3206790510811</v>
      </c>
      <c r="L504" s="720" t="n">
        <f aca="false">ATAN(A504/Zero2)</f>
        <v>1.5589365617411</v>
      </c>
      <c r="M504" s="707" t="n">
        <f aca="false">SQRT(1+(A504/pole4)^2)</f>
        <v>2.80393002323027</v>
      </c>
      <c r="N504" s="710" t="n">
        <f aca="false">ATAN(A504/pole4)</f>
        <v>1.20612497054745</v>
      </c>
      <c r="O504" s="711" t="n">
        <f aca="false">SQRT((1-(V504/pterm2))^2+(A504/pterm1)^2)</f>
        <v>1.22025774196973</v>
      </c>
      <c r="P504" s="712" t="n">
        <f aca="false">IF((ATAN((A504/pterm1)/(1-A504^2/pterm2))&gt;0),ATAN((A504/pterm1)/(1-A504^2/pterm2)),PI()+ATAN((A504/pterm1)/(1-A504^2/pterm2)))</f>
        <v>0.846889864951736</v>
      </c>
      <c r="Q504" s="713" t="n">
        <f aca="false">20*LOG10(((E504*K504*G504)/(C504*I504*O504*M504))*Adc)</f>
        <v>-27.5586577674173</v>
      </c>
      <c r="R504" s="714" t="n">
        <f aca="false">((F504+L504+H504)-(D504+J504+P504+N504))*radconv</f>
        <v>-212.491622566914</v>
      </c>
      <c r="S504" s="717" t="n">
        <f aca="false">IF(R504&gt;0,R504,R504+180)</f>
        <v>-32.4916225669141</v>
      </c>
      <c r="U504" s="644" t="n">
        <f aca="false">IF(Q504&lt;0,A504,1000000000)</f>
        <v>65693</v>
      </c>
      <c r="V504" s="644" t="n">
        <f aca="false">A504^2</f>
        <v>4315570249</v>
      </c>
      <c r="X504" s="716" t="n">
        <f aca="false">20*LOG10((K504/(I504*M504))*AEA)</f>
        <v>8.9524669818704</v>
      </c>
      <c r="Y504" s="717" t="n">
        <f aca="false">(L504-(J504+N504))*radconv</f>
        <v>-69.7851746865305</v>
      </c>
      <c r="AA504" s="716" t="n">
        <f aca="false">20*LOG10((E504*G504/(C504*O504))*Acs*Am)</f>
        <v>14.9695006052667</v>
      </c>
      <c r="AB504" s="717" t="n">
        <f aca="false">(F504+H504-(D504+P504))*radconv</f>
        <v>-142.706447880384</v>
      </c>
      <c r="AD504" s="0" t="n">
        <f aca="false">SUM((Q505&lt;0)*(Q504&gt;0))*A504</f>
        <v>0</v>
      </c>
      <c r="AE504" s="0" t="n">
        <f aca="false">IF(AD504&gt;0,S504,0)</f>
        <v>0</v>
      </c>
    </row>
    <row r="505" customFormat="false" ht="12.75" hidden="false" customHeight="false" outlineLevel="0" collapsed="false">
      <c r="A505" s="718" t="n">
        <v>66069</v>
      </c>
      <c r="B505" s="706" t="n">
        <f aca="false">A505/1000</f>
        <v>66.069</v>
      </c>
      <c r="C505" s="707" t="n">
        <f aca="false">SQRT(1+(A505/pole1)^2)</f>
        <v>112.832029520419</v>
      </c>
      <c r="D505" s="708" t="n">
        <f aca="false">ATAN(A505/pole1)</f>
        <v>1.5619334791084</v>
      </c>
      <c r="E505" s="708" t="n">
        <f aca="false">SQRT(1+(A505/Zero1)^2)</f>
        <v>1.2997349638677</v>
      </c>
      <c r="F505" s="709" t="n">
        <f aca="false">ATAN(A505/Zero1)</f>
        <v>0.692914385849924</v>
      </c>
      <c r="G505" s="708" t="n">
        <f aca="false">IF(VIN_nom&gt;Vout, 1, SQRT(1+(A505/z_RHP)^2))</f>
        <v>1.39958197578708</v>
      </c>
      <c r="H505" s="709" t="n">
        <f aca="false">IF(VIN_nom&gt;Vout, 0, -ATAN(A505/z_RHP))</f>
        <v>-0.774888489009364</v>
      </c>
      <c r="I505" s="707" t="n">
        <f aca="false">SQRT(1+(A505/Pole2)^2)</f>
        <v>274066.4852608</v>
      </c>
      <c r="J505" s="710" t="n">
        <f aca="false">ATAN(A505/Pole2)</f>
        <v>1.57079267804522</v>
      </c>
      <c r="K505" s="719" t="n">
        <f aca="false">SQRT(1+(A505/Zero2)^2)</f>
        <v>84.8032286201815</v>
      </c>
      <c r="L505" s="720" t="n">
        <f aca="false">ATAN(A505/Zero2)</f>
        <v>1.55900404962636</v>
      </c>
      <c r="M505" s="707" t="n">
        <f aca="false">SQRT(1+(A505/pole4)^2)</f>
        <v>2.81794237574361</v>
      </c>
      <c r="N505" s="710" t="n">
        <f aca="false">ATAN(A505/pole4)</f>
        <v>1.20802253193426</v>
      </c>
      <c r="O505" s="711" t="n">
        <f aca="false">SQRT((1-(V505/pterm2))^2+(A505/pterm1)^2)</f>
        <v>1.22273061639767</v>
      </c>
      <c r="P505" s="712" t="n">
        <f aca="false">IF((ATAN((A505/pterm1)/(1-A505^2/pterm2))&gt;0),ATAN((A505/pterm1)/(1-A505^2/pterm2)),PI()+ATAN((A505/pterm1)/(1-A505^2/pterm2)))</f>
        <v>0.851073515157234</v>
      </c>
      <c r="Q505" s="713" t="n">
        <f aca="false">20*LOG10(((E505*K505*G505)/(C505*I505*O505*M505))*Adc)</f>
        <v>-27.6247623454163</v>
      </c>
      <c r="R505" s="714" t="n">
        <f aca="false">((F505+L505+H505)-(D505+J505+P505+N505))*radconv</f>
        <v>-212.841918381772</v>
      </c>
      <c r="S505" s="717" t="n">
        <f aca="false">IF(R505&gt;0,R505,R505+180)</f>
        <v>-32.8419183817721</v>
      </c>
      <c r="U505" s="644" t="n">
        <f aca="false">IF(Q505&lt;0,A505,1000000000)</f>
        <v>66069</v>
      </c>
      <c r="V505" s="644" t="n">
        <f aca="false">A505^2</f>
        <v>4365112761</v>
      </c>
      <c r="X505" s="716" t="n">
        <f aca="false">20*LOG10((K505/(I505*M505))*AEA)</f>
        <v>8.90916130784467</v>
      </c>
      <c r="Y505" s="717" t="n">
        <f aca="false">(L505-(J505+N505))*radconv</f>
        <v>-69.8900313710507</v>
      </c>
      <c r="AA505" s="716" t="n">
        <f aca="false">20*LOG10((E505*G505/(C505*O505))*Acs*Am)</f>
        <v>14.9467017012934</v>
      </c>
      <c r="AB505" s="717" t="n">
        <f aca="false">(F505+H505-(D505+P505))*radconv</f>
        <v>-142.951887010721</v>
      </c>
      <c r="AD505" s="0" t="n">
        <f aca="false">SUM((Q506&lt;0)*(Q505&gt;0))*A505</f>
        <v>0</v>
      </c>
      <c r="AE505" s="0" t="n">
        <f aca="false">IF(AD505&gt;0,S505,0)</f>
        <v>0</v>
      </c>
    </row>
    <row r="506" customFormat="false" ht="12.75" hidden="false" customHeight="false" outlineLevel="0" collapsed="false">
      <c r="A506" s="718" t="n">
        <v>66453.75</v>
      </c>
      <c r="B506" s="706" t="n">
        <f aca="false">A506/1000</f>
        <v>66.45375</v>
      </c>
      <c r="C506" s="707" t="n">
        <f aca="false">SQRT(1+(A506/pole1)^2)</f>
        <v>113.489050563458</v>
      </c>
      <c r="D506" s="708" t="n">
        <f aca="false">ATAN(A506/pole1)</f>
        <v>1.5619847900371</v>
      </c>
      <c r="E506" s="708" t="n">
        <f aca="false">SQRT(1+(A506/Zero1)^2)</f>
        <v>1.30282872962329</v>
      </c>
      <c r="F506" s="709" t="n">
        <f aca="false">ATAN(A506/Zero1)</f>
        <v>0.695769654344153</v>
      </c>
      <c r="G506" s="708" t="n">
        <f aca="false">IF(VIN_nom&gt;Vout, 1, SQRT(1+(A506/z_RHP)^2))</f>
        <v>1.40357744036854</v>
      </c>
      <c r="H506" s="709" t="n">
        <f aca="false">IF(VIN_nom&gt;Vout, 0, -ATAN(A506/z_RHP))</f>
        <v>-0.777791291756216</v>
      </c>
      <c r="I506" s="707" t="n">
        <f aca="false">SQRT(1+(A506/Pole2)^2)</f>
        <v>275662.499733589</v>
      </c>
      <c r="J506" s="710" t="n">
        <f aca="false">ATAN(A506/Pole2)</f>
        <v>1.57079269917053</v>
      </c>
      <c r="K506" s="719" t="n">
        <f aca="false">SQRT(1+(A506/Zero2)^2)</f>
        <v>85.2970081290323</v>
      </c>
      <c r="L506" s="720" t="n">
        <f aca="false">ATAN(A506/Zero2)</f>
        <v>1.55907231758244</v>
      </c>
      <c r="M506" s="707" t="n">
        <f aca="false">SQRT(1+(A506/pole4)^2)</f>
        <v>2.83229121203818</v>
      </c>
      <c r="N506" s="710" t="n">
        <f aca="false">ATAN(A506/pole4)</f>
        <v>1.20994480858543</v>
      </c>
      <c r="O506" s="711" t="n">
        <f aca="false">SQRT((1-(V506/pterm2))^2+(A506/pterm1)^2)</f>
        <v>1.22527456800754</v>
      </c>
      <c r="P506" s="712" t="n">
        <f aca="false">IF((ATAN((A506/pterm1)/(1-A506^2/pterm2))&gt;0),ATAN((A506/pterm1)/(1-A506^2/pterm2)),PI()+ATAN((A506/pterm1)/(1-A506^2/pterm2)))</f>
        <v>0.85534498032977</v>
      </c>
      <c r="Q506" s="713" t="n">
        <f aca="false">20*LOG10(((E506*K506*G506)/(C506*I506*O506*M506))*Adc)</f>
        <v>-27.6919578968649</v>
      </c>
      <c r="R506" s="714" t="n">
        <f aca="false">((F506+L506+H506)-(D506+J506+P506+N506))*radconv</f>
        <v>-213.198546804418</v>
      </c>
      <c r="S506" s="717" t="n">
        <f aca="false">IF(R506&gt;0,R506,R506+180)</f>
        <v>-33.198546804418</v>
      </c>
      <c r="U506" s="644" t="n">
        <f aca="false">IF(Q506&lt;0,A506,1000000000)</f>
        <v>66453.75</v>
      </c>
      <c r="V506" s="644" t="n">
        <f aca="false">A506^2</f>
        <v>4416100889.0625</v>
      </c>
      <c r="X506" s="716" t="n">
        <f aca="false">20*LOG10((K506/(I506*M506))*AEA)</f>
        <v>8.86503839764373</v>
      </c>
      <c r="Y506" s="717" t="n">
        <f aca="false">(L506-(J506+N506))*radconv</f>
        <v>-69.9962594549718</v>
      </c>
      <c r="AA506" s="716" t="n">
        <f aca="false">20*LOG10((E506*G506/(C506*O506))*Acs*Am)</f>
        <v>14.9236290600458</v>
      </c>
      <c r="AB506" s="717" t="n">
        <f aca="false">(F506+H506-(D506+P506))*radconv</f>
        <v>-143.202287349446</v>
      </c>
      <c r="AD506" s="0" t="n">
        <f aca="false">SUM((Q507&lt;0)*(Q506&gt;0))*A506</f>
        <v>0</v>
      </c>
      <c r="AE506" s="0" t="n">
        <f aca="false">IF(AD506&gt;0,S506,0)</f>
        <v>0</v>
      </c>
    </row>
    <row r="507" customFormat="false" ht="12.75" hidden="false" customHeight="false" outlineLevel="0" collapsed="false">
      <c r="A507" s="718" t="n">
        <v>66838.5</v>
      </c>
      <c r="B507" s="706" t="n">
        <f aca="false">A507/1000</f>
        <v>66.8385</v>
      </c>
      <c r="C507" s="707" t="n">
        <f aca="false">SQRT(1+(A507/pole1)^2)</f>
        <v>114.146071901852</v>
      </c>
      <c r="D507" s="708" t="n">
        <f aca="false">ATAN(A507/pole1)</f>
        <v>1.56203551027763</v>
      </c>
      <c r="E507" s="708" t="n">
        <f aca="false">SQRT(1+(A507/Zero1)^2)</f>
        <v>1.30593306639121</v>
      </c>
      <c r="F507" s="709" t="n">
        <f aca="false">ATAN(A507/Zero1)</f>
        <v>0.698611371382289</v>
      </c>
      <c r="G507" s="708" t="n">
        <f aca="false">IF(VIN_nom&gt;Vout, 1, SQRT(1+(A507/z_RHP)^2))</f>
        <v>1.40758466466383</v>
      </c>
      <c r="H507" s="709" t="n">
        <f aca="false">IF(VIN_nom&gt;Vout, 0, -ATAN(A507/z_RHP))</f>
        <v>-0.780677590847885</v>
      </c>
      <c r="I507" s="707" t="n">
        <f aca="false">SQRT(1+(A507/Pole2)^2)</f>
        <v>277258.514206378</v>
      </c>
      <c r="J507" s="710" t="n">
        <f aca="false">ATAN(A507/Pole2)</f>
        <v>1.57079272005264</v>
      </c>
      <c r="K507" s="719" t="n">
        <f aca="false">SQRT(1+(A507/Zero2)^2)</f>
        <v>85.7907880308349</v>
      </c>
      <c r="L507" s="720" t="n">
        <f aca="false">ATAN(A507/Zero2)</f>
        <v>1.55913979968886</v>
      </c>
      <c r="M507" s="707" t="n">
        <f aca="false">SQRT(1+(A507/pole4)^2)</f>
        <v>2.84665040853695</v>
      </c>
      <c r="N507" s="710" t="n">
        <f aca="false">ATAN(A507/pole4)</f>
        <v>1.21184769934785</v>
      </c>
      <c r="O507" s="711" t="n">
        <f aca="false">SQRT((1-(V507/pterm2))^2+(A507/pterm1)^2)</f>
        <v>1.22783219335906</v>
      </c>
      <c r="P507" s="712" t="n">
        <f aca="false">IF((ATAN((A507/pterm1)/(1-A507^2/pterm2))&gt;0),ATAN((A507/pterm1)/(1-A507^2/pterm2)),PI()+ATAN((A507/pterm1)/(1-A507^2/pterm2)))</f>
        <v>0.859606786781728</v>
      </c>
      <c r="Q507" s="713" t="n">
        <f aca="false">20*LOG10(((E507*K507*G507)/(C507*I507*O507*M507))*Adc)</f>
        <v>-27.7587066844043</v>
      </c>
      <c r="R507" s="714" t="n">
        <f aca="false">((F507+L507+H507)-(D507+J507+P507+N507))*radconv</f>
        <v>-213.553353112977</v>
      </c>
      <c r="S507" s="717" t="n">
        <f aca="false">IF(R507&gt;0,R507,R507+180)</f>
        <v>-33.5533531129775</v>
      </c>
      <c r="U507" s="644" t="n">
        <f aca="false">IF(Q507&lt;0,A507,1000000000)</f>
        <v>66838.5</v>
      </c>
      <c r="V507" s="644" t="n">
        <f aca="false">A507^2</f>
        <v>4467385082.25</v>
      </c>
      <c r="X507" s="716" t="n">
        <f aca="false">20*LOG10((K507/(I507*M507))*AEA)</f>
        <v>8.82110693026824</v>
      </c>
      <c r="Y507" s="717" t="n">
        <f aca="false">(L507-(J507+N507))*radconv</f>
        <v>-70.1014218212196</v>
      </c>
      <c r="AA507" s="716" t="n">
        <f aca="false">20*LOG10((E507*G507/(C507*O507))*Acs*Am)</f>
        <v>14.9008117398819</v>
      </c>
      <c r="AB507" s="717" t="n">
        <f aca="false">(F507+H507-(D507+P507))*radconv</f>
        <v>-143.451931291758</v>
      </c>
      <c r="AD507" s="0" t="n">
        <f aca="false">SUM((Q508&lt;0)*(Q507&gt;0))*A507</f>
        <v>0</v>
      </c>
      <c r="AE507" s="0" t="n">
        <f aca="false">IF(AD507&gt;0,S507,0)</f>
        <v>0</v>
      </c>
    </row>
    <row r="508" customFormat="false" ht="12.75" hidden="false" customHeight="false" outlineLevel="0" collapsed="false">
      <c r="A508" s="718" t="n">
        <v>67223.25</v>
      </c>
      <c r="B508" s="706" t="n">
        <f aca="false">A508/1000</f>
        <v>67.22325</v>
      </c>
      <c r="C508" s="707" t="n">
        <f aca="false">SQRT(1+(A508/pole1)^2)</f>
        <v>114.803093530531</v>
      </c>
      <c r="D508" s="708" t="n">
        <f aca="false">ATAN(A508/pole1)</f>
        <v>1.5620856499713</v>
      </c>
      <c r="E508" s="708" t="n">
        <f aca="false">SQRT(1+(A508/Zero1)^2)</f>
        <v>1.30904789896571</v>
      </c>
      <c r="F508" s="709" t="n">
        <f aca="false">ATAN(A508/Zero1)</f>
        <v>0.701439587641171</v>
      </c>
      <c r="G508" s="708" t="n">
        <f aca="false">IF(VIN_nom&gt;Vout, 1, SQRT(1+(A508/z_RHP)^2))</f>
        <v>1.41160354852341</v>
      </c>
      <c r="H508" s="709" t="n">
        <f aca="false">IF(VIN_nom&gt;Vout, 0, -ATAN(A508/z_RHP))</f>
        <v>-0.783547478949029</v>
      </c>
      <c r="I508" s="707" t="n">
        <f aca="false">SQRT(1+(A508/Pole2)^2)</f>
        <v>278854.528679167</v>
      </c>
      <c r="J508" s="710" t="n">
        <f aca="false">ATAN(A508/Pole2)</f>
        <v>1.5707927406957</v>
      </c>
      <c r="K508" s="719" t="n">
        <f aca="false">SQRT(1+(A508/Zero2)^2)</f>
        <v>86.2845683188431</v>
      </c>
      <c r="L508" s="720" t="n">
        <f aca="false">ATAN(A508/Zero2)</f>
        <v>1.55920650943652</v>
      </c>
      <c r="M508" s="707" t="n">
        <f aca="false">SQRT(1+(A508/pole4)^2)</f>
        <v>2.86101980924918</v>
      </c>
      <c r="N508" s="710" t="n">
        <f aca="false">ATAN(A508/pole4)</f>
        <v>1.21373148243159</v>
      </c>
      <c r="O508" s="711" t="n">
        <f aca="false">SQRT((1-(V508/pterm2))^2+(A508/pterm1)^2)</f>
        <v>1.23040348030917</v>
      </c>
      <c r="P508" s="712" t="n">
        <f aca="false">IF((ATAN((A508/pterm1)/(1-A508^2/pterm2))&gt;0),ATAN((A508/pterm1)/(1-A508^2/pterm2)),PI()+ATAN((A508/pterm1)/(1-A508^2/pterm2)))</f>
        <v>0.863858929886376</v>
      </c>
      <c r="Q508" s="713" t="n">
        <f aca="false">20*LOG10(((E508*K508*G508)/(C508*I508*O508*M508))*Adc)</f>
        <v>-27.8250144127476</v>
      </c>
      <c r="R508" s="714" t="n">
        <f aca="false">((F508+L508+H508)-(D508+J508+P508+N508))*radconv</f>
        <v>-213.906355196666</v>
      </c>
      <c r="S508" s="717" t="n">
        <f aca="false">IF(R508&gt;0,R508,R508+180)</f>
        <v>-33.9063551966659</v>
      </c>
      <c r="U508" s="644" t="n">
        <f aca="false">IF(Q508&lt;0,A508,1000000000)</f>
        <v>67223.25</v>
      </c>
      <c r="V508" s="644" t="n">
        <f aca="false">A508^2</f>
        <v>4518965340.5625</v>
      </c>
      <c r="X508" s="716" t="n">
        <f aca="false">20*LOG10((K508/(I508*M508))*AEA)</f>
        <v>8.77736561070751</v>
      </c>
      <c r="Y508" s="717" t="n">
        <f aca="false">(L508-(J508+N508))*radconv</f>
        <v>-70.2055336373221</v>
      </c>
      <c r="AA508" s="716" t="n">
        <f aca="false">20*LOG10((E508*G508/(C508*O508))*Acs*Am)</f>
        <v>14.8782453310993</v>
      </c>
      <c r="AB508" s="717" t="n">
        <f aca="false">(F508+H508-(D508+P508))*radconv</f>
        <v>-143.700821559344</v>
      </c>
      <c r="AD508" s="0" t="n">
        <f aca="false">SUM((Q509&lt;0)*(Q508&gt;0))*A508</f>
        <v>0</v>
      </c>
      <c r="AE508" s="0" t="n">
        <f aca="false">IF(AD508&gt;0,S508,0)</f>
        <v>0</v>
      </c>
    </row>
    <row r="509" customFormat="false" ht="12.75" hidden="false" customHeight="false" outlineLevel="0" collapsed="false">
      <c r="A509" s="718" t="n">
        <v>67608</v>
      </c>
      <c r="B509" s="706" t="n">
        <f aca="false">A509/1000</f>
        <v>67.608</v>
      </c>
      <c r="C509" s="707" t="n">
        <f aca="false">SQRT(1+(A509/pole1)^2)</f>
        <v>115.460115444539</v>
      </c>
      <c r="D509" s="708" t="n">
        <f aca="false">ATAN(A509/pole1)</f>
        <v>1.5621352190286</v>
      </c>
      <c r="E509" s="708" t="n">
        <f aca="false">SQRT(1+(A509/Zero1)^2)</f>
        <v>1.31217315260205</v>
      </c>
      <c r="F509" s="709" t="n">
        <f aca="false">ATAN(A509/Zero1)</f>
        <v>0.704254354181192</v>
      </c>
      <c r="G509" s="708" t="n">
        <f aca="false">IF(VIN_nom&gt;Vout, 1, SQRT(1+(A509/z_RHP)^2))</f>
        <v>1.4156339926453</v>
      </c>
      <c r="H509" s="709" t="n">
        <f aca="false">IF(VIN_nom&gt;Vout, 0, -ATAN(A509/z_RHP))</f>
        <v>-0.78640104875491</v>
      </c>
      <c r="I509" s="707" t="n">
        <f aca="false">SQRT(1+(A509/Pole2)^2)</f>
        <v>280450.543151956</v>
      </c>
      <c r="J509" s="710" t="n">
        <f aca="false">ATAN(A509/Pole2)</f>
        <v>1.57079276110382</v>
      </c>
      <c r="K509" s="719" t="n">
        <f aca="false">SQRT(1+(A509/Zero2)^2)</f>
        <v>86.7783489864643</v>
      </c>
      <c r="L509" s="720" t="n">
        <f aca="false">ATAN(A509/Zero2)</f>
        <v>1.5592724600093</v>
      </c>
      <c r="M509" s="707" t="n">
        <f aca="false">SQRT(1+(A509/pole4)^2)</f>
        <v>2.87539926119253</v>
      </c>
      <c r="N509" s="710" t="n">
        <f aca="false">ATAN(A509/pole4)</f>
        <v>1.21559643102992</v>
      </c>
      <c r="O509" s="711" t="n">
        <f aca="false">SQRT((1-(V509/pterm2))^2+(A509/pterm1)^2)</f>
        <v>1.23298841678301</v>
      </c>
      <c r="P509" s="712" t="n">
        <f aca="false">IF((ATAN((A509/pterm1)/(1-A509^2/pterm2))&gt;0),ATAN((A509/pterm1)/(1-A509^2/pterm2)),PI()+ATAN((A509/pterm1)/(1-A509^2/pterm2)))</f>
        <v>0.868101405460612</v>
      </c>
      <c r="Q509" s="713" t="n">
        <f aca="false">20*LOG10(((E509*K509*G509)/(C509*I509*O509*M509))*Adc)</f>
        <v>-27.8908867022265</v>
      </c>
      <c r="R509" s="714" t="n">
        <f aca="false">((F509+L509+H509)-(D509+J509+P509+N509))*radconv</f>
        <v>-214.257570666816</v>
      </c>
      <c r="S509" s="717" t="n">
        <f aca="false">IF(R509&gt;0,R509,R509+180)</f>
        <v>-34.2575706668162</v>
      </c>
      <c r="U509" s="644" t="n">
        <f aca="false">IF(Q509&lt;0,A509,1000000000)</f>
        <v>67608</v>
      </c>
      <c r="V509" s="644" t="n">
        <f aca="false">A509^2</f>
        <v>4570841664</v>
      </c>
      <c r="X509" s="716" t="n">
        <f aca="false">20*LOG10((K509/(I509*M509))*AEA)</f>
        <v>8.73381314994446</v>
      </c>
      <c r="Y509" s="717" t="n">
        <f aca="false">(L509-(J509+N509))*radconv</f>
        <v>-70.3086098009549</v>
      </c>
      <c r="AA509" s="716" t="n">
        <f aca="false">20*LOG10((E509*G509/(C509*O509))*Acs*Am)</f>
        <v>14.8559255023835</v>
      </c>
      <c r="AB509" s="717" t="n">
        <f aca="false">(F509+H509-(D509+P509))*radconv</f>
        <v>-143.948960865861</v>
      </c>
      <c r="AD509" s="0" t="n">
        <f aca="false">SUM((Q510&lt;0)*(Q509&gt;0))*A509</f>
        <v>0</v>
      </c>
      <c r="AE509" s="0" t="n">
        <f aca="false">IF(AD509&gt;0,S509,0)</f>
        <v>0</v>
      </c>
    </row>
    <row r="510" customFormat="false" ht="12.75" hidden="false" customHeight="false" outlineLevel="0" collapsed="false">
      <c r="A510" s="718" t="n">
        <v>68001.75</v>
      </c>
      <c r="B510" s="706" t="n">
        <f aca="false">A510/1000</f>
        <v>68.00175</v>
      </c>
      <c r="C510" s="707" t="n">
        <f aca="false">SQRT(1+(A510/pole1)^2)</f>
        <v>116.132506582573</v>
      </c>
      <c r="D510" s="708" t="n">
        <f aca="false">ATAN(A510/pole1)</f>
        <v>1.56218536688678</v>
      </c>
      <c r="E510" s="708" t="n">
        <f aca="false">SQRT(1+(A510/Zero1)^2)</f>
        <v>1.31538222364397</v>
      </c>
      <c r="F510" s="709" t="n">
        <f aca="false">ATAN(A510/Zero1)</f>
        <v>0.707121091559207</v>
      </c>
      <c r="G510" s="708" t="n">
        <f aca="false">IF(VIN_nom&gt;Vout, 1, SQRT(1+(A510/z_RHP)^2))</f>
        <v>1.41977058248042</v>
      </c>
      <c r="H510" s="709" t="n">
        <f aca="false">IF(VIN_nom&gt;Vout, 0, -ATAN(A510/z_RHP))</f>
        <v>-0.789304570133993</v>
      </c>
      <c r="I510" s="707" t="n">
        <f aca="false">SQRT(1+(A510/Pole2)^2)</f>
        <v>282083.891296624</v>
      </c>
      <c r="J510" s="710" t="n">
        <f aca="false">ATAN(A510/Pole2)</f>
        <v>1.57079278175021</v>
      </c>
      <c r="K510" s="719" t="n">
        <f aca="false">SQRT(1+(A510/Zero2)^2)</f>
        <v>87.2836804653731</v>
      </c>
      <c r="L510" s="720" t="n">
        <f aca="false">ATAN(A510/Zero2)</f>
        <v>1.55933918070868</v>
      </c>
      <c r="M510" s="707" t="n">
        <f aca="false">SQRT(1+(A510/pole4)^2)</f>
        <v>2.89012532469787</v>
      </c>
      <c r="N510" s="710" t="n">
        <f aca="false">ATAN(A510/pole4)</f>
        <v>1.21748578356433</v>
      </c>
      <c r="O510" s="711" t="n">
        <f aca="false">SQRT((1-(V510/pterm2))^2+(A510/pterm1)^2)</f>
        <v>1.23564793926874</v>
      </c>
      <c r="P510" s="712" t="n">
        <f aca="false">IF((ATAN((A510/pterm1)/(1-A510^2/pterm2))&gt;0),ATAN((A510/pterm1)/(1-A510^2/pterm2)),PI()+ATAN((A510/pterm1)/(1-A510^2/pterm2)))</f>
        <v>0.872433106938292</v>
      </c>
      <c r="Q510" s="713" t="n">
        <f aca="false">20*LOG10(((E510*K510*G510)/(C510*I510*O510*M510))*Adc)</f>
        <v>-27.9578548047074</v>
      </c>
      <c r="R510" s="714" t="n">
        <f aca="false">((F510+L510+H510)-(D510+J510+P510+N510))*radconv</f>
        <v>-214.615170003351</v>
      </c>
      <c r="S510" s="717" t="n">
        <f aca="false">IF(R510&gt;0,R510,R510+180)</f>
        <v>-34.6151700033511</v>
      </c>
      <c r="U510" s="644" t="n">
        <f aca="false">IF(Q510&lt;0,A510,1000000000)</f>
        <v>68001.75</v>
      </c>
      <c r="V510" s="644" t="n">
        <f aca="false">A510^2</f>
        <v>4624238003.0625</v>
      </c>
      <c r="X510" s="716" t="n">
        <f aca="false">20*LOG10((K510/(I510*M510))*AEA)</f>
        <v>8.68943611675903</v>
      </c>
      <c r="Y510" s="717" t="n">
        <f aca="false">(L510-(J510+N510))*radconv</f>
        <v>-70.413040095779</v>
      </c>
      <c r="AA510" s="716" t="n">
        <f aca="false">20*LOG10((E510*G510/(C510*O510))*Acs*Am)</f>
        <v>14.8333344330879</v>
      </c>
      <c r="AB510" s="717" t="n">
        <f aca="false">(F510+H510-(D510+P510))*radconv</f>
        <v>-144.202129907572</v>
      </c>
      <c r="AD510" s="0" t="n">
        <f aca="false">SUM((Q511&lt;0)*(Q510&gt;0))*A510</f>
        <v>0</v>
      </c>
      <c r="AE510" s="0" t="n">
        <f aca="false">IF(AD510&gt;0,S510,0)</f>
        <v>0</v>
      </c>
    </row>
    <row r="511" customFormat="false" ht="12.75" hidden="false" customHeight="false" outlineLevel="0" collapsed="false">
      <c r="A511" s="718" t="n">
        <v>68395.5</v>
      </c>
      <c r="B511" s="706" t="n">
        <f aca="false">A511/1000</f>
        <v>68.3955</v>
      </c>
      <c r="C511" s="707" t="n">
        <f aca="false">SQRT(1+(A511/pole1)^2)</f>
        <v>116.804898009296</v>
      </c>
      <c r="D511" s="708" t="n">
        <f aca="false">ATAN(A511/pole1)</f>
        <v>1.56223493738932</v>
      </c>
      <c r="E511" s="708" t="n">
        <f aca="false">SQRT(1+(A511/Zero1)^2)</f>
        <v>1.31860205206962</v>
      </c>
      <c r="F511" s="709" t="n">
        <f aca="false">ATAN(A511/Zero1)</f>
        <v>0.709973852001198</v>
      </c>
      <c r="G511" s="708" t="n">
        <f aca="false">IF(VIN_nom&gt;Vout, 1, SQRT(1+(A511/z_RHP)^2))</f>
        <v>1.42391907199916</v>
      </c>
      <c r="H511" s="709" t="n">
        <f aca="false">IF(VIN_nom&gt;Vout, 0, -ATAN(A511/z_RHP))</f>
        <v>-0.79219119731416</v>
      </c>
      <c r="I511" s="707" t="n">
        <f aca="false">SQRT(1+(A511/Pole2)^2)</f>
        <v>283717.239441291</v>
      </c>
      <c r="J511" s="710" t="n">
        <f aca="false">ATAN(A511/Pole2)</f>
        <v>1.57079280215888</v>
      </c>
      <c r="K511" s="719" t="n">
        <f aca="false">SQRT(1+(A511/Zero2)^2)</f>
        <v>87.7890123283653</v>
      </c>
      <c r="L511" s="720" t="n">
        <f aca="false">ATAN(A511/Zero2)</f>
        <v>1.55940513329183</v>
      </c>
      <c r="M511" s="707" t="n">
        <f aca="false">SQRT(1+(A511/pole4)^2)</f>
        <v>2.90486160032585</v>
      </c>
      <c r="N511" s="710" t="n">
        <f aca="false">ATAN(A511/pole4)</f>
        <v>1.21935597346106</v>
      </c>
      <c r="O511" s="711" t="n">
        <f aca="false">SQRT((1-(V511/pterm2))^2+(A511/pterm1)^2)</f>
        <v>1.23832173195393</v>
      </c>
      <c r="P511" s="712" t="n">
        <f aca="false">IF((ATAN((A511/pterm1)/(1-A511^2/pterm2))&gt;0),ATAN((A511/pterm1)/(1-A511^2/pterm2)),PI()+ATAN((A511/pterm1)/(1-A511^2/pterm2)))</f>
        <v>0.876754675850846</v>
      </c>
      <c r="Q511" s="713" t="n">
        <f aca="false">20*LOG10(((E511*K511*G511)/(C511*I511*O511*M511))*Adc)</f>
        <v>-28.024378504069</v>
      </c>
      <c r="R511" s="714" t="n">
        <f aca="false">((F511+L511+H511)-(D511+J511+P511+N511))*radconv</f>
        <v>-214.970934617709</v>
      </c>
      <c r="S511" s="717" t="n">
        <f aca="false">IF(R511&gt;0,R511,R511+180)</f>
        <v>-34.9709346177087</v>
      </c>
      <c r="U511" s="644" t="n">
        <f aca="false">IF(Q511&lt;0,A511,1000000000)</f>
        <v>68395.5</v>
      </c>
      <c r="V511" s="644" t="n">
        <f aca="false">A511^2</f>
        <v>4677944420.25</v>
      </c>
      <c r="X511" s="716" t="n">
        <f aca="false">20*LOG10((K511/(I511*M511))*AEA)</f>
        <v>8.64525416965271</v>
      </c>
      <c r="Y511" s="717" t="n">
        <f aca="false">(L511-(J511+N511))*radconv</f>
        <v>-70.5164164485364</v>
      </c>
      <c r="AA511" s="716" t="n">
        <f aca="false">20*LOG10((E511*G511/(C511*O511))*Acs*Am)</f>
        <v>14.8109926808327</v>
      </c>
      <c r="AB511" s="717" t="n">
        <f aca="false">(F511+H511-(D511+P511))*radconv</f>
        <v>-144.454518169172</v>
      </c>
      <c r="AD511" s="0" t="n">
        <f aca="false">SUM((Q512&lt;0)*(Q511&gt;0))*A511</f>
        <v>0</v>
      </c>
      <c r="AE511" s="0" t="n">
        <f aca="false">IF(AD511&gt;0,S511,0)</f>
        <v>0</v>
      </c>
    </row>
    <row r="512" customFormat="false" ht="12.75" hidden="false" customHeight="false" outlineLevel="0" collapsed="false">
      <c r="A512" s="718" t="n">
        <v>68789.25</v>
      </c>
      <c r="B512" s="706" t="n">
        <f aca="false">A512/1000</f>
        <v>68.78925</v>
      </c>
      <c r="C512" s="707" t="n">
        <f aca="false">SQRT(1+(A512/pole1)^2)</f>
        <v>117.477289719751</v>
      </c>
      <c r="D512" s="708" t="n">
        <f aca="false">ATAN(A512/pole1)</f>
        <v>1.56228394044963</v>
      </c>
      <c r="E512" s="708" t="n">
        <f aca="false">SQRT(1+(A512/Zero1)^2)</f>
        <v>1.32183255926785</v>
      </c>
      <c r="F512" s="709" t="n">
        <f aca="false">ATAN(A512/Zero1)</f>
        <v>0.712812691382062</v>
      </c>
      <c r="G512" s="708" t="n">
        <f aca="false">IF(VIN_nom&gt;Vout, 1, SQRT(1+(A512/z_RHP)^2))</f>
        <v>1.42807935749781</v>
      </c>
      <c r="H512" s="709" t="n">
        <f aca="false">IF(VIN_nom&gt;Vout, 0, -ATAN(A512/z_RHP))</f>
        <v>-0.795061029628053</v>
      </c>
      <c r="I512" s="707" t="n">
        <f aca="false">SQRT(1+(A512/Pole2)^2)</f>
        <v>285350.587585959</v>
      </c>
      <c r="J512" s="710" t="n">
        <f aca="false">ATAN(A512/Pole2)</f>
        <v>1.57079282233392</v>
      </c>
      <c r="K512" s="719" t="n">
        <f aca="false">SQRT(1+(A512/Zero2)^2)</f>
        <v>88.2943445688461</v>
      </c>
      <c r="L512" s="720" t="n">
        <f aca="false">ATAN(A512/Zero2)</f>
        <v>1.55947033094658</v>
      </c>
      <c r="M512" s="707" t="n">
        <f aca="false">SQRT(1+(A512/pole4)^2)</f>
        <v>2.91960793344408</v>
      </c>
      <c r="N512" s="710" t="n">
        <f aca="false">ATAN(A512/pole4)</f>
        <v>1.22120727789729</v>
      </c>
      <c r="O512" s="711" t="n">
        <f aca="false">SQRT((1-(V512/pterm2))^2+(A512/pterm1)^2)</f>
        <v>1.24100978212223</v>
      </c>
      <c r="P512" s="712" t="n">
        <f aca="false">IF((ATAN((A512/pterm1)/(1-A512^2/pterm2))&gt;0),ATAN((A512/pterm1)/(1-A512^2/pterm2)),PI()+ATAN((A512/pterm1)/(1-A512^2/pterm2)))</f>
        <v>0.881066109125727</v>
      </c>
      <c r="Q512" s="713" t="n">
        <f aca="false">20*LOG10(((E512*K512*G512)/(C512*I512*O512*M512))*Adc)</f>
        <v>-28.0904635584734</v>
      </c>
      <c r="R512" s="714" t="n">
        <f aca="false">((F512+L512+H512)-(D512+J512+P512+N512))*radconv</f>
        <v>-215.324882517495</v>
      </c>
      <c r="S512" s="717" t="n">
        <f aca="false">IF(R512&gt;0,R512,R512+180)</f>
        <v>-35.3248825174955</v>
      </c>
      <c r="U512" s="644" t="n">
        <f aca="false">IF(Q512&lt;0,A512,1000000000)</f>
        <v>68789.25</v>
      </c>
      <c r="V512" s="644" t="n">
        <f aca="false">A512^2</f>
        <v>4731960915.5625</v>
      </c>
      <c r="X512" s="716" t="n">
        <f aca="false">20*LOG10((K512/(I512*M512))*AEA)</f>
        <v>8.60126594777865</v>
      </c>
      <c r="Y512" s="717" t="n">
        <f aca="false">(L512-(J512+N512))*radconv</f>
        <v>-70.6187539849363</v>
      </c>
      <c r="AA512" s="716" t="n">
        <f aca="false">20*LOG10((E512*G512/(C512*O512))*Acs*Am)</f>
        <v>14.7888958483024</v>
      </c>
      <c r="AB512" s="717" t="n">
        <f aca="false">(F512+H512-(D512+P512))*radconv</f>
        <v>-144.706128532559</v>
      </c>
      <c r="AD512" s="0" t="n">
        <f aca="false">SUM((Q513&lt;0)*(Q512&gt;0))*A512</f>
        <v>0</v>
      </c>
      <c r="AE512" s="0" t="n">
        <f aca="false">IF(AD512&gt;0,S512,0)</f>
        <v>0</v>
      </c>
    </row>
    <row r="513" customFormat="false" ht="12.75" hidden="false" customHeight="false" outlineLevel="0" collapsed="false">
      <c r="A513" s="718" t="n">
        <v>69183</v>
      </c>
      <c r="B513" s="706" t="n">
        <f aca="false">A513/1000</f>
        <v>69.183</v>
      </c>
      <c r="C513" s="707" t="n">
        <f aca="false">SQRT(1+(A513/pole1)^2)</f>
        <v>118.149681709092</v>
      </c>
      <c r="D513" s="708" t="n">
        <f aca="false">ATAN(A513/pole1)</f>
        <v>1.56233238575544</v>
      </c>
      <c r="E513" s="708" t="n">
        <f aca="false">SQRT(1+(A513/Zero1)^2)</f>
        <v>1.32507366713467</v>
      </c>
      <c r="F513" s="709" t="n">
        <f aca="false">ATAN(A513/Zero1)</f>
        <v>0.715637665930235</v>
      </c>
      <c r="G513" s="708" t="n">
        <f aca="false">IF(VIN_nom&gt;Vout, 1, SQRT(1+(A513/z_RHP)^2))</f>
        <v>1.4322513361844</v>
      </c>
      <c r="H513" s="709" t="n">
        <f aca="false">IF(VIN_nom&gt;Vout, 0, -ATAN(A513/z_RHP))</f>
        <v>-0.797914166362423</v>
      </c>
      <c r="I513" s="707" t="n">
        <f aca="false">SQRT(1+(A513/Pole2)^2)</f>
        <v>286983.935730627</v>
      </c>
      <c r="J513" s="710" t="n">
        <f aca="false">ATAN(A513/Pole2)</f>
        <v>1.5707928422793</v>
      </c>
      <c r="K513" s="719" t="n">
        <f aca="false">SQRT(1+(A513/Zero2)^2)</f>
        <v>88.7996771803711</v>
      </c>
      <c r="L513" s="720" t="n">
        <f aca="false">ATAN(A513/Zero2)</f>
        <v>1.55953478656058</v>
      </c>
      <c r="M513" s="707" t="n">
        <f aca="false">SQRT(1+(A513/pole4)^2)</f>
        <v>2.93436417242406</v>
      </c>
      <c r="N513" s="710" t="n">
        <f aca="false">ATAN(A513/pole4)</f>
        <v>1.22303996899828</v>
      </c>
      <c r="O513" s="711" t="n">
        <f aca="false">SQRT((1-(V513/pterm2))^2+(A513/pterm1)^2)</f>
        <v>1.24371207713471</v>
      </c>
      <c r="P513" s="712" t="n">
        <f aca="false">IF((ATAN((A513/pterm1)/(1-A513^2/pterm2))&gt;0),ATAN((A513/pterm1)/(1-A513^2/pterm2)),PI()+ATAN((A513/pterm1)/(1-A513^2/pterm2)))</f>
        <v>0.885367404155301</v>
      </c>
      <c r="Q513" s="713" t="n">
        <f aca="false">20*LOG10(((E513*K513*G513)/(C513*I513*O513*M513))*Adc)</f>
        <v>-28.1561156392689</v>
      </c>
      <c r="R513" s="714" t="n">
        <f aca="false">((F513+L513+H513)-(D513+J513+P513+N513))*radconv</f>
        <v>-215.677031428879</v>
      </c>
      <c r="S513" s="717" t="n">
        <f aca="false">IF(R513&gt;0,R513,R513+180)</f>
        <v>-35.6770314288794</v>
      </c>
      <c r="U513" s="644" t="n">
        <f aca="false">IF(Q513&lt;0,A513,1000000000)</f>
        <v>69183</v>
      </c>
      <c r="V513" s="644" t="n">
        <f aca="false">A513^2</f>
        <v>4786287489</v>
      </c>
      <c r="X513" s="716" t="n">
        <f aca="false">20*LOG10((K513/(I513*M513))*AEA)</f>
        <v>8.55747009766967</v>
      </c>
      <c r="Y513" s="717" t="n">
        <f aca="false">(L513-(J513+N513))*radconv</f>
        <v>-70.7200675584275</v>
      </c>
      <c r="AA513" s="716" t="n">
        <f aca="false">20*LOG10((E513*G513/(C513*O513))*Acs*Am)</f>
        <v>14.7670396176158</v>
      </c>
      <c r="AB513" s="717" t="n">
        <f aca="false">(F513+H513-(D513+P513))*radconv</f>
        <v>-144.956963870452</v>
      </c>
      <c r="AD513" s="0" t="n">
        <f aca="false">SUM((Q514&lt;0)*(Q513&gt;0))*A513</f>
        <v>0</v>
      </c>
      <c r="AE513" s="0" t="n">
        <f aca="false">IF(AD513&gt;0,S513,0)</f>
        <v>0</v>
      </c>
    </row>
    <row r="514" customFormat="false" ht="12.75" hidden="false" customHeight="false" outlineLevel="0" collapsed="false">
      <c r="A514" s="718" t="n">
        <v>69586</v>
      </c>
      <c r="B514" s="706" t="n">
        <f aca="false">A514/1000</f>
        <v>69.586</v>
      </c>
      <c r="C514" s="707" t="n">
        <f aca="false">SQRT(1+(A514/pole1)^2)</f>
        <v>118.837869857591</v>
      </c>
      <c r="D514" s="708" t="n">
        <f aca="false">ATAN(A514/pole1)</f>
        <v>1.56238140145903</v>
      </c>
      <c r="E514" s="708" t="n">
        <f aca="false">SQRT(1+(A514/Zero1)^2)</f>
        <v>1.32840181147572</v>
      </c>
      <c r="F514" s="709" t="n">
        <f aca="false">ATAN(A514/Zero1)</f>
        <v>0.71851470676632</v>
      </c>
      <c r="G514" s="708" t="n">
        <f aca="false">IF(VIN_nom&gt;Vout, 1, SQRT(1+(A514/z_RHP)^2))</f>
        <v>1.43653332539541</v>
      </c>
      <c r="H514" s="709" t="n">
        <f aca="false">IF(VIN_nom&gt;Vout, 0, -ATAN(A514/z_RHP))</f>
        <v>-0.800817144209266</v>
      </c>
      <c r="I514" s="707" t="n">
        <f aca="false">SQRT(1+(A514/Pole2)^2)</f>
        <v>288655.654593614</v>
      </c>
      <c r="J514" s="710" t="n">
        <f aca="false">ATAN(A514/Pole2)</f>
        <v>1.57079286245951</v>
      </c>
      <c r="K514" s="719" t="n">
        <f aca="false">SQRT(1+(A514/Zero2)^2)</f>
        <v>89.3168814753396</v>
      </c>
      <c r="L514" s="720" t="n">
        <f aca="false">ATAN(A514/Zero2)</f>
        <v>1.55960000112008</v>
      </c>
      <c r="M514" s="707" t="n">
        <f aca="false">SQRT(1+(A514/pole4)^2)</f>
        <v>2.94947716840245</v>
      </c>
      <c r="N514" s="710" t="n">
        <f aca="false">ATAN(A514/pole4)</f>
        <v>1.22489671823141</v>
      </c>
      <c r="O514" s="711" t="n">
        <f aca="false">SQRT((1-(V514/pterm2))^2+(A514/pterm1)^2)</f>
        <v>1.24649259226091</v>
      </c>
      <c r="P514" s="712" t="n">
        <f aca="false">IF((ATAN((A514/pterm1)/(1-A514^2/pterm2))&gt;0),ATAN((A514/pterm1)/(1-A514^2/pterm2)),PI()+ATAN((A514/pterm1)/(1-A514^2/pterm2)))</f>
        <v>0.889759244946407</v>
      </c>
      <c r="Q514" s="713" t="n">
        <f aca="false">20*LOG10(((E514*K514*G514)/(C514*I514*O514*M514))*Adc)</f>
        <v>-28.2228675017492</v>
      </c>
      <c r="R514" s="714" t="n">
        <f aca="false">((F514+L514+H514)-(D514+J514+P514+N514))*radconv</f>
        <v>-216.035608376999</v>
      </c>
      <c r="S514" s="717" t="n">
        <f aca="false">IF(R514&gt;0,R514,R514+180)</f>
        <v>-36.0356083769988</v>
      </c>
      <c r="U514" s="644" t="n">
        <f aca="false">IF(Q514&lt;0,A514,1000000000)</f>
        <v>69586</v>
      </c>
      <c r="V514" s="644" t="n">
        <f aca="false">A514^2</f>
        <v>4842211396</v>
      </c>
      <c r="X514" s="716" t="n">
        <f aca="false">20*LOG10((K514/(I514*M514))*AEA)</f>
        <v>8.51284319174778</v>
      </c>
      <c r="Y514" s="717" t="n">
        <f aca="false">(L514-(J514+N514))*radconv</f>
        <v>-70.8227160904358</v>
      </c>
      <c r="AA514" s="716" t="n">
        <f aca="false">20*LOG10((E514*G514/(C514*O514))*Acs*Am)</f>
        <v>14.7449146610574</v>
      </c>
      <c r="AB514" s="717" t="n">
        <f aca="false">(F514+H514-(D514+P514))*radconv</f>
        <v>-145.212892286563</v>
      </c>
      <c r="AD514" s="0" t="n">
        <f aca="false">SUM((Q515&lt;0)*(Q514&gt;0))*A514</f>
        <v>0</v>
      </c>
      <c r="AE514" s="0" t="n">
        <f aca="false">IF(AD514&gt;0,S514,0)</f>
        <v>0</v>
      </c>
    </row>
    <row r="515" customFormat="false" ht="12.75" hidden="false" customHeight="false" outlineLevel="0" collapsed="false">
      <c r="A515" s="718" t="n">
        <v>69989</v>
      </c>
      <c r="B515" s="706" t="n">
        <f aca="false">A515/1000</f>
        <v>69.989</v>
      </c>
      <c r="C515" s="707" t="n">
        <f aca="false">SQRT(1+(A515/pole1)^2)</f>
        <v>119.526058288314</v>
      </c>
      <c r="D515" s="708" t="n">
        <f aca="false">ATAN(A515/pole1)</f>
        <v>1.56242985273283</v>
      </c>
      <c r="E515" s="708" t="n">
        <f aca="false">SQRT(1+(A515/Zero1)^2)</f>
        <v>1.33174089647076</v>
      </c>
      <c r="F515" s="709" t="n">
        <f aca="false">ATAN(A515/Zero1)</f>
        <v>0.721377343942021</v>
      </c>
      <c r="G515" s="708" t="n">
        <f aca="false">IF(VIN_nom&gt;Vout, 1, SQRT(1+(A515/z_RHP)^2))</f>
        <v>1.44082734866025</v>
      </c>
      <c r="H515" s="709" t="n">
        <f aca="false">IF(VIN_nom&gt;Vout, 0, -ATAN(A515/z_RHP))</f>
        <v>-0.803702843064587</v>
      </c>
      <c r="I515" s="707" t="n">
        <f aca="false">SQRT(1+(A515/Pole2)^2)</f>
        <v>290327.373456602</v>
      </c>
      <c r="J515" s="710" t="n">
        <f aca="false">ATAN(A515/Pole2)</f>
        <v>1.57079288240731</v>
      </c>
      <c r="K515" s="719" t="n">
        <f aca="false">SQRT(1+(A515/Zero2)^2)</f>
        <v>89.8340861457934</v>
      </c>
      <c r="L515" s="720" t="n">
        <f aca="false">ATAN(A515/Zero2)</f>
        <v>1.55966446475609</v>
      </c>
      <c r="M515" s="707" t="n">
        <f aca="false">SQRT(1+(A515/pole4)^2)</f>
        <v>2.96460022906223</v>
      </c>
      <c r="N515" s="710" t="n">
        <f aca="false">ATAN(A515/pole4)</f>
        <v>1.22673453039573</v>
      </c>
      <c r="O515" s="711" t="n">
        <f aca="false">SQRT((1-(V515/pterm2))^2+(A515/pterm1)^2)</f>
        <v>1.24928800283485</v>
      </c>
      <c r="P515" s="712" t="n">
        <f aca="false">IF((ATAN((A515/pterm1)/(1-A515^2/pterm2))&gt;0),ATAN((A515/pterm1)/(1-A515^2/pterm2)),PI()+ATAN((A515/pterm1)/(1-A515^2/pterm2)))</f>
        <v>0.894140461501336</v>
      </c>
      <c r="Q515" s="713" t="n">
        <f aca="false">20*LOG10(((E515*K515*G515)/(C515*I515*O515*M515))*Adc)</f>
        <v>-28.2891775576543</v>
      </c>
      <c r="R515" s="714" t="n">
        <f aca="false">((F515+L515+H515)-(D515+J515+P515+N515))*radconv</f>
        <v>-216.392337514752</v>
      </c>
      <c r="S515" s="717" t="n">
        <f aca="false">IF(R515&gt;0,R515,R515+180)</f>
        <v>-36.3923375147519</v>
      </c>
      <c r="U515" s="644" t="n">
        <f aca="false">IF(Q515&lt;0,A515,1000000000)</f>
        <v>69989</v>
      </c>
      <c r="V515" s="644" t="n">
        <f aca="false">A515^2</f>
        <v>4898460121</v>
      </c>
      <c r="X515" s="716" t="n">
        <f aca="false">20*LOG10((K515/(I515*M515))*AEA)</f>
        <v>8.46841495765144</v>
      </c>
      <c r="Y515" s="717" t="n">
        <f aca="false">(L515-(J515+N515))*radconv</f>
        <v>-70.9243226197553</v>
      </c>
      <c r="AA515" s="716" t="n">
        <f aca="false">20*LOG10((E515*G515/(C515*O515))*Acs*Am)</f>
        <v>14.7230328392486</v>
      </c>
      <c r="AB515" s="717" t="n">
        <f aca="false">(F515+H515-(D515+P515))*radconv</f>
        <v>-145.468014894997</v>
      </c>
      <c r="AD515" s="0" t="n">
        <f aca="false">SUM((Q516&lt;0)*(Q515&gt;0))*A515</f>
        <v>0</v>
      </c>
      <c r="AE515" s="0" t="n">
        <f aca="false">IF(AD515&gt;0,S515,0)</f>
        <v>0</v>
      </c>
    </row>
    <row r="516" customFormat="false" ht="12.75" hidden="false" customHeight="false" outlineLevel="0" collapsed="false">
      <c r="A516" s="718" t="n">
        <v>70392</v>
      </c>
      <c r="B516" s="706" t="n">
        <f aca="false">A516/1000</f>
        <v>70.392</v>
      </c>
      <c r="C516" s="707" t="n">
        <f aca="false">SQRT(1+(A516/pole1)^2)</f>
        <v>120.214246996415</v>
      </c>
      <c r="D516" s="708" t="n">
        <f aca="false">ATAN(A516/pole1)</f>
        <v>1.56247774927018</v>
      </c>
      <c r="E516" s="708" t="n">
        <f aca="false">SQRT(1+(A516/Zero1)^2)</f>
        <v>1.33509084003148</v>
      </c>
      <c r="F516" s="709" t="n">
        <f aca="false">ATAN(A516/Zero1)</f>
        <v>0.724225638787484</v>
      </c>
      <c r="G516" s="708" t="n">
        <f aca="false">IF(VIN_nom&gt;Vout, 1, SQRT(1+(A516/z_RHP)^2))</f>
        <v>1.44513329870613</v>
      </c>
      <c r="H516" s="709" t="n">
        <f aca="false">IF(VIN_nom&gt;Vout, 0, -ATAN(A516/z_RHP))</f>
        <v>-0.806571369108629</v>
      </c>
      <c r="I516" s="707" t="n">
        <f aca="false">SQRT(1+(A516/Pole2)^2)</f>
        <v>291999.092319589</v>
      </c>
      <c r="J516" s="710" t="n">
        <f aca="false">ATAN(A516/Pole2)</f>
        <v>1.57079290212672</v>
      </c>
      <c r="K516" s="719" t="n">
        <f aca="false">SQRT(1+(A516/Zero2)^2)</f>
        <v>90.3512911852841</v>
      </c>
      <c r="L516" s="720" t="n">
        <f aca="false">ATAN(A516/Zero2)</f>
        <v>1.55972819036379</v>
      </c>
      <c r="M516" s="707" t="n">
        <f aca="false">SQRT(1+(A516/pole4)^2)</f>
        <v>2.97973320115935</v>
      </c>
      <c r="N516" s="710" t="n">
        <f aca="false">ATAN(A516/pole4)</f>
        <v>1.22855368150454</v>
      </c>
      <c r="O516" s="711" t="n">
        <f aca="false">SQRT((1-(V516/pterm2))^2+(A516/pterm1)^2)</f>
        <v>1.25209829556167</v>
      </c>
      <c r="P516" s="712" t="n">
        <f aca="false">IF((ATAN((A516/pterm1)/(1-A516^2/pterm2))&gt;0),ATAN((A516/pterm1)/(1-A516^2/pterm2)),PI()+ATAN((A516/pterm1)/(1-A516^2/pterm2)))</f>
        <v>0.898511052501363</v>
      </c>
      <c r="Q516" s="713" t="n">
        <f aca="false">20*LOG10(((E516*K516*G516)/(C516*I516*O516*M516))*Adc)</f>
        <v>-28.3550516140154</v>
      </c>
      <c r="R516" s="714" t="n">
        <f aca="false">((F516+L516+H516)-(D516+J516+P516+N516))*radconv</f>
        <v>-216.747236967475</v>
      </c>
      <c r="S516" s="717" t="n">
        <f aca="false">IF(R516&gt;0,R516,R516+180)</f>
        <v>-36.7472369674751</v>
      </c>
      <c r="U516" s="644" t="n">
        <f aca="false">IF(Q516&lt;0,A516,1000000000)</f>
        <v>70392</v>
      </c>
      <c r="V516" s="644" t="n">
        <f aca="false">A516^2</f>
        <v>4955033664</v>
      </c>
      <c r="X516" s="716" t="n">
        <f aca="false">20*LOG10((K516/(I516*M516))*AEA)</f>
        <v>8.42418396933986</v>
      </c>
      <c r="Y516" s="717" t="n">
        <f aca="false">(L516-(J516+N516))*radconv</f>
        <v>-71.024902222172</v>
      </c>
      <c r="AA516" s="716" t="n">
        <f aca="false">20*LOG10((E516*G516/(C516*O516))*Acs*Am)</f>
        <v>14.7013897711992</v>
      </c>
      <c r="AB516" s="717" t="n">
        <f aca="false">(F516+H516-(D516+P516))*radconv</f>
        <v>-145.722334745303</v>
      </c>
      <c r="AD516" s="0" t="n">
        <f aca="false">SUM((Q517&lt;0)*(Q516&gt;0))*A516</f>
        <v>0</v>
      </c>
      <c r="AE516" s="0" t="n">
        <f aca="false">IF(AD516&gt;0,S516,0)</f>
        <v>0</v>
      </c>
    </row>
    <row r="517" customFormat="false" ht="12.75" hidden="false" customHeight="false" outlineLevel="0" collapsed="false">
      <c r="A517" s="718" t="n">
        <v>70795</v>
      </c>
      <c r="B517" s="706" t="n">
        <f aca="false">A517/1000</f>
        <v>70.795</v>
      </c>
      <c r="C517" s="707" t="n">
        <f aca="false">SQRT(1+(A517/pole1)^2)</f>
        <v>120.902435977158</v>
      </c>
      <c r="D517" s="708" t="n">
        <f aca="false">ATAN(A517/pole1)</f>
        <v>1.5625251005437</v>
      </c>
      <c r="E517" s="708" t="n">
        <f aca="false">SQRT(1+(A517/Zero1)^2)</f>
        <v>1.33845156062581</v>
      </c>
      <c r="F517" s="709" t="n">
        <f aca="false">ATAN(A517/Zero1)</f>
        <v>0.727059652950713</v>
      </c>
      <c r="G517" s="708" t="n">
        <f aca="false">IF(VIN_nom&gt;Vout, 1, SQRT(1+(A517/z_RHP)^2))</f>
        <v>1.44945106923874</v>
      </c>
      <c r="H517" s="709" t="n">
        <f aca="false">IF(VIN_nom&gt;Vout, 0, -ATAN(A517/z_RHP))</f>
        <v>-0.809422828392125</v>
      </c>
      <c r="I517" s="707" t="n">
        <f aca="false">SQRT(1+(A517/Pole2)^2)</f>
        <v>293670.811182576</v>
      </c>
      <c r="J517" s="710" t="n">
        <f aca="false">ATAN(A517/Pole2)</f>
        <v>1.57079292162161</v>
      </c>
      <c r="K517" s="719" t="n">
        <f aca="false">SQRT(1+(A517/Zero2)^2)</f>
        <v>90.8684965875105</v>
      </c>
      <c r="L517" s="720" t="n">
        <f aca="false">ATAN(A517/Zero2)</f>
        <v>1.55979119054478</v>
      </c>
      <c r="M517" s="707" t="n">
        <f aca="false">SQRT(1+(A517/pole4)^2)</f>
        <v>2.9948759344477</v>
      </c>
      <c r="N517" s="710" t="n">
        <f aca="false">ATAN(A517/pole4)</f>
        <v>1.23035444248832</v>
      </c>
      <c r="O517" s="711" t="n">
        <f aca="false">SQRT((1-(V517/pterm2))^2+(A517/pterm1)^2)</f>
        <v>1.25492345723405</v>
      </c>
      <c r="P517" s="712" t="n">
        <f aca="false">IF((ATAN((A517/pterm1)/(1-A517^2/pterm2))&gt;0),ATAN((A517/pterm1)/(1-A517^2/pterm2)),PI()+ATAN((A517/pterm1)/(1-A517^2/pterm2)))</f>
        <v>0.902871017113717</v>
      </c>
      <c r="Q517" s="713" t="n">
        <f aca="false">20*LOG10(((E517*K517*G517)/(C517*I517*O517*M517))*Adc)</f>
        <v>-28.4204953886177</v>
      </c>
      <c r="R517" s="714" t="n">
        <f aca="false">((F517+L517+H517)-(D517+J517+P517+N517))*radconv</f>
        <v>-217.100324575663</v>
      </c>
      <c r="S517" s="717" t="n">
        <f aca="false">IF(R517&gt;0,R517,R517+180)</f>
        <v>-37.100324575663</v>
      </c>
      <c r="U517" s="644" t="n">
        <f aca="false">IF(Q517&lt;0,A517,1000000000)</f>
        <v>70795</v>
      </c>
      <c r="V517" s="644" t="n">
        <f aca="false">A517^2</f>
        <v>5011932025</v>
      </c>
      <c r="X517" s="716" t="n">
        <f aca="false">20*LOG10((K517/(I517*M517))*AEA)</f>
        <v>8.38014880953944</v>
      </c>
      <c r="Y517" s="717" t="n">
        <f aca="false">(L517-(J517+N517))*radconv</f>
        <v>-71.1244696990644</v>
      </c>
      <c r="AA517" s="716" t="n">
        <f aca="false">20*LOG10((E517*G517/(C517*O517))*Acs*Am)</f>
        <v>14.6799811563972</v>
      </c>
      <c r="AB517" s="717" t="n">
        <f aca="false">(F517+H517-(D517+P517))*radconv</f>
        <v>-145.975854876599</v>
      </c>
      <c r="AD517" s="0" t="n">
        <f aca="false">SUM((Q518&lt;0)*(Q517&gt;0))*A517</f>
        <v>0</v>
      </c>
      <c r="AE517" s="0" t="n">
        <f aca="false">IF(AD517&gt;0,S517,0)</f>
        <v>0</v>
      </c>
    </row>
    <row r="518" customFormat="false" ht="12.75" hidden="false" customHeight="false" outlineLevel="0" collapsed="false">
      <c r="A518" s="718" t="n">
        <v>71207.25</v>
      </c>
      <c r="B518" s="706" t="n">
        <f aca="false">A518/1000</f>
        <v>71.20725</v>
      </c>
      <c r="C518" s="707" t="n">
        <f aca="false">SQRT(1+(A518/pole1)^2)</f>
        <v>121.606421136097</v>
      </c>
      <c r="D518" s="708" t="n">
        <f aca="false">ATAN(A518/pole1)</f>
        <v>1.56257298413497</v>
      </c>
      <c r="E518" s="708" t="n">
        <f aca="false">SQRT(1+(A518/Zero1)^2)</f>
        <v>1.34190048584265</v>
      </c>
      <c r="F518" s="709" t="n">
        <f aca="false">ATAN(A518/Zero1)</f>
        <v>0.729944004298788</v>
      </c>
      <c r="G518" s="708" t="n">
        <f aca="false">IF(VIN_nom&gt;Vout, 1, SQRT(1+(A518/z_RHP)^2))</f>
        <v>1.45388006569414</v>
      </c>
      <c r="H518" s="709" t="n">
        <f aca="false">IF(VIN_nom&gt;Vout, 0, -ATAN(A518/z_RHP))</f>
        <v>-0.812322188364771</v>
      </c>
      <c r="I518" s="707" t="n">
        <f aca="false">SQRT(1+(A518/Pole2)^2)</f>
        <v>295380.900763883</v>
      </c>
      <c r="J518" s="710" t="n">
        <f aca="false">ATAN(A518/Pole2)</f>
        <v>1.57079294133566</v>
      </c>
      <c r="K518" s="719" t="n">
        <f aca="false">SQRT(1+(A518/Zero2)^2)</f>
        <v>91.3975736985137</v>
      </c>
      <c r="L518" s="720" t="n">
        <f aca="false">ATAN(A518/Zero2)</f>
        <v>1.55985489900546</v>
      </c>
      <c r="M518" s="707" t="n">
        <f aca="false">SQRT(1+(A518/pole4)^2)</f>
        <v>3.01037618293097</v>
      </c>
      <c r="N518" s="710" t="n">
        <f aca="false">ATAN(A518/pole4)</f>
        <v>1.23217778520769</v>
      </c>
      <c r="O518" s="711" t="n">
        <f aca="false">SQRT((1-(V518/pterm2))^2+(A518/pterm1)^2)</f>
        <v>1.25782883554039</v>
      </c>
      <c r="P518" s="712" t="n">
        <f aca="false">IF((ATAN((A518/pterm1)/(1-A518^2/pterm2))&gt;0),ATAN((A518/pterm1)/(1-A518^2/pterm2)),PI()+ATAN((A518/pterm1)/(1-A518^2/pterm2)))</f>
        <v>0.907320059944686</v>
      </c>
      <c r="Q518" s="713" t="n">
        <f aca="false">20*LOG10(((E518*K518*G518)/(C518*I518*O518*M518))*Adc)</f>
        <v>-28.4870019445709</v>
      </c>
      <c r="R518" s="714" t="n">
        <f aca="false">((F518+L518+H518)-(D518+J518+P518+N518))*radconv</f>
        <v>-217.459660157734</v>
      </c>
      <c r="S518" s="717" t="n">
        <f aca="false">IF(R518&gt;0,R518,R518+180)</f>
        <v>-37.4596601577342</v>
      </c>
      <c r="U518" s="644" t="n">
        <f aca="false">IF(Q518&lt;0,A518,1000000000)</f>
        <v>71207.25</v>
      </c>
      <c r="V518" s="644" t="n">
        <f aca="false">A518^2</f>
        <v>5070472452.5625</v>
      </c>
      <c r="X518" s="716" t="n">
        <f aca="false">20*LOG10((K518/(I518*M518))*AEA)</f>
        <v>8.33530407116838</v>
      </c>
      <c r="Y518" s="717" t="n">
        <f aca="false">(L518-(J518+N518))*radconv</f>
        <v>-71.2252904452209</v>
      </c>
      <c r="AA518" s="716" t="n">
        <f aca="false">20*LOG10((E518*G518/(C518*O518))*Acs*Am)</f>
        <v>14.6583193388151</v>
      </c>
      <c r="AB518" s="717" t="n">
        <f aca="false">(F518+H518-(D518+P518))*radconv</f>
        <v>-146.234369712513</v>
      </c>
      <c r="AD518" s="0" t="n">
        <f aca="false">SUM((Q519&lt;0)*(Q518&gt;0))*A518</f>
        <v>0</v>
      </c>
      <c r="AE518" s="0" t="n">
        <f aca="false">IF(AD518&gt;0,S518,0)</f>
        <v>0</v>
      </c>
    </row>
    <row r="519" customFormat="false" ht="12.75" hidden="false" customHeight="false" outlineLevel="0" collapsed="false">
      <c r="A519" s="718" t="n">
        <v>71619.5</v>
      </c>
      <c r="B519" s="706" t="n">
        <f aca="false">A519/1000</f>
        <v>71.6195</v>
      </c>
      <c r="C519" s="707" t="n">
        <f aca="false">SQRT(1+(A519/pole1)^2)</f>
        <v>122.310406570651</v>
      </c>
      <c r="D519" s="708" t="n">
        <f aca="false">ATAN(A519/pole1)</f>
        <v>1.56262031651649</v>
      </c>
      <c r="E519" s="708" t="n">
        <f aca="false">SQRT(1+(A519/Zero1)^2)</f>
        <v>1.34536051768439</v>
      </c>
      <c r="F519" s="709" t="n">
        <f aca="false">ATAN(A519/Zero1)</f>
        <v>0.732813543323934</v>
      </c>
      <c r="G519" s="708" t="n">
        <f aca="false">IF(VIN_nom&gt;Vout, 1, SQRT(1+(A519/z_RHP)^2))</f>
        <v>1.45832120958865</v>
      </c>
      <c r="H519" s="709" t="n">
        <f aca="false">IF(VIN_nom&gt;Vout, 0, -ATAN(A519/z_RHP))</f>
        <v>-0.815203913127067</v>
      </c>
      <c r="I519" s="707" t="n">
        <f aca="false">SQRT(1+(A519/Pole2)^2)</f>
        <v>297090.99034519</v>
      </c>
      <c r="J519" s="710" t="n">
        <f aca="false">ATAN(A519/Pole2)</f>
        <v>1.57079296082274</v>
      </c>
      <c r="K519" s="719" t="n">
        <f aca="false">SQRT(1+(A519/Zero2)^2)</f>
        <v>91.9266511762083</v>
      </c>
      <c r="L519" s="720" t="n">
        <f aca="false">ATAN(A519/Zero2)</f>
        <v>1.55991787412712</v>
      </c>
      <c r="M519" s="707" t="n">
        <f aca="false">SQRT(1+(A519/pole4)^2)</f>
        <v>3.0258863370921</v>
      </c>
      <c r="N519" s="710" t="n">
        <f aca="false">ATAN(A519/pole4)</f>
        <v>1.23398244161592</v>
      </c>
      <c r="O519" s="711" t="n">
        <f aca="false">SQRT((1-(V519/pterm2))^2+(A519/pterm1)^2)</f>
        <v>1.26074974551973</v>
      </c>
      <c r="P519" s="712" t="n">
        <f aca="false">IF((ATAN((A519/pterm1)/(1-A519^2/pterm2))&gt;0),ATAN((A519/pterm1)/(1-A519^2/pterm2)),PI()+ATAN((A519/pterm1)/(1-A519^2/pterm2)))</f>
        <v>0.91175798274558</v>
      </c>
      <c r="Q519" s="713" t="n">
        <f aca="false">20*LOG10(((E519*K519*G519)/(C519*I519*O519*M519))*Adc)</f>
        <v>-28.5530700639031</v>
      </c>
      <c r="R519" s="714" t="n">
        <f aca="false">((F519+L519+H519)-(D519+J519+P519+N519))*radconv</f>
        <v>-217.817136644948</v>
      </c>
      <c r="S519" s="717" t="n">
        <f aca="false">IF(R519&gt;0,R519,R519+180)</f>
        <v>-37.8171366449484</v>
      </c>
      <c r="U519" s="644" t="n">
        <f aca="false">IF(Q519&lt;0,A519,1000000000)</f>
        <v>71619.5</v>
      </c>
      <c r="V519" s="644" t="n">
        <f aca="false">A519^2</f>
        <v>5129352780.25</v>
      </c>
      <c r="X519" s="716" t="n">
        <f aca="false">20*LOG10((K519/(I519*M519))*AEA)</f>
        <v>8.2906612825835</v>
      </c>
      <c r="Y519" s="717" t="n">
        <f aca="false">(L519-(J519+N519))*radconv</f>
        <v>-71.32508254884</v>
      </c>
      <c r="AA519" s="716" t="n">
        <f aca="false">20*LOG10((E519*G519/(C519*O519))*Acs*Am)</f>
        <v>14.6368940080678</v>
      </c>
      <c r="AB519" s="717" t="n">
        <f aca="false">(F519+H519-(D519+P519))*radconv</f>
        <v>-146.492054096108</v>
      </c>
      <c r="AD519" s="0" t="n">
        <f aca="false">SUM((Q520&lt;0)*(Q519&gt;0))*A519</f>
        <v>0</v>
      </c>
      <c r="AE519" s="0" t="n">
        <f aca="false">IF(AD519&gt;0,S519,0)</f>
        <v>0</v>
      </c>
    </row>
    <row r="520" customFormat="false" ht="12.75" hidden="false" customHeight="false" outlineLevel="0" collapsed="false">
      <c r="A520" s="718" t="n">
        <v>72031.75</v>
      </c>
      <c r="B520" s="706" t="n">
        <f aca="false">A520/1000</f>
        <v>72.03175</v>
      </c>
      <c r="C520" s="707" t="n">
        <f aca="false">SQRT(1+(A520/pole1)^2)</f>
        <v>123.014392276086</v>
      </c>
      <c r="D520" s="708" t="n">
        <f aca="false">ATAN(A520/pole1)</f>
        <v>1.56266710715143</v>
      </c>
      <c r="E520" s="708" t="n">
        <f aca="false">SQRT(1+(A520/Zero1)^2)</f>
        <v>1.34883157067866</v>
      </c>
      <c r="F520" s="709" t="n">
        <f aca="false">ATAN(A520/Zero1)</f>
        <v>0.735668336940516</v>
      </c>
      <c r="G520" s="708" t="n">
        <f aca="false">IF(VIN_nom&gt;Vout, 1, SQRT(1+(A520/z_RHP)^2))</f>
        <v>1.46277439027941</v>
      </c>
      <c r="H520" s="709" t="n">
        <f aca="false">IF(VIN_nom&gt;Vout, 0, -ATAN(A520/z_RHP))</f>
        <v>-0.818068115661823</v>
      </c>
      <c r="I520" s="707" t="n">
        <f aca="false">SQRT(1+(A520/Pole2)^2)</f>
        <v>298801.079926497</v>
      </c>
      <c r="J520" s="710" t="n">
        <f aca="false">ATAN(A520/Pole2)</f>
        <v>1.57079298008678</v>
      </c>
      <c r="K520" s="719" t="n">
        <f aca="false">SQRT(1+(A520/Zero2)^2)</f>
        <v>92.4557290142993</v>
      </c>
      <c r="L520" s="720" t="n">
        <f aca="false">ATAN(A520/Zero2)</f>
        <v>1.55998012849886</v>
      </c>
      <c r="M520" s="707" t="n">
        <f aca="false">SQRT(1+(A520/pole4)^2)</f>
        <v>3.04140624538416</v>
      </c>
      <c r="N520" s="710" t="n">
        <f aca="false">ATAN(A520/pole4)</f>
        <v>1.23576868592909</v>
      </c>
      <c r="O520" s="711" t="n">
        <f aca="false">SQRT((1-(V520/pterm2))^2+(A520/pterm1)^2)</f>
        <v>1.26368617332233</v>
      </c>
      <c r="P520" s="712" t="n">
        <f aca="false">IF((ATAN((A520/pterm1)/(1-A520^2/pterm2))&gt;0),ATAN((A520/pterm1)/(1-A520^2/pterm2)),PI()+ATAN((A520/pterm1)/(1-A520^2/pterm2)))</f>
        <v>0.916184786163589</v>
      </c>
      <c r="Q520" s="713" t="n">
        <f aca="false">20*LOG10(((E520*K520*G520)/(C520*I520*O520*M520))*Adc)</f>
        <v>-28.6187055867777</v>
      </c>
      <c r="R520" s="714" t="n">
        <f aca="false">((F520+L520+H520)-(D520+J520+P520+N520))*radconv</f>
        <v>-218.172772246459</v>
      </c>
      <c r="S520" s="717" t="n">
        <f aca="false">IF(R520&gt;0,R520,R520+180)</f>
        <v>-38.1727722464592</v>
      </c>
      <c r="U520" s="644" t="n">
        <f aca="false">IF(Q520&lt;0,A520,1000000000)</f>
        <v>72031.75</v>
      </c>
      <c r="V520" s="644" t="n">
        <f aca="false">A520^2</f>
        <v>5188573008.0625</v>
      </c>
      <c r="X520" s="716" t="n">
        <f aca="false">20*LOG10((K520/(I520*M520))*AEA)</f>
        <v>8.24621895598593</v>
      </c>
      <c r="Y520" s="717" t="n">
        <f aca="false">(L520-(J520+N520))*radconv</f>
        <v>-71.4238610002675</v>
      </c>
      <c r="AA520" s="716" t="n">
        <f aca="false">20*LOG10((E520*G520/(C520*O520))*Acs*Am)</f>
        <v>14.6157008117908</v>
      </c>
      <c r="AB520" s="717" t="n">
        <f aca="false">(F520+H520-(D520+P520))*radconv</f>
        <v>-146.748911246192</v>
      </c>
      <c r="AD520" s="0" t="n">
        <f aca="false">SUM((Q521&lt;0)*(Q520&gt;0))*A520</f>
        <v>0</v>
      </c>
      <c r="AE520" s="0" t="n">
        <f aca="false">IF(AD520&gt;0,S520,0)</f>
        <v>0</v>
      </c>
    </row>
    <row r="521" customFormat="false" ht="12.75" hidden="false" customHeight="false" outlineLevel="0" collapsed="false">
      <c r="A521" s="718" t="n">
        <v>72444</v>
      </c>
      <c r="B521" s="706" t="n">
        <f aca="false">A521/1000</f>
        <v>72.444</v>
      </c>
      <c r="C521" s="707" t="n">
        <f aca="false">SQRT(1+(A521/pole1)^2)</f>
        <v>123.71837824778</v>
      </c>
      <c r="D521" s="708" t="n">
        <f aca="false">ATAN(A521/pole1)</f>
        <v>1.56271336528756</v>
      </c>
      <c r="E521" s="708" t="n">
        <f aca="false">SQRT(1+(A521/Zero1)^2)</f>
        <v>1.35231355995979</v>
      </c>
      <c r="F521" s="709" t="n">
        <f aca="false">ATAN(A521/Zero1)</f>
        <v>0.738508452338377</v>
      </c>
      <c r="G521" s="708" t="n">
        <f aca="false">IF(VIN_nom&gt;Vout, 1, SQRT(1+(A521/z_RHP)^2))</f>
        <v>1.4672394981687</v>
      </c>
      <c r="H521" s="709" t="n">
        <f aca="false">IF(VIN_nom&gt;Vout, 0, -ATAN(A521/z_RHP))</f>
        <v>-0.820914908732068</v>
      </c>
      <c r="I521" s="707" t="n">
        <f aca="false">SQRT(1+(A521/Pole2)^2)</f>
        <v>300511.169507805</v>
      </c>
      <c r="J521" s="710" t="n">
        <f aca="false">ATAN(A521/Pole2)</f>
        <v>1.57079299913156</v>
      </c>
      <c r="K521" s="719" t="n">
        <f aca="false">SQRT(1+(A521/Zero2)^2)</f>
        <v>92.9848072066346</v>
      </c>
      <c r="L521" s="720" t="n">
        <f aca="false">ATAN(A521/Zero2)</f>
        <v>1.56004167442326</v>
      </c>
      <c r="M521" s="707" t="n">
        <f aca="false">SQRT(1+(A521/pole4)^2)</f>
        <v>3.05693575924346</v>
      </c>
      <c r="N521" s="710" t="n">
        <f aca="false">ATAN(A521/pole4)</f>
        <v>1.23753678726634</v>
      </c>
      <c r="O521" s="711" t="n">
        <f aca="false">SQRT((1-(V521/pterm2))^2+(A521/pterm1)^2)</f>
        <v>1.2666381051967</v>
      </c>
      <c r="P521" s="712" t="n">
        <f aca="false">IF((ATAN((A521/pterm1)/(1-A521^2/pterm2))&gt;0),ATAN((A521/pterm1)/(1-A521^2/pterm2)),PI()+ATAN((A521/pterm1)/(1-A521^2/pterm2)))</f>
        <v>0.920600471351189</v>
      </c>
      <c r="Q521" s="713" t="n">
        <f aca="false">20*LOG10(((E521*K521*G521)/(C521*I521*O521*M521))*Adc)</f>
        <v>-28.6839142619182</v>
      </c>
      <c r="R521" s="714" t="n">
        <f aca="false">((F521+L521+H521)-(D521+J521+P521+N521))*radconv</f>
        <v>-218.526584884032</v>
      </c>
      <c r="S521" s="717" t="n">
        <f aca="false">IF(R521&gt;0,R521,R521+180)</f>
        <v>-38.5265848840317</v>
      </c>
      <c r="U521" s="644" t="n">
        <f aca="false">IF(Q521&lt;0,A521,1000000000)</f>
        <v>72444</v>
      </c>
      <c r="V521" s="644" t="n">
        <f aca="false">A521^2</f>
        <v>5248133136</v>
      </c>
      <c r="X521" s="716" t="n">
        <f aca="false">20*LOG10((K521/(I521*M521))*AEA)</f>
        <v>8.20197561370634</v>
      </c>
      <c r="Y521" s="717" t="n">
        <f aca="false">(L521-(J521+N521))*radconv</f>
        <v>-71.5216405142268</v>
      </c>
      <c r="AA521" s="716" t="n">
        <f aca="false">20*LOG10((E521*G521/(C521*O521))*Acs*Am)</f>
        <v>14.5947354789299</v>
      </c>
      <c r="AB521" s="717" t="n">
        <f aca="false">(F521+H521-(D521+P521))*radconv</f>
        <v>-147.004944369805</v>
      </c>
      <c r="AD521" s="0" t="n">
        <f aca="false">SUM((Q522&lt;0)*(Q521&gt;0))*A521</f>
        <v>0</v>
      </c>
      <c r="AE521" s="0" t="n">
        <f aca="false">IF(AD521&gt;0,S521,0)</f>
        <v>0</v>
      </c>
    </row>
    <row r="522" customFormat="false" ht="12.75" hidden="false" customHeight="false" outlineLevel="0" collapsed="false">
      <c r="A522" s="718" t="n">
        <v>72865.75</v>
      </c>
      <c r="B522" s="706" t="n">
        <f aca="false">A522/1000</f>
        <v>72.86575</v>
      </c>
      <c r="C522" s="707" t="n">
        <f aca="false">SQRT(1+(A522/pole1)^2)</f>
        <v>124.438587332578</v>
      </c>
      <c r="D522" s="708" t="n">
        <f aca="false">ATAN(A522/pole1)</f>
        <v>1.5627601477858</v>
      </c>
      <c r="E522" s="708" t="n">
        <f aca="false">SQRT(1+(A522/Zero1)^2)</f>
        <v>1.35588701849724</v>
      </c>
      <c r="F522" s="709" t="n">
        <f aca="false">ATAN(A522/Zero1)</f>
        <v>0.741398896965723</v>
      </c>
      <c r="G522" s="708" t="n">
        <f aca="false">IF(VIN_nom&gt;Vout, 1, SQRT(1+(A522/z_RHP)^2))</f>
        <v>1.47181973065476</v>
      </c>
      <c r="H522" s="709" t="n">
        <f aca="false">IF(VIN_nom&gt;Vout, 0, -ATAN(A522/z_RHP))</f>
        <v>-0.823809405536258</v>
      </c>
      <c r="I522" s="707" t="n">
        <f aca="false">SQRT(1+(A522/Pole2)^2)</f>
        <v>302260.666853872</v>
      </c>
      <c r="J522" s="710" t="n">
        <f aca="false">ATAN(A522/Pole2)</f>
        <v>1.57079301839222</v>
      </c>
      <c r="K522" s="719" t="n">
        <f aca="false">SQRT(1+(A522/Zero2)^2)</f>
        <v>93.5260779796049</v>
      </c>
      <c r="L522" s="720" t="n">
        <f aca="false">ATAN(A522/Zero2)</f>
        <v>1.56010391804155</v>
      </c>
      <c r="M522" s="707" t="n">
        <f aca="false">SQRT(1+(A522/pole4)^2)</f>
        <v>3.07283292768411</v>
      </c>
      <c r="N522" s="710" t="n">
        <f aca="false">ATAN(A522/pole4)</f>
        <v>1.2393271336804</v>
      </c>
      <c r="O522" s="711" t="n">
        <f aca="false">SQRT((1-(V522/pterm2))^2+(A522/pterm1)^2)</f>
        <v>1.26967409205623</v>
      </c>
      <c r="P522" s="712" t="n">
        <f aca="false">IF((ATAN((A522/pterm1)/(1-A522^2/pterm2))&gt;0),ATAN((A522/pterm1)/(1-A522^2/pterm2)),PI()+ATAN((A522/pterm1)/(1-A522^2/pterm2)))</f>
        <v>0.925106409002057</v>
      </c>
      <c r="Q522" s="713" t="n">
        <f aca="false">20*LOG10(((E522*K522*G522)/(C522*I522*O522*M522))*Adc)</f>
        <v>-28.7501898080247</v>
      </c>
      <c r="R522" s="714" t="n">
        <f aca="false">((F522+L522+H522)-(D522+J522+P522+N522))*radconv</f>
        <v>-218.886682807239</v>
      </c>
      <c r="S522" s="717" t="n">
        <f aca="false">IF(R522&gt;0,R522,R522+180)</f>
        <v>-38.8866828072387</v>
      </c>
      <c r="U522" s="644" t="n">
        <f aca="false">IF(Q522&lt;0,A522,1000000000)</f>
        <v>72865.75</v>
      </c>
      <c r="V522" s="644" t="n">
        <f aca="false">A522^2</f>
        <v>5309417523.0625</v>
      </c>
      <c r="X522" s="716" t="n">
        <f aca="false">20*LOG10((K522/(I522*M522))*AEA)</f>
        <v>8.15691710110639</v>
      </c>
      <c r="Y522" s="717" t="n">
        <f aca="false">(L522-(J522+N522))*radconv</f>
        <v>-71.6206546146559</v>
      </c>
      <c r="AA522" s="716" t="n">
        <f aca="false">20*LOG10((E522*G522/(C522*O522))*Acs*Am)</f>
        <v>14.5735184454233</v>
      </c>
      <c r="AB522" s="717" t="n">
        <f aca="false">(F522+H522-(D522+P522))*radconv</f>
        <v>-147.266028192583</v>
      </c>
      <c r="AD522" s="0" t="n">
        <f aca="false">SUM((Q523&lt;0)*(Q522&gt;0))*A522</f>
        <v>0</v>
      </c>
      <c r="AE522" s="0" t="n">
        <f aca="false">IF(AD522&gt;0,S522,0)</f>
        <v>0</v>
      </c>
    </row>
    <row r="523" customFormat="false" ht="12.75" hidden="false" customHeight="false" outlineLevel="0" collapsed="false">
      <c r="A523" s="718" t="n">
        <v>73287.5</v>
      </c>
      <c r="B523" s="706" t="n">
        <f aca="false">A523/1000</f>
        <v>73.2875</v>
      </c>
      <c r="C523" s="707" t="n">
        <f aca="false">SQRT(1+(A523/pole1)^2)</f>
        <v>125.158796686587</v>
      </c>
      <c r="D523" s="708" t="n">
        <f aca="false">ATAN(A523/pole1)</f>
        <v>1.56280639187704</v>
      </c>
      <c r="E523" s="708" t="n">
        <f aca="false">SQRT(1+(A523/Zero1)^2)</f>
        <v>1.35947174541575</v>
      </c>
      <c r="F523" s="709" t="n">
        <f aca="false">ATAN(A523/Zero1)</f>
        <v>0.744274122155131</v>
      </c>
      <c r="G523" s="708" t="n">
        <f aca="false">IF(VIN_nom&gt;Vout, 1, SQRT(1+(A523/z_RHP)^2))</f>
        <v>1.47641221764228</v>
      </c>
      <c r="H523" s="709" t="n">
        <f aca="false">IF(VIN_nom&gt;Vout, 0, -ATAN(A523/z_RHP))</f>
        <v>-0.826685919232246</v>
      </c>
      <c r="I523" s="707" t="n">
        <f aca="false">SQRT(1+(A523/Pole2)^2)</f>
        <v>304010.16419994</v>
      </c>
      <c r="J523" s="710" t="n">
        <f aca="false">ATAN(A523/Pole2)</f>
        <v>1.57079303743119</v>
      </c>
      <c r="K523" s="719" t="n">
        <f aca="false">SQRT(1+(A523/Zero2)^2)</f>
        <v>94.0673491107504</v>
      </c>
      <c r="L523" s="720" t="n">
        <f aca="false">ATAN(A523/Zero2)</f>
        <v>1.56016544535046</v>
      </c>
      <c r="M523" s="707" t="n">
        <f aca="false">SQRT(1+(A523/pole4)^2)</f>
        <v>3.0887398441948</v>
      </c>
      <c r="N523" s="710" t="n">
        <f aca="false">ATAN(A523/pole4)</f>
        <v>1.24109904526594</v>
      </c>
      <c r="O523" s="711" t="n">
        <f aca="false">SQRT((1-(V523/pterm2))^2+(A523/pterm1)^2)</f>
        <v>1.27272627698119</v>
      </c>
      <c r="P523" s="712" t="n">
        <f aca="false">IF((ATAN((A523/pterm1)/(1-A523^2/pterm2))&gt;0),ATAN((A523/pterm1)/(1-A523^2/pterm2)),PI()+ATAN((A523/pterm1)/(1-A523^2/pterm2)))</f>
        <v>0.929600714125759</v>
      </c>
      <c r="Q523" s="713" t="n">
        <f aca="false">20*LOG10(((E523*K523*G523)/(C523*I523*O523*M523))*Adc)</f>
        <v>-28.8160304925369</v>
      </c>
      <c r="R523" s="714" t="n">
        <f aca="false">((F523+L523+H523)-(D523+J523+P523+N523))*radconv</f>
        <v>-219.244909831574</v>
      </c>
      <c r="S523" s="717" t="n">
        <f aca="false">IF(R523&gt;0,R523,R523+180)</f>
        <v>-39.2449098315741</v>
      </c>
      <c r="U523" s="644" t="n">
        <f aca="false">IF(Q523&lt;0,A523,1000000000)</f>
        <v>73287.5</v>
      </c>
      <c r="V523" s="644" t="n">
        <f aca="false">A523^2</f>
        <v>5371057656.25</v>
      </c>
      <c r="X523" s="716" t="n">
        <f aca="false">20*LOG10((K523/(I523*M523))*AEA)</f>
        <v>8.11206375352815</v>
      </c>
      <c r="Y523" s="717" t="n">
        <f aca="false">(L523-(J523+N523))*radconv</f>
        <v>-71.7186535060174</v>
      </c>
      <c r="AA523" s="716" t="n">
        <f aca="false">20*LOG10((E523*G523/(C523*O523))*Acs*Am)</f>
        <v>14.5525311084894</v>
      </c>
      <c r="AB523" s="717" t="n">
        <f aca="false">(F523+H523-(D523+P523))*radconv</f>
        <v>-147.526256325557</v>
      </c>
      <c r="AD523" s="0" t="n">
        <f aca="false">SUM((Q524&lt;0)*(Q523&gt;0))*A523</f>
        <v>0</v>
      </c>
      <c r="AE523" s="0" t="n">
        <f aca="false">IF(AD523&gt;0,S523,0)</f>
        <v>0</v>
      </c>
    </row>
    <row r="524" customFormat="false" ht="12.75" hidden="false" customHeight="false" outlineLevel="0" collapsed="false">
      <c r="A524" s="718" t="n">
        <v>73709.25</v>
      </c>
      <c r="B524" s="706" t="n">
        <f aca="false">A524/1000</f>
        <v>73.70925</v>
      </c>
      <c r="C524" s="707" t="n">
        <f aca="false">SQRT(1+(A524/pole1)^2)</f>
        <v>125.879006305188</v>
      </c>
      <c r="D524" s="708" t="n">
        <f aca="false">ATAN(A524/pole1)</f>
        <v>1.56285210680247</v>
      </c>
      <c r="E524" s="708" t="n">
        <f aca="false">SQRT(1+(A524/Zero1)^2)</f>
        <v>1.3630676518113</v>
      </c>
      <c r="F524" s="709" t="n">
        <f aca="false">ATAN(A524/Zero1)</f>
        <v>0.747134200631756</v>
      </c>
      <c r="G524" s="708" t="n">
        <f aca="false">IF(VIN_nom&gt;Vout, 1, SQRT(1+(A524/z_RHP)^2))</f>
        <v>1.48101684513127</v>
      </c>
      <c r="H524" s="709" t="n">
        <f aca="false">IF(VIN_nom&gt;Vout, 0, -ATAN(A524/z_RHP))</f>
        <v>-0.829544569729627</v>
      </c>
      <c r="I524" s="707" t="n">
        <f aca="false">SQRT(1+(A524/Pole2)^2)</f>
        <v>305759.661546008</v>
      </c>
      <c r="J524" s="710" t="n">
        <f aca="false">ATAN(A524/Pole2)</f>
        <v>1.57079305625229</v>
      </c>
      <c r="K524" s="719" t="n">
        <f aca="false">SQRT(1+(A524/Zero2)^2)</f>
        <v>94.6086205939235</v>
      </c>
      <c r="L524" s="720" t="n">
        <f aca="false">ATAN(A524/Zero2)</f>
        <v>1.56022626864389</v>
      </c>
      <c r="M524" s="707" t="n">
        <f aca="false">SQRT(1+(A524/pole4)^2)</f>
        <v>3.10465635894083</v>
      </c>
      <c r="N524" s="710" t="n">
        <f aca="false">ATAN(A524/pole4)</f>
        <v>1.24285279433747</v>
      </c>
      <c r="O524" s="711" t="n">
        <f aca="false">SQRT((1-(V524/pterm2))^2+(A524/pterm1)^2)</f>
        <v>1.27579464557007</v>
      </c>
      <c r="P524" s="712" t="n">
        <f aca="false">IF((ATAN((A524/pterm1)/(1-A524^2/pterm2))&gt;0),ATAN((A524/pterm1)/(1-A524^2/pterm2)),PI()+ATAN((A524/pterm1)/(1-A524^2/pterm2)))</f>
        <v>0.934083389554029</v>
      </c>
      <c r="Q524" s="713" t="n">
        <f aca="false">20*LOG10(((E524*K524*G524)/(C524*I524*O524*M524))*Adc)</f>
        <v>-28.8814421835818</v>
      </c>
      <c r="R524" s="714" t="n">
        <f aca="false">((F524+L524+H524)-(D524+J524+P524+N524))*radconv</f>
        <v>-219.601284250536</v>
      </c>
      <c r="S524" s="717" t="n">
        <f aca="false">IF(R524&gt;0,R524,R524+180)</f>
        <v>-39.6012842505357</v>
      </c>
      <c r="U524" s="644" t="n">
        <f aca="false">IF(Q524&lt;0,A524,1000000000)</f>
        <v>73709.25</v>
      </c>
      <c r="V524" s="644" t="n">
        <f aca="false">A524^2</f>
        <v>5433053535.5625</v>
      </c>
      <c r="X524" s="716" t="n">
        <f aca="false">20*LOG10((K524/(I524*M524))*AEA)</f>
        <v>8.06741402231899</v>
      </c>
      <c r="Y524" s="717" t="n">
        <f aca="false">(L524-(J524+N524))*radconv</f>
        <v>-71.8156520866118</v>
      </c>
      <c r="AA524" s="716" t="n">
        <f aca="false">20*LOG10((E524*G524/(C524*O524))*Acs*Am)</f>
        <v>14.5317691486536</v>
      </c>
      <c r="AB524" s="717" t="n">
        <f aca="false">(F524+H524-(D524+P524))*radconv</f>
        <v>-147.785632163924</v>
      </c>
      <c r="AD524" s="0" t="n">
        <f aca="false">SUM((Q525&lt;0)*(Q524&gt;0))*A524</f>
        <v>0</v>
      </c>
      <c r="AE524" s="0" t="n">
        <f aca="false">IF(AD524&gt;0,S524,0)</f>
        <v>0</v>
      </c>
    </row>
    <row r="525" customFormat="false" ht="12.75" hidden="false" customHeight="false" outlineLevel="0" collapsed="false">
      <c r="A525" s="718" t="n">
        <v>74131</v>
      </c>
      <c r="B525" s="706" t="n">
        <f aca="false">A525/1000</f>
        <v>74.131</v>
      </c>
      <c r="C525" s="707" t="n">
        <f aca="false">SQRT(1+(A525/pole1)^2)</f>
        <v>126.599216183864</v>
      </c>
      <c r="D525" s="708" t="n">
        <f aca="false">ATAN(A525/pole1)</f>
        <v>1.56289730159301</v>
      </c>
      <c r="E525" s="708" t="n">
        <f aca="false">SQRT(1+(A525/Zero1)^2)</f>
        <v>1.36667464943972</v>
      </c>
      <c r="F525" s="709" t="n">
        <f aca="false">ATAN(A525/Zero1)</f>
        <v>0.749979205347771</v>
      </c>
      <c r="G525" s="708" t="n">
        <f aca="false">IF(VIN_nom&gt;Vout, 1, SQRT(1+(A525/z_RHP)^2))</f>
        <v>1.48563350023556</v>
      </c>
      <c r="H525" s="709" t="n">
        <f aca="false">IF(VIN_nom&gt;Vout, 0, -ATAN(A525/z_RHP))</f>
        <v>-0.832385476621196</v>
      </c>
      <c r="I525" s="707" t="n">
        <f aca="false">SQRT(1+(A525/Pole2)^2)</f>
        <v>307509.158892075</v>
      </c>
      <c r="J525" s="710" t="n">
        <f aca="false">ATAN(A525/Pole2)</f>
        <v>1.57079307485924</v>
      </c>
      <c r="K525" s="719" t="n">
        <f aca="false">SQRT(1+(A525/Zero2)^2)</f>
        <v>95.1498924231166</v>
      </c>
      <c r="L525" s="720" t="n">
        <f aca="false">ATAN(A525/Zero2)</f>
        <v>1.56028639993601</v>
      </c>
      <c r="M525" s="707" t="n">
        <f aca="false">SQRT(1+(A525/pole4)^2)</f>
        <v>3.12058232505496</v>
      </c>
      <c r="N525" s="710" t="n">
        <f aca="false">ATAN(A525/pole4)</f>
        <v>1.24458864810235</v>
      </c>
      <c r="O525" s="711" t="n">
        <f aca="false">SQRT((1-(V525/pterm2))^2+(A525/pterm1)^2)</f>
        <v>1.27887918353125</v>
      </c>
      <c r="P525" s="712" t="n">
        <f aca="false">IF((ATAN((A525/pterm1)/(1-A525^2/pterm2))&gt;0),ATAN((A525/pterm1)/(1-A525^2/pterm2)),PI()+ATAN((A525/pterm1)/(1-A525^2/pterm2)))</f>
        <v>0.938554438642446</v>
      </c>
      <c r="Q525" s="713" t="n">
        <f aca="false">20*LOG10(((E525*K525*G525)/(C525*I525*O525*M525))*Adc)</f>
        <v>-28.9464306556847</v>
      </c>
      <c r="R525" s="714" t="n">
        <f aca="false">((F525+L525+H525)-(D525+J525+P525+N525))*radconv</f>
        <v>-219.955824067834</v>
      </c>
      <c r="S525" s="717" t="n">
        <f aca="false">IF(R525&gt;0,R525,R525+180)</f>
        <v>-39.9558240678342</v>
      </c>
      <c r="U525" s="644" t="n">
        <f aca="false">IF(Q525&lt;0,A525,1000000000)</f>
        <v>74131</v>
      </c>
      <c r="V525" s="644" t="n">
        <f aca="false">A525^2</f>
        <v>5495405161</v>
      </c>
      <c r="X525" s="716" t="n">
        <f aca="false">20*LOG10((K525/(I525*M525))*AEA)</f>
        <v>8.02296637030985</v>
      </c>
      <c r="Y525" s="717" t="n">
        <f aca="false">(L525-(J525+N525))*radconv</f>
        <v>-71.911664978145</v>
      </c>
      <c r="AA525" s="716" t="n">
        <f aca="false">20*LOG10((E525*G525/(C525*O525))*Acs*Am)</f>
        <v>14.5112283285599</v>
      </c>
      <c r="AB525" s="717" t="n">
        <f aca="false">(F525+H525-(D525+P525))*radconv</f>
        <v>-148.044159089689</v>
      </c>
      <c r="AD525" s="0" t="n">
        <f aca="false">SUM((Q526&lt;0)*(Q525&gt;0))*A525</f>
        <v>0</v>
      </c>
      <c r="AE525" s="0" t="n">
        <f aca="false">IF(AD525&gt;0,S525,0)</f>
        <v>0</v>
      </c>
    </row>
    <row r="526" customFormat="false" ht="12.75" hidden="false" customHeight="false" outlineLevel="0" collapsed="false">
      <c r="A526" s="718" t="n">
        <v>74562.75</v>
      </c>
      <c r="B526" s="706" t="n">
        <f aca="false">A526/1000</f>
        <v>74.56275</v>
      </c>
      <c r="C526" s="707" t="n">
        <f aca="false">SQRT(1+(A526/pole1)^2)</f>
        <v>127.336503028664</v>
      </c>
      <c r="D526" s="708" t="n">
        <f aca="false">ATAN(A526/pole1)</f>
        <v>1.56294303841873</v>
      </c>
      <c r="E526" s="708" t="n">
        <f aca="false">SQRT(1+(A526/Zero1)^2)</f>
        <v>1.37037856899577</v>
      </c>
      <c r="F526" s="709" t="n">
        <f aca="false">ATAN(A526/Zero1)</f>
        <v>0.752876129471404</v>
      </c>
      <c r="G526" s="708" t="n">
        <f aca="false">IF(VIN_nom&gt;Vout, 1, SQRT(1+(A526/z_RHP)^2))</f>
        <v>1.49037196167425</v>
      </c>
      <c r="H526" s="709" t="n">
        <f aca="false">IF(VIN_nom&gt;Vout, 0, -ATAN(A526/z_RHP))</f>
        <v>-0.835275488329956</v>
      </c>
      <c r="I526" s="707" t="n">
        <f aca="false">SQRT(1+(A526/Pole2)^2)</f>
        <v>309300.138095786</v>
      </c>
      <c r="J526" s="710" t="n">
        <f aca="false">ATAN(A526/Pole2)</f>
        <v>1.57079309368932</v>
      </c>
      <c r="K526" s="719" t="n">
        <f aca="false">SQRT(1+(A526/Zero2)^2)</f>
        <v>95.7039985543181</v>
      </c>
      <c r="L526" s="720" t="n">
        <f aca="false">ATAN(A526/Zero2)</f>
        <v>1.5603472524351</v>
      </c>
      <c r="M526" s="707" t="n">
        <f aca="false">SQRT(1+(A526/pole4)^2)</f>
        <v>3.13689554731778</v>
      </c>
      <c r="N526" s="710" t="n">
        <f aca="false">ATAN(A526/pole4)</f>
        <v>1.24634739715177</v>
      </c>
      <c r="O526" s="711" t="n">
        <f aca="false">SQRT((1-(V526/pterm2))^2+(A526/pterm1)^2)</f>
        <v>1.28205359233029</v>
      </c>
      <c r="P526" s="712" t="n">
        <f aca="false">IF((ATAN((A526/pterm1)/(1-A526^2/pterm2))&gt;0),ATAN((A526/pterm1)/(1-A526^2/pterm2)),PI()+ATAN((A526/pterm1)/(1-A526^2/pterm2)))</f>
        <v>0.943119460498773</v>
      </c>
      <c r="Q526" s="713" t="n">
        <f aca="false">20*LOG10(((E526*K526*G526)/(C526*I526*O526*M526))*Adc)</f>
        <v>-29.0125275938634</v>
      </c>
      <c r="R526" s="714" t="n">
        <f aca="false">((F526+L526+H526)-(D526+J526+P526+N526))*radconv</f>
        <v>-220.316888414151</v>
      </c>
      <c r="S526" s="717" t="n">
        <f aca="false">IF(R526&gt;0,R526,R526+180)</f>
        <v>-40.3168884141514</v>
      </c>
      <c r="U526" s="644" t="n">
        <f aca="false">IF(Q526&lt;0,A526,1000000000)</f>
        <v>74562.75</v>
      </c>
      <c r="V526" s="644" t="n">
        <f aca="false">A526^2</f>
        <v>5559603687.5625</v>
      </c>
      <c r="X526" s="716" t="n">
        <f aca="false">20*LOG10((K526/(I526*M526))*AEA)</f>
        <v>7.97767256251394</v>
      </c>
      <c r="Y526" s="717" t="n">
        <f aca="false">(L526-(J526+N526))*radconv</f>
        <v>-72.0089483635249</v>
      </c>
      <c r="AA526" s="716" t="n">
        <f aca="false">20*LOG10((E526*G526/(C526*O526))*Acs*Am)</f>
        <v>14.490425198177</v>
      </c>
      <c r="AB526" s="717" t="n">
        <f aca="false">(F526+H526-(D526+P526))*radconv</f>
        <v>-148.307940050627</v>
      </c>
      <c r="AD526" s="0" t="n">
        <f aca="false">SUM((Q527&lt;0)*(Q526&gt;0))*A526</f>
        <v>0</v>
      </c>
      <c r="AE526" s="0" t="n">
        <f aca="false">IF(AD526&gt;0,S526,0)</f>
        <v>0</v>
      </c>
    </row>
    <row r="527" customFormat="false" ht="12.75" hidden="false" customHeight="false" outlineLevel="0" collapsed="false">
      <c r="A527" s="718" t="n">
        <v>74994.5</v>
      </c>
      <c r="B527" s="706" t="n">
        <f aca="false">A527/1000</f>
        <v>74.9945</v>
      </c>
      <c r="C527" s="707" t="n">
        <f aca="false">SQRT(1+(A527/pole1)^2)</f>
        <v>128.073790136766</v>
      </c>
      <c r="D527" s="708" t="n">
        <f aca="false">ATAN(A527/pole1)</f>
        <v>1.5629882486548</v>
      </c>
      <c r="E527" s="708" t="n">
        <f aca="false">SQRT(1+(A527/Zero1)^2)</f>
        <v>1.37409392694501</v>
      </c>
      <c r="F527" s="709" t="n">
        <f aca="false">ATAN(A527/Zero1)</f>
        <v>0.755757411910578</v>
      </c>
      <c r="G527" s="708" t="n">
        <f aca="false">IF(VIN_nom&gt;Vout, 1, SQRT(1+(A527/z_RHP)^2))</f>
        <v>1.4951227919877</v>
      </c>
      <c r="H527" s="709" t="n">
        <f aca="false">IF(VIN_nom&gt;Vout, 0, -ATAN(A527/z_RHP))</f>
        <v>-0.838147157572101</v>
      </c>
      <c r="I527" s="707" t="n">
        <f aca="false">SQRT(1+(A527/Pole2)^2)</f>
        <v>311091.117299496</v>
      </c>
      <c r="J527" s="710" t="n">
        <f aca="false">ATAN(A527/Pole2)</f>
        <v>1.5707931123026</v>
      </c>
      <c r="K527" s="719" t="n">
        <f aca="false">SQRT(1+(A527/Zero2)^2)</f>
        <v>96.2581050358341</v>
      </c>
      <c r="L527" s="720" t="n">
        <f aca="false">ATAN(A527/Zero2)</f>
        <v>1.56040740434375</v>
      </c>
      <c r="M527" s="707" t="n">
        <f aca="false">SQRT(1+(A527/pole4)^2)</f>
        <v>3.15321837220527</v>
      </c>
      <c r="N527" s="710" t="n">
        <f aca="false">ATAN(A527/pole4)</f>
        <v>1.24808794299786</v>
      </c>
      <c r="O527" s="711" t="n">
        <f aca="false">SQRT((1-(V527/pterm2))^2+(A527/pterm1)^2)</f>
        <v>1.28524491641217</v>
      </c>
      <c r="P527" s="712" t="n">
        <f aca="false">IF((ATAN((A527/pterm1)/(1-A527^2/pterm2))&gt;0),ATAN((A527/pterm1)/(1-A527^2/pterm2)),PI()+ATAN((A527/pterm1)/(1-A527^2/pterm2)))</f>
        <v>0.94767230690738</v>
      </c>
      <c r="Q527" s="713" t="n">
        <f aca="false">20*LOG10(((E527*K527*G527)/(C527*I527*O527*M527))*Adc)</f>
        <v>-29.078192958509</v>
      </c>
      <c r="R527" s="714" t="n">
        <f aca="false">((F527+L527+H527)-(D527+J527+P527+N527))*radconv</f>
        <v>-220.676067405643</v>
      </c>
      <c r="S527" s="717" t="n">
        <f aca="false">IF(R527&gt;0,R527,R527+180)</f>
        <v>-40.6760674056434</v>
      </c>
      <c r="U527" s="644" t="n">
        <f aca="false">IF(Q527&lt;0,A527,1000000000)</f>
        <v>74994.5</v>
      </c>
      <c r="V527" s="644" t="n">
        <f aca="false">A527^2</f>
        <v>5624175030.25</v>
      </c>
      <c r="X527" s="716" t="n">
        <f aca="false">20*LOG10((K527/(I527*M527))*AEA)</f>
        <v>7.93258730752417</v>
      </c>
      <c r="Y527" s="717" t="n">
        <f aca="false">(L527-(J527+N527))*radconv</f>
        <v>-72.1052289106315</v>
      </c>
      <c r="AA527" s="716" t="n">
        <f aca="false">20*LOG10((E527*G527/(C527*O527))*Acs*Am)</f>
        <v>14.4698450885212</v>
      </c>
      <c r="AB527" s="717" t="n">
        <f aca="false">(F527+H527-(D527+P527))*radconv</f>
        <v>-148.570838495012</v>
      </c>
      <c r="AD527" s="0" t="n">
        <f aca="false">SUM((Q528&lt;0)*(Q527&gt;0))*A527</f>
        <v>0</v>
      </c>
      <c r="AE527" s="0" t="n">
        <f aca="false">IF(AD527&gt;0,S527,0)</f>
        <v>0</v>
      </c>
    </row>
    <row r="528" customFormat="false" ht="12.75" hidden="false" customHeight="false" outlineLevel="0" collapsed="false">
      <c r="A528" s="718" t="n">
        <v>75426.25</v>
      </c>
      <c r="B528" s="706" t="n">
        <f aca="false">A528/1000</f>
        <v>75.42625</v>
      </c>
      <c r="C528" s="707" t="n">
        <f aca="false">SQRT(1+(A528/pole1)^2)</f>
        <v>128.811077503651</v>
      </c>
      <c r="D528" s="708" t="n">
        <f aca="false">ATAN(A528/pole1)</f>
        <v>1.5630329413433</v>
      </c>
      <c r="E528" s="708" t="n">
        <f aca="false">SQRT(1+(A528/Zero1)^2)</f>
        <v>1.37782063075495</v>
      </c>
      <c r="F528" s="709" t="n">
        <f aca="false">ATAN(A528/Zero1)</f>
        <v>0.758623131554248</v>
      </c>
      <c r="G528" s="708" t="n">
        <f aca="false">IF(VIN_nom&gt;Vout, 1, SQRT(1+(A528/z_RHP)^2))</f>
        <v>1.49988587364213</v>
      </c>
      <c r="H528" s="709" t="n">
        <f aca="false">IF(VIN_nom&gt;Vout, 0, -ATAN(A528/z_RHP))</f>
        <v>-0.84100061150651</v>
      </c>
      <c r="I528" s="707" t="n">
        <f aca="false">SQRT(1+(A528/Pole2)^2)</f>
        <v>312882.096503207</v>
      </c>
      <c r="J528" s="710" t="n">
        <f aca="false">ATAN(A528/Pole2)</f>
        <v>1.57079313070279</v>
      </c>
      <c r="K528" s="719" t="n">
        <f aca="false">SQRT(1+(A528/Zero2)^2)</f>
        <v>96.8122118616492</v>
      </c>
      <c r="L528" s="720" t="n">
        <f aca="false">ATAN(A528/Zero2)</f>
        <v>1.56046686769107</v>
      </c>
      <c r="M528" s="707" t="n">
        <f aca="false">SQRT(1+(A528/pole4)^2)</f>
        <v>3.16955065136017</v>
      </c>
      <c r="N528" s="710" t="n">
        <f aca="false">ATAN(A528/pole4)</f>
        <v>1.24981055640858</v>
      </c>
      <c r="O528" s="711" t="n">
        <f aca="false">SQRT((1-(V528/pterm2))^2+(A528/pterm1)^2)</f>
        <v>1.28845314080526</v>
      </c>
      <c r="P528" s="712" t="n">
        <f aca="false">IF((ATAN((A528/pterm1)/(1-A528^2/pterm2))&gt;0),ATAN((A528/pterm1)/(1-A528^2/pterm2)),PI()+ATAN((A528/pterm1)/(1-A528^2/pterm2)))</f>
        <v>0.952212983125581</v>
      </c>
      <c r="Q528" s="713" t="n">
        <f aca="false">20*LOG10(((E528*K528*G528)/(C528*I528*O528*M528))*Adc)</f>
        <v>-29.1434326501992</v>
      </c>
      <c r="R528" s="714" t="n">
        <f aca="false">((F528+L528+H528)-(D528+J528+P528+N528))*radconv</f>
        <v>-221.033379452126</v>
      </c>
      <c r="S528" s="717" t="n">
        <f aca="false">IF(R528&gt;0,R528,R528+180)</f>
        <v>-41.0333794521256</v>
      </c>
      <c r="U528" s="644" t="n">
        <f aca="false">IF(Q528&lt;0,A528,1000000000)</f>
        <v>75426.25</v>
      </c>
      <c r="V528" s="644" t="n">
        <f aca="false">A528^2</f>
        <v>5689119189.0625</v>
      </c>
      <c r="X528" s="716" t="n">
        <f aca="false">20*LOG10((K528/(I528*M528))*AEA)</f>
        <v>7.88770899403036</v>
      </c>
      <c r="Y528" s="717" t="n">
        <f aca="false">(L528-(J528+N528))*radconv</f>
        <v>-72.2005214443231</v>
      </c>
      <c r="AA528" s="716" t="n">
        <f aca="false">20*LOG10((E528*G528/(C528*O528))*Acs*Am)</f>
        <v>14.4494837103249</v>
      </c>
      <c r="AB528" s="717" t="n">
        <f aca="false">(F528+H528-(D528+P528))*radconv</f>
        <v>-148.832858007802</v>
      </c>
      <c r="AD528" s="0" t="n">
        <f aca="false">SUM((Q529&lt;0)*(Q528&gt;0))*A528</f>
        <v>0</v>
      </c>
      <c r="AE528" s="0" t="n">
        <f aca="false">IF(AD528&gt;0,S528,0)</f>
        <v>0</v>
      </c>
    </row>
    <row r="529" customFormat="false" ht="12.75" hidden="false" customHeight="false" outlineLevel="0" collapsed="false">
      <c r="A529" s="718" t="n">
        <v>75858</v>
      </c>
      <c r="B529" s="706" t="n">
        <f aca="false">A529/1000</f>
        <v>75.858</v>
      </c>
      <c r="C529" s="707" t="n">
        <f aca="false">SQRT(1+(A529/pole1)^2)</f>
        <v>129.548365124898</v>
      </c>
      <c r="D529" s="708" t="n">
        <f aca="false">ATAN(A529/pole1)</f>
        <v>1.56307712532048</v>
      </c>
      <c r="E529" s="708" t="n">
        <f aca="false">SQRT(1+(A529/Zero1)^2)</f>
        <v>1.38155858861047</v>
      </c>
      <c r="F529" s="709" t="n">
        <f aca="false">ATAN(A529/Zero1)</f>
        <v>0.761473367463947</v>
      </c>
      <c r="G529" s="708" t="n">
        <f aca="false">IF(VIN_nom&gt;Vout, 1, SQRT(1+(A529/z_RHP)^2))</f>
        <v>1.50466109029079</v>
      </c>
      <c r="H529" s="709" t="n">
        <f aca="false">IF(VIN_nom&gt;Vout, 0, -ATAN(A529/z_RHP))</f>
        <v>-0.843835976870566</v>
      </c>
      <c r="I529" s="707" t="n">
        <f aca="false">SQRT(1+(A529/Pole2)^2)</f>
        <v>314673.075706918</v>
      </c>
      <c r="J529" s="710" t="n">
        <f aca="false">ATAN(A529/Pole2)</f>
        <v>1.57079314889352</v>
      </c>
      <c r="K529" s="719" t="n">
        <f aca="false">SQRT(1+(A529/Zero2)^2)</f>
        <v>97.3663190258855</v>
      </c>
      <c r="L529" s="720" t="n">
        <f aca="false">ATAN(A529/Zero2)</f>
        <v>1.56052565423235</v>
      </c>
      <c r="M529" s="707" t="n">
        <f aca="false">SQRT(1+(A529/pole4)^2)</f>
        <v>3.18589223938234</v>
      </c>
      <c r="N529" s="710" t="n">
        <f aca="false">ATAN(A529/pole4)</f>
        <v>1.25151550302697</v>
      </c>
      <c r="O529" s="711" t="n">
        <f aca="false">SQRT((1-(V529/pterm2))^2+(A529/pterm1)^2)</f>
        <v>1.29167825066059</v>
      </c>
      <c r="P529" s="712" t="n">
        <f aca="false">IF((ATAN((A529/pterm1)/(1-A529^2/pterm2))&gt;0),ATAN((A529/pterm1)/(1-A529^2/pterm2)),PI()+ATAN((A529/pterm1)/(1-A529^2/pterm2)))</f>
        <v>0.956741494953285</v>
      </c>
      <c r="Q529" s="713" t="n">
        <f aca="false">20*LOG10(((E529*K529*G529)/(C529*I529*O529*M529))*Adc)</f>
        <v>-29.2082524735765</v>
      </c>
      <c r="R529" s="714" t="n">
        <f aca="false">((F529+L529+H529)-(D529+J529+P529+N529))*radconv</f>
        <v>-221.388842670718</v>
      </c>
      <c r="S529" s="717" t="n">
        <f aca="false">IF(R529&gt;0,R529,R529+180)</f>
        <v>-41.3888426707178</v>
      </c>
      <c r="U529" s="644" t="n">
        <f aca="false">IF(Q529&lt;0,A529,1000000000)</f>
        <v>75858</v>
      </c>
      <c r="V529" s="644" t="n">
        <f aca="false">A529^2</f>
        <v>5754436164</v>
      </c>
      <c r="X529" s="716" t="n">
        <f aca="false">20*LOG10((K529/(I529*M529))*AEA)</f>
        <v>7.84303602357976</v>
      </c>
      <c r="Y529" s="717" t="n">
        <f aca="false">(L529-(J529+N529))*radconv</f>
        <v>-72.2948405115046</v>
      </c>
      <c r="AA529" s="716" t="n">
        <f aca="false">20*LOG10((E529*G529/(C529*O529))*Acs*Am)</f>
        <v>14.4293368573982</v>
      </c>
      <c r="AB529" s="717" t="n">
        <f aca="false">(F529+H529-(D529+P529))*radconv</f>
        <v>-149.094002159213</v>
      </c>
      <c r="AD529" s="0" t="n">
        <f aca="false">SUM((Q530&lt;0)*(Q529&gt;0))*A529</f>
        <v>0</v>
      </c>
      <c r="AE529" s="0" t="n">
        <f aca="false">IF(AD529&gt;0,S529,0)</f>
        <v>0</v>
      </c>
    </row>
    <row r="530" customFormat="false" ht="12.75" hidden="false" customHeight="false" outlineLevel="0" collapsed="false">
      <c r="A530" s="718" t="n">
        <v>76299.75</v>
      </c>
      <c r="B530" s="706" t="n">
        <f aca="false">A530/1000</f>
        <v>76.29975</v>
      </c>
      <c r="C530" s="707" t="n">
        <f aca="false">SQRT(1+(A530/pole1)^2)</f>
        <v>130.30272973036</v>
      </c>
      <c r="D530" s="708" t="n">
        <f aca="false">ATAN(A530/pole1)</f>
        <v>1.56312181515196</v>
      </c>
      <c r="E530" s="708" t="n">
        <f aca="false">SQRT(1+(A530/Zero1)^2)</f>
        <v>1.38539467641349</v>
      </c>
      <c r="F530" s="709" t="n">
        <f aca="false">ATAN(A530/Zero1)</f>
        <v>0.76437367605531</v>
      </c>
      <c r="G530" s="708" t="n">
        <f aca="false">IF(VIN_nom&gt;Vout, 1, SQRT(1+(A530/z_RHP)^2))</f>
        <v>1.50955934810011</v>
      </c>
      <c r="H530" s="709" t="n">
        <f aca="false">IF(VIN_nom&gt;Vout, 0, -ATAN(A530/z_RHP))</f>
        <v>-0.846718423562543</v>
      </c>
      <c r="I530" s="707" t="n">
        <f aca="false">SQRT(1+(A530/Pole2)^2)</f>
        <v>316505.536768271</v>
      </c>
      <c r="J530" s="710" t="n">
        <f aca="false">ATAN(A530/Pole2)</f>
        <v>1.57079316729251</v>
      </c>
      <c r="K530" s="719" t="n">
        <f aca="false">SQRT(1+(A530/Zero2)^2)</f>
        <v>97.9332605162002</v>
      </c>
      <c r="L530" s="720" t="n">
        <f aca="false">ATAN(A530/Zero2)</f>
        <v>1.56058511384145</v>
      </c>
      <c r="M530" s="707" t="n">
        <f aca="false">SQRT(1+(A530/pole4)^2)</f>
        <v>3.20262181009287</v>
      </c>
      <c r="N530" s="710" t="n">
        <f aca="false">ATAN(A530/pole4)</f>
        <v>1.2532419253491</v>
      </c>
      <c r="O530" s="711" t="n">
        <f aca="false">SQRT((1-(V530/pterm2))^2+(A530/pterm1)^2)</f>
        <v>1.29499552033825</v>
      </c>
      <c r="P530" s="712" t="n">
        <f aca="false">IF((ATAN((A530/pterm1)/(1-A530^2/pterm2))&gt;0),ATAN((A530/pterm1)/(1-A530^2/pterm2)),PI()+ATAN((A530/pterm1)/(1-A530^2/pterm2)))</f>
        <v>0.961362310479701</v>
      </c>
      <c r="Q530" s="713" t="n">
        <f aca="false">20*LOG10(((E530*K530*G530)/(C530*I530*O530*M530))*Adc)</f>
        <v>-29.2741450118744</v>
      </c>
      <c r="R530" s="714" t="n">
        <f aca="false">((F530+L530+H530)-(D530+J530+P530+N530))*radconv</f>
        <v>-221.750644008232</v>
      </c>
      <c r="S530" s="717" t="n">
        <f aca="false">IF(R530&gt;0,R530,R530+180)</f>
        <v>-41.7506440082323</v>
      </c>
      <c r="U530" s="644" t="n">
        <f aca="false">IF(Q530&lt;0,A530,1000000000)</f>
        <v>76299.75</v>
      </c>
      <c r="V530" s="644" t="n">
        <f aca="false">A530^2</f>
        <v>5821651850.0625</v>
      </c>
      <c r="X530" s="716" t="n">
        <f aca="false">20*LOG10((K530/(I530*M530))*AEA)</f>
        <v>7.79753923636426</v>
      </c>
      <c r="Y530" s="717" t="n">
        <f aca="false">(L530-(J530+N530))*radconv</f>
        <v>-72.3903514938605</v>
      </c>
      <c r="AA530" s="716" t="n">
        <f aca="false">20*LOG10((E530*G530/(C530*O530))*Acs*Am)</f>
        <v>14.4089411063157</v>
      </c>
      <c r="AB530" s="717" t="n">
        <f aca="false">(F530+H530-(D530+P530))*radconv</f>
        <v>-149.360292514372</v>
      </c>
      <c r="AD530" s="0" t="n">
        <f aca="false">SUM((Q531&lt;0)*(Q530&gt;0))*A530</f>
        <v>0</v>
      </c>
      <c r="AE530" s="0" t="n">
        <f aca="false">IF(AD530&gt;0,S530,0)</f>
        <v>0</v>
      </c>
    </row>
    <row r="531" customFormat="false" ht="12.75" hidden="false" customHeight="false" outlineLevel="0" collapsed="false">
      <c r="A531" s="718" t="n">
        <v>76741.5</v>
      </c>
      <c r="B531" s="706" t="n">
        <f aca="false">A531/1000</f>
        <v>76.7415</v>
      </c>
      <c r="C531" s="707" t="n">
        <f aca="false">SQRT(1+(A531/pole1)^2)</f>
        <v>131.057094593064</v>
      </c>
      <c r="D531" s="708" t="n">
        <f aca="false">ATAN(A531/pole1)</f>
        <v>1.56316599051403</v>
      </c>
      <c r="E531" s="708" t="n">
        <f aca="false">SQRT(1+(A531/Zero1)^2)</f>
        <v>1.38924235345051</v>
      </c>
      <c r="F531" s="709" t="n">
        <f aca="false">ATAN(A531/Zero1)</f>
        <v>0.767257943276286</v>
      </c>
      <c r="G531" s="708" t="n">
        <f aca="false">IF(VIN_nom&gt;Vout, 1, SQRT(1+(A531/z_RHP)^2))</f>
        <v>1.51447006689068</v>
      </c>
      <c r="H531" s="709" t="n">
        <f aca="false">IF(VIN_nom&gt;Vout, 0, -ATAN(A531/z_RHP))</f>
        <v>-0.849582201064341</v>
      </c>
      <c r="I531" s="707" t="n">
        <f aca="false">SQRT(1+(A531/Pole2)^2)</f>
        <v>318337.997829624</v>
      </c>
      <c r="J531" s="710" t="n">
        <f aca="false">ATAN(A531/Pole2)</f>
        <v>1.57079318547967</v>
      </c>
      <c r="K531" s="719" t="n">
        <f aca="false">SQRT(1+(A531/Zero2)^2)</f>
        <v>98.5002023487669</v>
      </c>
      <c r="L531" s="720" t="n">
        <f aca="false">ATAN(A531/Zero2)</f>
        <v>1.56064388898232</v>
      </c>
      <c r="M531" s="707" t="n">
        <f aca="false">SQRT(1+(A531/pole4)^2)</f>
        <v>3.21936082710262</v>
      </c>
      <c r="N531" s="710" t="n">
        <f aca="false">ATAN(A531/pole4)</f>
        <v>1.25495039970686</v>
      </c>
      <c r="O531" s="711" t="n">
        <f aca="false">SQRT((1-(V531/pterm2))^2+(A531/pterm1)^2)</f>
        <v>1.29833043566879</v>
      </c>
      <c r="P531" s="712" t="n">
        <f aca="false">IF((ATAN((A531/pterm1)/(1-A531^2/pterm2))&gt;0),ATAN((A531/pterm1)/(1-A531^2/pterm2)),PI()+ATAN((A531/pterm1)/(1-A531^2/pterm2)))</f>
        <v>0.965970405585825</v>
      </c>
      <c r="Q531" s="713" t="n">
        <f aca="false">20*LOG10(((E531*K531*G531)/(C531*I531*O531*M531))*Adc)</f>
        <v>-29.3396100006341</v>
      </c>
      <c r="R531" s="714" t="n">
        <f aca="false">((F531+L531+H531)-(D531+J531+P531+N531))*radconv</f>
        <v>-222.110547341834</v>
      </c>
      <c r="S531" s="717" t="n">
        <f aca="false">IF(R531&gt;0,R531,R531+180)</f>
        <v>-42.1105473418339</v>
      </c>
      <c r="U531" s="644" t="n">
        <f aca="false">IF(Q531&lt;0,A531,1000000000)</f>
        <v>76741.5</v>
      </c>
      <c r="V531" s="644" t="n">
        <f aca="false">A531^2</f>
        <v>5889257822.25</v>
      </c>
      <c r="X531" s="716" t="n">
        <f aca="false">20*LOG10((K531/(I531*M531))*AEA)</f>
        <v>7.75225407037011</v>
      </c>
      <c r="Y531" s="717" t="n">
        <f aca="false">(L531-(J531+N531))*radconv</f>
        <v>-72.4848733386099</v>
      </c>
      <c r="AA531" s="716" t="n">
        <f aca="false">20*LOG10((E531*G531/(C531*O531))*Acs*Am)</f>
        <v>14.3887612835502</v>
      </c>
      <c r="AB531" s="717" t="n">
        <f aca="false">(F531+H531-(D531+P531))*radconv</f>
        <v>-149.625674003224</v>
      </c>
      <c r="AD531" s="0" t="n">
        <f aca="false">SUM((Q532&lt;0)*(Q531&gt;0))*A531</f>
        <v>0</v>
      </c>
      <c r="AE531" s="0" t="n">
        <f aca="false">IF(AD531&gt;0,S531,0)</f>
        <v>0</v>
      </c>
    </row>
    <row r="532" customFormat="false" ht="12.75" hidden="false" customHeight="false" outlineLevel="0" collapsed="false">
      <c r="A532" s="718" t="n">
        <v>77183.25</v>
      </c>
      <c r="B532" s="706" t="n">
        <f aca="false">A532/1000</f>
        <v>77.18325</v>
      </c>
      <c r="C532" s="707" t="n">
        <f aca="false">SQRT(1+(A532/pole1)^2)</f>
        <v>131.811459708593</v>
      </c>
      <c r="D532" s="708" t="n">
        <f aca="false">ATAN(A532/pole1)</f>
        <v>1.56320966023955</v>
      </c>
      <c r="E532" s="708" t="n">
        <f aca="false">SQRT(1+(A532/Zero1)^2)</f>
        <v>1.39310152369486</v>
      </c>
      <c r="F532" s="709" t="n">
        <f aca="false">ATAN(A532/Zero1)</f>
        <v>0.770126254253052</v>
      </c>
      <c r="G532" s="708" t="n">
        <f aca="false">IF(VIN_nom&gt;Vout, 1, SQRT(1+(A532/z_RHP)^2))</f>
        <v>1.51939312583985</v>
      </c>
      <c r="H532" s="709" t="n">
        <f aca="false">IF(VIN_nom&gt;Vout, 0, -ATAN(A532/z_RHP))</f>
        <v>-0.852427443647683</v>
      </c>
      <c r="I532" s="707" t="n">
        <f aca="false">SQRT(1+(A532/Pole2)^2)</f>
        <v>320170.458890977</v>
      </c>
      <c r="J532" s="710" t="n">
        <f aca="false">ATAN(A532/Pole2)</f>
        <v>1.57079320345865</v>
      </c>
      <c r="K532" s="719" t="n">
        <f aca="false">SQRT(1+(A532/Zero2)^2)</f>
        <v>99.0671445177096</v>
      </c>
      <c r="L532" s="720" t="n">
        <f aca="false">ATAN(A532/Zero2)</f>
        <v>1.56070199140579</v>
      </c>
      <c r="M532" s="707" t="n">
        <f aca="false">SQRT(1+(A532/pole4)^2)</f>
        <v>3.23610914382652</v>
      </c>
      <c r="N532" s="710" t="n">
        <f aca="false">ATAN(A532/pole4)</f>
        <v>1.25664119471474</v>
      </c>
      <c r="O532" s="711" t="n">
        <f aca="false">SQRT((1-(V532/pterm2))^2+(A532/pterm1)^2)</f>
        <v>1.30168298114864</v>
      </c>
      <c r="P532" s="712" t="n">
        <f aca="false">IF((ATAN((A532/pterm1)/(1-A532^2/pterm2))&gt;0),ATAN((A532/pterm1)/(1-A532^2/pterm2)),PI()+ATAN((A532/pterm1)/(1-A532^2/pterm2)))</f>
        <v>0.970565788194283</v>
      </c>
      <c r="Q532" s="713" t="n">
        <f aca="false">20*LOG10(((E532*K532*G532)/(C532*I532*O532*M532))*Adc)</f>
        <v>-29.4046533561628</v>
      </c>
      <c r="R532" s="714" t="n">
        <f aca="false">((F532+L532+H532)-(D532+J532+P532+N532))*radconv</f>
        <v>-222.468571164785</v>
      </c>
      <c r="S532" s="717" t="n">
        <f aca="false">IF(R532&gt;0,R532,R532+180)</f>
        <v>-42.4685711647853</v>
      </c>
      <c r="U532" s="644" t="n">
        <f aca="false">IF(Q532&lt;0,A532,1000000000)</f>
        <v>77183.25</v>
      </c>
      <c r="V532" s="644" t="n">
        <f aca="false">A532^2</f>
        <v>5957254080.5625</v>
      </c>
      <c r="X532" s="716" t="n">
        <f aca="false">20*LOG10((K532/(I532*M532))*AEA)</f>
        <v>7.70717885547605</v>
      </c>
      <c r="Y532" s="717" t="n">
        <f aca="false">(L532-(J532+N532))*radconv</f>
        <v>-72.5784207631655</v>
      </c>
      <c r="AA532" s="716" t="n">
        <f aca="false">20*LOG10((E532*G532/(C532*O532))*Acs*Am)</f>
        <v>14.3687931429155</v>
      </c>
      <c r="AB532" s="717" t="n">
        <f aca="false">(F532+H532-(D532+P532))*radconv</f>
        <v>-149.89015040162</v>
      </c>
      <c r="AD532" s="0" t="n">
        <f aca="false">SUM((Q533&lt;0)*(Q532&gt;0))*A532</f>
        <v>0</v>
      </c>
      <c r="AE532" s="0" t="n">
        <f aca="false">IF(AD532&gt;0,S532,0)</f>
        <v>0</v>
      </c>
    </row>
    <row r="533" customFormat="false" ht="12.75" hidden="false" customHeight="false" outlineLevel="0" collapsed="false">
      <c r="A533" s="718" t="n">
        <v>77625</v>
      </c>
      <c r="B533" s="706" t="n">
        <f aca="false">A533/1000</f>
        <v>77.625</v>
      </c>
      <c r="C533" s="707" t="n">
        <f aca="false">SQRT(1+(A533/pole1)^2)</f>
        <v>132.565825072632</v>
      </c>
      <c r="D533" s="708" t="n">
        <f aca="false">ATAN(A533/pole1)</f>
        <v>1.56325283296031</v>
      </c>
      <c r="E533" s="708" t="n">
        <f aca="false">SQRT(1+(A533/Zero1)^2)</f>
        <v>1.39697209189574</v>
      </c>
      <c r="F533" s="709" t="n">
        <f aca="false">ATAN(A533/Zero1)</f>
        <v>0.772978694222762</v>
      </c>
      <c r="G533" s="708" t="n">
        <f aca="false">IF(VIN_nom&gt;Vout, 1, SQRT(1+(A533/z_RHP)^2))</f>
        <v>1.52432840538415</v>
      </c>
      <c r="H533" s="709" t="n">
        <f aca="false">IF(VIN_nom&gt;Vout, 0, -ATAN(A533/z_RHP))</f>
        <v>-0.855254285052289</v>
      </c>
      <c r="I533" s="707" t="n">
        <f aca="false">SQRT(1+(A533/Pole2)^2)</f>
        <v>322002.919952331</v>
      </c>
      <c r="J533" s="710" t="n">
        <f aca="false">ATAN(A533/Pole2)</f>
        <v>1.570793221233</v>
      </c>
      <c r="K533" s="719" t="n">
        <f aca="false">SQRT(1+(A533/Zero2)^2)</f>
        <v>99.6340870172862</v>
      </c>
      <c r="L533" s="720" t="n">
        <f aca="false">ATAN(A533/Zero2)</f>
        <v>1.56075943259524</v>
      </c>
      <c r="M533" s="707" t="n">
        <f aca="false">SQRT(1+(A533/pole4)^2)</f>
        <v>3.25286661661785</v>
      </c>
      <c r="N533" s="710" t="n">
        <f aca="false">ATAN(A533/pole4)</f>
        <v>1.25831457386102</v>
      </c>
      <c r="O533" s="711" t="n">
        <f aca="false">SQRT((1-(V533/pterm2))^2+(A533/pterm1)^2)</f>
        <v>1.30505314141029</v>
      </c>
      <c r="P533" s="712" t="n">
        <f aca="false">IF((ATAN((A533/pterm1)/(1-A533^2/pterm2))&gt;0),ATAN((A533/pterm1)/(1-A533^2/pterm2)),PI()+ATAN((A533/pterm1)/(1-A533^2/pterm2)))</f>
        <v>0.97514846678643</v>
      </c>
      <c r="Q533" s="713" t="n">
        <f aca="false">20*LOG10(((E533*K533*G533)/(C533*I533*O533*M533))*Adc)</f>
        <v>-29.4692808967895</v>
      </c>
      <c r="R533" s="714" t="n">
        <f aca="false">((F533+L533+H533)-(D533+J533+P533+N533))*radconv</f>
        <v>-222.824733675611</v>
      </c>
      <c r="S533" s="717" t="n">
        <f aca="false">IF(R533&gt;0,R533,R533+180)</f>
        <v>-42.8247336756108</v>
      </c>
      <c r="U533" s="644" t="n">
        <f aca="false">IF(Q533&lt;0,A533,1000000000)</f>
        <v>77625</v>
      </c>
      <c r="V533" s="644" t="n">
        <f aca="false">A533^2</f>
        <v>6025640625</v>
      </c>
      <c r="X533" s="716" t="n">
        <f aca="false">20*LOG10((K533/(I533*M533))*AEA)</f>
        <v>7.66231193575281</v>
      </c>
      <c r="Y533" s="717" t="n">
        <f aca="false">(L533-(J533+N533))*radconv</f>
        <v>-72.6710082065475</v>
      </c>
      <c r="AA533" s="716" t="n">
        <f aca="false">20*LOG10((E533*G533/(C533*O533))*Acs*Am)</f>
        <v>14.3490325220121</v>
      </c>
      <c r="AB533" s="717" t="n">
        <f aca="false">(F533+H533-(D533+P533))*radconv</f>
        <v>-150.153725469063</v>
      </c>
      <c r="AD533" s="0" t="n">
        <f aca="false">SUM((Q534&lt;0)*(Q533&gt;0))*A533</f>
        <v>0</v>
      </c>
      <c r="AE533" s="0" t="n">
        <f aca="false">IF(AD533&gt;0,S533,0)</f>
        <v>0</v>
      </c>
    </row>
    <row r="534" customFormat="false" ht="12.75" hidden="false" customHeight="false" outlineLevel="0" collapsed="false">
      <c r="A534" s="718" t="n">
        <v>78077</v>
      </c>
      <c r="B534" s="706" t="n">
        <f aca="false">A534/1000</f>
        <v>78.077</v>
      </c>
      <c r="C534" s="707" t="n">
        <f aca="false">SQRT(1+(A534/pole1)^2)</f>
        <v>133.337694356688</v>
      </c>
      <c r="D534" s="708" t="n">
        <f aca="false">ATAN(A534/pole1)</f>
        <v>1.56329650178706</v>
      </c>
      <c r="E534" s="708" t="n">
        <f aca="false">SQRT(1+(A534/Zero1)^2)</f>
        <v>1.40094416873011</v>
      </c>
      <c r="F534" s="709" t="n">
        <f aca="false">ATAN(A534/Zero1)</f>
        <v>0.775880981179858</v>
      </c>
      <c r="G534" s="708" t="n">
        <f aca="false">IF(VIN_nom&gt;Vout, 1, SQRT(1+(A534/z_RHP)^2))</f>
        <v>1.5293907248701</v>
      </c>
      <c r="H534" s="709" t="n">
        <f aca="false">IF(VIN_nom&gt;Vout, 0, -ATAN(A534/z_RHP))</f>
        <v>-0.858127810481939</v>
      </c>
      <c r="I534" s="707" t="n">
        <f aca="false">SQRT(1+(A534/Pole2)^2)</f>
        <v>323877.899917768</v>
      </c>
      <c r="J534" s="710" t="n">
        <f aca="false">ATAN(A534/Pole2)</f>
        <v>1.57079323921158</v>
      </c>
      <c r="K534" s="719" t="n">
        <f aca="false">SQRT(1+(A534/Zero2)^2)</f>
        <v>100.214184715992</v>
      </c>
      <c r="L534" s="720" t="n">
        <f aca="false">ATAN(A534/Zero2)</f>
        <v>1.56081753388172</v>
      </c>
      <c r="M534" s="707" t="n">
        <f aca="false">SQRT(1+(A534/pole4)^2)</f>
        <v>3.27002224626547</v>
      </c>
      <c r="N534" s="710" t="n">
        <f aca="false">ATAN(A534/pole4)</f>
        <v>1.26000902358581</v>
      </c>
      <c r="O534" s="711" t="n">
        <f aca="false">SQRT((1-(V534/pterm2))^2+(A534/pterm1)^2)</f>
        <v>1.30851971678602</v>
      </c>
      <c r="P534" s="712" t="n">
        <f aca="false">IF((ATAN((A534/pterm1)/(1-A534^2/pterm2))&gt;0),ATAN((A534/pterm1)/(1-A534^2/pterm2)),PI()+ATAN((A534/pterm1)/(1-A534^2/pterm2)))</f>
        <v>0.979824337872581</v>
      </c>
      <c r="Q534" s="713" t="n">
        <f aca="false">20*LOG10(((E534*K534*G534)/(C534*I534*O534*M534))*Adc)</f>
        <v>-29.534983570015</v>
      </c>
      <c r="R534" s="714" t="n">
        <f aca="false">((F534+L534+H534)-(D534+J534+P534+N534))*radconv</f>
        <v>-223.187252369568</v>
      </c>
      <c r="S534" s="717" t="n">
        <f aca="false">IF(R534&gt;0,R534,R534+180)</f>
        <v>-43.1872523695685</v>
      </c>
      <c r="U534" s="644" t="n">
        <f aca="false">IF(Q534&lt;0,A534,1000000000)</f>
        <v>78077</v>
      </c>
      <c r="V534" s="644" t="n">
        <f aca="false">A534^2</f>
        <v>6096017929</v>
      </c>
      <c r="X534" s="716" t="n">
        <f aca="false">20*LOG10((K534/(I534*M534))*AEA)</f>
        <v>7.61661784982948</v>
      </c>
      <c r="Y534" s="717" t="n">
        <f aca="false">(L534-(J534+N534))*radconv</f>
        <v>-72.7647650960802</v>
      </c>
      <c r="AA534" s="716" t="n">
        <f aca="false">20*LOG10((E534*G534/(C534*O534))*Acs*Am)</f>
        <v>14.3290239347099</v>
      </c>
      <c r="AB534" s="717" t="n">
        <f aca="false">(F534+H534-(D534+P534))*radconv</f>
        <v>-150.422487273488</v>
      </c>
      <c r="AD534" s="0" t="n">
        <f aca="false">SUM((Q535&lt;0)*(Q534&gt;0))*A534</f>
        <v>0</v>
      </c>
      <c r="AE534" s="0" t="n">
        <f aca="false">IF(AD534&gt;0,S534,0)</f>
        <v>0</v>
      </c>
    </row>
    <row r="535" customFormat="false" ht="12.75" hidden="false" customHeight="false" outlineLevel="0" collapsed="false">
      <c r="A535" s="718" t="n">
        <v>78529</v>
      </c>
      <c r="B535" s="706" t="n">
        <f aca="false">A535/1000</f>
        <v>78.529</v>
      </c>
      <c r="C535" s="707" t="n">
        <f aca="false">SQRT(1+(A535/pole1)^2)</f>
        <v>134.109563892088</v>
      </c>
      <c r="D535" s="708" t="n">
        <f aca="false">ATAN(A535/pole1)</f>
        <v>1.56333966794076</v>
      </c>
      <c r="E535" s="708" t="n">
        <f aca="false">SQRT(1+(A535/Zero1)^2)</f>
        <v>1.40492797931108</v>
      </c>
      <c r="F535" s="709" t="n">
        <f aca="false">ATAN(A535/Zero1)</f>
        <v>0.778766832894079</v>
      </c>
      <c r="G535" s="708" t="n">
        <f aca="false">IF(VIN_nom&gt;Vout, 1, SQRT(1+(A535/z_RHP)^2))</f>
        <v>1.53446558937747</v>
      </c>
      <c r="H535" s="709" t="n">
        <f aca="false">IF(VIN_nom&gt;Vout, 0, -ATAN(A535/z_RHP))</f>
        <v>-0.86098235240647</v>
      </c>
      <c r="I535" s="707" t="n">
        <f aca="false">SQRT(1+(A535/Pole2)^2)</f>
        <v>325752.879883205</v>
      </c>
      <c r="J535" s="710" t="n">
        <f aca="false">ATAN(A535/Pole2)</f>
        <v>1.5707932569832</v>
      </c>
      <c r="K535" s="719" t="n">
        <f aca="false">SQRT(1+(A535/Zero2)^2)</f>
        <v>100.794282749103</v>
      </c>
      <c r="L535" s="720" t="n">
        <f aca="false">ATAN(A535/Zero2)</f>
        <v>1.56087496639152</v>
      </c>
      <c r="M535" s="707" t="n">
        <f aca="false">SQRT(1+(A535/pole4)^2)</f>
        <v>3.28718716665541</v>
      </c>
      <c r="N535" s="710" t="n">
        <f aca="false">ATAN(A535/pole4)</f>
        <v>1.26168578204497</v>
      </c>
      <c r="O535" s="711" t="n">
        <f aca="false">SQRT((1-(V535/pterm2))^2+(A535/pterm1)^2)</f>
        <v>1.31200470175096</v>
      </c>
      <c r="P535" s="712" t="n">
        <f aca="false">IF((ATAN((A535/pterm1)/(1-A535^2/pterm2))&gt;0),ATAN((A535/pterm1)/(1-A535^2/pterm2)),PI()+ATAN((A535/pterm1)/(1-A535^2/pterm2)))</f>
        <v>0.984486928273748</v>
      </c>
      <c r="Q535" s="713" t="n">
        <f aca="false">20*LOG10(((E535*K535*G535)/(C535*I535*O535*M535))*Adc)</f>
        <v>-29.6002629255961</v>
      </c>
      <c r="R535" s="714" t="n">
        <f aca="false">((F535+L535+H535)-(D535+J535+P535+N535))*radconv</f>
        <v>-223.547860001977</v>
      </c>
      <c r="S535" s="717" t="n">
        <f aca="false">IF(R535&gt;0,R535,R535+180)</f>
        <v>-43.5478600019767</v>
      </c>
      <c r="U535" s="644" t="n">
        <f aca="false">IF(Q535&lt;0,A535,1000000000)</f>
        <v>78529</v>
      </c>
      <c r="V535" s="644" t="n">
        <f aca="false">A535^2</f>
        <v>6166803841</v>
      </c>
      <c r="X535" s="716" t="n">
        <f aca="false">20*LOG10((K535/(I535*M535))*AEA)</f>
        <v>7.57113837537687</v>
      </c>
      <c r="Y535" s="717" t="n">
        <f aca="false">(L535-(J535+N535))*radconv</f>
        <v>-72.8575466569791</v>
      </c>
      <c r="AA535" s="716" t="n">
        <f aca="false">20*LOG10((E535*G535/(C535*O535))*Acs*Am)</f>
        <v>14.3092240535814</v>
      </c>
      <c r="AB535" s="717" t="n">
        <f aca="false">(F535+H535-(D535+P535))*radconv</f>
        <v>-150.690313344998</v>
      </c>
      <c r="AD535" s="0" t="n">
        <f aca="false">SUM((Q536&lt;0)*(Q535&gt;0))*A535</f>
        <v>0</v>
      </c>
      <c r="AE535" s="0" t="n">
        <f aca="false">IF(AD535&gt;0,S535,0)</f>
        <v>0</v>
      </c>
    </row>
    <row r="536" customFormat="false" ht="12.75" hidden="false" customHeight="false" outlineLevel="0" collapsed="false">
      <c r="A536" s="718" t="n">
        <v>78981</v>
      </c>
      <c r="B536" s="706" t="n">
        <f aca="false">A536/1000</f>
        <v>78.981</v>
      </c>
      <c r="C536" s="707" t="n">
        <f aca="false">SQRT(1+(A536/pole1)^2)</f>
        <v>134.881433674515</v>
      </c>
      <c r="D536" s="708" t="n">
        <f aca="false">ATAN(A536/pole1)</f>
        <v>1.56338234005101</v>
      </c>
      <c r="E536" s="708" t="n">
        <f aca="false">SQRT(1+(A536/Zero1)^2)</f>
        <v>1.40892342410516</v>
      </c>
      <c r="F536" s="709" t="n">
        <f aca="false">ATAN(A536/Zero1)</f>
        <v>0.781636340915812</v>
      </c>
      <c r="G536" s="708" t="n">
        <f aca="false">IF(VIN_nom&gt;Vout, 1, SQRT(1+(A536/z_RHP)^2))</f>
        <v>1.53955287484891</v>
      </c>
      <c r="H536" s="709" t="n">
        <f aca="false">IF(VIN_nom&gt;Vout, 0, -ATAN(A536/z_RHP))</f>
        <v>-0.863818052262212</v>
      </c>
      <c r="I536" s="707" t="n">
        <f aca="false">SQRT(1+(A536/Pole2)^2)</f>
        <v>327627.859848643</v>
      </c>
      <c r="J536" s="710" t="n">
        <f aca="false">ATAN(A536/Pole2)</f>
        <v>1.57079327455141</v>
      </c>
      <c r="K536" s="719" t="n">
        <f aca="false">SQRT(1+(A536/Zero2)^2)</f>
        <v>101.374381110878</v>
      </c>
      <c r="L536" s="720" t="n">
        <f aca="false">ATAN(A536/Zero2)</f>
        <v>1.56093174160517</v>
      </c>
      <c r="M536" s="707" t="n">
        <f aca="false">SQRT(1+(A536/pole4)^2)</f>
        <v>3.30436123300187</v>
      </c>
      <c r="N536" s="710" t="n">
        <f aca="false">ATAN(A536/pole4)</f>
        <v>1.26334511558126</v>
      </c>
      <c r="O536" s="711" t="n">
        <f aca="false">SQRT((1-(V536/pterm2))^2+(A536/pterm1)^2)</f>
        <v>1.31550808028713</v>
      </c>
      <c r="P536" s="712" t="n">
        <f aca="false">IF((ATAN((A536/pterm1)/(1-A536^2/pterm2))&gt;0),ATAN((A536/pterm1)/(1-A536^2/pterm2)),PI()+ATAN((A536/pterm1)/(1-A536^2/pterm2)))</f>
        <v>0.989136248833486</v>
      </c>
      <c r="Q536" s="713" t="n">
        <f aca="false">20*LOG10(((E536*K536*G536)/(C536*I536*O536*M536))*Adc)</f>
        <v>-29.6651248890226</v>
      </c>
      <c r="R536" s="714" t="n">
        <f aca="false">((F536+L536+H536)-(D536+J536+P536+N536))*radconv</f>
        <v>-223.906575149555</v>
      </c>
      <c r="S536" s="717" t="n">
        <f aca="false">IF(R536&gt;0,R536,R536+180)</f>
        <v>-43.9065751495545</v>
      </c>
      <c r="U536" s="644" t="n">
        <f aca="false">IF(Q536&lt;0,A536,1000000000)</f>
        <v>78981</v>
      </c>
      <c r="V536" s="644" t="n">
        <f aca="false">A536^2</f>
        <v>6237998361</v>
      </c>
      <c r="X536" s="716" t="n">
        <f aca="false">20*LOG10((K536/(I536*M536))*AEA)</f>
        <v>7.52587178461907</v>
      </c>
      <c r="Y536" s="717" t="n">
        <f aca="false">(L536-(J536+N536))*radconv</f>
        <v>-72.9493674919793</v>
      </c>
      <c r="AA536" s="716" t="n">
        <f aca="false">20*LOG10((E536*G536/(C536*O536))*Acs*Am)</f>
        <v>14.2896286809127</v>
      </c>
      <c r="AB536" s="717" t="n">
        <f aca="false">(F536+H536-(D536+P536))*radconv</f>
        <v>-150.957207657575</v>
      </c>
      <c r="AD536" s="0" t="n">
        <f aca="false">SUM((Q537&lt;0)*(Q536&gt;0))*A536</f>
        <v>0</v>
      </c>
      <c r="AE536" s="0" t="n">
        <f aca="false">IF(AD536&gt;0,S536,0)</f>
        <v>0</v>
      </c>
    </row>
    <row r="537" customFormat="false" ht="12.75" hidden="false" customHeight="false" outlineLevel="0" collapsed="false">
      <c r="A537" s="718" t="n">
        <v>79433</v>
      </c>
      <c r="B537" s="706" t="n">
        <f aca="false">A537/1000</f>
        <v>79.433</v>
      </c>
      <c r="C537" s="707" t="n">
        <f aca="false">SQRT(1+(A537/pole1)^2)</f>
        <v>135.653303699755</v>
      </c>
      <c r="D537" s="708" t="n">
        <f aca="false">ATAN(A537/pole1)</f>
        <v>1.56342452655101</v>
      </c>
      <c r="E537" s="708" t="n">
        <f aca="false">SQRT(1+(A537/Zero1)^2)</f>
        <v>1.41293040441567</v>
      </c>
      <c r="F537" s="709" t="n">
        <f aca="false">ATAN(A537/Zero1)</f>
        <v>0.784489596838042</v>
      </c>
      <c r="G537" s="708" t="n">
        <f aca="false">IF(VIN_nom&gt;Vout, 1, SQRT(1+(A537/z_RHP)^2))</f>
        <v>1.54465245855974</v>
      </c>
      <c r="H537" s="709" t="n">
        <f aca="false">IF(VIN_nom&gt;Vout, 0, -ATAN(A537/z_RHP))</f>
        <v>-0.866635050836656</v>
      </c>
      <c r="I537" s="707" t="n">
        <f aca="false">SQRT(1+(A537/Pole2)^2)</f>
        <v>329502.83981408</v>
      </c>
      <c r="J537" s="710" t="n">
        <f aca="false">ATAN(A537/Pole2)</f>
        <v>1.57079329191969</v>
      </c>
      <c r="K537" s="719" t="n">
        <f aca="false">SQRT(1+(A537/Zero2)^2)</f>
        <v>101.954479795707</v>
      </c>
      <c r="L537" s="720" t="n">
        <f aca="false">ATAN(A537/Zero2)</f>
        <v>1.56098787074191</v>
      </c>
      <c r="M537" s="707" t="n">
        <f aca="false">SQRT(1+(A537/pole4)^2)</f>
        <v>3.32154430343719</v>
      </c>
      <c r="N537" s="710" t="n">
        <f aca="false">ATAN(A537/pole4)</f>
        <v>1.26498728541429</v>
      </c>
      <c r="O537" s="711" t="n">
        <f aca="false">SQRT((1-(V537/pterm2))^2+(A537/pterm1)^2)</f>
        <v>1.3190298365269</v>
      </c>
      <c r="P537" s="712" t="n">
        <f aca="false">IF((ATAN((A537/pterm1)/(1-A537^2/pterm2))&gt;0),ATAN((A537/pterm1)/(1-A537^2/pterm2)),PI()+ATAN((A537/pterm1)/(1-A537^2/pterm2)))</f>
        <v>0.993772310968532</v>
      </c>
      <c r="Q537" s="713" t="n">
        <f aca="false">20*LOG10(((E537*K537*G537)/(C537*I537*O537*M537))*Adc)</f>
        <v>-29.7295752858462</v>
      </c>
      <c r="R537" s="714" t="n">
        <f aca="false">((F537+L537+H537)-(D537+J537+P537+N537))*radconv</f>
        <v>-224.263416092421</v>
      </c>
      <c r="S537" s="717" t="n">
        <f aca="false">IF(R537&gt;0,R537,R537+180)</f>
        <v>-44.263416092421</v>
      </c>
      <c r="U537" s="644" t="n">
        <f aca="false">IF(Q537&lt;0,A537,1000000000)</f>
        <v>79433</v>
      </c>
      <c r="V537" s="644" t="n">
        <f aca="false">A537^2</f>
        <v>6309601489</v>
      </c>
      <c r="X537" s="716" t="n">
        <f aca="false">20*LOG10((K537/(I537*M537))*AEA)</f>
        <v>7.48081636529244</v>
      </c>
      <c r="Y537" s="717" t="n">
        <f aca="false">(L537-(J537+N537))*radconv</f>
        <v>-73.0402419252454</v>
      </c>
      <c r="AA537" s="716" t="n">
        <f aca="false">20*LOG10((E537*G537/(C537*O537))*Acs*Am)</f>
        <v>14.2702337034158</v>
      </c>
      <c r="AB537" s="717" t="n">
        <f aca="false">(F537+H537-(D537+P537))*radconv</f>
        <v>-151.223174167176</v>
      </c>
      <c r="AD537" s="0" t="n">
        <f aca="false">SUM((Q538&lt;0)*(Q537&gt;0))*A537</f>
        <v>0</v>
      </c>
      <c r="AE537" s="0" t="n">
        <f aca="false">IF(AD537&gt;0,S537,0)</f>
        <v>0</v>
      </c>
    </row>
    <row r="538" customFormat="false" ht="12.75" hidden="false" customHeight="false" outlineLevel="0" collapsed="false">
      <c r="A538" s="718" t="n">
        <v>79895.5</v>
      </c>
      <c r="B538" s="706" t="n">
        <f aca="false">A538/1000</f>
        <v>79.8955</v>
      </c>
      <c r="C538" s="707" t="n">
        <f aca="false">SQRT(1+(A538/pole1)^2)</f>
        <v>136.443104581028</v>
      </c>
      <c r="D538" s="708" t="n">
        <f aca="false">ATAN(A538/pole1)</f>
        <v>1.56346719898142</v>
      </c>
      <c r="E538" s="708" t="n">
        <f aca="false">SQRT(1+(A538/Zero1)^2)</f>
        <v>1.41704230573942</v>
      </c>
      <c r="F538" s="709" t="n">
        <f aca="false">ATAN(A538/Zero1)</f>
        <v>0.787392406925094</v>
      </c>
      <c r="G538" s="708" t="n">
        <f aca="false">IF(VIN_nom&gt;Vout, 1, SQRT(1+(A538/z_RHP)^2))</f>
        <v>1.54988310951063</v>
      </c>
      <c r="H538" s="709" t="n">
        <f aca="false">IF(VIN_nom&gt;Vout, 0, -ATAN(A538/z_RHP))</f>
        <v>-0.869498276724816</v>
      </c>
      <c r="I538" s="707" t="n">
        <f aca="false">SQRT(1+(A538/Pole2)^2)</f>
        <v>331421.375730042</v>
      </c>
      <c r="J538" s="710" t="n">
        <f aca="false">ATAN(A538/Pole2)</f>
        <v>1.57079330948801</v>
      </c>
      <c r="K538" s="719" t="n">
        <f aca="false">SQRT(1+(A538/Zero2)^2)</f>
        <v>102.548054553</v>
      </c>
      <c r="L538" s="720" t="n">
        <f aca="false">ATAN(A538/Zero2)</f>
        <v>1.56104464643639</v>
      </c>
      <c r="M538" s="707" t="n">
        <f aca="false">SQRT(1+(A538/pole4)^2)</f>
        <v>3.33913571338649</v>
      </c>
      <c r="N538" s="710" t="n">
        <f aca="false">ATAN(A538/pole4)</f>
        <v>1.26665010382661</v>
      </c>
      <c r="O538" s="711" t="n">
        <f aca="false">SQRT((1-(V538/pterm2))^2+(A538/pterm1)^2)</f>
        <v>1.32265241011748</v>
      </c>
      <c r="P538" s="712" t="n">
        <f aca="false">IF((ATAN((A538/pterm1)/(1-A538^2/pterm2))&gt;0),ATAN((A538/pterm1)/(1-A538^2/pterm2)),PI()+ATAN((A538/pterm1)/(1-A538^2/pterm2)))</f>
        <v>0.998502357743859</v>
      </c>
      <c r="Q538" s="713" t="n">
        <f aca="false">20*LOG10(((E538*K538*G538)/(C538*I538*O538*M538))*Adc)</f>
        <v>-29.795102826198</v>
      </c>
      <c r="R538" s="714" t="n">
        <f aca="false">((F538+L538+H538)-(D538+J538+P538+N538))*radconv</f>
        <v>-224.626625228634</v>
      </c>
      <c r="S538" s="717" t="n">
        <f aca="false">IF(R538&gt;0,R538,R538+180)</f>
        <v>-44.6266252286339</v>
      </c>
      <c r="U538" s="644" t="n">
        <f aca="false">IF(Q538&lt;0,A538,1000000000)</f>
        <v>79895.5</v>
      </c>
      <c r="V538" s="644" t="n">
        <f aca="false">A538^2</f>
        <v>6383290920.25</v>
      </c>
      <c r="X538" s="716" t="n">
        <f aca="false">20*LOG10((K538/(I538*M538))*AEA)</f>
        <v>7.4349311214212</v>
      </c>
      <c r="Y538" s="717" t="n">
        <f aca="false">(L538-(J538+N538))*radconv</f>
        <v>-73.1322624013908</v>
      </c>
      <c r="AA538" s="716" t="n">
        <f aca="false">20*LOG10((E538*G538/(C538*O538))*Acs*Am)</f>
        <v>14.2505914069352</v>
      </c>
      <c r="AB538" s="717" t="n">
        <f aca="false">(F538+H538-(D538+P538))*radconv</f>
        <v>-151.494362827243</v>
      </c>
      <c r="AD538" s="0" t="n">
        <f aca="false">SUM((Q539&lt;0)*(Q538&gt;0))*A538</f>
        <v>0</v>
      </c>
      <c r="AE538" s="0" t="n">
        <f aca="false">IF(AD538&gt;0,S538,0)</f>
        <v>0</v>
      </c>
    </row>
    <row r="539" customFormat="false" ht="12.75" hidden="false" customHeight="false" outlineLevel="0" collapsed="false">
      <c r="A539" s="718" t="n">
        <v>80358</v>
      </c>
      <c r="B539" s="706" t="n">
        <f aca="false">A539/1000</f>
        <v>80.358</v>
      </c>
      <c r="C539" s="707" t="n">
        <f aca="false">SQRT(1+(A539/pole1)^2)</f>
        <v>137.232905707895</v>
      </c>
      <c r="D539" s="708" t="n">
        <f aca="false">ATAN(A539/pole1)</f>
        <v>1.56350938023621</v>
      </c>
      <c r="E539" s="708" t="n">
        <f aca="false">SQRT(1+(A539/Zero1)^2)</f>
        <v>1.42116607834212</v>
      </c>
      <c r="F539" s="709" t="n">
        <f aca="false">ATAN(A539/Zero1)</f>
        <v>0.790278395147147</v>
      </c>
      <c r="G539" s="708" t="n">
        <f aca="false">IF(VIN_nom&gt;Vout, 1, SQRT(1+(A539/z_RHP)^2))</f>
        <v>1.55512638096632</v>
      </c>
      <c r="H539" s="709" t="n">
        <f aca="false">IF(VIN_nom&gt;Vout, 0, -ATAN(A539/z_RHP))</f>
        <v>-0.872342218465219</v>
      </c>
      <c r="I539" s="707" t="n">
        <f aca="false">SQRT(1+(A539/Pole2)^2)</f>
        <v>333339.911646004</v>
      </c>
      <c r="J539" s="710" t="n">
        <f aca="false">ATAN(A539/Pole2)</f>
        <v>1.5707933268541</v>
      </c>
      <c r="K539" s="719" t="n">
        <f aca="false">SQRT(1+(A539/Zero2)^2)</f>
        <v>103.14162963705</v>
      </c>
      <c r="L539" s="720" t="n">
        <f aca="false">ATAN(A539/Zero2)</f>
        <v>1.56110076864831</v>
      </c>
      <c r="M539" s="707" t="n">
        <f aca="false">SQRT(1+(A539/pole4)^2)</f>
        <v>3.3567362591454</v>
      </c>
      <c r="N539" s="710" t="n">
        <f aca="false">ATAN(A539/pole4)</f>
        <v>1.26829548926818</v>
      </c>
      <c r="O539" s="711" t="n">
        <f aca="false">SQRT((1-(V539/pterm2))^2+(A539/pterm1)^2)</f>
        <v>1.32629419203045</v>
      </c>
      <c r="P539" s="712" t="n">
        <f aca="false">IF((ATAN((A539/pterm1)/(1-A539^2/pterm2))&gt;0),ATAN((A539/pterm1)/(1-A539^2/pterm2)),PI()+ATAN((A539/pterm1)/(1-A539^2/pterm2)))</f>
        <v>1.00321854893114</v>
      </c>
      <c r="Q539" s="713" t="n">
        <f aca="false">20*LOG10(((E539*K539*G539)/(C539*I539*O539*M539))*Adc)</f>
        <v>-29.8602114840732</v>
      </c>
      <c r="R539" s="714" t="n">
        <f aca="false">((F539+L539+H539)-(D539+J539+P539+N539))*radconv</f>
        <v>-224.987909871986</v>
      </c>
      <c r="S539" s="717" t="n">
        <f aca="false">IF(R539&gt;0,R539,R539+180)</f>
        <v>-44.9879098719856</v>
      </c>
      <c r="U539" s="644" t="n">
        <f aca="false">IF(Q539&lt;0,A539,1000000000)</f>
        <v>80358</v>
      </c>
      <c r="V539" s="644" t="n">
        <f aca="false">A539^2</f>
        <v>6457408164</v>
      </c>
      <c r="X539" s="716" t="n">
        <f aca="false">20*LOG10((K539/(I539*M539))*AEA)</f>
        <v>7.38926339646456</v>
      </c>
      <c r="Y539" s="717" t="n">
        <f aca="false">(L539-(J539+N539))*radconv</f>
        <v>-73.2233214720933</v>
      </c>
      <c r="AA539" s="716" t="n">
        <f aca="false">20*LOG10((E539*G539/(C539*O539))*Acs*Am)</f>
        <v>14.2311504740166</v>
      </c>
      <c r="AB539" s="717" t="n">
        <f aca="false">(F539+H539-(D539+P539))*radconv</f>
        <v>-151.764588399892</v>
      </c>
      <c r="AD539" s="0" t="n">
        <f aca="false">SUM((Q540&lt;0)*(Q539&gt;0))*A539</f>
        <v>0</v>
      </c>
      <c r="AE539" s="0" t="n">
        <f aca="false">IF(AD539&gt;0,S539,0)</f>
        <v>0</v>
      </c>
    </row>
    <row r="540" customFormat="false" ht="12.75" hidden="false" customHeight="false" outlineLevel="0" collapsed="false">
      <c r="A540" s="718" t="n">
        <v>80820.5</v>
      </c>
      <c r="B540" s="706" t="n">
        <f aca="false">A540/1000</f>
        <v>80.8205</v>
      </c>
      <c r="C540" s="707" t="n">
        <f aca="false">SQRT(1+(A540/pole1)^2)</f>
        <v>138.022707076141</v>
      </c>
      <c r="D540" s="708" t="n">
        <f aca="false">ATAN(A540/pole1)</f>
        <v>1.56355107874714</v>
      </c>
      <c r="E540" s="708" t="n">
        <f aca="false">SQRT(1+(A540/Zero1)^2)</f>
        <v>1.42530161918358</v>
      </c>
      <c r="F540" s="709" t="n">
        <f aca="false">ATAN(A540/Zero1)</f>
        <v>0.793147659647985</v>
      </c>
      <c r="G540" s="708" t="n">
        <f aca="false">IF(VIN_nom&gt;Vout, 1, SQRT(1+(A540/z_RHP)^2))</f>
        <v>1.56038214570272</v>
      </c>
      <c r="H540" s="709" t="n">
        <f aca="false">IF(VIN_nom&gt;Vout, 0, -ATAN(A540/z_RHP))</f>
        <v>-0.875167024683576</v>
      </c>
      <c r="I540" s="707" t="n">
        <f aca="false">SQRT(1+(A540/Pole2)^2)</f>
        <v>335258.447561966</v>
      </c>
      <c r="J540" s="710" t="n">
        <f aca="false">ATAN(A540/Pole2)</f>
        <v>1.57079334402144</v>
      </c>
      <c r="K540" s="719" t="n">
        <f aca="false">SQRT(1+(A540/Zero2)^2)</f>
        <v>103.735205042248</v>
      </c>
      <c r="L540" s="720" t="n">
        <f aca="false">ATAN(A540/Zero2)</f>
        <v>1.56115624859504</v>
      </c>
      <c r="M540" s="707" t="n">
        <f aca="false">SQRT(1+(A540/pole4)^2)</f>
        <v>3.37434579775713</v>
      </c>
      <c r="N540" s="710" t="n">
        <f aca="false">ATAN(A540/pole4)</f>
        <v>1.2699237056894</v>
      </c>
      <c r="O540" s="711" t="n">
        <f aca="false">SQRT((1-(V540/pterm2))^2+(A540/pterm1)^2)</f>
        <v>1.32995516575652</v>
      </c>
      <c r="P540" s="712" t="n">
        <f aca="false">IF((ATAN((A540/pterm1)/(1-A540^2/pterm2))&gt;0),ATAN((A540/pterm1)/(1-A540^2/pterm2)),PI()+ATAN((A540/pterm1)/(1-A540^2/pterm2)))</f>
        <v>1.0079208985613</v>
      </c>
      <c r="Q540" s="713" t="n">
        <f aca="false">20*LOG10(((E540*K540*G540)/(C540*I540*O540*M540))*Adc)</f>
        <v>-29.9249071872439</v>
      </c>
      <c r="R540" s="714" t="n">
        <f aca="false">((F540+L540+H540)-(D540+J540+P540+N540))*radconv</f>
        <v>-225.347288682627</v>
      </c>
      <c r="S540" s="717" t="n">
        <f aca="false">IF(R540&gt;0,R540,R540+180)</f>
        <v>-45.347288682627</v>
      </c>
      <c r="U540" s="644" t="n">
        <f aca="false">IF(Q540&lt;0,A540,1000000000)</f>
        <v>80820.5</v>
      </c>
      <c r="V540" s="644" t="n">
        <f aca="false">A540^2</f>
        <v>6531953220.25</v>
      </c>
      <c r="X540" s="716" t="n">
        <f aca="false">20*LOG10((K540/(I540*M540))*AEA)</f>
        <v>7.34381140623141</v>
      </c>
      <c r="Y540" s="717" t="n">
        <f aca="false">(L540-(J540+N540))*radconv</f>
        <v>-73.3134336180869</v>
      </c>
      <c r="AA540" s="716" t="n">
        <f aca="false">20*LOG10((E540*G540/(C540*O540))*Acs*Am)</f>
        <v>14.211906761079</v>
      </c>
      <c r="AB540" s="717" t="n">
        <f aca="false">(F540+H540-(D540+P540))*radconv</f>
        <v>-152.03385506454</v>
      </c>
      <c r="AD540" s="0" t="n">
        <f aca="false">SUM((Q541&lt;0)*(Q540&gt;0))*A540</f>
        <v>0</v>
      </c>
      <c r="AE540" s="0" t="n">
        <f aca="false">IF(AD540&gt;0,S540,0)</f>
        <v>0</v>
      </c>
    </row>
    <row r="541" customFormat="false" ht="12.75" hidden="false" customHeight="false" outlineLevel="0" collapsed="false">
      <c r="A541" s="718" t="n">
        <v>81283</v>
      </c>
      <c r="B541" s="706" t="n">
        <f aca="false">A541/1000</f>
        <v>81.283</v>
      </c>
      <c r="C541" s="707" t="n">
        <f aca="false">SQRT(1+(A541/pole1)^2)</f>
        <v>138.812508681644</v>
      </c>
      <c r="D541" s="708" t="n">
        <f aca="false">ATAN(A541/pole1)</f>
        <v>1.56359230275405</v>
      </c>
      <c r="E541" s="708" t="n">
        <f aca="false">SQRT(1+(A541/Zero1)^2)</f>
        <v>1.42944882612366</v>
      </c>
      <c r="F541" s="709" t="n">
        <f aca="false">ATAN(A541/Zero1)</f>
        <v>0.79600029853873</v>
      </c>
      <c r="G541" s="708" t="n">
        <f aca="false">IF(VIN_nom&gt;Vout, 1, SQRT(1+(A541/z_RHP)^2))</f>
        <v>1.56565027790297</v>
      </c>
      <c r="H541" s="709" t="n">
        <f aca="false">IF(VIN_nom&gt;Vout, 0, -ATAN(A541/z_RHP))</f>
        <v>-0.877972843233867</v>
      </c>
      <c r="I541" s="707" t="n">
        <f aca="false">SQRT(1+(A541/Pole2)^2)</f>
        <v>337176.983477929</v>
      </c>
      <c r="J541" s="710" t="n">
        <f aca="false">ATAN(A541/Pole2)</f>
        <v>1.57079336099341</v>
      </c>
      <c r="K541" s="719" t="n">
        <f aca="false">SQRT(1+(A541/Zero2)^2)</f>
        <v>104.328780763112</v>
      </c>
      <c r="L541" s="720" t="n">
        <f aca="false">ATAN(A541/Zero2)</f>
        <v>1.56121109723868</v>
      </c>
      <c r="M541" s="707" t="n">
        <f aca="false">SQRT(1+(A541/pole4)^2)</f>
        <v>3.39196418916125</v>
      </c>
      <c r="N541" s="710" t="n">
        <f aca="false">ATAN(A541/pole4)</f>
        <v>1.27153501192501</v>
      </c>
      <c r="O541" s="711" t="n">
        <f aca="false">SQRT((1-(V541/pterm2))^2+(A541/pterm1)^2)</f>
        <v>1.33363531495189</v>
      </c>
      <c r="P541" s="712" t="n">
        <f aca="false">IF((ATAN((A541/pterm1)/(1-A541^2/pterm2))&gt;0),ATAN((A541/pterm1)/(1-A541^2/pterm2)),PI()+ATAN((A541/pterm1)/(1-A541^2/pterm2)))</f>
        <v>1.01260942125083</v>
      </c>
      <c r="Q541" s="713" t="n">
        <f aca="false">20*LOG10(((E541*K541*G541)/(C541*I541*O541*M541))*Adc)</f>
        <v>-29.9891957616843</v>
      </c>
      <c r="R541" s="714" t="n">
        <f aca="false">((F541+L541+H541)-(D541+J541+P541+N541))*radconv</f>
        <v>-225.704780022438</v>
      </c>
      <c r="S541" s="717" t="n">
        <f aca="false">IF(R541&gt;0,R541,R541+180)</f>
        <v>-45.7047800224376</v>
      </c>
      <c r="U541" s="644" t="n">
        <f aca="false">IF(Q541&lt;0,A541,1000000000)</f>
        <v>81283</v>
      </c>
      <c r="V541" s="644" t="n">
        <f aca="false">A541^2</f>
        <v>6606926089</v>
      </c>
      <c r="X541" s="716" t="n">
        <f aca="false">20*LOG10((K541/(I541*M541))*AEA)</f>
        <v>7.29857338334684</v>
      </c>
      <c r="Y541" s="717" t="n">
        <f aca="false">(L541-(J541+N541))*radconv</f>
        <v>-73.4026130416218</v>
      </c>
      <c r="AA541" s="716" t="n">
        <f aca="false">20*LOG10((E541*G541/(C541*O541))*Acs*Am)</f>
        <v>14.1928562095233</v>
      </c>
      <c r="AB541" s="717" t="n">
        <f aca="false">(F541+H541-(D541+P541))*radconv</f>
        <v>-152.302166980816</v>
      </c>
      <c r="AD541" s="0" t="n">
        <f aca="false">SUM((Q542&lt;0)*(Q541&gt;0))*A541</f>
        <v>0</v>
      </c>
      <c r="AE541" s="0" t="n">
        <f aca="false">IF(AD541&gt;0,S541,0)</f>
        <v>0</v>
      </c>
    </row>
    <row r="542" customFormat="false" ht="12.75" hidden="false" customHeight="false" outlineLevel="0" collapsed="false">
      <c r="A542" s="718" t="n">
        <v>81756.25</v>
      </c>
      <c r="B542" s="706" t="n">
        <f aca="false">A542/1000</f>
        <v>81.75625</v>
      </c>
      <c r="C542" s="707" t="n">
        <f aca="false">SQRT(1+(A542/pole1)^2)</f>
        <v>139.620668079373</v>
      </c>
      <c r="D542" s="708" t="n">
        <f aca="false">ATAN(A542/pole1)</f>
        <v>1.56363400216472</v>
      </c>
      <c r="E542" s="708" t="n">
        <f aca="false">SQRT(1+(A542/Zero1)^2)</f>
        <v>1.4337043979818</v>
      </c>
      <c r="F542" s="709" t="n">
        <f aca="false">ATAN(A542/Zero1)</f>
        <v>0.798902134549542</v>
      </c>
      <c r="G542" s="708" t="n">
        <f aca="false">IF(VIN_nom&gt;Vout, 1, SQRT(1+(A542/z_RHP)^2))</f>
        <v>1.57105353079159</v>
      </c>
      <c r="H542" s="709" t="n">
        <f aca="false">IF(VIN_nom&gt;Vout, 0, -ATAN(A542/z_RHP))</f>
        <v>-0.880824376718479</v>
      </c>
      <c r="I542" s="707" t="n">
        <f aca="false">SQRT(1+(A542/Pole2)^2)</f>
        <v>339140.112390857</v>
      </c>
      <c r="J542" s="710" t="n">
        <f aca="false">ATAN(A542/Pole2)</f>
        <v>1.57079337816109</v>
      </c>
      <c r="K542" s="719" t="n">
        <f aca="false">SQRT(1+(A542/Zero2)^2)</f>
        <v>104.936153430008</v>
      </c>
      <c r="L542" s="720" t="n">
        <f aca="false">ATAN(A542/Zero2)</f>
        <v>1.56126657843372</v>
      </c>
      <c r="M542" s="707" t="n">
        <f aca="false">SQRT(1+(A542/pole4)^2)</f>
        <v>3.4100011098167</v>
      </c>
      <c r="N542" s="710" t="n">
        <f aca="false">ATAN(A542/pole4)</f>
        <v>1.27316653058067</v>
      </c>
      <c r="O542" s="711" t="n">
        <f aca="false">SQRT((1-(V542/pterm2))^2+(A542/pterm1)^2)</f>
        <v>1.33742083507404</v>
      </c>
      <c r="P542" s="712" t="n">
        <f aca="false">IF((ATAN((A542/pterm1)/(1-A542^2/pterm2))&gt;0),ATAN((A542/pterm1)/(1-A542^2/pterm2)),PI()+ATAN((A542/pterm1)/(1-A542^2/pterm2)))</f>
        <v>1.01739262351421</v>
      </c>
      <c r="Q542" s="713" t="n">
        <f aca="false">20*LOG10(((E542*K542*G542)/(C542*I542*O542*M542))*Adc)</f>
        <v>-30.0545631504603</v>
      </c>
      <c r="R542" s="714" t="n">
        <f aca="false">((F542+L542+H542)-(D542+J542+P542+N542))*radconv</f>
        <v>-226.068645681375</v>
      </c>
      <c r="S542" s="717" t="n">
        <f aca="false">IF(R542&gt;0,R542,R542+180)</f>
        <v>-46.068645681375</v>
      </c>
      <c r="U542" s="644" t="n">
        <f aca="false">IF(Q542&lt;0,A542,1000000000)</f>
        <v>81756.25</v>
      </c>
      <c r="V542" s="644" t="n">
        <f aca="false">A542^2</f>
        <v>6684084414.0625</v>
      </c>
      <c r="X542" s="716" t="n">
        <f aca="false">20*LOG10((K542/(I542*M542))*AEA)</f>
        <v>7.25250354110994</v>
      </c>
      <c r="Y542" s="717" t="n">
        <f aca="false">(L542-(J542+N542))*radconv</f>
        <v>-73.4929143202084</v>
      </c>
      <c r="AA542" s="716" t="n">
        <f aca="false">20*LOG10((E542*G542/(C542*O542))*Acs*Am)</f>
        <v>14.1735586629842</v>
      </c>
      <c r="AB542" s="717" t="n">
        <f aca="false">(F542+H542-(D542+P542))*radconv</f>
        <v>-152.575731361167</v>
      </c>
      <c r="AD542" s="0" t="n">
        <f aca="false">SUM((Q543&lt;0)*(Q542&gt;0))*A542</f>
        <v>0</v>
      </c>
      <c r="AE542" s="0" t="n">
        <f aca="false">IF(AD542&gt;0,S542,0)</f>
        <v>0</v>
      </c>
    </row>
    <row r="543" customFormat="false" ht="12.75" hidden="false" customHeight="false" outlineLevel="0" collapsed="false">
      <c r="A543" s="718" t="n">
        <v>82229.5</v>
      </c>
      <c r="B543" s="706" t="n">
        <f aca="false">A543/1000</f>
        <v>82.2295</v>
      </c>
      <c r="C543" s="707" t="n">
        <f aca="false">SQRT(1+(A543/pole1)^2)</f>
        <v>140.428827717085</v>
      </c>
      <c r="D543" s="708" t="n">
        <f aca="false">ATAN(A543/pole1)</f>
        <v>1.56367522162015</v>
      </c>
      <c r="E543" s="708" t="n">
        <f aca="false">SQRT(1+(A543/Zero1)^2)</f>
        <v>1.4379719710503</v>
      </c>
      <c r="F543" s="709" t="n">
        <f aca="false">ATAN(A543/Zero1)</f>
        <v>0.801786770755228</v>
      </c>
      <c r="G543" s="708" t="n">
        <f aca="false">IF(VIN_nom&gt;Vout, 1, SQRT(1+(A543/z_RHP)^2))</f>
        <v>1.57646947066977</v>
      </c>
      <c r="H543" s="709" t="n">
        <f aca="false">IF(VIN_nom&gt;Vout, 0, -ATAN(A543/z_RHP))</f>
        <v>-0.8836563402883</v>
      </c>
      <c r="I543" s="707" t="n">
        <f aca="false">SQRT(1+(A543/Pole2)^2)</f>
        <v>341103.241303785</v>
      </c>
      <c r="J543" s="710" t="n">
        <f aca="false">ATAN(A543/Pole2)</f>
        <v>1.57079339513117</v>
      </c>
      <c r="K543" s="719" t="n">
        <f aca="false">SQRT(1+(A543/Zero2)^2)</f>
        <v>105.543526416198</v>
      </c>
      <c r="L543" s="720" t="n">
        <f aca="false">ATAN(A543/Zero2)</f>
        <v>1.56132142107193</v>
      </c>
      <c r="M543" s="707" t="n">
        <f aca="false">SQRT(1+(A543/pole4)^2)</f>
        <v>3.42804701186248</v>
      </c>
      <c r="N543" s="710" t="n">
        <f aca="false">ATAN(A543/pole4)</f>
        <v>1.27478087623677</v>
      </c>
      <c r="O543" s="711" t="n">
        <f aca="false">SQRT((1-(V543/pterm2))^2+(A543/pterm1)^2)</f>
        <v>1.34122639833368</v>
      </c>
      <c r="P543" s="712" t="n">
        <f aca="false">IF((ATAN((A543/pterm1)/(1-A543^2/pterm2))&gt;0),ATAN((A543/pterm1)/(1-A543^2/pterm2)),PI()+ATAN((A543/pterm1)/(1-A543^2/pterm2)))</f>
        <v>1.02216138139666</v>
      </c>
      <c r="Q543" s="713" t="n">
        <f aca="false">20*LOG10(((E543*K543*G543)/(C543*I543*O543*M543))*Adc)</f>
        <v>-30.1195162878715</v>
      </c>
      <c r="R543" s="714" t="n">
        <f aca="false">((F543+L543+H543)-(D543+J543+P543+N543))*radconv</f>
        <v>-226.430573076449</v>
      </c>
      <c r="S543" s="717" t="n">
        <f aca="false">IF(R543&gt;0,R543,R543+180)</f>
        <v>-46.4305730764494</v>
      </c>
      <c r="U543" s="644" t="n">
        <f aca="false">IF(Q543&lt;0,A543,1000000000)</f>
        <v>82229.5</v>
      </c>
      <c r="V543" s="644" t="n">
        <f aca="false">A543^2</f>
        <v>6761690670.25</v>
      </c>
      <c r="X543" s="716" t="n">
        <f aca="false">20*LOG10((K543/(I543*M543))*AEA)</f>
        <v>7.20665403804521</v>
      </c>
      <c r="Y543" s="717" t="n">
        <f aca="false">(L543-(J543+N543))*radconv</f>
        <v>-73.5822682336879</v>
      </c>
      <c r="AA543" s="716" t="n">
        <f aca="false">20*LOG10((E543*G543/(C543*O543))*Acs*Am)</f>
        <v>14.1544550286377</v>
      </c>
      <c r="AB543" s="717" t="n">
        <f aca="false">(F543+H543-(D543+P543))*radconv</f>
        <v>-152.848304842762</v>
      </c>
      <c r="AD543" s="0" t="n">
        <f aca="false">SUM((Q544&lt;0)*(Q543&gt;0))*A543</f>
        <v>0</v>
      </c>
      <c r="AE543" s="0" t="n">
        <f aca="false">IF(AD543&gt;0,S543,0)</f>
        <v>0</v>
      </c>
    </row>
    <row r="544" customFormat="false" ht="12.75" hidden="false" customHeight="false" outlineLevel="0" collapsed="false">
      <c r="A544" s="718" t="n">
        <v>82702.75</v>
      </c>
      <c r="B544" s="706" t="n">
        <f aca="false">A544/1000</f>
        <v>82.70275</v>
      </c>
      <c r="C544" s="707" t="n">
        <f aca="false">SQRT(1+(A544/pole1)^2)</f>
        <v>141.236987590662</v>
      </c>
      <c r="D544" s="708" t="n">
        <f aca="false">ATAN(A544/pole1)</f>
        <v>1.56371596935913</v>
      </c>
      <c r="E544" s="708" t="n">
        <f aca="false">SQRT(1+(A544/Zero1)^2)</f>
        <v>1.44225143879563</v>
      </c>
      <c r="F544" s="709" t="n">
        <f aca="false">ATAN(A544/Zero1)</f>
        <v>0.804654312042164</v>
      </c>
      <c r="G544" s="708" t="n">
        <f aca="false">IF(VIN_nom&gt;Vout, 1, SQRT(1+(A544/z_RHP)^2))</f>
        <v>1.58189796722828</v>
      </c>
      <c r="H544" s="709" t="n">
        <f aca="false">IF(VIN_nom&gt;Vout, 0, -ATAN(A544/z_RHP))</f>
        <v>-0.886468889755051</v>
      </c>
      <c r="I544" s="707" t="n">
        <f aca="false">SQRT(1+(A544/Pole2)^2)</f>
        <v>343066.370216713</v>
      </c>
      <c r="J544" s="710" t="n">
        <f aca="false">ATAN(A544/Pole2)</f>
        <v>1.57079341190703</v>
      </c>
      <c r="K544" s="719" t="n">
        <f aca="false">SQRT(1+(A544/Zero2)^2)</f>
        <v>106.1508997162</v>
      </c>
      <c r="L544" s="720" t="n">
        <f aca="false">ATAN(A544/Zero2)</f>
        <v>1.56137563611403</v>
      </c>
      <c r="M544" s="707" t="n">
        <f aca="false">SQRT(1+(A544/pole4)^2)</f>
        <v>3.44610175420236</v>
      </c>
      <c r="N544" s="710" t="n">
        <f aca="false">ATAN(A544/pole4)</f>
        <v>1.27637831032948</v>
      </c>
      <c r="O544" s="711" t="n">
        <f aca="false">SQRT((1-(V544/pterm2))^2+(A544/pterm1)^2)</f>
        <v>1.3450519877592</v>
      </c>
      <c r="P544" s="712" t="n">
        <f aca="false">IF((ATAN((A544/pterm1)/(1-A544^2/pterm2))&gt;0),ATAN((A544/pterm1)/(1-A544^2/pterm2)),PI()+ATAN((A544/pterm1)/(1-A544^2/pterm2)))</f>
        <v>1.0269157123927</v>
      </c>
      <c r="Q544" s="713" t="n">
        <f aca="false">20*LOG10(((E544*K544*G544)/(C544*I544*O544*M544))*Adc)</f>
        <v>-30.1840610967776</v>
      </c>
      <c r="R544" s="714" t="n">
        <f aca="false">((F544+L544+H544)-(D544+J544+P544+N544))*radconv</f>
        <v>-226.790580951256</v>
      </c>
      <c r="S544" s="717" t="n">
        <f aca="false">IF(R544&gt;0,R544,R544+180)</f>
        <v>-46.7905809512562</v>
      </c>
      <c r="U544" s="644" t="n">
        <f aca="false">IF(Q544&lt;0,A544,1000000000)</f>
        <v>82702.75</v>
      </c>
      <c r="V544" s="644" t="n">
        <f aca="false">A544^2</f>
        <v>6839744857.5625</v>
      </c>
      <c r="X544" s="716" t="n">
        <f aca="false">20*LOG10((K544/(I544*M544))*AEA)</f>
        <v>7.16102303486841</v>
      </c>
      <c r="Y544" s="717" t="n">
        <f aca="false">(L544-(J544+N544))*radconv</f>
        <v>-73.670689133439</v>
      </c>
      <c r="AA544" s="716" t="n">
        <f aca="false">20*LOG10((E544*G544/(C544*O544))*Acs*Am)</f>
        <v>14.1355412229084</v>
      </c>
      <c r="AB544" s="717" t="n">
        <f aca="false">(F544+H544-(D544+P544))*radconv</f>
        <v>-153.119891817817</v>
      </c>
      <c r="AD544" s="0" t="n">
        <f aca="false">SUM((Q545&lt;0)*(Q544&gt;0))*A544</f>
        <v>0</v>
      </c>
      <c r="AE544" s="0" t="n">
        <f aca="false">IF(AD544&gt;0,S544,0)</f>
        <v>0</v>
      </c>
    </row>
    <row r="545" customFormat="false" ht="12.75" hidden="false" customHeight="false" outlineLevel="0" collapsed="false">
      <c r="A545" s="718" t="n">
        <v>83176</v>
      </c>
      <c r="B545" s="706" t="n">
        <f aca="false">A545/1000</f>
        <v>83.176</v>
      </c>
      <c r="C545" s="707" t="n">
        <f aca="false">SQRT(1+(A545/pole1)^2)</f>
        <v>142.045147696076</v>
      </c>
      <c r="D545" s="708" t="n">
        <f aca="false">ATAN(A545/pole1)</f>
        <v>1.56375625343297</v>
      </c>
      <c r="E545" s="708" t="n">
        <f aca="false">SQRT(1+(A545/Zero1)^2)</f>
        <v>1.44654269564979</v>
      </c>
      <c r="F545" s="709" t="n">
        <f aca="false">ATAN(A545/Zero1)</f>
        <v>0.807504863181842</v>
      </c>
      <c r="G545" s="708" t="n">
        <f aca="false">IF(VIN_nom&gt;Vout, 1, SQRT(1+(A545/z_RHP)^2))</f>
        <v>1.58733889164038</v>
      </c>
      <c r="H545" s="709" t="n">
        <f aca="false">IF(VIN_nom&gt;Vout, 0, -ATAN(A545/z_RHP))</f>
        <v>-0.889262180030145</v>
      </c>
      <c r="I545" s="707" t="n">
        <f aca="false">SQRT(1+(A545/Pole2)^2)</f>
        <v>345029.499129641</v>
      </c>
      <c r="J545" s="710" t="n">
        <f aca="false">ATAN(A545/Pole2)</f>
        <v>1.57079342849199</v>
      </c>
      <c r="K545" s="719" t="n">
        <f aca="false">SQRT(1+(A545/Zero2)^2)</f>
        <v>106.758273324657</v>
      </c>
      <c r="L545" s="720" t="n">
        <f aca="false">ATAN(A545/Zero2)</f>
        <v>1.56142923427134</v>
      </c>
      <c r="M545" s="707" t="n">
        <f aca="false">SQRT(1+(A545/pole4)^2)</f>
        <v>3.46416519861326</v>
      </c>
      <c r="N545" s="710" t="n">
        <f aca="false">ATAN(A545/pole4)</f>
        <v>1.27795908919131</v>
      </c>
      <c r="O545" s="711" t="n">
        <f aca="false">SQRT((1-(V545/pterm2))^2+(A545/pterm1)^2)</f>
        <v>1.34889758656049</v>
      </c>
      <c r="P545" s="712" t="n">
        <f aca="false">IF((ATAN((A545/pterm1)/(1-A545^2/pterm2))&gt;0),ATAN((A545/pterm1)/(1-A545^2/pterm2)),PI()+ATAN((A545/pterm1)/(1-A545^2/pterm2)))</f>
        <v>1.03165563459246</v>
      </c>
      <c r="Q545" s="713" t="n">
        <f aca="false">20*LOG10(((E545*K545*G545)/(C545*I545*O545*M545))*Adc)</f>
        <v>-30.248203396497</v>
      </c>
      <c r="R545" s="714" t="n">
        <f aca="false">((F545+L545+H545)-(D545+J545+P545+N545))*radconv</f>
        <v>-227.148687749643</v>
      </c>
      <c r="S545" s="717" t="n">
        <f aca="false">IF(R545&gt;0,R545,R545+180)</f>
        <v>-47.1486877496429</v>
      </c>
      <c r="U545" s="644" t="n">
        <f aca="false">IF(Q545&lt;0,A545,1000000000)</f>
        <v>83176</v>
      </c>
      <c r="V545" s="644" t="n">
        <f aca="false">A545^2</f>
        <v>6918246976</v>
      </c>
      <c r="X545" s="716" t="n">
        <f aca="false">20*LOG10((K545/(I545*M545))*AEA)</f>
        <v>7.11560871039668</v>
      </c>
      <c r="Y545" s="717" t="n">
        <f aca="false">(L545-(J545+N545))*radconv</f>
        <v>-73.7581910927098</v>
      </c>
      <c r="AA545" s="716" t="n">
        <f aca="false">20*LOG10((E545*G545/(C545*O545))*Acs*Am)</f>
        <v>14.1168132476607</v>
      </c>
      <c r="AB545" s="717" t="n">
        <f aca="false">(F545+H545-(D545+P545))*radconv</f>
        <v>-153.390496656933</v>
      </c>
      <c r="AD545" s="0" t="n">
        <f aca="false">SUM((Q546&lt;0)*(Q545&gt;0))*A545</f>
        <v>0</v>
      </c>
      <c r="AE545" s="0" t="n">
        <f aca="false">IF(AD545&gt;0,S545,0)</f>
        <v>0</v>
      </c>
    </row>
    <row r="546" customFormat="false" ht="12.75" hidden="false" customHeight="false" outlineLevel="0" collapsed="false">
      <c r="A546" s="718" t="n">
        <v>83660.5</v>
      </c>
      <c r="B546" s="706" t="n">
        <f aca="false">A546/1000</f>
        <v>83.6605</v>
      </c>
      <c r="C546" s="707" t="n">
        <f aca="false">SQRT(1+(A546/pole1)^2)</f>
        <v>142.87251945052</v>
      </c>
      <c r="D546" s="708" t="n">
        <f aca="false">ATAN(A546/pole1)</f>
        <v>1.56379702301741</v>
      </c>
      <c r="E546" s="708" t="n">
        <f aca="false">SQRT(1+(A546/Zero1)^2)</f>
        <v>1.45094806695578</v>
      </c>
      <c r="F546" s="709" t="n">
        <f aca="false">ATAN(A546/Zero1)</f>
        <v>0.810405685506617</v>
      </c>
      <c r="G546" s="708" t="n">
        <f aca="false">IF(VIN_nom&gt;Vout, 1, SQRT(1+(A546/z_RHP)^2))</f>
        <v>1.59292189810985</v>
      </c>
      <c r="H546" s="709" t="n">
        <f aca="false">IF(VIN_nom&gt;Vout, 0, -ATAN(A546/z_RHP))</f>
        <v>-0.892102081238342</v>
      </c>
      <c r="I546" s="707" t="n">
        <f aca="false">SQRT(1+(A546/Pole2)^2)</f>
        <v>347039.295132418</v>
      </c>
      <c r="J546" s="710" t="n">
        <f aca="false">ATAN(A546/Pole2)</f>
        <v>1.57079344527683</v>
      </c>
      <c r="K546" s="719" t="n">
        <f aca="false">SQRT(1+(A546/Zero2)^2)</f>
        <v>107.380085605554</v>
      </c>
      <c r="L546" s="720" t="n">
        <f aca="false">ATAN(A546/Zero2)</f>
        <v>1.56148347842674</v>
      </c>
      <c r="M546" s="707" t="n">
        <f aca="false">SQRT(1+(A546/pole4)^2)</f>
        <v>3.48266691688878</v>
      </c>
      <c r="N546" s="710" t="n">
        <f aca="false">ATAN(A546/pole4)</f>
        <v>1.27956045458827</v>
      </c>
      <c r="O546" s="711" t="n">
        <f aca="false">SQRT((1-(V546/pterm2))^2+(A546/pterm1)^2)</f>
        <v>1.35285531330871</v>
      </c>
      <c r="P546" s="712" t="n">
        <f aca="false">IF((ATAN((A546/pterm1)/(1-A546^2/pterm2))&gt;0),ATAN((A546/pterm1)/(1-A546^2/pterm2)),PI()+ATAN((A546/pterm1)/(1-A546^2/pterm2)))</f>
        <v>1.03649332608169</v>
      </c>
      <c r="Q546" s="713" t="n">
        <f aca="false">20*LOG10(((E546*K546*G546)/(C546*I546*O546*M546))*Adc)</f>
        <v>-30.3134594676126</v>
      </c>
      <c r="R546" s="714" t="n">
        <f aca="false">((F546+L546+H546)-(D546+J546+P546+N546))*radconv</f>
        <v>-227.513356936473</v>
      </c>
      <c r="S546" s="717" t="n">
        <f aca="false">IF(R546&gt;0,R546,R546+180)</f>
        <v>-47.5133569364732</v>
      </c>
      <c r="U546" s="644" t="n">
        <f aca="false">IF(Q546&lt;0,A546,1000000000)</f>
        <v>83660.5</v>
      </c>
      <c r="V546" s="644" t="n">
        <f aca="false">A546^2</f>
        <v>6999079260.25</v>
      </c>
      <c r="X546" s="716" t="n">
        <f aca="false">20*LOG10((K546/(I546*M546))*AEA)</f>
        <v>7.06933738961367</v>
      </c>
      <c r="Y546" s="717" t="n">
        <f aca="false">(L546-(J546+N546))*radconv</f>
        <v>-73.8468355720474</v>
      </c>
      <c r="AA546" s="716" t="n">
        <f aca="false">20*LOG10((E546*G546/(C546*O546))*Acs*Am)</f>
        <v>14.0978284973282</v>
      </c>
      <c r="AB546" s="717" t="n">
        <f aca="false">(F546+H546-(D546+P546))*radconv</f>
        <v>-153.666521364426</v>
      </c>
      <c r="AD546" s="0" t="n">
        <f aca="false">SUM((Q547&lt;0)*(Q546&gt;0))*A546</f>
        <v>0</v>
      </c>
      <c r="AE546" s="0" t="n">
        <f aca="false">IF(AD546&gt;0,S546,0)</f>
        <v>0</v>
      </c>
    </row>
    <row r="547" customFormat="false" ht="12.75" hidden="false" customHeight="false" outlineLevel="0" collapsed="false">
      <c r="A547" s="718" t="n">
        <v>84145</v>
      </c>
      <c r="B547" s="706" t="n">
        <f aca="false">A547/1000</f>
        <v>84.145</v>
      </c>
      <c r="C547" s="707" t="n">
        <f aca="false">SQRT(1+(A547/pole1)^2)</f>
        <v>143.699891439705</v>
      </c>
      <c r="D547" s="708" t="n">
        <f aca="false">ATAN(A547/pole1)</f>
        <v>1.56383732312889</v>
      </c>
      <c r="E547" s="708" t="n">
        <f aca="false">SQRT(1+(A547/Zero1)^2)</f>
        <v>1.45536557368122</v>
      </c>
      <c r="F547" s="709" t="n">
        <f aca="false">ATAN(A547/Zero1)</f>
        <v>0.813288922096809</v>
      </c>
      <c r="G547" s="708" t="n">
        <f aca="false">IF(VIN_nom&gt;Vout, 1, SQRT(1+(A547/z_RHP)^2))</f>
        <v>1.59851766175706</v>
      </c>
      <c r="H547" s="709" t="n">
        <f aca="false">IF(VIN_nom&gt;Vout, 0, -ATAN(A547/z_RHP))</f>
        <v>-0.894922122367433</v>
      </c>
      <c r="I547" s="707" t="n">
        <f aca="false">SQRT(1+(A547/Pole2)^2)</f>
        <v>349049.091135194</v>
      </c>
      <c r="J547" s="710" t="n">
        <f aca="false">ATAN(A547/Pole2)</f>
        <v>1.57079346186837</v>
      </c>
      <c r="K547" s="719" t="n">
        <f aca="false">SQRT(1+(A547/Zero2)^2)</f>
        <v>108.001898198772</v>
      </c>
      <c r="L547" s="720" t="n">
        <f aca="false">ATAN(A547/Zero2)</f>
        <v>1.56153709796923</v>
      </c>
      <c r="M547" s="707" t="n">
        <f aca="false">SQRT(1+(A547/pole4)^2)</f>
        <v>3.50117747161267</v>
      </c>
      <c r="N547" s="710" t="n">
        <f aca="false">ATAN(A547/pole4)</f>
        <v>1.28114489133091</v>
      </c>
      <c r="O547" s="711" t="n">
        <f aca="false">SQRT((1-(V547/pterm2))^2+(A547/pterm1)^2)</f>
        <v>1.35683397702588</v>
      </c>
      <c r="P547" s="712" t="n">
        <f aca="false">IF((ATAN((A547/pterm1)/(1-A547^2/pterm2))&gt;0),ATAN((A547/pterm1)/(1-A547^2/pterm2)),PI()+ATAN((A547/pterm1)/(1-A547^2/pterm2)))</f>
        <v>1.04131595582133</v>
      </c>
      <c r="Q547" s="713" t="n">
        <f aca="false">20*LOG10(((E547*K547*G547)/(C547*I547*O547*M547))*Adc)</f>
        <v>-30.3783056847467</v>
      </c>
      <c r="R547" s="714" t="n">
        <f aca="false">((F547+L547+H547)-(D547+J547+P547+N547))*radconv</f>
        <v>-227.87607177562</v>
      </c>
      <c r="S547" s="717" t="n">
        <f aca="false">IF(R547&gt;0,R547,R547+180)</f>
        <v>-47.87607177562</v>
      </c>
      <c r="U547" s="644" t="n">
        <f aca="false">IF(Q547&lt;0,A547,1000000000)</f>
        <v>84145</v>
      </c>
      <c r="V547" s="644" t="n">
        <f aca="false">A547^2</f>
        <v>7080381025</v>
      </c>
      <c r="X547" s="716" t="n">
        <f aca="false">20*LOG10((K547/(I547*M547))*AEA)</f>
        <v>7.02328936637944</v>
      </c>
      <c r="Y547" s="717" t="n">
        <f aca="false">(L547-(J547+N547))*radconv</f>
        <v>-73.9345458875483</v>
      </c>
      <c r="AA547" s="716" t="n">
        <f aca="false">20*LOG10((E547*G547/(C547*O547))*Acs*Am)</f>
        <v>14.0790303034283</v>
      </c>
      <c r="AB547" s="717" t="n">
        <f aca="false">(F547+H547-(D547+P547))*radconv</f>
        <v>-153.941525888072</v>
      </c>
      <c r="AD547" s="0" t="n">
        <f aca="false">SUM((Q548&lt;0)*(Q547&gt;0))*A547</f>
        <v>0</v>
      </c>
      <c r="AE547" s="0" t="n">
        <f aca="false">IF(AD547&gt;0,S547,0)</f>
        <v>0</v>
      </c>
    </row>
    <row r="548" customFormat="false" ht="12.75" hidden="false" customHeight="false" outlineLevel="0" collapsed="false">
      <c r="A548" s="718" t="n">
        <v>84629.5</v>
      </c>
      <c r="B548" s="706" t="n">
        <f aca="false">A548/1000</f>
        <v>84.6295</v>
      </c>
      <c r="C548" s="707" t="n">
        <f aca="false">SQRT(1+(A548/pole1)^2)</f>
        <v>144.527263659601</v>
      </c>
      <c r="D548" s="708" t="n">
        <f aca="false">ATAN(A548/pole1)</f>
        <v>1.56387716183</v>
      </c>
      <c r="E548" s="708" t="n">
        <f aca="false">SQRT(1+(A548/Zero1)^2)</f>
        <v>1.45979510565661</v>
      </c>
      <c r="F548" s="709" t="n">
        <f aca="false">ATAN(A548/Zero1)</f>
        <v>0.816154684881505</v>
      </c>
      <c r="G548" s="708" t="n">
        <f aca="false">IF(VIN_nom&gt;Vout, 1, SQRT(1+(A548/z_RHP)^2))</f>
        <v>1.60412604907728</v>
      </c>
      <c r="H548" s="709" t="n">
        <f aca="false">IF(VIN_nom&gt;Vout, 0, -ATAN(A548/z_RHP))</f>
        <v>-0.89772246663452</v>
      </c>
      <c r="I548" s="707" t="n">
        <f aca="false">SQRT(1+(A548/Pole2)^2)</f>
        <v>351058.88713797</v>
      </c>
      <c r="J548" s="710" t="n">
        <f aca="false">ATAN(A548/Pole2)</f>
        <v>1.57079347826994</v>
      </c>
      <c r="K548" s="719" t="n">
        <f aca="false">SQRT(1+(A548/Zero2)^2)</f>
        <v>108.623711098945</v>
      </c>
      <c r="L548" s="720" t="n">
        <f aca="false">ATAN(A548/Zero2)</f>
        <v>1.5615901036252</v>
      </c>
      <c r="M548" s="707" t="n">
        <f aca="false">SQRT(1+(A548/pole4)^2)</f>
        <v>3.51969672336875</v>
      </c>
      <c r="N548" s="710" t="n">
        <f aca="false">ATAN(A548/pole4)</f>
        <v>1.28271265861624</v>
      </c>
      <c r="O548" s="711" t="n">
        <f aca="false">SQRT((1-(V548/pterm2))^2+(A548/pterm1)^2)</f>
        <v>1.36083356028645</v>
      </c>
      <c r="P548" s="712" t="n">
        <f aca="false">IF((ATAN((A548/pterm1)/(1-A548^2/pterm2))&gt;0),ATAN((A548/pterm1)/(1-A548^2/pterm2)),PI()+ATAN((A548/pterm1)/(1-A548^2/pterm2)))</f>
        <v>1.04612354508777</v>
      </c>
      <c r="Q548" s="713" t="n">
        <f aca="false">20*LOG10(((E548*K548*G548)/(C548*I548*O548*M548))*Adc)</f>
        <v>-30.4427479674956</v>
      </c>
      <c r="R548" s="714" t="n">
        <f aca="false">((F548+L548+H548)-(D548+J548+P548+N548))*radconv</f>
        <v>-228.236851123177</v>
      </c>
      <c r="S548" s="717" t="n">
        <f aca="false">IF(R548&gt;0,R548,R548+180)</f>
        <v>-48.2368511231769</v>
      </c>
      <c r="U548" s="644" t="n">
        <f aca="false">IF(Q548&lt;0,A548,1000000000)</f>
        <v>84629.5</v>
      </c>
      <c r="V548" s="644" t="n">
        <f aca="false">A548^2</f>
        <v>7162152270.25</v>
      </c>
      <c r="X548" s="716" t="n">
        <f aca="false">20*LOG10((K548/(I548*M548))*AEA)</f>
        <v>6.97746274480131</v>
      </c>
      <c r="Y548" s="717" t="n">
        <f aca="false">(L548-(J548+N548))*radconv</f>
        <v>-74.0213362757185</v>
      </c>
      <c r="AA548" s="716" t="n">
        <f aca="false">20*LOG10((E548*G548/(C548*O548))*Acs*Am)</f>
        <v>14.0604146422574</v>
      </c>
      <c r="AB548" s="717" t="n">
        <f aca="false">(F548+H548-(D548+P548))*radconv</f>
        <v>-154.215514847458</v>
      </c>
      <c r="AD548" s="0" t="n">
        <f aca="false">SUM((Q549&lt;0)*(Q548&gt;0))*A548</f>
        <v>0</v>
      </c>
      <c r="AE548" s="0" t="n">
        <f aca="false">IF(AD548&gt;0,S548,0)</f>
        <v>0</v>
      </c>
    </row>
    <row r="549" customFormat="false" ht="12.75" hidden="false" customHeight="false" outlineLevel="0" collapsed="false">
      <c r="A549" s="718" t="n">
        <v>85114</v>
      </c>
      <c r="B549" s="706" t="n">
        <f aca="false">A549/1000</f>
        <v>85.114</v>
      </c>
      <c r="C549" s="707" t="n">
        <f aca="false">SQRT(1+(A549/pole1)^2)</f>
        <v>145.354636106269</v>
      </c>
      <c r="D549" s="708" t="n">
        <f aca="false">ATAN(A549/pole1)</f>
        <v>1.56391654699982</v>
      </c>
      <c r="E549" s="708" t="n">
        <f aca="false">SQRT(1+(A549/Zero1)^2)</f>
        <v>1.46423655374748</v>
      </c>
      <c r="F549" s="709" t="n">
        <f aca="false">ATAN(A549/Zero1)</f>
        <v>0.819003085585303</v>
      </c>
      <c r="G549" s="708" t="n">
        <f aca="false">IF(VIN_nom&gt;Vout, 1, SQRT(1+(A549/z_RHP)^2))</f>
        <v>1.60974692812718</v>
      </c>
      <c r="H549" s="709" t="n">
        <f aca="false">IF(VIN_nom&gt;Vout, 0, -ATAN(A549/z_RHP))</f>
        <v>-0.900503276220412</v>
      </c>
      <c r="I549" s="707" t="n">
        <f aca="false">SQRT(1+(A549/Pole2)^2)</f>
        <v>353068.683140747</v>
      </c>
      <c r="J549" s="710" t="n">
        <f aca="false">ATAN(A549/Pole2)</f>
        <v>1.57079349448479</v>
      </c>
      <c r="K549" s="719" t="n">
        <f aca="false">SQRT(1+(A549/Zero2)^2)</f>
        <v>109.245524300834</v>
      </c>
      <c r="L549" s="720" t="n">
        <f aca="false">ATAN(A549/Zero2)</f>
        <v>1.5616425058769</v>
      </c>
      <c r="M549" s="707" t="n">
        <f aca="false">SQRT(1+(A549/pole4)^2)</f>
        <v>3.53822453559486</v>
      </c>
      <c r="N549" s="710" t="n">
        <f aca="false">ATAN(A549/pole4)</f>
        <v>1.28426401054375</v>
      </c>
      <c r="O549" s="711" t="n">
        <f aca="false">SQRT((1-(V549/pterm2))^2+(A549/pterm1)^2)</f>
        <v>1.36485404586363</v>
      </c>
      <c r="P549" s="712" t="n">
        <f aca="false">IF((ATAN((A549/pterm1)/(1-A549^2/pterm2))&gt;0),ATAN((A549/pterm1)/(1-A549^2/pterm2)),PI()+ATAN((A549/pterm1)/(1-A549^2/pterm2)))</f>
        <v>1.05091611576149</v>
      </c>
      <c r="Q549" s="713" t="n">
        <f aca="false">20*LOG10(((E549*K549*G549)/(C549*I549*O549*M549))*Adc)</f>
        <v>-30.5067921300872</v>
      </c>
      <c r="R549" s="714" t="n">
        <f aca="false">((F549+L549+H549)-(D549+J549+P549+N549))*radconv</f>
        <v>-228.595713533596</v>
      </c>
      <c r="S549" s="717" t="n">
        <f aca="false">IF(R549&gt;0,R549,R549+180)</f>
        <v>-48.5957135335958</v>
      </c>
      <c r="U549" s="644" t="n">
        <f aca="false">IF(Q549&lt;0,A549,1000000000)</f>
        <v>85114</v>
      </c>
      <c r="V549" s="644" t="n">
        <f aca="false">A549^2</f>
        <v>7244392996</v>
      </c>
      <c r="X549" s="716" t="n">
        <f aca="false">20*LOG10((K549/(I549*M549))*AEA)</f>
        <v>6.93185564839205</v>
      </c>
      <c r="Y549" s="717" t="n">
        <f aca="false">(L549-(J549+N549))*radconv</f>
        <v>-74.107220694986</v>
      </c>
      <c r="AA549" s="716" t="n">
        <f aca="false">20*LOG10((E549*G549/(C549*O549))*Acs*Am)</f>
        <v>14.0419775760752</v>
      </c>
      <c r="AB549" s="717" t="n">
        <f aca="false">(F549+H549-(D549+P549))*radconv</f>
        <v>-154.48849283861</v>
      </c>
      <c r="AD549" s="0" t="n">
        <f aca="false">SUM((Q550&lt;0)*(Q549&gt;0))*A549</f>
        <v>0</v>
      </c>
      <c r="AE549" s="0" t="n">
        <f aca="false">IF(AD549&gt;0,S549,0)</f>
        <v>0</v>
      </c>
    </row>
    <row r="550" customFormat="false" ht="12.75" hidden="false" customHeight="false" outlineLevel="0" collapsed="false">
      <c r="A550" s="718" t="n">
        <v>85609.5</v>
      </c>
      <c r="B550" s="706" t="n">
        <f aca="false">A550/1000</f>
        <v>85.6095</v>
      </c>
      <c r="C550" s="707" t="n">
        <f aca="false">SQRT(1+(A550/pole1)^2)</f>
        <v>146.200793297229</v>
      </c>
      <c r="D550" s="708" t="n">
        <f aca="false">ATAN(A550/pole1)</f>
        <v>1.56395636529399</v>
      </c>
      <c r="E550" s="708" t="n">
        <f aca="false">SQRT(1+(A550/Zero1)^2)</f>
        <v>1.4687910520119</v>
      </c>
      <c r="F550" s="709" t="n">
        <f aca="false">ATAN(A550/Zero1)</f>
        <v>0.821898314226689</v>
      </c>
      <c r="G550" s="708" t="n">
        <f aca="false">IF(VIN_nom&gt;Vout, 1, SQRT(1+(A550/z_RHP)^2))</f>
        <v>1.61550820707346</v>
      </c>
      <c r="H550" s="709" t="n">
        <f aca="false">IF(VIN_nom&gt;Vout, 0, -ATAN(A550/z_RHP))</f>
        <v>-0.903327183737096</v>
      </c>
      <c r="I550" s="707" t="n">
        <f aca="false">SQRT(1+(A550/Pole2)^2)</f>
        <v>355124.10918693</v>
      </c>
      <c r="J550" s="710" t="n">
        <f aca="false">ATAN(A550/Pole2)</f>
        <v>1.57079351087794</v>
      </c>
      <c r="K550" s="719" t="n">
        <f aca="false">SQRT(1+(A550/Zero2)^2)</f>
        <v>109.881455343448</v>
      </c>
      <c r="L550" s="720" t="n">
        <f aca="false">ATAN(A550/Zero2)</f>
        <v>1.56169548442591</v>
      </c>
      <c r="M550" s="707" t="n">
        <f aca="false">SQRT(1+(A550/pole4)^2)</f>
        <v>3.55718171471333</v>
      </c>
      <c r="N550" s="710" t="n">
        <f aca="false">ATAN(A550/pole4)</f>
        <v>1.28583386504976</v>
      </c>
      <c r="O550" s="711" t="n">
        <f aca="false">SQRT((1-(V550/pterm2))^2+(A550/pterm1)^2)</f>
        <v>1.36898741361784</v>
      </c>
      <c r="P550" s="712" t="n">
        <f aca="false">IF((ATAN((A550/pterm1)/(1-A550^2/pterm2))&gt;0),ATAN((A550/pterm1)/(1-A550^2/pterm2)),PI()+ATAN((A550/pterm1)/(1-A550^2/pterm2)))</f>
        <v>1.05580198557939</v>
      </c>
      <c r="Q550" s="713" t="n">
        <f aca="false">20*LOG10(((E550*K550*G550)/(C550*I550*O550*M550))*Adc)</f>
        <v>-30.5718845096117</v>
      </c>
      <c r="R550" s="714" t="n">
        <f aca="false">((F550+L550+H550)-(D550+J550+P550+N550))*radconv</f>
        <v>-228.960759804237</v>
      </c>
      <c r="S550" s="717" t="n">
        <f aca="false">IF(R550&gt;0,R550,R550+180)</f>
        <v>-48.9607598042367</v>
      </c>
      <c r="U550" s="644" t="n">
        <f aca="false">IF(Q550&lt;0,A550,1000000000)</f>
        <v>85609.5</v>
      </c>
      <c r="V550" s="644" t="n">
        <f aca="false">A550^2</f>
        <v>7328986490.25</v>
      </c>
      <c r="X550" s="716" t="n">
        <f aca="false">20*LOG10((K550/(I550*M550))*AEA)</f>
        <v>6.88543821921853</v>
      </c>
      <c r="Y550" s="717" t="n">
        <f aca="false">(L550-(J550+N550))*radconv</f>
        <v>-74.1941322247245</v>
      </c>
      <c r="AA550" s="716" t="n">
        <f aca="false">20*LOG10((E550*G550/(C550*O550))*Acs*Am)</f>
        <v>14.0233026257241</v>
      </c>
      <c r="AB550" s="717" t="n">
        <f aca="false">(F550+H550-(D550+P550))*radconv</f>
        <v>-154.766627579512</v>
      </c>
      <c r="AD550" s="0" t="n">
        <f aca="false">SUM((Q551&lt;0)*(Q550&gt;0))*A550</f>
        <v>0</v>
      </c>
      <c r="AE550" s="0" t="n">
        <f aca="false">IF(AD550&gt;0,S550,0)</f>
        <v>0</v>
      </c>
    </row>
    <row r="551" customFormat="false" ht="12.75" hidden="false" customHeight="false" outlineLevel="0" collapsed="false">
      <c r="A551" s="718" t="n">
        <v>86105</v>
      </c>
      <c r="B551" s="706" t="n">
        <f aca="false">A551/1000</f>
        <v>86.105</v>
      </c>
      <c r="C551" s="707" t="n">
        <f aca="false">SQRT(1+(A551/pole1)^2)</f>
        <v>147.046950717323</v>
      </c>
      <c r="D551" s="708" t="n">
        <f aca="false">ATAN(A551/pole1)</f>
        <v>1.56399572533262</v>
      </c>
      <c r="E551" s="708" t="n">
        <f aca="false">SQRT(1+(A551/Zero1)^2)</f>
        <v>1.47335778601724</v>
      </c>
      <c r="F551" s="709" t="n">
        <f aca="false">ATAN(A551/Zero1)</f>
        <v>0.82477561909812</v>
      </c>
      <c r="G551" s="708" t="n">
        <f aca="false">IF(VIN_nom&gt;Vout, 1, SQRT(1+(A551/z_RHP)^2))</f>
        <v>1.62128227719655</v>
      </c>
      <c r="H551" s="709" t="n">
        <f aca="false">IF(VIN_nom&gt;Vout, 0, -ATAN(A551/z_RHP))</f>
        <v>-0.906130999228432</v>
      </c>
      <c r="I551" s="707" t="n">
        <f aca="false">SQRT(1+(A551/Pole2)^2)</f>
        <v>357179.535233113</v>
      </c>
      <c r="J551" s="710" t="n">
        <f aca="false">ATAN(A551/Pole2)</f>
        <v>1.57079352708242</v>
      </c>
      <c r="K551" s="719" t="n">
        <f aca="false">SQRT(1+(A551/Zero2)^2)</f>
        <v>110.517386690919</v>
      </c>
      <c r="L551" s="720" t="n">
        <f aca="false">ATAN(A551/Zero2)</f>
        <v>1.56174785328422</v>
      </c>
      <c r="M551" s="707" t="n">
        <f aca="false">SQRT(1+(A551/pole4)^2)</f>
        <v>3.57614756734922</v>
      </c>
      <c r="N551" s="710" t="n">
        <f aca="false">ATAN(A551/pole4)</f>
        <v>1.28738707211903</v>
      </c>
      <c r="O551" s="711" t="n">
        <f aca="false">SQRT((1-(V551/pterm2))^2+(A551/pterm1)^2)</f>
        <v>1.37314260777816</v>
      </c>
      <c r="P551" s="712" t="n">
        <f aca="false">IF((ATAN((A551/pterm1)/(1-A551^2/pterm2))&gt;0),ATAN((A551/pterm1)/(1-A551^2/pterm2)),PI()+ATAN((A551/pterm1)/(1-A551^2/pterm2)))</f>
        <v>1.06067219527536</v>
      </c>
      <c r="Q551" s="713" t="n">
        <f aca="false">20*LOG10(((E551*K551*G551)/(C551*I551*O551*M551))*Adc)</f>
        <v>-30.6365724578982</v>
      </c>
      <c r="R551" s="714" t="n">
        <f aca="false">((F551+L551+H551)-(D551+J551+P551+N551))*radconv</f>
        <v>-229.323839422019</v>
      </c>
      <c r="S551" s="717" t="n">
        <f aca="false">IF(R551&gt;0,R551,R551+180)</f>
        <v>-49.323839422019</v>
      </c>
      <c r="U551" s="644" t="n">
        <f aca="false">IF(Q551&lt;0,A551,1000000000)</f>
        <v>86105</v>
      </c>
      <c r="V551" s="644" t="n">
        <f aca="false">A551^2</f>
        <v>7414071025</v>
      </c>
      <c r="X551" s="716" t="n">
        <f aca="false">20*LOG10((K551/(I551*M551))*AEA)</f>
        <v>6.83924648814999</v>
      </c>
      <c r="Y551" s="717" t="n">
        <f aca="false">(L551-(J551+N551))*radconv</f>
        <v>-74.2801248484913</v>
      </c>
      <c r="AA551" s="716" t="n">
        <f aca="false">20*LOG10((E551*G551/(C551*O551))*Acs*Am)</f>
        <v>14.0048064085062</v>
      </c>
      <c r="AB551" s="717" t="n">
        <f aca="false">(F551+H551-(D551+P551))*radconv</f>
        <v>-155.043714573528</v>
      </c>
      <c r="AD551" s="0" t="n">
        <f aca="false">SUM((Q552&lt;0)*(Q551&gt;0))*A551</f>
        <v>0</v>
      </c>
      <c r="AE551" s="0" t="n">
        <f aca="false">IF(AD551&gt;0,S551,0)</f>
        <v>0</v>
      </c>
    </row>
    <row r="552" customFormat="false" ht="12.75" hidden="false" customHeight="false" outlineLevel="0" collapsed="false">
      <c r="A552" s="718" t="n">
        <v>86600.5</v>
      </c>
      <c r="B552" s="706" t="n">
        <f aca="false">A552/1000</f>
        <v>86.6005</v>
      </c>
      <c r="C552" s="707" t="n">
        <f aca="false">SQRT(1+(A552/pole1)^2)</f>
        <v>147.893108362616</v>
      </c>
      <c r="D552" s="708" t="n">
        <f aca="false">ATAN(A552/pole1)</f>
        <v>1.56403463498118</v>
      </c>
      <c r="E552" s="708" t="n">
        <f aca="false">SQRT(1+(A552/Zero1)^2)</f>
        <v>1.47793664234045</v>
      </c>
      <c r="F552" s="709" t="n">
        <f aca="false">ATAN(A552/Zero1)</f>
        <v>0.82763511892785</v>
      </c>
      <c r="G552" s="708" t="n">
        <f aca="false">IF(VIN_nom&gt;Vout, 1, SQRT(1+(A552/z_RHP)^2))</f>
        <v>1.62706900231815</v>
      </c>
      <c r="H552" s="709" t="n">
        <f aca="false">IF(VIN_nom&gt;Vout, 0, -ATAN(A552/z_RHP))</f>
        <v>-0.908914892749161</v>
      </c>
      <c r="I552" s="707" t="n">
        <f aca="false">SQRT(1+(A552/Pole2)^2)</f>
        <v>359234.961279297</v>
      </c>
      <c r="J552" s="710" t="n">
        <f aca="false">ATAN(A552/Pole2)</f>
        <v>1.57079354310147</v>
      </c>
      <c r="K552" s="719" t="n">
        <f aca="false">SQRT(1+(A552/Zero2)^2)</f>
        <v>111.153318338017</v>
      </c>
      <c r="L552" s="720" t="n">
        <f aca="false">ATAN(A552/Zero2)</f>
        <v>1.56179962291603</v>
      </c>
      <c r="M552" s="707" t="n">
        <f aca="false">SQRT(1+(A552/pole4)^2)</f>
        <v>3.59512195623264</v>
      </c>
      <c r="N552" s="710" t="n">
        <f aca="false">ATAN(A552/pole4)</f>
        <v>1.28892388778386</v>
      </c>
      <c r="O552" s="711" t="n">
        <f aca="false">SQRT((1-(V552/pterm2))^2+(A552/pterm1)^2)</f>
        <v>1.37731961056081</v>
      </c>
      <c r="P552" s="712" t="n">
        <f aca="false">IF((ATAN((A552/pterm1)/(1-A552^2/pterm2))&gt;0),ATAN((A552/pterm1)/(1-A552^2/pterm2)),PI()+ATAN((A552/pterm1)/(1-A552^2/pterm2)))</f>
        <v>1.06552677013434</v>
      </c>
      <c r="Q552" s="713" t="n">
        <f aca="false">20*LOG10(((E552*K552*G552)/(C552*I552*O552*M552))*Adc)</f>
        <v>-30.7008618653111</v>
      </c>
      <c r="R552" s="714" t="n">
        <f aca="false">((F552+L552+H552)-(D552+J552+P552+N552))*radconv</f>
        <v>-229.684971297315</v>
      </c>
      <c r="S552" s="717" t="n">
        <f aca="false">IF(R552&gt;0,R552,R552+180)</f>
        <v>-49.6849712973146</v>
      </c>
      <c r="U552" s="644" t="n">
        <f aca="false">IF(Q552&lt;0,A552,1000000000)</f>
        <v>86600.5</v>
      </c>
      <c r="V552" s="644" t="n">
        <f aca="false">A552^2</f>
        <v>7499646600.25</v>
      </c>
      <c r="X552" s="716" t="n">
        <f aca="false">20*LOG10((K552/(I552*M552))*AEA)</f>
        <v>6.79327851004504</v>
      </c>
      <c r="Y552" s="717" t="n">
        <f aca="false">(L552-(J552+N552))*radconv</f>
        <v>-74.365212636487</v>
      </c>
      <c r="AA552" s="716" t="n">
        <f aca="false">20*LOG10((E552*G552/(C552*O552))*Acs*Am)</f>
        <v>13.9864849791982</v>
      </c>
      <c r="AB552" s="717" t="n">
        <f aca="false">(F552+H552-(D552+P552))*radconv</f>
        <v>-155.319758660828</v>
      </c>
      <c r="AD552" s="0" t="n">
        <f aca="false">SUM((Q553&lt;0)*(Q552&gt;0))*A552</f>
        <v>0</v>
      </c>
      <c r="AE552" s="0" t="n">
        <f aca="false">IF(AD552&gt;0,S552,0)</f>
        <v>0</v>
      </c>
    </row>
    <row r="553" customFormat="false" ht="12.75" hidden="false" customHeight="false" outlineLevel="0" collapsed="false">
      <c r="A553" s="718" t="n">
        <v>87096</v>
      </c>
      <c r="B553" s="706" t="n">
        <f aca="false">A553/1000</f>
        <v>87.096</v>
      </c>
      <c r="C553" s="707" t="n">
        <f aca="false">SQRT(1+(A553/pole1)^2)</f>
        <v>148.739266229267</v>
      </c>
      <c r="D553" s="708" t="n">
        <f aca="false">ATAN(A553/pole1)</f>
        <v>1.56407310192619</v>
      </c>
      <c r="E553" s="708" t="n">
        <f aca="false">SQRT(1+(A553/Zero1)^2)</f>
        <v>1.48252750866046</v>
      </c>
      <c r="F553" s="709" t="n">
        <f aca="false">ATAN(A553/Zero1)</f>
        <v>0.830476932144016</v>
      </c>
      <c r="G553" s="708" t="n">
        <f aca="false">IF(VIN_nom&gt;Vout, 1, SQRT(1+(A553/z_RHP)^2))</f>
        <v>1.63286824789407</v>
      </c>
      <c r="H553" s="709" t="n">
        <f aca="false">IF(VIN_nom&gt;Vout, 0, -ATAN(A553/z_RHP))</f>
        <v>-0.911679033181277</v>
      </c>
      <c r="I553" s="707" t="n">
        <f aca="false">SQRT(1+(A553/Pole2)^2)</f>
        <v>361290.38732548</v>
      </c>
      <c r="J553" s="710" t="n">
        <f aca="false">ATAN(A553/Pole2)</f>
        <v>1.57079355893825</v>
      </c>
      <c r="K553" s="719" t="n">
        <f aca="false">SQRT(1+(A553/Zero2)^2)</f>
        <v>111.789250279626</v>
      </c>
      <c r="L553" s="720" t="n">
        <f aca="false">ATAN(A553/Zero2)</f>
        <v>1.56185080354747</v>
      </c>
      <c r="M553" s="707" t="n">
        <f aca="false">SQRT(1+(A553/pole4)^2)</f>
        <v>3.6141047469153</v>
      </c>
      <c r="N553" s="710" t="n">
        <f aca="false">ATAN(A553/pole4)</f>
        <v>1.29044456301076</v>
      </c>
      <c r="O553" s="711" t="n">
        <f aca="false">SQRT((1-(V553/pterm2))^2+(A553/pterm1)^2)</f>
        <v>1.38151840439797</v>
      </c>
      <c r="P553" s="712" t="n">
        <f aca="false">IF((ATAN((A553/pterm1)/(1-A553^2/pterm2))&gt;0),ATAN((A553/pterm1)/(1-A553^2/pterm2)),PI()+ATAN((A553/pterm1)/(1-A553^2/pterm2)))</f>
        <v>1.07036573604821</v>
      </c>
      <c r="Q553" s="713" t="n">
        <f aca="false">20*LOG10(((E553*K553*G553)/(C553*I553*O553*M553))*Adc)</f>
        <v>-30.7647585156011</v>
      </c>
      <c r="R553" s="714" t="n">
        <f aca="false">((F553+L553+H553)-(D553+J553+P553+N553))*radconv</f>
        <v>-230.044174038406</v>
      </c>
      <c r="S553" s="717" t="n">
        <f aca="false">IF(R553&gt;0,R553,R553+180)</f>
        <v>-50.0441740384058</v>
      </c>
      <c r="U553" s="644" t="n">
        <f aca="false">IF(Q553&lt;0,A553,1000000000)</f>
        <v>87096</v>
      </c>
      <c r="V553" s="644" t="n">
        <f aca="false">A553^2</f>
        <v>7585713216</v>
      </c>
      <c r="X553" s="716" t="n">
        <f aca="false">20*LOG10((K553/(I553*M553))*AEA)</f>
        <v>6.74753236036845</v>
      </c>
      <c r="Y553" s="717" t="n">
        <f aca="false">(L553-(J553+N553))*radconv</f>
        <v>-74.4494093823008</v>
      </c>
      <c r="AA553" s="716" t="n">
        <f aca="false">20*LOG10((E553*G553/(C553*O553))*Acs*Am)</f>
        <v>13.9683344785848</v>
      </c>
      <c r="AB553" s="717" t="n">
        <f aca="false">(F553+H553-(D553+P553))*radconv</f>
        <v>-155.594764656105</v>
      </c>
      <c r="AD553" s="0" t="n">
        <f aca="false">SUM((Q554&lt;0)*(Q553&gt;0))*A553</f>
        <v>0</v>
      </c>
      <c r="AE553" s="0" t="n">
        <f aca="false">IF(AD553&gt;0,S553,0)</f>
        <v>0</v>
      </c>
    </row>
    <row r="554" customFormat="false" ht="12.75" hidden="false" customHeight="false" outlineLevel="0" collapsed="false">
      <c r="A554" s="718" t="n">
        <v>87603.25</v>
      </c>
      <c r="B554" s="706" t="n">
        <f aca="false">A554/1000</f>
        <v>87.60325</v>
      </c>
      <c r="C554" s="707" t="n">
        <f aca="false">SQRT(1+(A554/pole1)^2)</f>
        <v>149.605489618833</v>
      </c>
      <c r="D554" s="708" t="n">
        <f aca="false">ATAN(A554/pole1)</f>
        <v>1.5641120303214</v>
      </c>
      <c r="E554" s="708" t="n">
        <f aca="false">SQRT(1+(A554/Zero1)^2)</f>
        <v>1.48723956457754</v>
      </c>
      <c r="F554" s="709" t="n">
        <f aca="false">ATAN(A554/Zero1)</f>
        <v>0.833367937081047</v>
      </c>
      <c r="G554" s="708" t="n">
        <f aca="false">IF(VIN_nom&gt;Vout, 1, SQRT(1+(A554/z_RHP)^2))</f>
        <v>1.63881784397653</v>
      </c>
      <c r="H554" s="709" t="n">
        <f aca="false">IF(VIN_nom&gt;Vout, 0, -ATAN(A554/z_RHP))</f>
        <v>-0.914488434655595</v>
      </c>
      <c r="I554" s="707" t="n">
        <f aca="false">SQRT(1+(A554/Pole2)^2)</f>
        <v>363394.554554394</v>
      </c>
      <c r="J554" s="710" t="n">
        <f aca="false">ATAN(A554/Pole2)</f>
        <v>1.570793574965</v>
      </c>
      <c r="K554" s="719" t="n">
        <f aca="false">SQRT(1+(A554/Zero2)^2)</f>
        <v>112.440262642812</v>
      </c>
      <c r="L554" s="720" t="n">
        <f aca="false">ATAN(A554/Zero2)</f>
        <v>1.56190259816349</v>
      </c>
      <c r="M554" s="707" t="n">
        <f aca="false">SQRT(1+(A554/pole4)^2)</f>
        <v>3.63354625003534</v>
      </c>
      <c r="N554" s="710" t="n">
        <f aca="false">ATAN(A554/pole4)</f>
        <v>1.29198483638135</v>
      </c>
      <c r="O554" s="711" t="n">
        <f aca="false">SQRT((1-(V554/pterm2))^2+(A554/pterm1)^2)</f>
        <v>1.38583932017703</v>
      </c>
      <c r="P554" s="712" t="n">
        <f aca="false">IF((ATAN((A554/pterm1)/(1-A554^2/pterm2))&gt;0),ATAN((A554/pterm1)/(1-A554^2/pterm2)),PI()+ATAN((A554/pterm1)/(1-A554^2/pterm2)))</f>
        <v>1.07530330950658</v>
      </c>
      <c r="Q554" s="713" t="n">
        <f aca="false">20*LOG10(((E554*K554*G554)/(C554*I554*O554*M554))*Adc)</f>
        <v>-30.8297694647588</v>
      </c>
      <c r="R554" s="714" t="n">
        <f aca="false">((F554+L554+H554)-(D554+J554+P554+N554))*radconv</f>
        <v>-230.409915526563</v>
      </c>
      <c r="S554" s="717" t="n">
        <f aca="false">IF(R554&gt;0,R554,R554+180)</f>
        <v>-50.4099155265627</v>
      </c>
      <c r="U554" s="644" t="n">
        <f aca="false">IF(Q554&lt;0,A554,1000000000)</f>
        <v>87603.25</v>
      </c>
      <c r="V554" s="644" t="n">
        <f aca="false">A554^2</f>
        <v>7674329410.5625</v>
      </c>
      <c r="X554" s="716" t="n">
        <f aca="false">20*LOG10((K554/(I554*M554))*AEA)</f>
        <v>6.70092920643394</v>
      </c>
      <c r="Y554" s="717" t="n">
        <f aca="false">(L554-(J554+N554))*radconv</f>
        <v>-74.5346938511953</v>
      </c>
      <c r="AA554" s="716" t="n">
        <f aca="false">20*LOG10((E554*G554/(C554*O554))*Acs*Am)</f>
        <v>13.9499266833616</v>
      </c>
      <c r="AB554" s="717" t="n">
        <f aca="false">(F554+H554-(D554+P554))*radconv</f>
        <v>-155.875221675367</v>
      </c>
      <c r="AD554" s="0" t="n">
        <f aca="false">SUM((Q555&lt;0)*(Q554&gt;0))*A554</f>
        <v>0</v>
      </c>
      <c r="AE554" s="0" t="n">
        <f aca="false">IF(AD554&gt;0,S554,0)</f>
        <v>0</v>
      </c>
    </row>
    <row r="555" customFormat="false" ht="12.75" hidden="false" customHeight="false" outlineLevel="0" collapsed="false">
      <c r="A555" s="718" t="n">
        <v>88110.5</v>
      </c>
      <c r="B555" s="706" t="n">
        <f aca="false">A555/1000</f>
        <v>88.1105</v>
      </c>
      <c r="C555" s="707" t="n">
        <f aca="false">SQRT(1+(A555/pole1)^2)</f>
        <v>150.471713232504</v>
      </c>
      <c r="D555" s="708" t="n">
        <f aca="false">ATAN(A555/pole1)</f>
        <v>1.56415051051687</v>
      </c>
      <c r="E555" s="708" t="n">
        <f aca="false">SQRT(1+(A555/Zero1)^2)</f>
        <v>1.49196397213154</v>
      </c>
      <c r="F555" s="709" t="n">
        <f aca="false">ATAN(A555/Zero1)</f>
        <v>0.836240656765703</v>
      </c>
      <c r="G555" s="708" t="n">
        <f aca="false">IF(VIN_nom&gt;Vout, 1, SQRT(1+(A555/z_RHP)^2))</f>
        <v>1.6447802811806</v>
      </c>
      <c r="H555" s="709" t="n">
        <f aca="false">IF(VIN_nom&gt;Vout, 0, -ATAN(A555/z_RHP))</f>
        <v>-0.917277489478538</v>
      </c>
      <c r="I555" s="707" t="n">
        <f aca="false">SQRT(1+(A555/Pole2)^2)</f>
        <v>365498.721783307</v>
      </c>
      <c r="J555" s="710" t="n">
        <f aca="false">ATAN(A555/Pole2)</f>
        <v>1.57079359080722</v>
      </c>
      <c r="K555" s="719" t="n">
        <f aca="false">SQRT(1+(A555/Zero2)^2)</f>
        <v>113.091275304167</v>
      </c>
      <c r="L555" s="720" t="n">
        <f aca="false">ATAN(A555/Zero2)</f>
        <v>1.56195379646572</v>
      </c>
      <c r="M555" s="707" t="n">
        <f aca="false">SQRT(1+(A555/pole4)^2)</f>
        <v>3.65299628176494</v>
      </c>
      <c r="N555" s="710" t="n">
        <f aca="false">ATAN(A555/pole4)</f>
        <v>1.29350871125671</v>
      </c>
      <c r="O555" s="711" t="n">
        <f aca="false">SQRT((1-(V555/pterm2))^2+(A555/pterm1)^2)</f>
        <v>1.39018303617807</v>
      </c>
      <c r="P555" s="712" t="n">
        <f aca="false">IF((ATAN((A555/pterm1)/(1-A555^2/pterm2))&gt;0),ATAN((A555/pterm1)/(1-A555^2/pterm2)),PI()+ATAN((A555/pterm1)/(1-A555^2/pterm2)))</f>
        <v>1.08022458176352</v>
      </c>
      <c r="Q555" s="713" t="n">
        <f aca="false">20*LOG10(((E555*K555*G555)/(C555*I555*O555*M555))*Adc)</f>
        <v>-30.8943807416849</v>
      </c>
      <c r="R555" s="714" t="n">
        <f aca="false">((F555+L555+H555)-(D555+J555+P555+N555))*radconv</f>
        <v>-230.773673826382</v>
      </c>
      <c r="S555" s="717" t="n">
        <f aca="false">IF(R555&gt;0,R555,R555+180)</f>
        <v>-50.7736738263816</v>
      </c>
      <c r="U555" s="644" t="n">
        <f aca="false">IF(Q555&lt;0,A555,1000000000)</f>
        <v>88110.5</v>
      </c>
      <c r="V555" s="644" t="n">
        <f aca="false">A555^2</f>
        <v>7763460210.25</v>
      </c>
      <c r="X555" s="716" t="n">
        <f aca="false">20*LOG10((K555/(I555*M555))*AEA)</f>
        <v>6.65455451010862</v>
      </c>
      <c r="Y555" s="717" t="n">
        <f aca="false">(L555-(J555+N555))*radconv</f>
        <v>-74.6190729112122</v>
      </c>
      <c r="AA555" s="716" t="n">
        <f aca="false">20*LOG10((E555*G555/(C555*O555))*Acs*Am)</f>
        <v>13.9316901027608</v>
      </c>
      <c r="AB555" s="717" t="n">
        <f aca="false">(F555+H555-(D555+P555))*radconv</f>
        <v>-156.154600915169</v>
      </c>
      <c r="AD555" s="0" t="n">
        <f aca="false">SUM((Q556&lt;0)*(Q555&gt;0))*A555</f>
        <v>0</v>
      </c>
      <c r="AE555" s="0" t="n">
        <f aca="false">IF(AD555&gt;0,S555,0)</f>
        <v>0</v>
      </c>
    </row>
    <row r="556" customFormat="false" ht="12.75" hidden="false" customHeight="false" outlineLevel="0" collapsed="false">
      <c r="A556" s="718" t="n">
        <v>88617.75</v>
      </c>
      <c r="B556" s="706" t="n">
        <f aca="false">A556/1000</f>
        <v>88.61775</v>
      </c>
      <c r="C556" s="707" t="n">
        <f aca="false">SQRT(1+(A556/pole1)^2)</f>
        <v>151.337937066432</v>
      </c>
      <c r="D556" s="708" t="n">
        <f aca="false">ATAN(A556/pole1)</f>
        <v>1.56418855020867</v>
      </c>
      <c r="E556" s="708" t="n">
        <f aca="false">SQRT(1+(A556/Zero1)^2)</f>
        <v>1.49670061435685</v>
      </c>
      <c r="F556" s="709" t="n">
        <f aca="false">ATAN(A556/Zero1)</f>
        <v>0.83909521716203</v>
      </c>
      <c r="G556" s="708" t="n">
        <f aca="false">IF(VIN_nom&gt;Vout, 1, SQRT(1+(A556/z_RHP)^2))</f>
        <v>1.65075542036203</v>
      </c>
      <c r="H556" s="709" t="n">
        <f aca="false">IF(VIN_nom&gt;Vout, 0, -ATAN(A556/z_RHP))</f>
        <v>-0.920046374965686</v>
      </c>
      <c r="I556" s="707" t="n">
        <f aca="false">SQRT(1+(A556/Pole2)^2)</f>
        <v>367602.889012221</v>
      </c>
      <c r="J556" s="710" t="n">
        <f aca="false">ATAN(A556/Pole2)</f>
        <v>1.57079360646807</v>
      </c>
      <c r="K556" s="719" t="n">
        <f aca="false">SQRT(1+(A556/Zero2)^2)</f>
        <v>113.742288258571</v>
      </c>
      <c r="L556" s="720" t="n">
        <f aca="false">ATAN(A556/Zero2)</f>
        <v>1.56200440869304</v>
      </c>
      <c r="M556" s="707" t="n">
        <f aca="false">SQRT(1+(A556/pole4)^2)</f>
        <v>3.6724547065966</v>
      </c>
      <c r="N556" s="710" t="n">
        <f aca="false">ATAN(A556/pole4)</f>
        <v>1.29501644116385</v>
      </c>
      <c r="O556" s="711" t="n">
        <f aca="false">SQRT((1-(V556/pterm2))^2+(A556/pterm1)^2)</f>
        <v>1.39454953425354</v>
      </c>
      <c r="P556" s="712" t="n">
        <f aca="false">IF((ATAN((A556/pterm1)/(1-A556^2/pterm2))&gt;0),ATAN((A556/pterm1)/(1-A556^2/pterm2)),PI()+ATAN((A556/pterm1)/(1-A556^2/pterm2)))</f>
        <v>1.08512958248701</v>
      </c>
      <c r="Q556" s="713" t="n">
        <f aca="false">20*LOG10(((E556*K556*G556)/(C556*I556*O556*M556))*Adc)</f>
        <v>-30.9585982177042</v>
      </c>
      <c r="R556" s="714" t="n">
        <f aca="false">((F556+L556+H556)-(D556+J556+P556+N556))*radconv</f>
        <v>-231.135467960456</v>
      </c>
      <c r="S556" s="717" t="n">
        <f aca="false">IF(R556&gt;0,R556,R556+180)</f>
        <v>-51.1354679604556</v>
      </c>
      <c r="U556" s="644" t="n">
        <f aca="false">IF(Q556&lt;0,A556,1000000000)</f>
        <v>88617.75</v>
      </c>
      <c r="V556" s="644" t="n">
        <f aca="false">A556^2</f>
        <v>7853105615.0625</v>
      </c>
      <c r="X556" s="716" t="n">
        <f aca="false">20*LOG10((K556/(I556*M556))*AEA)</f>
        <v>6.6084062726628</v>
      </c>
      <c r="Y556" s="717" t="n">
        <f aca="false">(L556-(J556+N556))*radconv</f>
        <v>-74.7025605019155</v>
      </c>
      <c r="AA556" s="716" t="n">
        <f aca="false">20*LOG10((E556*G556/(C556*O556))*Acs*Am)</f>
        <v>13.9136208641874</v>
      </c>
      <c r="AB556" s="717" t="n">
        <f aca="false">(F556+H556-(D556+P556))*radconv</f>
        <v>-156.43290745854</v>
      </c>
      <c r="AD556" s="0" t="n">
        <f aca="false">SUM((Q557&lt;0)*(Q556&gt;0))*A556</f>
        <v>0</v>
      </c>
      <c r="AE556" s="0" t="n">
        <f aca="false">IF(AD556&gt;0,S556,0)</f>
        <v>0</v>
      </c>
    </row>
    <row r="557" customFormat="false" ht="12.75" hidden="false" customHeight="false" outlineLevel="0" collapsed="false">
      <c r="A557" s="718" t="n">
        <v>89125</v>
      </c>
      <c r="B557" s="706" t="n">
        <f aca="false">A557/1000</f>
        <v>89.125</v>
      </c>
      <c r="C557" s="707" t="n">
        <f aca="false">SQRT(1+(A557/pole1)^2)</f>
        <v>152.204161116856</v>
      </c>
      <c r="D557" s="708" t="n">
        <f aca="false">ATAN(A557/pole1)</f>
        <v>1.56422615691767</v>
      </c>
      <c r="E557" s="708" t="n">
        <f aca="false">SQRT(1+(A557/Zero1)^2)</f>
        <v>1.50144937546284</v>
      </c>
      <c r="F557" s="709" t="n">
        <f aca="false">ATAN(A557/Zero1)</f>
        <v>0.841931743830424</v>
      </c>
      <c r="G557" s="708" t="n">
        <f aca="false">IF(VIN_nom&gt;Vout, 1, SQRT(1+(A557/z_RHP)^2))</f>
        <v>1.65674312408959</v>
      </c>
      <c r="H557" s="709" t="n">
        <f aca="false">IF(VIN_nom&gt;Vout, 0, -ATAN(A557/z_RHP))</f>
        <v>-0.922795267114477</v>
      </c>
      <c r="I557" s="707" t="n">
        <f aca="false">SQRT(1+(A557/Pole2)^2)</f>
        <v>369707.056241135</v>
      </c>
      <c r="J557" s="710" t="n">
        <f aca="false">ATAN(A557/Pole2)</f>
        <v>1.57079362195066</v>
      </c>
      <c r="K557" s="719" t="n">
        <f aca="false">SQRT(1+(A557/Zero2)^2)</f>
        <v>114.393301501021</v>
      </c>
      <c r="L557" s="720" t="n">
        <f aca="false">ATAN(A557/Zero2)</f>
        <v>1.56205444485127</v>
      </c>
      <c r="M557" s="707" t="n">
        <f aca="false">SQRT(1+(A557/pole4)^2)</f>
        <v>3.69192139182175</v>
      </c>
      <c r="N557" s="710" t="n">
        <f aca="false">ATAN(A557/pole4)</f>
        <v>1.29650827457967</v>
      </c>
      <c r="O557" s="711" t="n">
        <f aca="false">SQRT((1-(V557/pterm2))^2+(A557/pterm1)^2)</f>
        <v>1.39893879649064</v>
      </c>
      <c r="P557" s="712" t="n">
        <f aca="false">IF((ATAN((A557/pterm1)/(1-A557^2/pterm2))&gt;0),ATAN((A557/pterm1)/(1-A557^2/pterm2)),PI()+ATAN((A557/pterm1)/(1-A557^2/pterm2)))</f>
        <v>1.09001834195375</v>
      </c>
      <c r="Q557" s="713" t="n">
        <f aca="false">20*LOG10(((E557*K557*G557)/(C557*I557*O557*M557))*Adc)</f>
        <v>-31.0224276560118</v>
      </c>
      <c r="R557" s="714" t="n">
        <f aca="false">((F557+L557+H557)-(D557+J557+P557+N557))*radconv</f>
        <v>-231.495316647821</v>
      </c>
      <c r="S557" s="717" t="n">
        <f aca="false">IF(R557&gt;0,R557,R557+180)</f>
        <v>-51.4953166478207</v>
      </c>
      <c r="U557" s="644" t="n">
        <f aca="false">IF(Q557&lt;0,A557,1000000000)</f>
        <v>89125</v>
      </c>
      <c r="V557" s="644" t="n">
        <f aca="false">A557^2</f>
        <v>7943265625</v>
      </c>
      <c r="X557" s="716" t="n">
        <f aca="false">20*LOG10((K557/(I557*M557))*AEA)</f>
        <v>6.56248251723118</v>
      </c>
      <c r="Y557" s="717" t="n">
        <f aca="false">(L557-(J557+N557))*radconv</f>
        <v>-74.7851702868705</v>
      </c>
      <c r="AA557" s="716" t="n">
        <f aca="false">20*LOG10((E557*G557/(C557*O557))*Acs*Am)</f>
        <v>13.8957151813114</v>
      </c>
      <c r="AB557" s="717" t="n">
        <f aca="false">(F557+H557-(D557+P557))*radconv</f>
        <v>-156.71014636095</v>
      </c>
      <c r="AD557" s="0" t="n">
        <f aca="false">SUM((Q558&lt;0)*(Q557&gt;0))*A557</f>
        <v>0</v>
      </c>
      <c r="AE557" s="0" t="n">
        <f aca="false">IF(AD557&gt;0,S557,0)</f>
        <v>0</v>
      </c>
    </row>
    <row r="558" customFormat="false" ht="12.75" hidden="false" customHeight="false" outlineLevel="0" collapsed="false">
      <c r="A558" s="718" t="n">
        <v>89644</v>
      </c>
      <c r="B558" s="706" t="n">
        <f aca="false">A558/1000</f>
        <v>89.644</v>
      </c>
      <c r="C558" s="707" t="n">
        <f aca="false">SQRT(1+(A558/pole1)^2)</f>
        <v>153.090450705597</v>
      </c>
      <c r="D558" s="708" t="n">
        <f aca="false">ATAN(A558/pole1)</f>
        <v>1.56426419427529</v>
      </c>
      <c r="E558" s="708" t="n">
        <f aca="false">SQRT(1+(A558/Zero1)^2)</f>
        <v>1.50632056111164</v>
      </c>
      <c r="F558" s="709" t="n">
        <f aca="false">ATAN(A558/Zero1)</f>
        <v>0.844815441493284</v>
      </c>
      <c r="G558" s="708" t="n">
        <f aca="false">IF(VIN_nom&gt;Vout, 1, SQRT(1+(A558/z_RHP)^2))</f>
        <v>1.66288239062738</v>
      </c>
      <c r="H558" s="709" t="n">
        <f aca="false">IF(VIN_nom&gt;Vout, 0, -ATAN(A558/z_RHP))</f>
        <v>-0.925587323714782</v>
      </c>
      <c r="I558" s="707" t="n">
        <f aca="false">SQRT(1+(A558/Pole2)^2)</f>
        <v>371859.964652778</v>
      </c>
      <c r="J558" s="710" t="n">
        <f aca="false">ATAN(A558/Pole2)</f>
        <v>1.57079363761054</v>
      </c>
      <c r="K558" s="719" t="n">
        <f aca="false">SQRT(1+(A558/Zero2)^2)</f>
        <v>115.059395185539</v>
      </c>
      <c r="L558" s="720" t="n">
        <f aca="false">ATAN(A558/Zero2)</f>
        <v>1.56210505401181</v>
      </c>
      <c r="M558" s="707" t="n">
        <f aca="false">SQRT(1+(A558/pole4)^2)</f>
        <v>3.71184741975738</v>
      </c>
      <c r="N558" s="710" t="n">
        <f aca="false">ATAN(A558/pole4)</f>
        <v>1.29801846589844</v>
      </c>
      <c r="O558" s="711" t="n">
        <f aca="false">SQRT((1-(V558/pterm2))^2+(A558/pterm1)^2)</f>
        <v>1.40345327492496</v>
      </c>
      <c r="P558" s="712" t="n">
        <f aca="false">IF((ATAN((A558/pterm1)/(1-A558^2/pterm2))&gt;0),ATAN((A558/pterm1)/(1-A558^2/pterm2)),PI()+ATAN((A558/pterm1)/(1-A558^2/pterm2)))</f>
        <v>1.09500356749933</v>
      </c>
      <c r="Q558" s="713" t="n">
        <f aca="false">20*LOG10(((E558*K558*G558)/(C558*I558*O558*M558))*Adc)</f>
        <v>-31.0873399223422</v>
      </c>
      <c r="R558" s="714" t="n">
        <f aca="false">((F558+L558+H558)-(D558+J558+P558+N558))*radconv</f>
        <v>-231.861506560627</v>
      </c>
      <c r="S558" s="717" t="n">
        <f aca="false">IF(R558&gt;0,R558,R558+180)</f>
        <v>-51.8615065606271</v>
      </c>
      <c r="U558" s="644" t="n">
        <f aca="false">IF(Q558&lt;0,A558,1000000000)</f>
        <v>89644</v>
      </c>
      <c r="V558" s="644" t="n">
        <f aca="false">A558^2</f>
        <v>8036046736</v>
      </c>
      <c r="X558" s="716" t="n">
        <f aca="false">20*LOG10((K558/(I558*M558))*AEA)</f>
        <v>6.51572528138022</v>
      </c>
      <c r="Y558" s="717" t="n">
        <f aca="false">(L558-(J558+N558))*radconv</f>
        <v>-74.8687990817304</v>
      </c>
      <c r="AA558" s="716" t="n">
        <f aca="false">20*LOG10((E558*G558/(C558*O558))*Acs*Am)</f>
        <v>13.8775601508319</v>
      </c>
      <c r="AB558" s="717" t="n">
        <f aca="false">(F558+H558-(D558+P558))*radconv</f>
        <v>-156.992707478897</v>
      </c>
      <c r="AD558" s="0" t="n">
        <f aca="false">SUM((Q559&lt;0)*(Q558&gt;0))*A558</f>
        <v>0</v>
      </c>
      <c r="AE558" s="0" t="n">
        <f aca="false">IF(AD558&gt;0,S558,0)</f>
        <v>0</v>
      </c>
    </row>
    <row r="559" customFormat="false" ht="12.75" hidden="false" customHeight="false" outlineLevel="0" collapsed="false">
      <c r="A559" s="718" t="n">
        <v>90163</v>
      </c>
      <c r="B559" s="706" t="n">
        <f aca="false">A559/1000</f>
        <v>90.163</v>
      </c>
      <c r="C559" s="707" t="n">
        <f aca="false">SQRT(1+(A559/pole1)^2)</f>
        <v>153.976740513285</v>
      </c>
      <c r="D559" s="708" t="n">
        <f aca="false">ATAN(A559/pole1)</f>
        <v>1.56430179374706</v>
      </c>
      <c r="E559" s="708" t="n">
        <f aca="false">SQRT(1+(A559/Zero1)^2)</f>
        <v>1.51120419207524</v>
      </c>
      <c r="F559" s="709" t="n">
        <f aca="false">ATAN(A559/Zero1)</f>
        <v>0.847680524848935</v>
      </c>
      <c r="G559" s="708" t="n">
        <f aca="false">IF(VIN_nom&gt;Vout, 1, SQRT(1+(A559/z_RHP)^2))</f>
        <v>1.66903452487382</v>
      </c>
      <c r="H559" s="709" t="n">
        <f aca="false">IF(VIN_nom&gt;Vout, 0, -ATAN(A559/z_RHP))</f>
        <v>-0.928358818502632</v>
      </c>
      <c r="I559" s="707" t="n">
        <f aca="false">SQRT(1+(A559/Pole2)^2)</f>
        <v>374012.873064422</v>
      </c>
      <c r="J559" s="710" t="n">
        <f aca="false">ATAN(A559/Pole2)</f>
        <v>1.57079365309013</v>
      </c>
      <c r="K559" s="719" t="n">
        <f aca="false">SQRT(1+(A559/Zero2)^2)</f>
        <v>115.725489161364</v>
      </c>
      <c r="L559" s="720" t="n">
        <f aca="false">ATAN(A559/Zero2)</f>
        <v>1.56215508057901</v>
      </c>
      <c r="M559" s="707" t="n">
        <f aca="false">SQRT(1+(A559/pole4)^2)</f>
        <v>3.73178182280571</v>
      </c>
      <c r="N559" s="710" t="n">
        <f aca="false">ATAN(A559/pole4)</f>
        <v>1.29951252633799</v>
      </c>
      <c r="O559" s="711" t="n">
        <f aca="false">SQRT((1-(V559/pterm2))^2+(A559/pterm1)^2)</f>
        <v>1.40799154716938</v>
      </c>
      <c r="P559" s="712" t="n">
        <f aca="false">IF((ATAN((A559/pterm1)/(1-A559^2/pterm2))&gt;0),ATAN((A559/pterm1)/(1-A559^2/pterm2)),PI()+ATAN((A559/pterm1)/(1-A559^2/pterm2)))</f>
        <v>1.09997185666031</v>
      </c>
      <c r="Q559" s="713" t="n">
        <f aca="false">20*LOG10(((E559*K559*G559)/(C559*I559*O559*M559))*Adc)</f>
        <v>-31.1518578345727</v>
      </c>
      <c r="R559" s="714" t="n">
        <f aca="false">((F559+L559+H559)-(D559+J559+P559+N559))*radconv</f>
        <v>-232.225698555742</v>
      </c>
      <c r="S559" s="717" t="n">
        <f aca="false">IF(R559&gt;0,R559,R559+180)</f>
        <v>-52.2256985557418</v>
      </c>
      <c r="U559" s="644" t="n">
        <f aca="false">IF(Q559&lt;0,A559,1000000000)</f>
        <v>90163</v>
      </c>
      <c r="V559" s="644" t="n">
        <f aca="false">A559^2</f>
        <v>8129366569</v>
      </c>
      <c r="X559" s="716" t="n">
        <f aca="false">20*LOG10((K559/(I559*M559))*AEA)</f>
        <v>6.46919893010933</v>
      </c>
      <c r="Y559" s="717" t="n">
        <f aca="false">(L559-(J559+N559))*radconv</f>
        <v>-74.9515370151002</v>
      </c>
      <c r="AA559" s="716" t="n">
        <f aca="false">20*LOG10((E559*G559/(C559*O559))*Acs*Am)</f>
        <v>13.8595685898724</v>
      </c>
      <c r="AB559" s="717" t="n">
        <f aca="false">(F559+H559-(D559+P559))*radconv</f>
        <v>-157.274161540642</v>
      </c>
      <c r="AD559" s="0" t="n">
        <f aca="false">SUM((Q560&lt;0)*(Q559&gt;0))*A559</f>
        <v>0</v>
      </c>
      <c r="AE559" s="0" t="n">
        <f aca="false">IF(AD559&gt;0,S559,0)</f>
        <v>0</v>
      </c>
    </row>
    <row r="560" customFormat="false" ht="12.75" hidden="false" customHeight="false" outlineLevel="0" collapsed="false">
      <c r="A560" s="718" t="n">
        <v>90682</v>
      </c>
      <c r="B560" s="706" t="n">
        <f aca="false">A560/1000</f>
        <v>90.682</v>
      </c>
      <c r="C560" s="707" t="n">
        <f aca="false">SQRT(1+(A560/pole1)^2)</f>
        <v>154.863030536161</v>
      </c>
      <c r="D560" s="708" t="n">
        <f aca="false">ATAN(A560/pole1)</f>
        <v>1.56433896285101</v>
      </c>
      <c r="E560" s="708" t="n">
        <f aca="false">SQRT(1+(A560/Zero1)^2)</f>
        <v>1.51610014808786</v>
      </c>
      <c r="F560" s="709" t="n">
        <f aca="false">ATAN(A560/Zero1)</f>
        <v>0.8505271269665</v>
      </c>
      <c r="G560" s="708" t="n">
        <f aca="false">IF(VIN_nom&gt;Vout, 1, SQRT(1+(A560/z_RHP)^2))</f>
        <v>1.67519938505974</v>
      </c>
      <c r="H560" s="709" t="n">
        <f aca="false">IF(VIN_nom&gt;Vout, 0, -ATAN(A560/z_RHP))</f>
        <v>-0.931109935672977</v>
      </c>
      <c r="I560" s="707" t="n">
        <f aca="false">SQRT(1+(A560/Pole2)^2)</f>
        <v>376165.781476066</v>
      </c>
      <c r="J560" s="710" t="n">
        <f aca="false">ATAN(A560/Pole2)</f>
        <v>1.57079366839254</v>
      </c>
      <c r="K560" s="719" t="n">
        <f aca="false">SQRT(1+(A560/Zero2)^2)</f>
        <v>116.391583423496</v>
      </c>
      <c r="L560" s="720" t="n">
        <f aca="false">ATAN(A560/Zero2)</f>
        <v>1.56220453455493</v>
      </c>
      <c r="M560" s="707" t="n">
        <f aca="false">SQRT(1+(A560/pole4)^2)</f>
        <v>3.75172446746583</v>
      </c>
      <c r="N560" s="710" t="n">
        <f aca="false">ATAN(A560/pole4)</f>
        <v>1.30099070641011</v>
      </c>
      <c r="O560" s="711" t="n">
        <f aca="false">SQRT((1-(V560/pterm2))^2+(A560/pterm1)^2)</f>
        <v>1.41255359479511</v>
      </c>
      <c r="P560" s="712" t="n">
        <f aca="false">IF((ATAN((A560/pterm1)/(1-A560^2/pterm2))&gt;0),ATAN((A560/pterm1)/(1-A560^2/pterm2)),PI()+ATAN((A560/pterm1)/(1-A560^2/pterm2)))</f>
        <v>1.10492324375264</v>
      </c>
      <c r="Q560" s="713" t="n">
        <f aca="false">20*LOG10(((E560*K560*G560)/(C560*I560*O560*M560))*Adc)</f>
        <v>-31.2159872281941</v>
      </c>
      <c r="R560" s="714" t="n">
        <f aca="false">((F560+L560+H560)-(D560+J560+P560+N560))*radconv</f>
        <v>-232.587911739739</v>
      </c>
      <c r="S560" s="717" t="n">
        <f aca="false">IF(R560&gt;0,R560,R560+180)</f>
        <v>-52.5879117397388</v>
      </c>
      <c r="U560" s="644" t="n">
        <f aca="false">IF(Q560&lt;0,A560,1000000000)</f>
        <v>90682</v>
      </c>
      <c r="V560" s="644" t="n">
        <f aca="false">A560^2</f>
        <v>8223225124</v>
      </c>
      <c r="X560" s="716" t="n">
        <f aca="false">20*LOG10((K560/(I560*M560))*AEA)</f>
        <v>6.42290141570686</v>
      </c>
      <c r="Y560" s="717" t="n">
        <f aca="false">(L560-(J560+N560))*radconv</f>
        <v>-75.0333978673487</v>
      </c>
      <c r="AA560" s="716" t="n">
        <f aca="false">20*LOG10((E560*G560/(C560*O560))*Acs*Am)</f>
        <v>13.8417367106535</v>
      </c>
      <c r="AB560" s="717" t="n">
        <f aca="false">(F560+H560-(D560+P560))*radconv</f>
        <v>-157.55451387239</v>
      </c>
      <c r="AD560" s="0" t="n">
        <f aca="false">SUM((Q561&lt;0)*(Q560&gt;0))*A560</f>
        <v>0</v>
      </c>
      <c r="AE560" s="0" t="n">
        <f aca="false">IF(AD560&gt;0,S560,0)</f>
        <v>0</v>
      </c>
    </row>
    <row r="561" customFormat="false" ht="12.75" hidden="false" customHeight="false" outlineLevel="0" collapsed="false">
      <c r="A561" s="718" t="n">
        <v>91201</v>
      </c>
      <c r="B561" s="706" t="n">
        <f aca="false">A561/1000</f>
        <v>91.201</v>
      </c>
      <c r="C561" s="707" t="n">
        <f aca="false">SQRT(1+(A561/pole1)^2)</f>
        <v>155.749320770553</v>
      </c>
      <c r="D561" s="708" t="n">
        <f aca="false">ATAN(A561/pole1)</f>
        <v>1.56437570893404</v>
      </c>
      <c r="E561" s="708" t="n">
        <f aca="false">SQRT(1+(A561/Zero1)^2)</f>
        <v>1.52100831013063</v>
      </c>
      <c r="F561" s="709" t="n">
        <f aca="false">ATAN(A561/Zero1)</f>
        <v>0.853355380402019</v>
      </c>
      <c r="G561" s="708" t="n">
        <f aca="false">IF(VIN_nom&gt;Vout, 1, SQRT(1+(A561/z_RHP)^2))</f>
        <v>1.6813768312041</v>
      </c>
      <c r="H561" s="709" t="n">
        <f aca="false">IF(VIN_nom&gt;Vout, 0, -ATAN(A561/z_RHP))</f>
        <v>-0.933840857956036</v>
      </c>
      <c r="I561" s="707" t="n">
        <f aca="false">SQRT(1+(A561/Pole2)^2)</f>
        <v>378318.68988771</v>
      </c>
      <c r="J561" s="710" t="n">
        <f aca="false">ATAN(A561/Pole2)</f>
        <v>1.57079368352078</v>
      </c>
      <c r="K561" s="719" t="n">
        <f aca="false">SQRT(1+(A561/Zero2)^2)</f>
        <v>117.057677967047</v>
      </c>
      <c r="L561" s="720" t="n">
        <f aca="false">ATAN(A561/Zero2)</f>
        <v>1.56225342571402</v>
      </c>
      <c r="M561" s="707" t="n">
        <f aca="false">SQRT(1+(A561/pole4)^2)</f>
        <v>3.77167522300577</v>
      </c>
      <c r="N561" s="710" t="n">
        <f aca="false">ATAN(A561/pole4)</f>
        <v>1.30245325160701</v>
      </c>
      <c r="O561" s="711" t="n">
        <f aca="false">SQRT((1-(V561/pterm2))^2+(A561/pterm1)^2)</f>
        <v>1.41713939962701</v>
      </c>
      <c r="P561" s="712" t="n">
        <f aca="false">IF((ATAN((A561/pterm1)/(1-A561^2/pterm2))&gt;0),ATAN((A561/pterm1)/(1-A561^2/pterm2)),PI()+ATAN((A561/pterm1)/(1-A561^2/pterm2)))</f>
        <v>1.10985776369756</v>
      </c>
      <c r="Q561" s="713" t="n">
        <f aca="false">20*LOG10(((E561*K561*G561)/(C561*I561*O561*M561))*Adc)</f>
        <v>-31.2797338294438</v>
      </c>
      <c r="R561" s="714" t="n">
        <f aca="false">((F561+L561+H561)-(D561+J561+P561+N561))*radconv</f>
        <v>-232.948164914981</v>
      </c>
      <c r="S561" s="717" t="n">
        <f aca="false">IF(R561&gt;0,R561,R561+180)</f>
        <v>-52.9481649149805</v>
      </c>
      <c r="U561" s="644" t="n">
        <f aca="false">IF(Q561&lt;0,A561,1000000000)</f>
        <v>91201</v>
      </c>
      <c r="V561" s="644" t="n">
        <f aca="false">A561^2</f>
        <v>8317622401</v>
      </c>
      <c r="X561" s="716" t="n">
        <f aca="false">20*LOG10((K561/(I561*M561))*AEA)</f>
        <v>6.37683071351388</v>
      </c>
      <c r="Y561" s="717" t="n">
        <f aca="false">(L561-(J561+N561))*radconv</f>
        <v>-75.1143951442845</v>
      </c>
      <c r="AA561" s="716" t="n">
        <f aca="false">20*LOG10((E561*G561/(C561*O561))*Acs*Am)</f>
        <v>13.8240608115967</v>
      </c>
      <c r="AB561" s="717" t="n">
        <f aca="false">(F561+H561-(D561+P561))*radconv</f>
        <v>-157.833769770696</v>
      </c>
      <c r="AD561" s="0" t="n">
        <f aca="false">SUM((Q562&lt;0)*(Q561&gt;0))*A561</f>
        <v>0</v>
      </c>
      <c r="AE561" s="0" t="n">
        <f aca="false">IF(AD561&gt;0,S561,0)</f>
        <v>0</v>
      </c>
    </row>
    <row r="562" customFormat="false" ht="12.75" hidden="false" customHeight="false" outlineLevel="0" collapsed="false">
      <c r="A562" s="718" t="n">
        <v>91732</v>
      </c>
      <c r="B562" s="706" t="n">
        <f aca="false">A562/1000</f>
        <v>91.732</v>
      </c>
      <c r="C562" s="707" t="n">
        <f aca="false">SQRT(1+(A562/pole1)^2)</f>
        <v>156.656103479862</v>
      </c>
      <c r="D562" s="708" t="n">
        <f aca="false">ATAN(A562/pole1)</f>
        <v>1.56441287432015</v>
      </c>
      <c r="E562" s="708" t="n">
        <f aca="false">SQRT(1+(A562/Zero1)^2)</f>
        <v>1.52604246548129</v>
      </c>
      <c r="F562" s="709" t="n">
        <f aca="false">ATAN(A562/Zero1)</f>
        <v>0.856230174714458</v>
      </c>
      <c r="G562" s="708" t="n">
        <f aca="false">IF(VIN_nom&gt;Vout, 1, SQRT(1+(A562/z_RHP)^2))</f>
        <v>1.68770999016547</v>
      </c>
      <c r="H562" s="709" t="n">
        <f aca="false">IF(VIN_nom&gt;Vout, 0, -ATAN(A562/z_RHP))</f>
        <v>-0.936614211299079</v>
      </c>
      <c r="I562" s="707" t="n">
        <f aca="false">SQRT(1+(A562/Pole2)^2)</f>
        <v>380521.376528525</v>
      </c>
      <c r="J562" s="710" t="n">
        <f aca="false">ATAN(A562/Pole2)</f>
        <v>1.57079369882164</v>
      </c>
      <c r="K562" s="719" t="n">
        <f aca="false">SQRT(1+(A562/Zero2)^2)</f>
        <v>117.739173826779</v>
      </c>
      <c r="L562" s="720" t="n">
        <f aca="false">ATAN(A562/Zero2)</f>
        <v>1.56230287477957</v>
      </c>
      <c r="M562" s="707" t="n">
        <f aca="false">SQRT(1+(A562/pole4)^2)</f>
        <v>3.7920955285281</v>
      </c>
      <c r="N562" s="710" t="n">
        <f aca="false">ATAN(A562/pole4)</f>
        <v>1.30393368246613</v>
      </c>
      <c r="O562" s="711" t="n">
        <f aca="false">SQRT((1-(V562/pterm2))^2+(A562/pterm1)^2)</f>
        <v>1.42185580344389</v>
      </c>
      <c r="P562" s="712" t="n">
        <f aca="false">IF((ATAN((A562/pterm1)/(1-A562^2/pterm2))&gt;0),ATAN((A562/pterm1)/(1-A562^2/pterm2)),PI()+ATAN((A562/pterm1)/(1-A562^2/pterm2)))</f>
        <v>1.11488895698462</v>
      </c>
      <c r="Q562" s="713" t="n">
        <f aca="false">20*LOG10(((E562*K562*G562)/(C562*I562*O562*M562))*Adc)</f>
        <v>-31.3445640295971</v>
      </c>
      <c r="R562" s="714" t="n">
        <f aca="false">((F562+L562+H562)-(D562+J562+P562+N562))*radconv</f>
        <v>-233.31473843102</v>
      </c>
      <c r="S562" s="717" t="n">
        <f aca="false">IF(R562&gt;0,R562,R562+180)</f>
        <v>-53.3147384310203</v>
      </c>
      <c r="U562" s="644" t="n">
        <f aca="false">IF(Q562&lt;0,A562,1000000000)</f>
        <v>91732</v>
      </c>
      <c r="V562" s="644" t="n">
        <f aca="false">A562^2</f>
        <v>8414759824</v>
      </c>
      <c r="X562" s="716" t="n">
        <f aca="false">20*LOG10((K562/(I562*M562))*AEA)</f>
        <v>6.32992744429337</v>
      </c>
      <c r="Y562" s="717" t="n">
        <f aca="false">(L562-(J562+N562))*radconv</f>
        <v>-75.1963852383844</v>
      </c>
      <c r="AA562" s="716" t="n">
        <f aca="false">20*LOG10((E562*G562/(C562*O562))*Acs*Am)</f>
        <v>13.8061338806639</v>
      </c>
      <c r="AB562" s="717" t="n">
        <f aca="false">(F562+H562-(D562+P562))*radconv</f>
        <v>-158.118353192636</v>
      </c>
      <c r="AD562" s="0" t="n">
        <f aca="false">SUM((Q563&lt;0)*(Q562&gt;0))*A562</f>
        <v>0</v>
      </c>
      <c r="AE562" s="0" t="n">
        <f aca="false">IF(AD562&gt;0,S562,0)</f>
        <v>0</v>
      </c>
    </row>
    <row r="563" customFormat="false" ht="12.75" hidden="false" customHeight="false" outlineLevel="0" collapsed="false">
      <c r="A563" s="718" t="n">
        <v>92263</v>
      </c>
      <c r="B563" s="706" t="n">
        <f aca="false">A563/1000</f>
        <v>92.263</v>
      </c>
      <c r="C563" s="707" t="n">
        <f aca="false">SQRT(1+(A563/pole1)^2)</f>
        <v>157.562886403064</v>
      </c>
      <c r="D563" s="708" t="n">
        <f aca="false">ATAN(A563/pole1)</f>
        <v>1.56444961192869</v>
      </c>
      <c r="E563" s="708" t="n">
        <f aca="false">SQRT(1+(A563/Zero1)^2)</f>
        <v>1.53108914972663</v>
      </c>
      <c r="F563" s="709" t="n">
        <f aca="false">ATAN(A563/Zero1)</f>
        <v>0.859086041050436</v>
      </c>
      <c r="G563" s="708" t="n">
        <f aca="false">IF(VIN_nom&gt;Vout, 1, SQRT(1+(A563/z_RHP)^2))</f>
        <v>1.69405603301339</v>
      </c>
      <c r="H563" s="709" t="n">
        <f aca="false">IF(VIN_nom&gt;Vout, 0, -ATAN(A563/z_RHP))</f>
        <v>-0.939366807361852</v>
      </c>
      <c r="I563" s="707" t="n">
        <f aca="false">SQRT(1+(A563/Pole2)^2)</f>
        <v>382724.06316934</v>
      </c>
      <c r="J563" s="710" t="n">
        <f aca="false">ATAN(A563/Pole2)</f>
        <v>1.57079371394638</v>
      </c>
      <c r="K563" s="719" t="n">
        <f aca="false">SQRT(1+(A563/Zero2)^2)</f>
        <v>118.420669971095</v>
      </c>
      <c r="L563" s="720" t="n">
        <f aca="false">ATAN(A563/Zero2)</f>
        <v>1.56235175469886</v>
      </c>
      <c r="M563" s="707" t="n">
        <f aca="false">SQRT(1+(A563/pole4)^2)</f>
        <v>3.8125240560531</v>
      </c>
      <c r="N563" s="710" t="n">
        <f aca="false">ATAN(A563/pole4)</f>
        <v>1.30539825141445</v>
      </c>
      <c r="O563" s="711" t="n">
        <f aca="false">SQRT((1-(V563/pterm2))^2+(A563/pterm1)^2)</f>
        <v>1.42659703808455</v>
      </c>
      <c r="P563" s="712" t="n">
        <f aca="false">IF((ATAN((A563/pterm1)/(1-A563^2/pterm2))&gt;0),ATAN((A563/pterm1)/(1-A563^2/pterm2)),PI()+ATAN((A563/pterm1)/(1-A563^2/pterm2)))</f>
        <v>1.11990256995323</v>
      </c>
      <c r="Q563" s="713" t="n">
        <f aca="false">20*LOG10(((E563*K563*G563)/(C563*I563*O563*M563))*Adc)</f>
        <v>-31.4090053174565</v>
      </c>
      <c r="R563" s="714" t="n">
        <f aca="false">((F563+L563+H563)-(D563+J563+P563+N563))*radconv</f>
        <v>-233.679299126816</v>
      </c>
      <c r="S563" s="717" t="n">
        <f aca="false">IF(R563&gt;0,R563,R563+180)</f>
        <v>-53.6792991268156</v>
      </c>
      <c r="U563" s="644" t="n">
        <f aca="false">IF(Q563&lt;0,A563,1000000000)</f>
        <v>92263</v>
      </c>
      <c r="V563" s="644" t="n">
        <f aca="false">A563^2</f>
        <v>8512461169</v>
      </c>
      <c r="X563" s="716" t="n">
        <f aca="false">20*LOG10((K563/(I563*M563))*AEA)</f>
        <v>6.28325738210088</v>
      </c>
      <c r="Y563" s="717" t="n">
        <f aca="false">(L563-(J563+N563))*radconv</f>
        <v>-75.2774991115272</v>
      </c>
      <c r="AA563" s="716" t="n">
        <f aca="false">20*LOG10((E563*G563/(C563*O563))*Acs*Am)</f>
        <v>13.788362654997</v>
      </c>
      <c r="AB563" s="717" t="n">
        <f aca="false">(F563+H563-(D563+P563))*radconv</f>
        <v>-158.401800015288</v>
      </c>
      <c r="AD563" s="0" t="n">
        <f aca="false">SUM((Q564&lt;0)*(Q563&gt;0))*A563</f>
        <v>0</v>
      </c>
      <c r="AE563" s="0" t="n">
        <f aca="false">IF(AD563&gt;0,S563,0)</f>
        <v>0</v>
      </c>
    </row>
    <row r="564" customFormat="false" ht="12.75" hidden="false" customHeight="false" outlineLevel="0" collapsed="false">
      <c r="A564" s="718" t="n">
        <v>92794</v>
      </c>
      <c r="B564" s="706" t="n">
        <f aca="false">A564/1000</f>
        <v>92.794</v>
      </c>
      <c r="C564" s="707" t="n">
        <f aca="false">SQRT(1+(A564/pole1)^2)</f>
        <v>158.469669536488</v>
      </c>
      <c r="D564" s="708" t="n">
        <f aca="false">ATAN(A564/pole1)</f>
        <v>1.56448592910297</v>
      </c>
      <c r="E564" s="708" t="n">
        <f aca="false">SQRT(1+(A564/Zero1)^2)</f>
        <v>1.53614823938371</v>
      </c>
      <c r="F564" s="709" t="n">
        <f aca="false">ATAN(A564/Zero1)</f>
        <v>0.861923119605108</v>
      </c>
      <c r="G564" s="708" t="n">
        <f aca="false">IF(VIN_nom&gt;Vout, 1, SQRT(1+(A564/z_RHP)^2))</f>
        <v>1.70041481549772</v>
      </c>
      <c r="H564" s="709" t="n">
        <f aca="false">IF(VIN_nom&gt;Vout, 0, -ATAN(A564/z_RHP))</f>
        <v>-0.942098837066813</v>
      </c>
      <c r="I564" s="707" t="n">
        <f aca="false">SQRT(1+(A564/Pole2)^2)</f>
        <v>384926.749810156</v>
      </c>
      <c r="J564" s="710" t="n">
        <f aca="false">ATAN(A564/Pole2)</f>
        <v>1.57079372889802</v>
      </c>
      <c r="K564" s="719" t="n">
        <f aca="false">SQRT(1+(A564/Zero2)^2)</f>
        <v>119.102166395109</v>
      </c>
      <c r="L564" s="720" t="n">
        <f aca="false">ATAN(A564/Zero2)</f>
        <v>1.56240007524154</v>
      </c>
      <c r="M564" s="707" t="n">
        <f aca="false">SQRT(1+(A564/pole4)^2)</f>
        <v>3.83296067411835</v>
      </c>
      <c r="N564" s="710" t="n">
        <f aca="false">ATAN(A564/pole4)</f>
        <v>1.30684720583643</v>
      </c>
      <c r="O564" s="711" t="n">
        <f aca="false">SQRT((1-(V564/pterm2))^2+(A564/pterm1)^2)</f>
        <v>1.43136308490115</v>
      </c>
      <c r="P564" s="712" t="n">
        <f aca="false">IF((ATAN((A564/pterm1)/(1-A564^2/pterm2))&gt;0),ATAN((A564/pterm1)/(1-A564^2/pterm2)),PI()+ATAN((A564/pterm1)/(1-A564^2/pterm2)))</f>
        <v>1.12489864187216</v>
      </c>
      <c r="Q564" s="713" t="n">
        <f aca="false">20*LOG10(((E564*K564*G564)/(C564*I564*O564*M564))*Adc)</f>
        <v>-31.473063484973</v>
      </c>
      <c r="R564" s="714" t="n">
        <f aca="false">((F564+L564+H564)-(D564+J564+P564+N564))*radconv</f>
        <v>-234.041866194001</v>
      </c>
      <c r="S564" s="717" t="n">
        <f aca="false">IF(R564&gt;0,R564,R564+180)</f>
        <v>-54.0418661940006</v>
      </c>
      <c r="U564" s="644" t="n">
        <f aca="false">IF(Q564&lt;0,A564,1000000000)</f>
        <v>92794</v>
      </c>
      <c r="V564" s="644" t="n">
        <f aca="false">A564^2</f>
        <v>8610726436</v>
      </c>
      <c r="X564" s="716" t="n">
        <f aca="false">20*LOG10((K564/(I564*M564))*AEA)</f>
        <v>6.23681843194305</v>
      </c>
      <c r="Y564" s="717" t="n">
        <f aca="false">(L564-(J564+N564))*radconv</f>
        <v>-75.357750378212</v>
      </c>
      <c r="AA564" s="716" t="n">
        <f aca="false">20*LOG10((E564*G564/(C564*O564))*Acs*Am)</f>
        <v>13.7707434376383</v>
      </c>
      <c r="AB564" s="717" t="n">
        <f aca="false">(F564+H564-(D564+P564))*radconv</f>
        <v>-158.684115815789</v>
      </c>
      <c r="AD564" s="0" t="n">
        <f aca="false">SUM((Q565&lt;0)*(Q564&gt;0))*A564</f>
        <v>0</v>
      </c>
      <c r="AE564" s="0" t="n">
        <f aca="false">IF(AD564&gt;0,S564,0)</f>
        <v>0</v>
      </c>
    </row>
    <row r="565" customFormat="false" ht="12.75" hidden="false" customHeight="false" outlineLevel="0" collapsed="false">
      <c r="A565" s="718" t="n">
        <v>93325</v>
      </c>
      <c r="B565" s="706" t="n">
        <f aca="false">A565/1000</f>
        <v>93.325</v>
      </c>
      <c r="C565" s="707" t="n">
        <f aca="false">SQRT(1+(A565/pole1)^2)</f>
        <v>159.376452876545</v>
      </c>
      <c r="D565" s="708" t="n">
        <f aca="false">ATAN(A565/pole1)</f>
        <v>1.56452183301914</v>
      </c>
      <c r="E565" s="708" t="n">
        <f aca="false">SQRT(1+(A565/Zero1)^2)</f>
        <v>1.54121961228936</v>
      </c>
      <c r="F565" s="709" t="n">
        <f aca="false">ATAN(A565/Zero1)</f>
        <v>0.864741549944944</v>
      </c>
      <c r="G565" s="708" t="n">
        <f aca="false">IF(VIN_nom&gt;Vout, 1, SQRT(1+(A565/z_RHP)^2))</f>
        <v>1.70678619523055</v>
      </c>
      <c r="H565" s="709" t="n">
        <f aca="false">IF(VIN_nom&gt;Vout, 0, -ATAN(A565/z_RHP))</f>
        <v>-0.944810489722213</v>
      </c>
      <c r="I565" s="707" t="n">
        <f aca="false">SQRT(1+(A565/Pole2)^2)</f>
        <v>387129.436450971</v>
      </c>
      <c r="J565" s="710" t="n">
        <f aca="false">ATAN(A565/Pole2)</f>
        <v>1.57079374367952</v>
      </c>
      <c r="K565" s="719" t="n">
        <f aca="false">SQRT(1+(A565/Zero2)^2)</f>
        <v>119.783663094048</v>
      </c>
      <c r="L565" s="720" t="n">
        <f aca="false">ATAN(A565/Zero2)</f>
        <v>1.56244784595492</v>
      </c>
      <c r="M565" s="707" t="n">
        <f aca="false">SQRT(1+(A565/pole4)^2)</f>
        <v>3.8534052539988</v>
      </c>
      <c r="N565" s="710" t="n">
        <f aca="false">ATAN(A565/pole4)</f>
        <v>1.30828078813184</v>
      </c>
      <c r="O565" s="711" t="n">
        <f aca="false">SQRT((1-(V565/pterm2))^2+(A565/pterm1)^2)</f>
        <v>1.43615392551891</v>
      </c>
      <c r="P565" s="712" t="n">
        <f aca="false">IF((ATAN((A565/pterm1)/(1-A565^2/pterm2))&gt;0),ATAN((A565/pterm1)/(1-A565^2/pterm2)),PI()+ATAN((A565/pterm1)/(1-A565^2/pterm2)))</f>
        <v>1.12987721260773</v>
      </c>
      <c r="Q565" s="713" t="n">
        <f aca="false">20*LOG10(((E565*K565*G565)/(C565*I565*O565*M565))*Adc)</f>
        <v>-31.536744213905</v>
      </c>
      <c r="R565" s="714" t="n">
        <f aca="false">((F565+L565+H565)-(D565+J565+P565+N565))*radconv</f>
        <v>-234.402458519536</v>
      </c>
      <c r="S565" s="717" t="n">
        <f aca="false">IF(R565&gt;0,R565,R565+180)</f>
        <v>-54.4024585195362</v>
      </c>
      <c r="U565" s="644" t="n">
        <f aca="false">IF(Q565&lt;0,A565,1000000000)</f>
        <v>93325</v>
      </c>
      <c r="V565" s="644" t="n">
        <f aca="false">A565^2</f>
        <v>8709555625</v>
      </c>
      <c r="X565" s="716" t="n">
        <f aca="false">20*LOG10((K565/(I565*M565))*AEA)</f>
        <v>6.19060852303743</v>
      </c>
      <c r="Y565" s="717" t="n">
        <f aca="false">(L565-(J565+N565))*radconv</f>
        <v>-75.4371523800703</v>
      </c>
      <c r="AA565" s="716" t="n">
        <f aca="false">20*LOG10((E565*G565/(C565*O565))*Acs*Am)</f>
        <v>13.7532726176119</v>
      </c>
      <c r="AB565" s="717" t="n">
        <f aca="false">(F565+H565-(D565+P565))*radconv</f>
        <v>-158.965306139466</v>
      </c>
      <c r="AD565" s="0" t="n">
        <f aca="false">SUM((Q566&lt;0)*(Q565&gt;0))*A565</f>
        <v>0</v>
      </c>
      <c r="AE565" s="0" t="n">
        <f aca="false">IF(AD565&gt;0,S565,0)</f>
        <v>0</v>
      </c>
    </row>
    <row r="566" customFormat="false" ht="12.75" hidden="false" customHeight="false" outlineLevel="0" collapsed="false">
      <c r="A566" s="718" t="n">
        <v>93868.5</v>
      </c>
      <c r="B566" s="706" t="n">
        <f aca="false">A566/1000</f>
        <v>93.8685</v>
      </c>
      <c r="C566" s="707" t="n">
        <f aca="false">SQRT(1+(A566/pole1)^2)</f>
        <v>160.304582550753</v>
      </c>
      <c r="D566" s="708" t="n">
        <f aca="false">ATAN(A566/pole1)</f>
        <v>1.56455816148545</v>
      </c>
      <c r="E566" s="708" t="n">
        <f aca="false">SQRT(1+(A566/Zero1)^2)</f>
        <v>1.54642296204859</v>
      </c>
      <c r="F566" s="709" t="n">
        <f aca="false">ATAN(A566/Zero1)</f>
        <v>0.867607160642715</v>
      </c>
      <c r="G566" s="708" t="n">
        <f aca="false">IF(VIN_nom&gt;Vout, 1, SQRT(1+(A566/z_RHP)^2))</f>
        <v>1.71332045923647</v>
      </c>
      <c r="H566" s="709" t="n">
        <f aca="false">IF(VIN_nom&gt;Vout, 0, -ATAN(A566/z_RHP))</f>
        <v>-0.947565069673181</v>
      </c>
      <c r="I566" s="707" t="n">
        <f aca="false">SQRT(1+(A566/Pole2)^2)</f>
        <v>389383.97541384</v>
      </c>
      <c r="J566" s="710" t="n">
        <f aca="false">ATAN(A566/Pole2)</f>
        <v>1.5707937586358</v>
      </c>
      <c r="K566" s="719" t="n">
        <f aca="false">SQRT(1+(A566/Zero2)^2)</f>
        <v>120.481202838808</v>
      </c>
      <c r="L566" s="720" t="n">
        <f aca="false">ATAN(A566/Zero2)</f>
        <v>1.56249618155565</v>
      </c>
      <c r="M566" s="707" t="n">
        <f aca="false">SQRT(1+(A566/pole4)^2)</f>
        <v>3.87433922290728</v>
      </c>
      <c r="N566" s="710" t="n">
        <f aca="false">ATAN(A566/pole4)</f>
        <v>1.30973244636024</v>
      </c>
      <c r="O566" s="711" t="n">
        <f aca="false">SQRT((1-(V566/pterm2))^2+(A566/pterm1)^2)</f>
        <v>1.44108320213607</v>
      </c>
      <c r="P566" s="712" t="n">
        <f aca="false">IF((ATAN((A566/pterm1)/(1-A566^2/pterm2))&gt;0),ATAN((A566/pterm1)/(1-A566^2/pterm2)),PI()+ATAN((A566/pterm1)/(1-A566^2/pterm2)))</f>
        <v>1.13495489954338</v>
      </c>
      <c r="Q566" s="713" t="n">
        <f aca="false">20*LOG10(((E566*K566*G566)/(C566*I566*O566*M566))*Adc)</f>
        <v>-31.6015389644278</v>
      </c>
      <c r="R566" s="714" t="n">
        <f aca="false">((F566+L566+H566)-(D566+J566+P566+N566))*radconv</f>
        <v>-234.769513746457</v>
      </c>
      <c r="S566" s="717" t="n">
        <f aca="false">IF(R566&gt;0,R566,R566+180)</f>
        <v>-54.7695137464565</v>
      </c>
      <c r="U566" s="644" t="n">
        <f aca="false">IF(Q566&lt;0,A566,1000000000)</f>
        <v>93868.5</v>
      </c>
      <c r="V566" s="644" t="n">
        <f aca="false">A566^2</f>
        <v>8811295292.25</v>
      </c>
      <c r="X566" s="716" t="n">
        <f aca="false">20*LOG10((K566/(I566*M566))*AEA)</f>
        <v>6.14354586641034</v>
      </c>
      <c r="Y566" s="717" t="n">
        <f aca="false">(L566-(J566+N566))*radconv</f>
        <v>-75.5175577009543</v>
      </c>
      <c r="AA566" s="716" t="n">
        <f aca="false">20*LOG10((E566*G566/(C566*O566))*Acs*Am)</f>
        <v>13.7355405237162</v>
      </c>
      <c r="AB566" s="717" t="n">
        <f aca="false">(F566+H566-(D566+P566))*radconv</f>
        <v>-159.251956045502</v>
      </c>
      <c r="AD566" s="0" t="n">
        <f aca="false">SUM((Q567&lt;0)*(Q566&gt;0))*A566</f>
        <v>0</v>
      </c>
      <c r="AE566" s="0" t="n">
        <f aca="false">IF(AD566&gt;0,S566,0)</f>
        <v>0</v>
      </c>
    </row>
    <row r="567" customFormat="false" ht="12.75" hidden="false" customHeight="false" outlineLevel="0" collapsed="false">
      <c r="A567" s="718" t="n">
        <v>94412</v>
      </c>
      <c r="B567" s="706" t="n">
        <f aca="false">A567/1000</f>
        <v>94.412</v>
      </c>
      <c r="C567" s="707" t="n">
        <f aca="false">SQRT(1+(A567/pole1)^2)</f>
        <v>161.232712434089</v>
      </c>
      <c r="D567" s="708" t="n">
        <f aca="false">ATAN(A567/pole1)</f>
        <v>1.56459407170497</v>
      </c>
      <c r="E567" s="708" t="n">
        <f aca="false">SQRT(1+(A567/Zero1)^2)</f>
        <v>1.55163892537714</v>
      </c>
      <c r="F567" s="709" t="n">
        <f aca="false">ATAN(A567/Zero1)</f>
        <v>0.870453528605939</v>
      </c>
      <c r="G567" s="708" t="n">
        <f aca="false">IF(VIN_nom&gt;Vout, 1, SQRT(1+(A567/z_RHP)^2))</f>
        <v>1.71986762458238</v>
      </c>
      <c r="H567" s="709" t="n">
        <f aca="false">IF(VIN_nom&gt;Vout, 0, -ATAN(A567/z_RHP))</f>
        <v>-0.950298698050547</v>
      </c>
      <c r="I567" s="707" t="n">
        <f aca="false">SQRT(1+(A567/Pole2)^2)</f>
        <v>391638.514376708</v>
      </c>
      <c r="J567" s="710" t="n">
        <f aca="false">ATAN(A567/Pole2)</f>
        <v>1.57079377341988</v>
      </c>
      <c r="K567" s="719" t="n">
        <f aca="false">SQRT(1+(A567/Zero2)^2)</f>
        <v>121.178742861811</v>
      </c>
      <c r="L567" s="720" t="n">
        <f aca="false">ATAN(A567/Zero2)</f>
        <v>1.562543960689</v>
      </c>
      <c r="M567" s="707" t="n">
        <f aca="false">SQRT(1+(A567/pole4)^2)</f>
        <v>3.89528126849137</v>
      </c>
      <c r="N567" s="710" t="n">
        <f aca="false">ATAN(A567/pole4)</f>
        <v>1.31116849860314</v>
      </c>
      <c r="O567" s="711" t="n">
        <f aca="false">SQRT((1-(V567/pterm2))^2+(A567/pterm1)^2)</f>
        <v>1.44603841552743</v>
      </c>
      <c r="P567" s="712" t="n">
        <f aca="false">IF((ATAN((A567/pterm1)/(1-A567^2/pterm2))&gt;0),ATAN((A567/pterm1)/(1-A567^2/pterm2)),PI()+ATAN((A567/pterm1)/(1-A567^2/pterm2)))</f>
        <v>1.14001433798694</v>
      </c>
      <c r="Q567" s="713" t="n">
        <f aca="false">20*LOG10(((E567*K567*G567)/(C567*I567*O567*M567))*Adc)</f>
        <v>-31.6659499981374</v>
      </c>
      <c r="R567" s="714" t="n">
        <f aca="false">((F567+L567+H567)-(D567+J567+P567+N567))*radconv</f>
        <v>-235.134539255016</v>
      </c>
      <c r="S567" s="717" t="n">
        <f aca="false">IF(R567&gt;0,R567,R567+180)</f>
        <v>-55.1345392550162</v>
      </c>
      <c r="U567" s="644" t="n">
        <f aca="false">IF(Q567&lt;0,A567,1000000000)</f>
        <v>94412</v>
      </c>
      <c r="V567" s="644" t="n">
        <f aca="false">A567^2</f>
        <v>8913625744</v>
      </c>
      <c r="X567" s="716" t="n">
        <f aca="false">20*LOG10((K567/(I567*M567))*AEA)</f>
        <v>6.09671884806723</v>
      </c>
      <c r="Y567" s="717" t="n">
        <f aca="false">(L567-(J567+N567))*radconv</f>
        <v>-75.5971007380992</v>
      </c>
      <c r="AA567" s="716" t="n">
        <f aca="false">20*LOG10((E567*G567/(C567*O567))*Acs*Am)</f>
        <v>13.7179565083498</v>
      </c>
      <c r="AB567" s="717" t="n">
        <f aca="false">(F567+H567-(D567+P567))*radconv</f>
        <v>-159.537438516917</v>
      </c>
      <c r="AD567" s="0" t="n">
        <f aca="false">SUM((Q568&lt;0)*(Q567&gt;0))*A567</f>
        <v>0</v>
      </c>
      <c r="AE567" s="0" t="n">
        <f aca="false">IF(AD567&gt;0,S567,0)</f>
        <v>0</v>
      </c>
    </row>
    <row r="568" customFormat="false" ht="12.75" hidden="false" customHeight="false" outlineLevel="0" collapsed="false">
      <c r="A568" s="718" t="n">
        <v>94955.5</v>
      </c>
      <c r="B568" s="706" t="n">
        <f aca="false">A568/1000</f>
        <v>94.9555</v>
      </c>
      <c r="C568" s="707" t="n">
        <f aca="false">SQRT(1+(A568/pole1)^2)</f>
        <v>162.160842522961</v>
      </c>
      <c r="D568" s="708" t="n">
        <f aca="false">ATAN(A568/pole1)</f>
        <v>1.56462957085915</v>
      </c>
      <c r="E568" s="708" t="n">
        <f aca="false">SQRT(1+(A568/Zero1)^2)</f>
        <v>1.55686737549752</v>
      </c>
      <c r="F568" s="709" t="n">
        <f aca="false">ATAN(A568/Zero1)</f>
        <v>0.873280801350274</v>
      </c>
      <c r="G568" s="708" t="n">
        <f aca="false">IF(VIN_nom&gt;Vout, 1, SQRT(1+(A568/z_RHP)^2))</f>
        <v>1.72642754449024</v>
      </c>
      <c r="H568" s="709" t="n">
        <f aca="false">IF(VIN_nom&gt;Vout, 0, -ATAN(A568/z_RHP))</f>
        <v>-0.953011572595211</v>
      </c>
      <c r="I568" s="707" t="n">
        <f aca="false">SQRT(1+(A568/Pole2)^2)</f>
        <v>393893.053339577</v>
      </c>
      <c r="J568" s="710" t="n">
        <f aca="false">ATAN(A568/Pole2)</f>
        <v>1.57079378803471</v>
      </c>
      <c r="K568" s="719" t="n">
        <f aca="false">SQRT(1+(A568/Zero2)^2)</f>
        <v>121.87628315828</v>
      </c>
      <c r="L568" s="720" t="n">
        <f aca="false">ATAN(A568/Zero2)</f>
        <v>1.56259119290931</v>
      </c>
      <c r="M568" s="707" t="n">
        <f aca="false">SQRT(1+(A568/pole4)^2)</f>
        <v>3.916231261181</v>
      </c>
      <c r="N568" s="710" t="n">
        <f aca="false">ATAN(A568/pole4)</f>
        <v>1.31258918934356</v>
      </c>
      <c r="O568" s="711" t="n">
        <f aca="false">SQRT((1-(V568/pterm2))^2+(A568/pterm1)^2)</f>
        <v>1.45101954686936</v>
      </c>
      <c r="P568" s="712" t="n">
        <f aca="false">IF((ATAN((A568/pterm1)/(1-A568^2/pterm2))&gt;0),ATAN((A568/pterm1)/(1-A568^2/pterm2)),PI()+ATAN((A568/pterm1)/(1-A568^2/pterm2)))</f>
        <v>1.1450555725274</v>
      </c>
      <c r="Q568" s="713" t="n">
        <f aca="false">20*LOG10(((E568*K568*G568)/(C568*I568*O568*M568))*Adc)</f>
        <v>-31.7299830636877</v>
      </c>
      <c r="R568" s="714" t="n">
        <f aca="false">((F568+L568+H568)-(D568+J568+P568+N568))*radconv</f>
        <v>-235.497554349728</v>
      </c>
      <c r="S568" s="717" t="n">
        <f aca="false">IF(R568&gt;0,R568,R568+180)</f>
        <v>-55.497554349728</v>
      </c>
      <c r="U568" s="644" t="n">
        <f aca="false">IF(Q568&lt;0,A568,1000000000)</f>
        <v>94955.5</v>
      </c>
      <c r="V568" s="644" t="n">
        <f aca="false">A568^2</f>
        <v>9016546980.25</v>
      </c>
      <c r="X568" s="716" t="n">
        <f aca="false">20*LOG10((K568/(I568*M568))*AEA)</f>
        <v>6.05012532455512</v>
      </c>
      <c r="Y568" s="717" t="n">
        <f aca="false">(L568-(J568+N568))*radconv</f>
        <v>-75.6757949520966</v>
      </c>
      <c r="AA568" s="716" t="n">
        <f aca="false">20*LOG10((E568*G568/(C568*O568))*Acs*Am)</f>
        <v>13.7005169663115</v>
      </c>
      <c r="AB568" s="717" t="n">
        <f aca="false">(F568+H568-(D568+P568))*radconv</f>
        <v>-159.821759397631</v>
      </c>
      <c r="AD568" s="0" t="n">
        <f aca="false">SUM((Q569&lt;0)*(Q568&gt;0))*A568</f>
        <v>0</v>
      </c>
      <c r="AE568" s="0" t="n">
        <f aca="false">IF(AD568&gt;0,S568,0)</f>
        <v>0</v>
      </c>
    </row>
    <row r="569" customFormat="false" ht="12.75" hidden="false" customHeight="false" outlineLevel="0" collapsed="false">
      <c r="A569" s="718" t="n">
        <v>95499</v>
      </c>
      <c r="B569" s="706" t="n">
        <f aca="false">A569/1000</f>
        <v>95.499</v>
      </c>
      <c r="C569" s="707" t="n">
        <f aca="false">SQRT(1+(A569/pole1)^2)</f>
        <v>163.088972813861</v>
      </c>
      <c r="D569" s="708" t="n">
        <f aca="false">ATAN(A569/pole1)</f>
        <v>1.56466466596594</v>
      </c>
      <c r="E569" s="708" t="n">
        <f aca="false">SQRT(1+(A569/Zero1)^2)</f>
        <v>1.56210818702807</v>
      </c>
      <c r="F569" s="709" t="n">
        <f aca="false">ATAN(A569/Zero1)</f>
        <v>0.876089125639924</v>
      </c>
      <c r="G569" s="708" t="n">
        <f aca="false">IF(VIN_nom&gt;Vout, 1, SQRT(1+(A569/z_RHP)^2))</f>
        <v>1.73300007412066</v>
      </c>
      <c r="H569" s="709" t="n">
        <f aca="false">IF(VIN_nom&gt;Vout, 0, -ATAN(A569/z_RHP))</f>
        <v>-0.95570388927897</v>
      </c>
      <c r="I569" s="707" t="n">
        <f aca="false">SQRT(1+(A569/Pole2)^2)</f>
        <v>396147.592302446</v>
      </c>
      <c r="J569" s="710" t="n">
        <f aca="false">ATAN(A569/Pole2)</f>
        <v>1.5707938024832</v>
      </c>
      <c r="K569" s="719" t="n">
        <f aca="false">SQRT(1+(A569/Zero2)^2)</f>
        <v>122.573823723546</v>
      </c>
      <c r="L569" s="720" t="n">
        <f aca="false">ATAN(A569/Zero2)</f>
        <v>1.56263788755344</v>
      </c>
      <c r="M569" s="707" t="n">
        <f aca="false">SQRT(1+(A569/pole4)^2)</f>
        <v>3.93718907411527</v>
      </c>
      <c r="N569" s="710" t="n">
        <f aca="false">ATAN(A569/pole4)</f>
        <v>1.31399475810998</v>
      </c>
      <c r="O569" s="711" t="n">
        <f aca="false">SQRT((1-(V569/pterm2))^2+(A569/pterm1)^2)</f>
        <v>1.45602657763161</v>
      </c>
      <c r="P569" s="712" t="n">
        <f aca="false">IF((ATAN((A569/pterm1)/(1-A569^2/pterm2))&gt;0),ATAN((A569/pterm1)/(1-A569^2/pterm2)),PI()+ATAN((A569/pterm1)/(1-A569^2/pterm2)))</f>
        <v>1.15007864833992</v>
      </c>
      <c r="Q569" s="713" t="n">
        <f aca="false">20*LOG10(((E569*K569*G569)/(C569*I569*O569*M569))*Adc)</f>
        <v>-31.793643798594</v>
      </c>
      <c r="R569" s="714" t="n">
        <f aca="false">((F569+L569+H569)-(D569+J569+P569+N569))*radconv</f>
        <v>-235.858578029597</v>
      </c>
      <c r="S569" s="717" t="n">
        <f aca="false">IF(R569&gt;0,R569,R569+180)</f>
        <v>-55.8585780295971</v>
      </c>
      <c r="U569" s="644" t="n">
        <f aca="false">IF(Q569&lt;0,A569,1000000000)</f>
        <v>95499</v>
      </c>
      <c r="V569" s="644" t="n">
        <f aca="false">A569^2</f>
        <v>9120059001</v>
      </c>
      <c r="X569" s="716" t="n">
        <f aca="false">20*LOG10((K569/(I569*M569))*AEA)</f>
        <v>6.00376317780412</v>
      </c>
      <c r="Y569" s="717" t="n">
        <f aca="false">(L569-(J569+N569))*radconv</f>
        <v>-75.7536535321192</v>
      </c>
      <c r="AA569" s="716" t="n">
        <f aca="false">20*LOG10((E569*G569/(C569*O569))*Acs*Am)</f>
        <v>13.6832183781563</v>
      </c>
      <c r="AB569" s="717" t="n">
        <f aca="false">(F569+H569-(D569+P569))*radconv</f>
        <v>-160.104924497478</v>
      </c>
      <c r="AD569" s="0" t="n">
        <f aca="false">SUM((Q570&lt;0)*(Q569&gt;0))*A569</f>
        <v>0</v>
      </c>
      <c r="AE569" s="0" t="n">
        <f aca="false">IF(AD569&gt;0,S569,0)</f>
        <v>0</v>
      </c>
    </row>
    <row r="570" customFormat="false" ht="12.75" hidden="false" customHeight="false" outlineLevel="0" collapsed="false">
      <c r="A570" s="718" t="n">
        <v>96611.5</v>
      </c>
      <c r="B570" s="706" t="n">
        <f aca="false">A570/1000</f>
        <v>96.6115</v>
      </c>
      <c r="C570" s="707" t="n">
        <f aca="false">SQRT(1+(A570/pole1)^2)</f>
        <v>164.988780142724</v>
      </c>
      <c r="D570" s="708" t="n">
        <f aca="false">ATAN(A570/pole1)</f>
        <v>1.56473527148015</v>
      </c>
      <c r="E570" s="708" t="n">
        <f aca="false">SQRT(1+(A570/Zero1)^2)</f>
        <v>1.57287372679089</v>
      </c>
      <c r="F570" s="709" t="n">
        <f aca="false">ATAN(A570/Zero1)</f>
        <v>0.881779060047764</v>
      </c>
      <c r="G570" s="708" t="n">
        <f aca="false">IF(VIN_nom&gt;Vout, 1, SQRT(1+(A570/z_RHP)^2))</f>
        <v>1.74649222708174</v>
      </c>
      <c r="H570" s="709" t="n">
        <f aca="false">IF(VIN_nom&gt;Vout, 0, -ATAN(A570/z_RHP))</f>
        <v>-0.961151548549866</v>
      </c>
      <c r="I570" s="707" t="n">
        <f aca="false">SQRT(1+(A570/Pole2)^2)</f>
        <v>400762.448965172</v>
      </c>
      <c r="J570" s="710" t="n">
        <f aca="false">ATAN(A570/Pole2)</f>
        <v>1.57079383155114</v>
      </c>
      <c r="K570" s="719" t="n">
        <f aca="false">SQRT(1+(A570/Zero2)^2)</f>
        <v>124.001632967443</v>
      </c>
      <c r="L570" s="720" t="n">
        <f aca="false">ATAN(A570/Zero2)</f>
        <v>1.56273182945317</v>
      </c>
      <c r="M570" s="707" t="n">
        <f aca="false">SQRT(1+(A570/pole4)^2)</f>
        <v>3.98011186813437</v>
      </c>
      <c r="N570" s="710" t="n">
        <f aca="false">ATAN(A570/pole4)</f>
        <v>1.31682566807568</v>
      </c>
      <c r="O570" s="711" t="n">
        <f aca="false">SQRT((1-(V570/pterm2))^2+(A570/pterm1)^2)</f>
        <v>1.46635624788653</v>
      </c>
      <c r="P570" s="712" t="n">
        <f aca="false">IF((ATAN((A570/pterm1)/(1-A570^2/pterm2))&gt;0),ATAN((A570/pterm1)/(1-A570^2/pterm2)),PI()+ATAN((A570/pterm1)/(1-A570^2/pterm2)))</f>
        <v>1.160304040189</v>
      </c>
      <c r="Q570" s="713" t="n">
        <f aca="false">20*LOG10(((E570*K570*G570)/(C570*I570*O570*M570))*Adc)</f>
        <v>-31.9228141762947</v>
      </c>
      <c r="R570" s="714" t="n">
        <f aca="false">((F570+L570+H570)-(D570+J570+P570+N570))*radconv</f>
        <v>-236.591432266713</v>
      </c>
      <c r="S570" s="717" t="n">
        <f aca="false">IF(R570&gt;0,R570,R570+180)</f>
        <v>-56.5914322667133</v>
      </c>
      <c r="U570" s="644" t="n">
        <f aca="false">IF(Q570&lt;0,A570,1000000000)</f>
        <v>96611.5</v>
      </c>
      <c r="V570" s="644" t="n">
        <f aca="false">A570^2</f>
        <v>9333781932.25</v>
      </c>
      <c r="X570" s="716" t="n">
        <f aca="false">20*LOG10((K570/(I570*M570))*AEA)</f>
        <v>5.9095764066017</v>
      </c>
      <c r="Y570" s="717" t="n">
        <f aca="false">(L570-(J570+N570))*radconv</f>
        <v>-75.9104719166104</v>
      </c>
      <c r="AA570" s="716" t="n">
        <f aca="false">20*LOG10((E570*G570/(C570*O570))*Acs*Am)</f>
        <v>13.648234771658</v>
      </c>
      <c r="AB570" s="717" t="n">
        <f aca="false">(F570+H570-(D570+P570))*radconv</f>
        <v>-160.680960350103</v>
      </c>
      <c r="AD570" s="0" t="n">
        <f aca="false">SUM((Q571&lt;0)*(Q570&gt;0))*A570</f>
        <v>0</v>
      </c>
      <c r="AE570" s="0" t="n">
        <f aca="false">IF(AD570&gt;0,S570,0)</f>
        <v>0</v>
      </c>
    </row>
    <row r="571" customFormat="false" ht="12.75" hidden="false" customHeight="false" outlineLevel="0" collapsed="false">
      <c r="A571" s="718" t="n">
        <v>97724</v>
      </c>
      <c r="B571" s="706" t="n">
        <f aca="false">A571/1000</f>
        <v>97.724</v>
      </c>
      <c r="C571" s="707" t="n">
        <f aca="false">SQRT(1+(A571/pole1)^2)</f>
        <v>166.888588275352</v>
      </c>
      <c r="D571" s="708" t="n">
        <f aca="false">ATAN(A571/pole1)</f>
        <v>1.56480426949197</v>
      </c>
      <c r="E571" s="708" t="n">
        <f aca="false">SQRT(1+(A571/Zero1)^2)</f>
        <v>1.58368949562703</v>
      </c>
      <c r="F571" s="709" t="n">
        <f aca="false">ATAN(A571/Zero1)</f>
        <v>0.887391455563704</v>
      </c>
      <c r="G571" s="708" t="n">
        <f aca="false">IF(VIN_nom&gt;Vout, 1, SQRT(1+(A571/z_RHP)^2))</f>
        <v>1.76003541513776</v>
      </c>
      <c r="H571" s="709" t="n">
        <f aca="false">IF(VIN_nom&gt;Vout, 0, -ATAN(A571/z_RHP))</f>
        <v>-0.966515527260461</v>
      </c>
      <c r="I571" s="707" t="n">
        <f aca="false">SQRT(1+(A571/Pole2)^2)</f>
        <v>405377.305627898</v>
      </c>
      <c r="J571" s="710" t="n">
        <f aca="false">ATAN(A571/Pole2)</f>
        <v>1.57079385995725</v>
      </c>
      <c r="K571" s="719" t="n">
        <f aca="false">SQRT(1+(A571/Zero2)^2)</f>
        <v>125.42944328075</v>
      </c>
      <c r="L571" s="720" t="n">
        <f aca="false">ATAN(A571/Zero2)</f>
        <v>1.56282363260207</v>
      </c>
      <c r="M571" s="707" t="n">
        <f aca="false">SQRT(1+(A571/pole4)^2)</f>
        <v>4.02306587820114</v>
      </c>
      <c r="N571" s="710" t="n">
        <f aca="false">ATAN(A571/pole4)</f>
        <v>1.31959614897144</v>
      </c>
      <c r="O571" s="711" t="n">
        <f aca="false">SQRT((1-(V571/pterm2))^2+(A571/pterm1)^2)</f>
        <v>1.47679420470478</v>
      </c>
      <c r="P571" s="712" t="n">
        <f aca="false">IF((ATAN((A571/pterm1)/(1-A571^2/pterm2))&gt;0),ATAN((A571/pterm1)/(1-A571^2/pterm2)),PI()+ATAN((A571/pterm1)/(1-A571^2/pterm2)))</f>
        <v>1.17045394096359</v>
      </c>
      <c r="Q571" s="713" t="n">
        <f aca="false">20*LOG10(((E571*K571*G571)/(C571*I571*O571*M571))*Adc)</f>
        <v>-32.0504936215293</v>
      </c>
      <c r="R571" s="714" t="n">
        <f aca="false">((F571+L571+H571)-(D571+J571+P571+N571))*radconv</f>
        <v>-237.31617736189</v>
      </c>
      <c r="S571" s="717" t="n">
        <f aca="false">IF(R571&gt;0,R571,R571+180)</f>
        <v>-57.3161773618896</v>
      </c>
      <c r="U571" s="644" t="n">
        <f aca="false">IF(Q571&lt;0,A571,1000000000)</f>
        <v>97724</v>
      </c>
      <c r="V571" s="644" t="n">
        <f aca="false">A571^2</f>
        <v>9549980176</v>
      </c>
      <c r="X571" s="716" t="n">
        <f aca="false">20*LOG10((K571/(I571*M571))*AEA)</f>
        <v>5.81633270470088</v>
      </c>
      <c r="Y571" s="717" t="n">
        <f aca="false">(L571-(J571+N571))*radconv</f>
        <v>-76.0639504739075</v>
      </c>
      <c r="AA571" s="716" t="n">
        <f aca="false">20*LOG10((E571*G571/(C571*O571))*Acs*Am)</f>
        <v>13.6137990283242</v>
      </c>
      <c r="AB571" s="717" t="n">
        <f aca="false">(F571+H571-(D571+P571))*radconv</f>
        <v>-161.252226887982</v>
      </c>
      <c r="AD571" s="0" t="n">
        <f aca="false">SUM((Q572&lt;0)*(Q571&gt;0))*A571</f>
        <v>0</v>
      </c>
      <c r="AE571" s="0" t="n">
        <f aca="false">IF(AD571&gt;0,S571,0)</f>
        <v>0</v>
      </c>
    </row>
    <row r="572" customFormat="false" ht="12.75" hidden="false" customHeight="false" outlineLevel="0" collapsed="false">
      <c r="A572" s="718" t="n">
        <v>98862</v>
      </c>
      <c r="B572" s="706" t="n">
        <f aca="false">A572/1000</f>
        <v>98.862</v>
      </c>
      <c r="C572" s="707" t="n">
        <f aca="false">SQRT(1+(A572/pole1)^2)</f>
        <v>168.831943375244</v>
      </c>
      <c r="D572" s="708" t="n">
        <f aca="false">ATAN(A572/pole1)</f>
        <v>1.56487324241177</v>
      </c>
      <c r="E572" s="708" t="n">
        <f aca="false">SQRT(1+(A572/Zero1)^2)</f>
        <v>1.59480408025923</v>
      </c>
      <c r="F572" s="709" t="n">
        <f aca="false">ATAN(A572/Zero1)</f>
        <v>0.893053549521847</v>
      </c>
      <c r="G572" s="708" t="n">
        <f aca="false">IF(VIN_nom&gt;Vout, 1, SQRT(1+(A572/z_RHP)^2))</f>
        <v>1.7739406158684</v>
      </c>
      <c r="H572" s="709" t="n">
        <f aca="false">IF(VIN_nom&gt;Vout, 0, -ATAN(A572/z_RHP))</f>
        <v>-0.971917556086077</v>
      </c>
      <c r="I572" s="707" t="n">
        <f aca="false">SQRT(1+(A572/Pole2)^2)</f>
        <v>410097.941027613</v>
      </c>
      <c r="J572" s="710" t="n">
        <f aca="false">ATAN(A572/Pole2)</f>
        <v>1.570793888353</v>
      </c>
      <c r="K572" s="719" t="n">
        <f aca="false">SQRT(1+(A572/Zero2)^2)</f>
        <v>126.8899820004</v>
      </c>
      <c r="L572" s="720" t="n">
        <f aca="false">ATAN(A572/Zero2)</f>
        <v>1.562915402424</v>
      </c>
      <c r="M572" s="707" t="n">
        <f aca="false">SQRT(1+(A572/pole4)^2)</f>
        <v>4.06703571845905</v>
      </c>
      <c r="N572" s="710" t="n">
        <f aca="false">ATAN(A572/pole4)</f>
        <v>1.32236956292115</v>
      </c>
      <c r="O572" s="711" t="n">
        <f aca="false">SQRT((1-(V572/pterm2))^2+(A572/pterm1)^2)</f>
        <v>1.48758329781446</v>
      </c>
      <c r="P572" s="712" t="n">
        <f aca="false">IF((ATAN((A572/pterm1)/(1-A572^2/pterm2))&gt;0),ATAN((A572/pterm1)/(1-A572^2/pterm2)),PI()+ATAN((A572/pterm1)/(1-A572^2/pterm2)))</f>
        <v>1.18075881068473</v>
      </c>
      <c r="Q572" s="713" t="n">
        <f aca="false">20*LOG10(((E572*K572*G572)/(C572*I572*O572*M572))*Adc)</f>
        <v>-32.1796031884261</v>
      </c>
      <c r="R572" s="714" t="n">
        <f aca="false">((F572+L572+H572)-(D572+J572+P572+N572))*radconv</f>
        <v>-238.049302646528</v>
      </c>
      <c r="S572" s="717" t="n">
        <f aca="false">IF(R572&gt;0,R572,R572+180)</f>
        <v>-58.0493026465283</v>
      </c>
      <c r="U572" s="644" t="n">
        <f aca="false">IF(Q572&lt;0,A572,1000000000)</f>
        <v>98862</v>
      </c>
      <c r="V572" s="644" t="n">
        <f aca="false">A572^2</f>
        <v>9773695044</v>
      </c>
      <c r="X572" s="716" t="n">
        <f aca="false">20*LOG10((K572/(I572*M572))*AEA)</f>
        <v>5.72190953954584</v>
      </c>
      <c r="Y572" s="717" t="n">
        <f aca="false">(L572-(J572+N572))*radconv</f>
        <v>-76.2175989917177</v>
      </c>
      <c r="AA572" s="716" t="n">
        <f aca="false">20*LOG10((E572*G572/(C572*O572))*Acs*Am)</f>
        <v>13.5791126265825</v>
      </c>
      <c r="AB572" s="717" t="n">
        <f aca="false">(F572+H572-(D572+P572))*radconv</f>
        <v>-161.831703654811</v>
      </c>
      <c r="AD572" s="0" t="n">
        <f aca="false">SUM((Q573&lt;0)*(Q572&gt;0))*A572</f>
        <v>0</v>
      </c>
      <c r="AE572" s="0" t="n">
        <f aca="false">IF(AD572&gt;0,S572,0)</f>
        <v>0</v>
      </c>
    </row>
    <row r="573" customFormat="false" ht="12.75" hidden="false" customHeight="false" outlineLevel="0" collapsed="false">
      <c r="A573" s="718" t="n">
        <v>100000</v>
      </c>
      <c r="B573" s="706" t="n">
        <f aca="false">A573/1000</f>
        <v>100</v>
      </c>
      <c r="C573" s="707" t="n">
        <f aca="false">SQRT(1+(A573/pole1)^2)</f>
        <v>170.775299260035</v>
      </c>
      <c r="D573" s="708" t="n">
        <f aca="false">ATAN(A573/pole1)</f>
        <v>1.56494064556237</v>
      </c>
      <c r="E573" s="708" t="n">
        <f aca="false">SQRT(1+(A573/Zero1)^2)</f>
        <v>1.60596908456092</v>
      </c>
      <c r="F573" s="709" t="n">
        <f aca="false">ATAN(A573/Zero1)</f>
        <v>0.898637092499599</v>
      </c>
      <c r="G573" s="708" t="n">
        <f aca="false">IF(VIN_nom&gt;Vout, 1, SQRT(1+(A573/z_RHP)^2))</f>
        <v>1.78789677748509</v>
      </c>
      <c r="H573" s="709" t="n">
        <f aca="false">IF(VIN_nom&gt;Vout, 0, -ATAN(A573/z_RHP))</f>
        <v>-0.97723540258393</v>
      </c>
      <c r="I573" s="707" t="n">
        <f aca="false">SQRT(1+(A573/Pole2)^2)</f>
        <v>414818.576427329</v>
      </c>
      <c r="J573" s="710" t="n">
        <f aca="false">ATAN(A573/Pole2)</f>
        <v>1.57079391610247</v>
      </c>
      <c r="K573" s="719" t="n">
        <f aca="false">SQRT(1+(A573/Zero2)^2)</f>
        <v>128.350521764358</v>
      </c>
      <c r="L573" s="720" t="n">
        <f aca="false">ATAN(A573/Zero2)</f>
        <v>1.56300508369304</v>
      </c>
      <c r="M573" s="707" t="n">
        <f aca="false">SQRT(1+(A573/pole4)^2)</f>
        <v>4.11103617232819</v>
      </c>
      <c r="N573" s="710" t="n">
        <f aca="false">ATAN(A573/pole4)</f>
        <v>1.32508362963179</v>
      </c>
      <c r="O573" s="711" t="n">
        <f aca="false">SQRT((1-(V573/pterm2))^2+(A573/pterm1)^2)</f>
        <v>1.49848539143797</v>
      </c>
      <c r="P573" s="712" t="n">
        <f aca="false">IF((ATAN((A573/pterm1)/(1-A573^2/pterm2))&gt;0),ATAN((A573/pterm1)/(1-A573^2/pterm2)),PI()+ATAN((A573/pterm1)/(1-A573^2/pterm2)))</f>
        <v>1.19098556300733</v>
      </c>
      <c r="Q573" s="713" t="n">
        <f aca="false">20*LOG10(((E573*K573*G573)/(C573*I573*O573*M573))*Adc)</f>
        <v>-32.3072444932074</v>
      </c>
      <c r="R573" s="714" t="n">
        <f aca="false">((F573+L573+H573)-(D573+J573+P573+N573))*radconv</f>
        <v>-238.77425882224</v>
      </c>
      <c r="S573" s="717" t="n">
        <f aca="false">IF(R573&gt;0,R573,R573+180)</f>
        <v>-58.7742588222396</v>
      </c>
      <c r="U573" s="644" t="n">
        <f aca="false">IF(Q573&lt;0,A573,1000000000)</f>
        <v>100000</v>
      </c>
      <c r="V573" s="644" t="n">
        <f aca="false">A573^2</f>
        <v>10000000000</v>
      </c>
      <c r="X573" s="716" t="n">
        <f aca="false">20*LOG10((K573/(I573*M573))*AEA)</f>
        <v>5.62843720541165</v>
      </c>
      <c r="Y573" s="717" t="n">
        <f aca="false">(L573-(J573+N573))*radconv</f>
        <v>-76.3679667914365</v>
      </c>
      <c r="AA573" s="716" t="n">
        <f aca="false">20*LOG10((E573*G573/(C573*O573))*Acs*Am)</f>
        <v>13.5449436559353</v>
      </c>
      <c r="AB573" s="717" t="n">
        <f aca="false">(F573+H573-(D573+P573))*radconv</f>
        <v>-162.406292030803</v>
      </c>
      <c r="AD573" s="0" t="n">
        <f aca="false">SUM((Q574&lt;0)*(Q573&gt;0))*A573</f>
        <v>0</v>
      </c>
      <c r="AE573" s="0" t="n">
        <f aca="false">IF(AD573&gt;0,S573,0)</f>
        <v>0</v>
      </c>
    </row>
    <row r="574" customFormat="false" ht="12.75" hidden="false" customHeight="false" outlineLevel="0" collapsed="false">
      <c r="A574" s="718" t="n">
        <v>101165</v>
      </c>
      <c r="B574" s="706" t="n">
        <f aca="false">A574/1000</f>
        <v>101.165</v>
      </c>
      <c r="C574" s="707" t="n">
        <f aca="false">SQRT(1+(A574/pole1)^2)</f>
        <v>172.7647636709</v>
      </c>
      <c r="D574" s="708" t="n">
        <f aca="false">ATAN(A574/pole1)</f>
        <v>1.56500807713828</v>
      </c>
      <c r="E574" s="708" t="n">
        <f aca="false">SQRT(1+(A574/Zero1)^2)</f>
        <v>1.61745012599136</v>
      </c>
      <c r="F574" s="709" t="n">
        <f aca="false">ATAN(A574/Zero1)</f>
        <v>0.90427307984446</v>
      </c>
      <c r="G574" s="708" t="n">
        <f aca="false">IF(VIN_nom&gt;Vout, 1, SQRT(1+(A574/z_RHP)^2))</f>
        <v>1.80223561346523</v>
      </c>
      <c r="H574" s="709" t="n">
        <f aca="false">IF(VIN_nom&gt;Vout, 0, -ATAN(A574/z_RHP))</f>
        <v>-0.98259394905958</v>
      </c>
      <c r="I574" s="707" t="n">
        <f aca="false">SQRT(1+(A574/Pole2)^2)</f>
        <v>419651.212842679</v>
      </c>
      <c r="J574" s="710" t="n">
        <f aca="false">ATAN(A574/Pole2)</f>
        <v>1.57079394386362</v>
      </c>
      <c r="K574" s="719" t="n">
        <f aca="false">SQRT(1+(A574/Zero2)^2)</f>
        <v>129.845715098447</v>
      </c>
      <c r="L574" s="720" t="n">
        <f aca="false">ATAN(A574/Zero2)</f>
        <v>1.56309480283711</v>
      </c>
      <c r="M574" s="707" t="n">
        <f aca="false">SQRT(1+(A574/pole4)^2)</f>
        <v>4.1561112702658</v>
      </c>
      <c r="N574" s="710" t="n">
        <f aca="false">ATAN(A574/pole4)</f>
        <v>1.3278025407069</v>
      </c>
      <c r="O574" s="711" t="n">
        <f aca="false">SQRT((1-(V574/pterm2))^2+(A574/pterm1)^2)</f>
        <v>1.509763046444</v>
      </c>
      <c r="P574" s="712" t="n">
        <f aca="false">IF((ATAN((A574/pterm1)/(1-A574^2/pterm2))&gt;0),ATAN((A574/pterm1)/(1-A574^2/pterm2)),PI()+ATAN((A574/pterm1)/(1-A574^2/pterm2)))</f>
        <v>1.20137450947284</v>
      </c>
      <c r="Q574" s="713" t="n">
        <f aca="false">20*LOG10(((E574*K574*G574)/(C574*I574*O574*M574))*Adc)</f>
        <v>-32.4364388930771</v>
      </c>
      <c r="R574" s="714" t="n">
        <f aca="false">((F574+L574+H574)-(D574+J574+P574+N574))*radconv</f>
        <v>-239.50811215475</v>
      </c>
      <c r="S574" s="717" t="n">
        <f aca="false">IF(R574&gt;0,R574,R574+180)</f>
        <v>-59.5081121547499</v>
      </c>
      <c r="U574" s="644" t="n">
        <f aca="false">IF(Q574&lt;0,A574,1000000000)</f>
        <v>101165</v>
      </c>
      <c r="V574" s="644" t="n">
        <f aca="false">A574^2</f>
        <v>10234357225</v>
      </c>
      <c r="X574" s="716" t="n">
        <f aca="false">20*LOG10((K574/(I574*M574))*AEA)</f>
        <v>5.5337138048395</v>
      </c>
      <c r="Y574" s="717" t="n">
        <f aca="false">(L574-(J574+N574))*radconv</f>
        <v>-76.5186099833836</v>
      </c>
      <c r="AA574" s="716" t="n">
        <f aca="false">20*LOG10((E574*G574/(C574*O574))*Acs*Am)</f>
        <v>13.5104726566378</v>
      </c>
      <c r="AB574" s="717" t="n">
        <f aca="false">(F574+H574-(D574+P574))*radconv</f>
        <v>-162.989502171366</v>
      </c>
      <c r="AD574" s="0" t="n">
        <f aca="false">SUM((Q575&lt;0)*(Q574&gt;0))*A574</f>
        <v>0</v>
      </c>
      <c r="AE574" s="0" t="n">
        <f aca="false">IF(AD574&gt;0,S574,0)</f>
        <v>0</v>
      </c>
    </row>
    <row r="575" customFormat="false" ht="12.75" hidden="false" customHeight="false" outlineLevel="0" collapsed="false">
      <c r="A575" s="718" t="n">
        <v>102330</v>
      </c>
      <c r="B575" s="706" t="n">
        <f aca="false">A575/1000</f>
        <v>102.33</v>
      </c>
      <c r="C575" s="707" t="n">
        <f aca="false">SQRT(1+(A575/pole1)^2)</f>
        <v>174.754228849443</v>
      </c>
      <c r="D575" s="708" t="n">
        <f aca="false">ATAN(A575/pole1)</f>
        <v>1.56507397338371</v>
      </c>
      <c r="E575" s="708" t="n">
        <f aca="false">SQRT(1+(A575/Zero1)^2)</f>
        <v>1.6289818195226</v>
      </c>
      <c r="F575" s="709" t="n">
        <f aca="false">ATAN(A575/Zero1)</f>
        <v>0.909829446394425</v>
      </c>
      <c r="G575" s="708" t="n">
        <f aca="false">IF(VIN_nom&gt;Vout, 1, SQRT(1+(A575/z_RHP)^2))</f>
        <v>1.81662538108808</v>
      </c>
      <c r="H575" s="709" t="n">
        <f aca="false">IF(VIN_nom&gt;Vout, 0, -ATAN(A575/z_RHP))</f>
        <v>-0.987867753244451</v>
      </c>
      <c r="I575" s="707" t="n">
        <f aca="false">SQRT(1+(A575/Pole2)^2)</f>
        <v>424483.84925803</v>
      </c>
      <c r="J575" s="710" t="n">
        <f aca="false">ATAN(A575/Pole2)</f>
        <v>1.57079397099266</v>
      </c>
      <c r="K575" s="719" t="n">
        <f aca="false">SQRT(1+(A575/Zero2)^2)</f>
        <v>131.340909453935</v>
      </c>
      <c r="L575" s="720" t="n">
        <f aca="false">ATAN(A575/Zero2)</f>
        <v>1.5631824792435</v>
      </c>
      <c r="M575" s="707" t="n">
        <f aca="false">SQRT(1+(A575/pole4)^2)</f>
        <v>4.20121643275307</v>
      </c>
      <c r="N575" s="710" t="n">
        <f aca="false">ATAN(A575/pole4)</f>
        <v>1.33046308947251</v>
      </c>
      <c r="O575" s="711" t="n">
        <f aca="false">SQRT((1-(V575/pterm2))^2+(A575/pterm1)^2)</f>
        <v>1.52115882096779</v>
      </c>
      <c r="P575" s="712" t="n">
        <f aca="false">IF((ATAN((A575/pterm1)/(1-A575^2/pterm2))&gt;0),ATAN((A575/pterm1)/(1-A575^2/pterm2)),PI()+ATAN((A575/pterm1)/(1-A575^2/pterm2)))</f>
        <v>1.21168256224881</v>
      </c>
      <c r="Q575" s="713" t="n">
        <f aca="false">20*LOG10(((E575*K575*G575)/(C575*I575*O575*M575))*Adc)</f>
        <v>-32.5641853708823</v>
      </c>
      <c r="R575" s="714" t="n">
        <f aca="false">((F575+L575+H575)-(D575+J575+P575+N575))*radconv</f>
        <v>-240.233722302209</v>
      </c>
      <c r="S575" s="717" t="n">
        <f aca="false">IF(R575&gt;0,R575,R575+180)</f>
        <v>-60.2337223022092</v>
      </c>
      <c r="U575" s="644" t="n">
        <f aca="false">IF(Q575&lt;0,A575,1000000000)</f>
        <v>102330</v>
      </c>
      <c r="V575" s="644" t="n">
        <f aca="false">A575^2</f>
        <v>10471428900</v>
      </c>
      <c r="X575" s="716" t="n">
        <f aca="false">20*LOG10((K575/(I575*M575))*AEA)</f>
        <v>5.4399501879072</v>
      </c>
      <c r="Y575" s="717" t="n">
        <f aca="false">(L575-(J575+N575))*radconv</f>
        <v>-76.6660262653411</v>
      </c>
      <c r="AA575" s="716" t="n">
        <f aca="false">20*LOG10((E575*G575/(C575*O575))*Acs*Am)</f>
        <v>13.4764897957649</v>
      </c>
      <c r="AB575" s="717" t="n">
        <f aca="false">(F575+H575-(D575+P575))*radconv</f>
        <v>-163.567696036868</v>
      </c>
      <c r="AD575" s="0" t="n">
        <f aca="false">SUM((Q576&lt;0)*(Q575&gt;0))*A575</f>
        <v>0</v>
      </c>
      <c r="AE575" s="0" t="n">
        <f aca="false">IF(AD575&gt;0,S575,0)</f>
        <v>0</v>
      </c>
    </row>
    <row r="576" customFormat="false" ht="12.75" hidden="false" customHeight="false" outlineLevel="0" collapsed="false">
      <c r="A576" s="718" t="n">
        <v>103520</v>
      </c>
      <c r="B576" s="706" t="n">
        <f aca="false">A576/1000</f>
        <v>103.52</v>
      </c>
      <c r="C576" s="707" t="n">
        <f aca="false">SQRT(1+(A576/pole1)^2)</f>
        <v>176.786387179408</v>
      </c>
      <c r="D576" s="708" t="n">
        <f aca="false">ATAN(A576/pole1)</f>
        <v>1.56513975250329</v>
      </c>
      <c r="E576" s="708" t="n">
        <f aca="false">SQRT(1+(A576/Zero1)^2)</f>
        <v>1.64081215799455</v>
      </c>
      <c r="F576" s="709" t="n">
        <f aca="false">ATAN(A576/Zero1)</f>
        <v>0.915424238944362</v>
      </c>
      <c r="G576" s="708" t="n">
        <f aca="false">IF(VIN_nom&gt;Vout, 1, SQRT(1+(A576/z_RHP)^2))</f>
        <v>1.83137527643303</v>
      </c>
      <c r="H576" s="709" t="n">
        <f aca="false">IF(VIN_nom&gt;Vout, 0, -ATAN(A576/z_RHP))</f>
        <v>-0.993169015360435</v>
      </c>
      <c r="I576" s="707" t="n">
        <f aca="false">SQRT(1+(A576/Pole2)^2)</f>
        <v>429420.190317487</v>
      </c>
      <c r="J576" s="710" t="n">
        <f aca="false">ATAN(A576/Pole2)</f>
        <v>1.57079399807347</v>
      </c>
      <c r="K576" s="719" t="n">
        <f aca="false">SQRT(1+(A576/Zero2)^2)</f>
        <v>132.868190543864</v>
      </c>
      <c r="L576" s="720" t="n">
        <f aca="false">ATAN(A576/Zero2)</f>
        <v>1.56326999986215</v>
      </c>
      <c r="M576" s="707" t="n">
        <f aca="false">SQRT(1+(A576/pole4)^2)</f>
        <v>4.24731956044082</v>
      </c>
      <c r="N576" s="710" t="n">
        <f aca="false">ATAN(A576/pole4)</f>
        <v>1.33312237204637</v>
      </c>
      <c r="O576" s="711" t="n">
        <f aca="false">SQRT((1-(V576/pterm2))^2+(A576/pterm1)^2)</f>
        <v>1.53292093641427</v>
      </c>
      <c r="P576" s="712" t="n">
        <f aca="false">IF((ATAN((A576/pterm1)/(1-A576^2/pterm2))&gt;0),ATAN((A576/pterm1)/(1-A576^2/pterm2)),PI()+ATAN((A576/pterm1)/(1-A576^2/pterm2)))</f>
        <v>1.22212882747916</v>
      </c>
      <c r="Q576" s="713" t="n">
        <f aca="false">20*LOG10(((E576*K576*G576)/(C576*I576*O576*M576))*Adc)</f>
        <v>-32.6932232691341</v>
      </c>
      <c r="R576" s="714" t="n">
        <f aca="false">((F576+L576+H576)-(D576+J576+P576+N576))*radconv</f>
        <v>-240.966552680888</v>
      </c>
      <c r="S576" s="717" t="n">
        <f aca="false">IF(R576&gt;0,R576,R576+180)</f>
        <v>-60.9665526808882</v>
      </c>
      <c r="U576" s="644" t="n">
        <f aca="false">IF(Q576&lt;0,A576,1000000000)</f>
        <v>103520</v>
      </c>
      <c r="V576" s="644" t="n">
        <f aca="false">A576^2</f>
        <v>10716390400</v>
      </c>
      <c r="X576" s="716" t="n">
        <f aca="false">20*LOG10((K576/(I576*M576))*AEA)</f>
        <v>5.34514678899108</v>
      </c>
      <c r="Y576" s="717" t="n">
        <f aca="false">(L576-(J576+N576))*radconv</f>
        <v>-76.8133789230702</v>
      </c>
      <c r="AA576" s="716" t="n">
        <f aca="false">20*LOG10((E576*G576/(C576*O576))*Acs*Am)</f>
        <v>13.4422552964292</v>
      </c>
      <c r="AB576" s="717" t="n">
        <f aca="false">(F576+H576-(D576+P576))*radconv</f>
        <v>-164.153173757818</v>
      </c>
      <c r="AD576" s="0" t="n">
        <f aca="false">SUM((Q577&lt;0)*(Q576&gt;0))*A576</f>
        <v>0</v>
      </c>
      <c r="AE576" s="0" t="n">
        <f aca="false">IF(AD576&gt;0,S576,0)</f>
        <v>0</v>
      </c>
    </row>
    <row r="577" customFormat="false" ht="12.75" hidden="false" customHeight="false" outlineLevel="0" collapsed="false">
      <c r="A577" s="718" t="n">
        <v>104710</v>
      </c>
      <c r="B577" s="706" t="n">
        <f aca="false">A577/1000</f>
        <v>104.71</v>
      </c>
      <c r="C577" s="707" t="n">
        <f aca="false">SQRT(1+(A577/pole1)^2)</f>
        <v>178.818546256924</v>
      </c>
      <c r="D577" s="708" t="n">
        <f aca="false">ATAN(A577/pole1)</f>
        <v>1.5652040365474</v>
      </c>
      <c r="E577" s="708" t="n">
        <f aca="false">SQRT(1+(A577/Zero1)^2)</f>
        <v>1.65269312045722</v>
      </c>
      <c r="F577" s="709" t="n">
        <f aca="false">ATAN(A577/Zero1)</f>
        <v>0.920938761804357</v>
      </c>
      <c r="G577" s="708" t="n">
        <f aca="false">IF(VIN_nom&gt;Vout, 1, SQRT(1+(A577/z_RHP)^2))</f>
        <v>1.84617581638001</v>
      </c>
      <c r="H577" s="709" t="n">
        <f aca="false">IF(VIN_nom&gt;Vout, 0, -ATAN(A577/z_RHP))</f>
        <v>-0.998385423133614</v>
      </c>
      <c r="I577" s="707" t="n">
        <f aca="false">SQRT(1+(A577/Pole2)^2)</f>
        <v>434356.531376945</v>
      </c>
      <c r="J577" s="710" t="n">
        <f aca="false">ATAN(A577/Pole2)</f>
        <v>1.57079402453874</v>
      </c>
      <c r="K577" s="719" t="n">
        <f aca="false">SQRT(1+(A577/Zero2)^2)</f>
        <v>134.395472628412</v>
      </c>
      <c r="L577" s="720" t="n">
        <f aca="false">ATAN(A577/Zero2)</f>
        <v>1.56335553129729</v>
      </c>
      <c r="M577" s="707" t="n">
        <f aca="false">SQRT(1+(A577/pole4)^2)</f>
        <v>4.29345207907555</v>
      </c>
      <c r="N577" s="710" t="n">
        <f aca="false">ATAN(A577/pole4)</f>
        <v>1.33572452548447</v>
      </c>
      <c r="O577" s="711" t="n">
        <f aca="false">SQRT((1-(V577/pterm2))^2+(A577/pterm1)^2)</f>
        <v>1.54480599204454</v>
      </c>
      <c r="P577" s="712" t="n">
        <f aca="false">IF((ATAN((A577/pterm1)/(1-A577^2/pterm2))&gt;0),ATAN((A577/pterm1)/(1-A577^2/pterm2)),PI()+ATAN((A577/pterm1)/(1-A577^2/pterm2)))</f>
        <v>1.23249176468937</v>
      </c>
      <c r="Q577" s="713" t="n">
        <f aca="false">20*LOG10(((E577*K577*G577)/(C577*I577*O577*M577))*Adc)</f>
        <v>-32.8208397543261</v>
      </c>
      <c r="R577" s="714" t="n">
        <f aca="false">((F577+L577+H577)-(D577+J577+P577+N577))*radconv</f>
        <v>-241.691101051102</v>
      </c>
      <c r="S577" s="717" t="n">
        <f aca="false">IF(R577&gt;0,R577,R577+180)</f>
        <v>-61.6911010511025</v>
      </c>
      <c r="U577" s="644" t="n">
        <f aca="false">IF(Q577&lt;0,A577,1000000000)</f>
        <v>104710</v>
      </c>
      <c r="V577" s="644" t="n">
        <f aca="false">A577^2</f>
        <v>10964184100</v>
      </c>
      <c r="X577" s="716" t="n">
        <f aca="false">20*LOG10((K577/(I577*M577))*AEA)</f>
        <v>5.25130758527014</v>
      </c>
      <c r="Y577" s="717" t="n">
        <f aca="false">(L577-(J577+N577))*radconv</f>
        <v>-76.9575722589832</v>
      </c>
      <c r="AA577" s="716" t="n">
        <f aca="false">20*LOG10((E577*G577/(C577*O577))*Acs*Am)</f>
        <v>13.4084780149582</v>
      </c>
      <c r="AB577" s="717" t="n">
        <f aca="false">(F577+H577-(D577+P577))*radconv</f>
        <v>-164.733528792119</v>
      </c>
      <c r="AD577" s="0" t="n">
        <f aca="false">SUM((Q578&lt;0)*(Q577&gt;0))*A577</f>
        <v>0</v>
      </c>
      <c r="AE577" s="0" t="n">
        <f aca="false">IF(AD577&gt;0,S577,0)</f>
        <v>0</v>
      </c>
    </row>
    <row r="578" customFormat="false" ht="12.75" hidden="false" customHeight="false" outlineLevel="0" collapsed="false">
      <c r="A578" s="718" t="n">
        <v>105930</v>
      </c>
      <c r="B578" s="706" t="n">
        <f aca="false">A578/1000</f>
        <v>105.93</v>
      </c>
      <c r="C578" s="707" t="n">
        <f aca="false">SQRT(1+(A578/pole1)^2)</f>
        <v>180.901936985236</v>
      </c>
      <c r="D578" s="708" t="n">
        <f aca="false">ATAN(A578/pole1)</f>
        <v>1.56526844185567</v>
      </c>
      <c r="E578" s="708" t="n">
        <f aca="false">SQRT(1+(A578/Zero1)^2)</f>
        <v>1.66492502283697</v>
      </c>
      <c r="F578" s="709" t="n">
        <f aca="false">ATAN(A578/Zero1)</f>
        <v>0.926510427382575</v>
      </c>
      <c r="G578" s="708" t="n">
        <f aca="false">IF(VIN_nom&gt;Vout, 1, SQRT(1+(A578/z_RHP)^2))</f>
        <v>1.8614007903074</v>
      </c>
      <c r="H578" s="709" t="n">
        <f aca="false">IF(VIN_nom&gt;Vout, 0, -ATAN(A578/z_RHP))</f>
        <v>-1.00364707233508</v>
      </c>
      <c r="I578" s="707" t="n">
        <f aca="false">SQRT(1+(A578/Pole2)^2)</f>
        <v>439417.31800933</v>
      </c>
      <c r="J578" s="710" t="n">
        <f aca="false">ATAN(A578/Pole2)</f>
        <v>1.57079405105391</v>
      </c>
      <c r="K578" s="719" t="n">
        <f aca="false">SQRT(1+(A578/Zero2)^2)</f>
        <v>135.961258620114</v>
      </c>
      <c r="L578" s="720" t="n">
        <f aca="false">ATAN(A578/Zero2)</f>
        <v>1.56344122412475</v>
      </c>
      <c r="M578" s="707" t="n">
        <f aca="false">SQRT(1+(A578/pole4)^2)</f>
        <v>4.34077713310332</v>
      </c>
      <c r="N578" s="710" t="n">
        <f aca="false">ATAN(A578/pole4)</f>
        <v>1.33833484231156</v>
      </c>
      <c r="O578" s="711" t="n">
        <f aca="false">SQRT((1-(V578/pterm2))^2+(A578/pterm1)^2)</f>
        <v>1.55711814816509</v>
      </c>
      <c r="P578" s="712" t="n">
        <f aca="false">IF((ATAN((A578/pterm1)/(1-A578^2/pterm2))&gt;0),ATAN((A578/pterm1)/(1-A578^2/pterm2)),PI()+ATAN((A578/pterm1)/(1-A578^2/pterm2)))</f>
        <v>1.24303002779164</v>
      </c>
      <c r="Q578" s="713" t="n">
        <f aca="false">20*LOG10(((E578*K578*G578)/(C578*I578*O578*M578))*Adc)</f>
        <v>-32.9502422491605</v>
      </c>
      <c r="R578" s="714" t="n">
        <f aca="false">((F578+L578+H578)-(D578+J578+P578+N578))*radconv</f>
        <v>-242.425478392718</v>
      </c>
      <c r="S578" s="717" t="n">
        <f aca="false">IF(R578&gt;0,R578,R578+180)</f>
        <v>-62.4254783927179</v>
      </c>
      <c r="U578" s="644" t="n">
        <f aca="false">IF(Q578&lt;0,A578,1000000000)</f>
        <v>105930</v>
      </c>
      <c r="V578" s="644" t="n">
        <f aca="false">A578^2</f>
        <v>11221164900</v>
      </c>
      <c r="X578" s="716" t="n">
        <f aca="false">20*LOG10((K578/(I578*M578))*AEA)</f>
        <v>5.15608470547176</v>
      </c>
      <c r="Y578" s="717" t="n">
        <f aca="false">(L578-(J578+N578))*radconv</f>
        <v>-77.1022240783919</v>
      </c>
      <c r="AA578" s="716" t="n">
        <f aca="false">20*LOG10((E578*G578/(C578*O578))*Acs*Am)</f>
        <v>13.3742983999221</v>
      </c>
      <c r="AB578" s="717" t="n">
        <f aca="false">(F578+H578-(D578+P578))*radconv</f>
        <v>-165.323254314326</v>
      </c>
      <c r="AD578" s="0" t="n">
        <f aca="false">SUM((Q579&lt;0)*(Q578&gt;0))*A578</f>
        <v>0</v>
      </c>
      <c r="AE578" s="0" t="n">
        <f aca="false">IF(AD578&gt;0,S578,0)</f>
        <v>0</v>
      </c>
    </row>
    <row r="579" customFormat="false" ht="12.75" hidden="false" customHeight="false" outlineLevel="0" collapsed="false">
      <c r="A579" s="718" t="n">
        <v>107150</v>
      </c>
      <c r="B579" s="706" t="n">
        <f aca="false">A579/1000</f>
        <v>107.15</v>
      </c>
      <c r="C579" s="707" t="n">
        <f aca="false">SQRT(1+(A579/pole1)^2)</f>
        <v>182.985328446849</v>
      </c>
      <c r="D579" s="708" t="n">
        <f aca="false">ATAN(A579/pole1)</f>
        <v>1.56533138058248</v>
      </c>
      <c r="E579" s="708" t="n">
        <f aca="false">SQRT(1+(A579/Zero1)^2)</f>
        <v>1.67720785543825</v>
      </c>
      <c r="F579" s="709" t="n">
        <f aca="false">ATAN(A579/Zero1)</f>
        <v>0.932000654463366</v>
      </c>
      <c r="G579" s="708" t="n">
        <f aca="false">IF(VIN_nom&gt;Vout, 1, SQRT(1+(A579/z_RHP)^2))</f>
        <v>1.87667646005911</v>
      </c>
      <c r="H579" s="709" t="n">
        <f aca="false">IF(VIN_nom&gt;Vout, 0, -ATAN(A579/z_RHP))</f>
        <v>-1.00882320592638</v>
      </c>
      <c r="I579" s="707" t="n">
        <f aca="false">SQRT(1+(A579/Pole2)^2)</f>
        <v>444478.104641716</v>
      </c>
      <c r="J579" s="710" t="n">
        <f aca="false">ATAN(A579/Pole2)</f>
        <v>1.57079407696529</v>
      </c>
      <c r="K579" s="719" t="n">
        <f aca="false">SQRT(1+(A579/Zero2)^2)</f>
        <v>137.527045587481</v>
      </c>
      <c r="L579" s="720" t="n">
        <f aca="false">ATAN(A579/Zero2)</f>
        <v>1.56352496567536</v>
      </c>
      <c r="M579" s="707" t="n">
        <f aca="false">SQRT(1+(A579/pole4)^2)</f>
        <v>4.38813112603937</v>
      </c>
      <c r="N579" s="710" t="n">
        <f aca="false">ATAN(A579/pole4)</f>
        <v>1.34088883838486</v>
      </c>
      <c r="O579" s="711" t="n">
        <f aca="false">SQRT((1-(V579/pterm2))^2+(A579/pterm1)^2)</f>
        <v>1.56955922055265</v>
      </c>
      <c r="P579" s="712" t="n">
        <f aca="false">IF((ATAN((A579/pterm1)/(1-A579^2/pterm2))&gt;0),ATAN((A579/pterm1)/(1-A579^2/pterm2)),PI()+ATAN((A579/pterm1)/(1-A579^2/pterm2)))</f>
        <v>1.25348189739047</v>
      </c>
      <c r="Q579" s="713" t="n">
        <f aca="false">20*LOG10(((E579*K579*G579)/(C579*I579*O579*M579))*Adc)</f>
        <v>-33.0782391945987</v>
      </c>
      <c r="R579" s="714" t="n">
        <f aca="false">((F579+L579+H579)-(D579+J579+P579+N579))*radconv</f>
        <v>-243.151472944761</v>
      </c>
      <c r="S579" s="717" t="n">
        <f aca="false">IF(R579&gt;0,R579,R579+180)</f>
        <v>-63.1514729447607</v>
      </c>
      <c r="U579" s="644" t="n">
        <f aca="false">IF(Q579&lt;0,A579,1000000000)</f>
        <v>107150</v>
      </c>
      <c r="V579" s="644" t="n">
        <f aca="false">A579^2</f>
        <v>11481122500</v>
      </c>
      <c r="X579" s="716" t="n">
        <f aca="false">20*LOG10((K579/(I579*M579))*AEA)</f>
        <v>5.06183722429432</v>
      </c>
      <c r="Y579" s="717" t="n">
        <f aca="false">(L579-(J579+N579))*radconv</f>
        <v>-77.2437607216396</v>
      </c>
      <c r="AA579" s="716" t="n">
        <f aca="false">20*LOG10((E579*G579/(C579*O579))*Acs*Am)</f>
        <v>13.3405489356614</v>
      </c>
      <c r="AB579" s="717" t="n">
        <f aca="false">(F579+H579-(D579+P579))*radconv</f>
        <v>-165.907712223121</v>
      </c>
      <c r="AD579" s="0" t="n">
        <f aca="false">SUM((Q580&lt;0)*(Q579&gt;0))*A579</f>
        <v>0</v>
      </c>
      <c r="AE579" s="0" t="n">
        <f aca="false">IF(AD579&gt;0,S579,0)</f>
        <v>0</v>
      </c>
    </row>
    <row r="580" customFormat="false" ht="12.75" hidden="false" customHeight="false" outlineLevel="0" collapsed="false">
      <c r="A580" s="718" t="n">
        <v>108400</v>
      </c>
      <c r="B580" s="706" t="n">
        <f aca="false">A580/1000</f>
        <v>108.4</v>
      </c>
      <c r="C580" s="707" t="n">
        <f aca="false">SQRT(1+(A580/pole1)^2)</f>
        <v>185.119951580726</v>
      </c>
      <c r="D580" s="708" t="n">
        <f aca="false">ATAN(A580/pole1)</f>
        <v>1.56539439764058</v>
      </c>
      <c r="E580" s="708" t="n">
        <f aca="false">SQRT(1+(A580/Zero1)^2)</f>
        <v>1.6898443877528</v>
      </c>
      <c r="F580" s="709" t="n">
        <f aca="false">ATAN(A580/Zero1)</f>
        <v>0.937542934916586</v>
      </c>
      <c r="G580" s="708" t="n">
        <f aca="false">IF(VIN_nom&gt;Vout, 1, SQRT(1+(A580/z_RHP)^2))</f>
        <v>1.89237905831522</v>
      </c>
      <c r="H580" s="709" t="n">
        <f aca="false">IF(VIN_nom&gt;Vout, 0, -ATAN(A580/z_RHP))</f>
        <v>-1.01403980488011</v>
      </c>
      <c r="I580" s="707" t="n">
        <f aca="false">SQRT(1+(A580/Pole2)^2)</f>
        <v>449663.33684703</v>
      </c>
      <c r="J580" s="710" t="n">
        <f aca="false">ATAN(A580/Pole2)</f>
        <v>1.5707941029089</v>
      </c>
      <c r="K580" s="719" t="n">
        <f aca="false">SQRT(1+(A580/Zero2)^2)</f>
        <v>139.131336490563</v>
      </c>
      <c r="L580" s="720" t="n">
        <f aca="false">ATAN(A580/Zero2)</f>
        <v>1.56360881149217</v>
      </c>
      <c r="M580" s="707" t="n">
        <f aca="false">SQRT(1+(A580/pole4)^2)</f>
        <v>4.43667860754023</v>
      </c>
      <c r="N580" s="710" t="n">
        <f aca="false">ATAN(A580/pole4)</f>
        <v>1.34344907396536</v>
      </c>
      <c r="O580" s="711" t="n">
        <f aca="false">SQRT((1-(V580/pterm2))^2+(A580/pterm1)^2)</f>
        <v>1.58243978207463</v>
      </c>
      <c r="P580" s="712" t="n">
        <f aca="false">IF((ATAN((A580/pterm1)/(1-A580^2/pterm2))&gt;0),ATAN((A580/pterm1)/(1-A580^2/pterm2)),PI()+ATAN((A580/pterm1)/(1-A580^2/pterm2)))</f>
        <v>1.26410181472453</v>
      </c>
      <c r="Q580" s="713" t="n">
        <f aca="false">20*LOG10(((E580*K580*G580)/(C580*I580*O580*M580))*Adc)</f>
        <v>-33.2079697430817</v>
      </c>
      <c r="R580" s="714" t="n">
        <f aca="false">((F580+L580+H580)-(D580+J580+P580+N580))*radconv</f>
        <v>-243.886787992049</v>
      </c>
      <c r="S580" s="717" t="n">
        <f aca="false">IF(R580&gt;0,R580,R580+180)</f>
        <v>-63.8867879920493</v>
      </c>
      <c r="U580" s="644" t="n">
        <f aca="false">IF(Q580&lt;0,A580,1000000000)</f>
        <v>108400</v>
      </c>
      <c r="V580" s="644" t="n">
        <f aca="false">A580^2</f>
        <v>11750560000</v>
      </c>
      <c r="X580" s="716" t="n">
        <f aca="false">20*LOG10((K580/(I580*M580))*AEA)</f>
        <v>4.96626450034929</v>
      </c>
      <c r="Y580" s="717" t="n">
        <f aca="false">(L580-(J580+N580))*radconv</f>
        <v>-77.38564889015</v>
      </c>
      <c r="AA580" s="716" t="n">
        <f aca="false">20*LOG10((E580*G580/(C580*O580))*Acs*Am)</f>
        <v>13.3063911111234</v>
      </c>
      <c r="AB580" s="717" t="n">
        <f aca="false">(F580+H580-(D580+P580))*radconv</f>
        <v>-166.501139101899</v>
      </c>
      <c r="AD580" s="0" t="n">
        <f aca="false">SUM((Q581&lt;0)*(Q580&gt;0))*A580</f>
        <v>0</v>
      </c>
      <c r="AE580" s="0" t="n">
        <f aca="false">IF(AD580&gt;0,S580,0)</f>
        <v>0</v>
      </c>
    </row>
    <row r="581" customFormat="false" ht="12.75" hidden="false" customHeight="false" outlineLevel="0" collapsed="false">
      <c r="A581" s="718" t="n">
        <v>109650</v>
      </c>
      <c r="B581" s="706" t="n">
        <f aca="false">A581/1000</f>
        <v>109.65</v>
      </c>
      <c r="C581" s="707" t="n">
        <f aca="false">SQRT(1+(A581/pole1)^2)</f>
        <v>187.254575432981</v>
      </c>
      <c r="D581" s="708" t="n">
        <f aca="false">ATAN(A581/pole1)</f>
        <v>1.5654559779627</v>
      </c>
      <c r="E581" s="708" t="n">
        <f aca="false">SQRT(1+(A581/Zero1)^2)</f>
        <v>1.70253205535591</v>
      </c>
      <c r="F581" s="709" t="n">
        <f aca="false">ATAN(A581/Zero1)</f>
        <v>0.943002776262158</v>
      </c>
      <c r="G581" s="708" t="n">
        <f aca="false">IF(VIN_nom&gt;Vout, 1, SQRT(1+(A581/z_RHP)^2))</f>
        <v>1.90813230532168</v>
      </c>
      <c r="H581" s="709" t="n">
        <f aca="false">IF(VIN_nom&gt;Vout, 0, -ATAN(A581/z_RHP))</f>
        <v>-1.0191704066622</v>
      </c>
      <c r="I581" s="707" t="n">
        <f aca="false">SQRT(1+(A581/Pole2)^2)</f>
        <v>454848.569052343</v>
      </c>
      <c r="J581" s="710" t="n">
        <f aca="false">ATAN(A581/Pole2)</f>
        <v>1.57079412826099</v>
      </c>
      <c r="K581" s="719" t="n">
        <f aca="false">SQRT(1+(A581/Zero2)^2)</f>
        <v>140.735628349456</v>
      </c>
      <c r="L581" s="720" t="n">
        <f aca="false">ATAN(A581/Zero2)</f>
        <v>1.56369074573729</v>
      </c>
      <c r="M581" s="707" t="n">
        <f aca="false">SQRT(1+(A581/pole4)^2)</f>
        <v>4.48525454095394</v>
      </c>
      <c r="N581" s="710" t="n">
        <f aca="false">ATAN(A581/pole4)</f>
        <v>1.34595387025116</v>
      </c>
      <c r="O581" s="711" t="n">
        <f aca="false">SQRT((1-(V581/pterm2))^2+(A581/pterm1)^2)</f>
        <v>1.5954553813599</v>
      </c>
      <c r="P581" s="712" t="n">
        <f aca="false">IF((ATAN((A581/pterm1)/(1-A581^2/pterm2))&gt;0),ATAN((A581/pterm1)/(1-A581^2/pterm2)),PI()+ATAN((A581/pterm1)/(1-A581^2/pterm2)))</f>
        <v>1.27463234691247</v>
      </c>
      <c r="Q581" s="713" t="n">
        <f aca="false">20*LOG10(((E581*K581*G581)/(C581*I581*O581*M581))*Adc)</f>
        <v>-33.336312248887</v>
      </c>
      <c r="R581" s="714" t="n">
        <f aca="false">((F581+L581+H581)-(D581+J581+P581+N581))*radconv</f>
        <v>-244.613628520239</v>
      </c>
      <c r="S581" s="717" t="n">
        <f aca="false">IF(R581&gt;0,R581,R581+180)</f>
        <v>-64.613628520239</v>
      </c>
      <c r="U581" s="644" t="n">
        <f aca="false">IF(Q581&lt;0,A581,1000000000)</f>
        <v>109650</v>
      </c>
      <c r="V581" s="644" t="n">
        <f aca="false">A581^2</f>
        <v>12023122500</v>
      </c>
      <c r="X581" s="716" t="n">
        <f aca="false">20*LOG10((K581/(I581*M581))*AEA)</f>
        <v>4.8716769154259</v>
      </c>
      <c r="Y581" s="717" t="n">
        <f aca="false">(L581-(J581+N581))*radconv</f>
        <v>-77.5244701121499</v>
      </c>
      <c r="AA581" s="716" t="n">
        <f aca="false">20*LOG10((E581*G581/(C581*O581))*Acs*Am)</f>
        <v>13.2726361902415</v>
      </c>
      <c r="AB581" s="717" t="n">
        <f aca="false">(F581+H581-(D581+P581))*radconv</f>
        <v>-167.089158408089</v>
      </c>
      <c r="AD581" s="0" t="n">
        <f aca="false">SUM((Q582&lt;0)*(Q581&gt;0))*A581</f>
        <v>0</v>
      </c>
      <c r="AE581" s="0" t="n">
        <f aca="false">IF(AD581&gt;0,S581,0)</f>
        <v>0</v>
      </c>
    </row>
    <row r="582" customFormat="false" ht="12.75" hidden="false" customHeight="false" outlineLevel="0" collapsed="false">
      <c r="A582" s="718" t="n">
        <v>110925</v>
      </c>
      <c r="B582" s="706" t="n">
        <f aca="false">A582/1000</f>
        <v>110.925</v>
      </c>
      <c r="C582" s="707" t="n">
        <f aca="false">SQRT(1+(A582/pole1)^2)</f>
        <v>189.431892477169</v>
      </c>
      <c r="D582" s="708" t="n">
        <f aca="false">ATAN(A582/pole1)</f>
        <v>1.56551736013559</v>
      </c>
      <c r="E582" s="708" t="n">
        <f aca="false">SQRT(1+(A582/Zero1)^2)</f>
        <v>1.71552497924823</v>
      </c>
      <c r="F582" s="709" t="n">
        <f aca="false">ATAN(A582/Zero1)</f>
        <v>0.948488448845335</v>
      </c>
      <c r="G582" s="708" t="n">
        <f aca="false">IF(VIN_nom&gt;Vout, 1, SQRT(1+(A582/z_RHP)^2))</f>
        <v>1.92425150554373</v>
      </c>
      <c r="H582" s="709" t="n">
        <f aca="false">IF(VIN_nom&gt;Vout, 0, -ATAN(A582/z_RHP))</f>
        <v>-1.02431693999118</v>
      </c>
      <c r="I582" s="707" t="n">
        <f aca="false">SQRT(1+(A582/Pole2)^2)</f>
        <v>460137.505901764</v>
      </c>
      <c r="J582" s="710" t="n">
        <f aca="false">ATAN(A582/Pole2)</f>
        <v>1.5707941535315</v>
      </c>
      <c r="K582" s="719" t="n">
        <f aca="false">SQRT(1+(A582/Zero2)^2)</f>
        <v>142.372006996694</v>
      </c>
      <c r="L582" s="720" t="n">
        <f aca="false">ATAN(A582/Zero2)</f>
        <v>1.56377241638094</v>
      </c>
      <c r="M582" s="707" t="n">
        <f aca="false">SQRT(1+(A582/pole4)^2)</f>
        <v>4.53483035599359</v>
      </c>
      <c r="N582" s="710" t="n">
        <f aca="false">ATAN(A582/pole4)</f>
        <v>1.34845346443228</v>
      </c>
      <c r="O582" s="711" t="n">
        <f aca="false">SQRT((1-(V582/pterm2))^2+(A582/pterm1)^2)</f>
        <v>1.60887026329297</v>
      </c>
      <c r="P582" s="712" t="n">
        <f aca="false">IF((ATAN((A582/pterm1)/(1-A582^2/pterm2))&gt;0),ATAN((A582/pterm1)/(1-A582^2/pterm2)),PI()+ATAN((A582/pterm1)/(1-A582^2/pterm2)))</f>
        <v>1.2852821026938</v>
      </c>
      <c r="Q582" s="713" t="n">
        <f aca="false">20*LOG10(((E582*K582*G582)/(C582*I582*O582*M582))*Adc)</f>
        <v>-33.4658347155885</v>
      </c>
      <c r="R582" s="714" t="n">
        <f aca="false">((F582+L582+H582)-(D582+J582+P582+N582))*radconv</f>
        <v>-245.346438533478</v>
      </c>
      <c r="S582" s="717" t="n">
        <f aca="false">IF(R582&gt;0,R582,R582+180)</f>
        <v>-65.3464385334783</v>
      </c>
      <c r="U582" s="644" t="n">
        <f aca="false">IF(Q582&lt;0,A582,1000000000)</f>
        <v>110925</v>
      </c>
      <c r="V582" s="644" t="n">
        <f aca="false">A582^2</f>
        <v>12304355625</v>
      </c>
      <c r="X582" s="716" t="n">
        <f aca="false">20*LOG10((K582/(I582*M582))*AEA)</f>
        <v>4.77619289238268</v>
      </c>
      <c r="Y582" s="717" t="n">
        <f aca="false">(L582-(J582+N582))*radconv</f>
        <v>-77.663008374084</v>
      </c>
      <c r="AA582" s="716" t="n">
        <f aca="false">20*LOG10((E582*G582/(C582*O582))*Acs*Am)</f>
        <v>13.2385977465832</v>
      </c>
      <c r="AB582" s="717" t="n">
        <f aca="false">(F582+H582-(D582+P582))*radconv</f>
        <v>-167.683430159394</v>
      </c>
      <c r="AD582" s="0" t="n">
        <f aca="false">SUM((Q583&lt;0)*(Q582&gt;0))*A582</f>
        <v>0</v>
      </c>
      <c r="AE582" s="0" t="n">
        <f aca="false">IF(AD582&gt;0,S582,0)</f>
        <v>0</v>
      </c>
    </row>
    <row r="583" customFormat="false" ht="12.75" hidden="false" customHeight="false" outlineLevel="0" collapsed="false">
      <c r="A583" s="718" t="n">
        <v>112200</v>
      </c>
      <c r="B583" s="706" t="n">
        <f aca="false">A583/1000</f>
        <v>112.2</v>
      </c>
      <c r="C583" s="707" t="n">
        <f aca="false">SQRT(1+(A583/pole1)^2)</f>
        <v>191.609210218872</v>
      </c>
      <c r="D583" s="708" t="n">
        <f aca="false">ATAN(A583/pole1)</f>
        <v>1.56557734729753</v>
      </c>
      <c r="E583" s="708" t="n">
        <f aca="false">SQRT(1+(A583/Zero1)^2)</f>
        <v>1.72856875077465</v>
      </c>
      <c r="F583" s="709" t="n">
        <f aca="false">ATAN(A583/Zero1)</f>
        <v>0.953891492266867</v>
      </c>
      <c r="G583" s="708" t="n">
        <f aca="false">IF(VIN_nom&gt;Vout, 1, SQRT(1+(A583/z_RHP)^2))</f>
        <v>1.94042082548414</v>
      </c>
      <c r="H583" s="709" t="n">
        <f aca="false">IF(VIN_nom&gt;Vout, 0, -ATAN(A583/z_RHP))</f>
        <v>-1.0293778344867</v>
      </c>
      <c r="I583" s="707" t="n">
        <f aca="false">SQRT(1+(A583/Pole2)^2)</f>
        <v>465426.442751185</v>
      </c>
      <c r="J583" s="710" t="n">
        <f aca="false">ATAN(A583/Pole2)</f>
        <v>1.57079417822767</v>
      </c>
      <c r="K583" s="719" t="n">
        <f aca="false">SQRT(1+(A583/Zero2)^2)</f>
        <v>144.008386571986</v>
      </c>
      <c r="L583" s="720" t="n">
        <f aca="false">ATAN(A583/Zero2)</f>
        <v>1.56385223096413</v>
      </c>
      <c r="M583" s="707" t="n">
        <f aca="false">SQRT(1+(A583/pole4)^2)</f>
        <v>4.5844338916266</v>
      </c>
      <c r="N583" s="710" t="n">
        <f aca="false">ATAN(A583/pole4)</f>
        <v>1.35089898244317</v>
      </c>
      <c r="O583" s="711" t="n">
        <f aca="false">SQRT((1-(V583/pterm2))^2+(A583/pterm1)^2)</f>
        <v>1.62242535114737</v>
      </c>
      <c r="P583" s="712" t="n">
        <f aca="false">IF((ATAN((A583/pterm1)/(1-A583^2/pterm2))&gt;0),ATAN((A583/pterm1)/(1-A583^2/pterm2)),PI()+ATAN((A583/pterm1)/(1-A583^2/pterm2)))</f>
        <v>1.29584028180165</v>
      </c>
      <c r="Q583" s="713" t="n">
        <f aca="false">20*LOG10(((E583*K583*G583)/(C583*I583*O583*M583))*Adc)</f>
        <v>-33.5939985127779</v>
      </c>
      <c r="R583" s="714" t="n">
        <f aca="false">((F583+L583+H583)-(D583+J583+P583+N583))*radconv</f>
        <v>-246.070757195282</v>
      </c>
      <c r="S583" s="717" t="n">
        <f aca="false">IF(R583&gt;0,R583,R583+180)</f>
        <v>-66.0707571952818</v>
      </c>
      <c r="U583" s="644" t="n">
        <f aca="false">IF(Q583&lt;0,A583,1000000000)</f>
        <v>112200</v>
      </c>
      <c r="V583" s="644" t="n">
        <f aca="false">A583^2</f>
        <v>12588840000</v>
      </c>
      <c r="X583" s="716" t="n">
        <f aca="false">20*LOG10((K583/(I583*M583))*AEA)</f>
        <v>4.68169466299307</v>
      </c>
      <c r="Y583" s="717" t="n">
        <f aca="false">(L583-(J583+N583))*radconv</f>
        <v>-77.7985546112124</v>
      </c>
      <c r="AA583" s="716" t="n">
        <f aca="false">20*LOG10((E583*G583/(C583*O583))*Acs*Am)</f>
        <v>13.2049321787834</v>
      </c>
      <c r="AB583" s="717" t="n">
        <f aca="false">(F583+H583-(D583+P583))*radconv</f>
        <v>-168.272202584069</v>
      </c>
      <c r="AD583" s="0" t="n">
        <f aca="false">SUM((Q584&lt;0)*(Q583&gt;0))*A583</f>
        <v>0</v>
      </c>
      <c r="AE583" s="0" t="n">
        <f aca="false">IF(AD583&gt;0,S583,0)</f>
        <v>0</v>
      </c>
    </row>
    <row r="584" customFormat="false" ht="12.75" hidden="false" customHeight="false" outlineLevel="0" collapsed="false">
      <c r="A584" s="718" t="n">
        <v>113510</v>
      </c>
      <c r="B584" s="706" t="n">
        <f aca="false">A584/1000</f>
        <v>113.51</v>
      </c>
      <c r="C584" s="707" t="n">
        <f aca="false">SQRT(1+(A584/pole1)^2)</f>
        <v>193.846298169005</v>
      </c>
      <c r="D584" s="708" t="n">
        <f aca="false">ATAN(A584/pole1)</f>
        <v>1.56563757759562</v>
      </c>
      <c r="E584" s="708" t="n">
        <f aca="false">SQRT(1+(A584/Zero1)^2)</f>
        <v>1.74202234655825</v>
      </c>
      <c r="F584" s="709" t="n">
        <f aca="false">ATAN(A584/Zero1)</f>
        <v>0.959358415092392</v>
      </c>
      <c r="G584" s="708" t="n">
        <f aca="false">IF(VIN_nom&gt;Vout, 1, SQRT(1+(A584/z_RHP)^2))</f>
        <v>1.95708490571957</v>
      </c>
      <c r="H584" s="709" t="n">
        <f aca="false">IF(VIN_nom&gt;Vout, 0, -ATAN(A584/z_RHP))</f>
        <v>-1.03449042017825</v>
      </c>
      <c r="I584" s="707" t="n">
        <f aca="false">SQRT(1+(A584/Pole2)^2)</f>
        <v>470860.566102354</v>
      </c>
      <c r="J584" s="710" t="n">
        <f aca="false">ATAN(A584/Pole2)</f>
        <v>1.57079420302393</v>
      </c>
      <c r="K584" s="719" t="n">
        <f aca="false">SQRT(1+(A584/Zero2)^2)</f>
        <v>145.68968730466</v>
      </c>
      <c r="L584" s="720" t="n">
        <f aca="false">ATAN(A584/Zero2)</f>
        <v>1.56393236908545</v>
      </c>
      <c r="M584" s="707" t="n">
        <f aca="false">SQRT(1+(A584/pole4)^2)</f>
        <v>4.63542703004301</v>
      </c>
      <c r="N584" s="710" t="n">
        <f aca="false">ATAN(A584/pole4)</f>
        <v>1.35335710355771</v>
      </c>
      <c r="O584" s="711" t="n">
        <f aca="false">SQRT((1-(V584/pterm2))^2+(A584/pterm1)^2)</f>
        <v>1.63649842981508</v>
      </c>
      <c r="P584" s="712" t="n">
        <f aca="false">IF((ATAN((A584/pterm1)/(1-A584^2/pterm2))&gt;0),ATAN((A584/pterm1)/(1-A584^2/pterm2)),PI()+ATAN((A584/pterm1)/(1-A584^2/pterm2)))</f>
        <v>1.30659367374972</v>
      </c>
      <c r="Q584" s="713" t="n">
        <f aca="false">20*LOG10(((E584*K584*G584)/(C584*I584*O584*M584))*Adc)</f>
        <v>-33.7243079172518</v>
      </c>
      <c r="R584" s="714" t="n">
        <f aca="false">((F584+L584+H584)-(D584+J584+P584+N584))*radconv</f>
        <v>-246.80627989976</v>
      </c>
      <c r="S584" s="717" t="n">
        <f aca="false">IF(R584&gt;0,R584,R584+180)</f>
        <v>-66.8062798997602</v>
      </c>
      <c r="U584" s="644" t="n">
        <f aca="false">IF(Q584&lt;0,A584,1000000000)</f>
        <v>113510</v>
      </c>
      <c r="V584" s="644" t="n">
        <f aca="false">A584^2</f>
        <v>12884520100</v>
      </c>
      <c r="X584" s="716" t="n">
        <f aca="false">20*LOG10((K584/(I584*M584))*AEA)</f>
        <v>4.58560916952381</v>
      </c>
      <c r="Y584" s="717" t="n">
        <f aca="false">(L584-(J584+N584))*radconv</f>
        <v>-77.9348044213548</v>
      </c>
      <c r="AA584" s="716" t="n">
        <f aca="false">20*LOG10((E584*G584/(C584*O584))*Acs*Am)</f>
        <v>13.1707082677788</v>
      </c>
      <c r="AB584" s="717" t="n">
        <f aca="false">(F584+H584-(D584+P584))*radconv</f>
        <v>-168.871475478405</v>
      </c>
      <c r="AD584" s="0" t="n">
        <f aca="false">SUM((Q585&lt;0)*(Q584&gt;0))*A584</f>
        <v>0</v>
      </c>
      <c r="AE584" s="0" t="n">
        <f aca="false">IF(AD584&gt;0,S584,0)</f>
        <v>0</v>
      </c>
    </row>
    <row r="585" customFormat="false" ht="12.75" hidden="false" customHeight="false" outlineLevel="0" collapsed="false">
      <c r="A585" s="718" t="n">
        <v>114820</v>
      </c>
      <c r="B585" s="706" t="n">
        <f aca="false">A585/1000</f>
        <v>114.82</v>
      </c>
      <c r="C585" s="707" t="n">
        <f aca="false">SQRT(1+(A585/pole1)^2)</f>
        <v>196.083386806307</v>
      </c>
      <c r="D585" s="708" t="n">
        <f aca="false">ATAN(A585/pole1)</f>
        <v>1.56569643357539</v>
      </c>
      <c r="E585" s="708" t="n">
        <f aca="false">SQRT(1+(A585/Zero1)^2)</f>
        <v>1.75552720769584</v>
      </c>
      <c r="F585" s="709" t="n">
        <f aca="false">ATAN(A585/Zero1)</f>
        <v>0.964741385224125</v>
      </c>
      <c r="G585" s="708" t="n">
        <f aca="false">IF(VIN_nom&gt;Vout, 1, SQRT(1+(A585/z_RHP)^2))</f>
        <v>1.97379927673787</v>
      </c>
      <c r="H585" s="709" t="n">
        <f aca="false">IF(VIN_nom&gt;Vout, 0, -ATAN(A585/z_RHP))</f>
        <v>-1.0395165474119</v>
      </c>
      <c r="I585" s="707" t="n">
        <f aca="false">SQRT(1+(A585/Pole2)^2)</f>
        <v>476294.689453524</v>
      </c>
      <c r="J585" s="710" t="n">
        <f aca="false">ATAN(A585/Pole2)</f>
        <v>1.57079422725438</v>
      </c>
      <c r="K585" s="719" t="n">
        <f aca="false">SQRT(1+(A585/Zero2)^2)</f>
        <v>147.370988951622</v>
      </c>
      <c r="L585" s="720" t="n">
        <f aca="false">ATAN(A585/Zero2)</f>
        <v>1.56401067867429</v>
      </c>
      <c r="M585" s="707" t="n">
        <f aca="false">SQRT(1+(A585/pole4)^2)</f>
        <v>4.68644756774924</v>
      </c>
      <c r="N585" s="710" t="n">
        <f aca="false">ATAN(A585/pole4)</f>
        <v>1.35576171666724</v>
      </c>
      <c r="O585" s="711" t="n">
        <f aca="false">SQRT((1-(V585/pterm2))^2+(A585/pterm1)^2)</f>
        <v>1.65071923670559</v>
      </c>
      <c r="P585" s="712" t="n">
        <f aca="false">IF((ATAN((A585/pterm1)/(1-A585^2/pterm2))&gt;0),ATAN((A585/pterm1)/(1-A585^2/pterm2)),PI()+ATAN((A585/pterm1)/(1-A585^2/pterm2)))</f>
        <v>1.31725195006093</v>
      </c>
      <c r="Q585" s="713" t="n">
        <f aca="false">20*LOG10(((E585*K585*G585)/(C585*I585*O585*M585))*Adc)</f>
        <v>-33.8532677553554</v>
      </c>
      <c r="R585" s="714" t="n">
        <f aca="false">((F585+L585+H585)-(D585+J585+P585+N585))*radconv</f>
        <v>-247.533169519243</v>
      </c>
      <c r="S585" s="717" t="n">
        <f aca="false">IF(R585&gt;0,R585,R585+180)</f>
        <v>-67.5331695192428</v>
      </c>
      <c r="U585" s="644" t="n">
        <f aca="false">IF(Q585&lt;0,A585,1000000000)</f>
        <v>114820</v>
      </c>
      <c r="V585" s="644" t="n">
        <f aca="false">A585^2</f>
        <v>13183632400</v>
      </c>
      <c r="X585" s="716" t="n">
        <f aca="false">20*LOG10((K585/(I585*M585))*AEA)</f>
        <v>4.49052425555716</v>
      </c>
      <c r="Y585" s="717" t="n">
        <f aca="false">(L585-(J585+N585))*radconv</f>
        <v>-78.0680931834111</v>
      </c>
      <c r="AA585" s="716" t="n">
        <f aca="false">20*LOG10((E585*G585/(C585*O585))*Acs*Am)</f>
        <v>13.1368333436418</v>
      </c>
      <c r="AB585" s="717" t="n">
        <f aca="false">(F585+H585-(D585+P585))*radconv</f>
        <v>-169.465076335832</v>
      </c>
      <c r="AD585" s="0" t="n">
        <f aca="false">SUM((Q586&lt;0)*(Q585&gt;0))*A585</f>
        <v>0</v>
      </c>
      <c r="AE585" s="0" t="n">
        <f aca="false">IF(AD585&gt;0,S585,0)</f>
        <v>0</v>
      </c>
    </row>
    <row r="586" customFormat="false" ht="12.75" hidden="false" customHeight="false" outlineLevel="0" collapsed="false">
      <c r="A586" s="718" t="n">
        <v>116155</v>
      </c>
      <c r="B586" s="706" t="n">
        <f aca="false">A586/1000</f>
        <v>116.155</v>
      </c>
      <c r="C586" s="707" t="n">
        <f aca="false">SQRT(1+(A586/pole1)^2)</f>
        <v>198.363168657748</v>
      </c>
      <c r="D586" s="708" t="n">
        <f aca="false">ATAN(A586/pole1)</f>
        <v>1.56575504699215</v>
      </c>
      <c r="E586" s="708" t="n">
        <f aca="false">SQRT(1+(A586/Zero1)^2)</f>
        <v>1.76934132199867</v>
      </c>
      <c r="F586" s="709" t="n">
        <f aca="false">ATAN(A586/Zero1)</f>
        <v>0.97014238371161</v>
      </c>
      <c r="G586" s="708" t="n">
        <f aca="false">IF(VIN_nom&gt;Vout, 1, SQRT(1+(A586/z_RHP)^2))</f>
        <v>1.99088305242503</v>
      </c>
      <c r="H586" s="709" t="n">
        <f aca="false">IF(VIN_nom&gt;Vout, 0, -ATAN(A586/z_RHP))</f>
        <v>-1.04455163897557</v>
      </c>
      <c r="I586" s="707" t="n">
        <f aca="false">SQRT(1+(A586/Pole2)^2)</f>
        <v>481832.517448801</v>
      </c>
      <c r="J586" s="710" t="n">
        <f aca="false">ATAN(A586/Pole2)</f>
        <v>1.57079425138495</v>
      </c>
      <c r="K586" s="719" t="n">
        <f aca="false">SQRT(1+(A586/Zero2)^2)</f>
        <v>149.084377416478</v>
      </c>
      <c r="L586" s="720" t="n">
        <f aca="false">ATAN(A586/Zero2)</f>
        <v>1.56408866556201</v>
      </c>
      <c r="M586" s="707" t="n">
        <f aca="false">SQRT(1+(A586/pole4)^2)</f>
        <v>4.73846905210866</v>
      </c>
      <c r="N586" s="710" t="n">
        <f aca="false">ATAN(A586/pole4)</f>
        <v>1.35815893107004</v>
      </c>
      <c r="O586" s="711" t="n">
        <f aca="false">SQRT((1-(V586/pterm2))^2+(A586/pterm1)^2)</f>
        <v>1.66536328100529</v>
      </c>
      <c r="P586" s="712" t="n">
        <f aca="false">IF((ATAN((A586/pterm1)/(1-A586^2/pterm2))&gt;0),ATAN((A586/pterm1)/(1-A586^2/pterm2)),PI()+ATAN((A586/pterm1)/(1-A586^2/pterm2)))</f>
        <v>1.32801659766952</v>
      </c>
      <c r="Q586" s="713" t="n">
        <f aca="false">20*LOG10(((E586*K586*G586)/(C586*I586*O586*M586))*Adc)</f>
        <v>-33.9833418498221</v>
      </c>
      <c r="R586" s="714" t="n">
        <f aca="false">((F586+L586+H586)-(D586+J586+P586+N586))*radconv</f>
        <v>-248.265215105896</v>
      </c>
      <c r="S586" s="717" t="n">
        <f aca="false">IF(R586&gt;0,R586,R586+180)</f>
        <v>-68.2652151058956</v>
      </c>
      <c r="U586" s="644" t="n">
        <f aca="false">IF(Q586&lt;0,A586,1000000000)</f>
        <v>116155</v>
      </c>
      <c r="V586" s="644" t="n">
        <f aca="false">A586^2</f>
        <v>13491984025</v>
      </c>
      <c r="X586" s="716" t="n">
        <f aca="false">20*LOG10((K586/(I586*M586))*AEA)</f>
        <v>4.39463396483257</v>
      </c>
      <c r="Y586" s="717" t="n">
        <f aca="false">(L586-(J586+N586))*radconv</f>
        <v>-78.2009765144876</v>
      </c>
      <c r="AA586" s="716" t="n">
        <f aca="false">20*LOG10((E586*G586/(C586*O586))*Acs*Am)</f>
        <v>13.1026495398997</v>
      </c>
      <c r="AB586" s="717" t="n">
        <f aca="false">(F586+H586-(D586+P586))*radconv</f>
        <v>-170.064238591408</v>
      </c>
      <c r="AD586" s="0" t="n">
        <f aca="false">SUM((Q587&lt;0)*(Q586&gt;0))*A586</f>
        <v>0</v>
      </c>
      <c r="AE586" s="0" t="n">
        <f aca="false">IF(AD586&gt;0,S586,0)</f>
        <v>0</v>
      </c>
    </row>
    <row r="587" customFormat="false" ht="12.75" hidden="false" customHeight="false" outlineLevel="0" collapsed="false">
      <c r="A587" s="718" t="n">
        <v>117490</v>
      </c>
      <c r="B587" s="706" t="n">
        <f aca="false">A587/1000</f>
        <v>117.49</v>
      </c>
      <c r="C587" s="707" t="n">
        <f aca="false">SQRT(1+(A587/pole1)^2)</f>
        <v>200.642951175185</v>
      </c>
      <c r="D587" s="708" t="n">
        <f aca="false">ATAN(A587/pole1)</f>
        <v>1.56581232843266</v>
      </c>
      <c r="E587" s="708" t="n">
        <f aca="false">SQRT(1+(A587/Zero1)^2)</f>
        <v>1.7832062488352</v>
      </c>
      <c r="F587" s="709" t="n">
        <f aca="false">ATAN(A587/Zero1)</f>
        <v>0.975459546759759</v>
      </c>
      <c r="G587" s="708" t="n">
        <f aca="false">IF(VIN_nom&gt;Vout, 1, SQRT(1+(A587/z_RHP)^2))</f>
        <v>2.00801644170336</v>
      </c>
      <c r="H587" s="709" t="n">
        <f aca="false">IF(VIN_nom&gt;Vout, 0, -ATAN(A587/z_RHP))</f>
        <v>-1.04950093045612</v>
      </c>
      <c r="I587" s="707" t="n">
        <f aca="false">SQRT(1+(A587/Pole2)^2)</f>
        <v>487370.345444078</v>
      </c>
      <c r="J587" s="710" t="n">
        <f aca="false">ATAN(A587/Pole2)</f>
        <v>1.57079427496715</v>
      </c>
      <c r="K587" s="719" t="n">
        <f aca="false">SQRT(1+(A587/Zero2)^2)</f>
        <v>150.797766767454</v>
      </c>
      <c r="L587" s="720" t="n">
        <f aca="false">ATAN(A587/Zero2)</f>
        <v>1.56416488025015</v>
      </c>
      <c r="M587" s="707" t="n">
        <f aca="false">SQRT(1+(A587/pole4)^2)</f>
        <v>4.79051717523791</v>
      </c>
      <c r="N587" s="710" t="n">
        <f aca="false">ATAN(A587/pole4)</f>
        <v>1.36050406808427</v>
      </c>
      <c r="O587" s="711" t="n">
        <f aca="false">SQRT((1-(V587/pterm2))^2+(A587/pterm1)^2)</f>
        <v>1.68016047789409</v>
      </c>
      <c r="P587" s="712" t="n">
        <f aca="false">IF((ATAN((A587/pterm1)/(1-A587^2/pterm2))&gt;0),ATAN((A587/pterm1)/(1-A587^2/pterm2)),PI()+ATAN((A587/pterm1)/(1-A587^2/pterm2)))</f>
        <v>1.33868413923136</v>
      </c>
      <c r="Q587" s="713" t="n">
        <f aca="false">20*LOG10(((E587*K587*G587)/(C587*I587*O587*M587))*Adc)</f>
        <v>-34.1120968843569</v>
      </c>
      <c r="R587" s="714" t="n">
        <f aca="false">((F587+L587+H587)-(D587+J587+P587+N587))*radconv</f>
        <v>-248.988625737043</v>
      </c>
      <c r="S587" s="717" t="n">
        <f aca="false">IF(R587&gt;0,R587,R587+180)</f>
        <v>-68.9886257370427</v>
      </c>
      <c r="U587" s="644" t="n">
        <f aca="false">IF(Q587&lt;0,A587,1000000000)</f>
        <v>117490</v>
      </c>
      <c r="V587" s="644" t="n">
        <f aca="false">A587^2</f>
        <v>13803900100</v>
      </c>
      <c r="X587" s="716" t="n">
        <f aca="false">20*LOG10((K587/(I587*M587))*AEA)</f>
        <v>4.29974248844358</v>
      </c>
      <c r="Y587" s="717" t="n">
        <f aca="false">(L587-(J587+N587))*radconv</f>
        <v>-78.3309775391237</v>
      </c>
      <c r="AA587" s="716" t="n">
        <f aca="false">20*LOG10((E587*G587/(C587*O587))*Acs*Am)</f>
        <v>13.0687859817539</v>
      </c>
      <c r="AB587" s="717" t="n">
        <f aca="false">(F587+H587-(D587+P587))*radconv</f>
        <v>-170.657648197919</v>
      </c>
      <c r="AD587" s="0" t="n">
        <f aca="false">SUM((Q588&lt;0)*(Q587&gt;0))*A587</f>
        <v>0</v>
      </c>
      <c r="AE587" s="0" t="n">
        <f aca="false">IF(AD587&gt;0,S587,0)</f>
        <v>0</v>
      </c>
    </row>
    <row r="588" customFormat="false" ht="12.75" hidden="false" customHeight="false" outlineLevel="0" collapsed="false">
      <c r="A588" s="718" t="n">
        <v>118860</v>
      </c>
      <c r="B588" s="706" t="n">
        <f aca="false">A588/1000</f>
        <v>118.86</v>
      </c>
      <c r="C588" s="707" t="n">
        <f aca="false">SQRT(1+(A588/pole1)^2)</f>
        <v>202.982503940613</v>
      </c>
      <c r="D588" s="708" t="n">
        <f aca="false">ATAN(A588/pole1)</f>
        <v>1.56586977388639</v>
      </c>
      <c r="E588" s="708" t="n">
        <f aca="false">SQRT(1+(A588/Zero1)^2)</f>
        <v>1.79748627068258</v>
      </c>
      <c r="F588" s="709" t="n">
        <f aca="false">ATAN(A588/Zero1)</f>
        <v>0.980830672995705</v>
      </c>
      <c r="G588" s="708" t="n">
        <f aca="false">IF(VIN_nom&gt;Vout, 1, SQRT(1+(A588/z_RHP)^2))</f>
        <v>2.02564928236885</v>
      </c>
      <c r="H588" s="709" t="n">
        <f aca="false">IF(VIN_nom&gt;Vout, 0, -ATAN(A588/z_RHP))</f>
        <v>-1.05449280726199</v>
      </c>
      <c r="I588" s="707" t="n">
        <f aca="false">SQRT(1+(A588/Pole2)^2)</f>
        <v>493053.359941104</v>
      </c>
      <c r="J588" s="710" t="n">
        <f aca="false">ATAN(A588/Pole2)</f>
        <v>1.57079429861685</v>
      </c>
      <c r="K588" s="719" t="n">
        <f aca="false">SQRT(1+(A588/Zero2)^2)</f>
        <v>152.556077328452</v>
      </c>
      <c r="L588" s="720" t="n">
        <f aca="false">ATAN(A588/Zero2)</f>
        <v>1.56424131319652</v>
      </c>
      <c r="M588" s="707" t="n">
        <f aca="false">SQRT(1+(A588/pole4)^2)</f>
        <v>4.84395665085274</v>
      </c>
      <c r="N588" s="710" t="n">
        <f aca="false">ATAN(A588/pole4)</f>
        <v>1.36285827876922</v>
      </c>
      <c r="O588" s="711" t="n">
        <f aca="false">SQRT((1-(V588/pterm2))^2+(A588/pterm1)^2)</f>
        <v>1.69550471436049</v>
      </c>
      <c r="P588" s="712" t="n">
        <f aca="false">IF((ATAN((A588/pterm1)/(1-A588^2/pterm2))&gt;0),ATAN((A588/pterm1)/(1-A588^2/pterm2)),PI()+ATAN((A588/pterm1)/(1-A588^2/pterm2)))</f>
        <v>1.3495312881821</v>
      </c>
      <c r="Q588" s="713" t="n">
        <f aca="false">20*LOG10(((E588*K588*G588)/(C588*I588*O588*M588))*Adc)</f>
        <v>-34.2428970086377</v>
      </c>
      <c r="R588" s="714" t="n">
        <f aca="false">((F588+L588+H588)-(D588+J588+P588+N588))*radconv</f>
        <v>-249.722191988952</v>
      </c>
      <c r="S588" s="717" t="n">
        <f aca="false">IF(R588&gt;0,R588,R588+180)</f>
        <v>-69.7221919889516</v>
      </c>
      <c r="U588" s="644" t="n">
        <f aca="false">IF(Q588&lt;0,A588,1000000000)</f>
        <v>118860</v>
      </c>
      <c r="V588" s="644" t="n">
        <f aca="false">A588^2</f>
        <v>14127699600</v>
      </c>
      <c r="X588" s="716" t="n">
        <f aca="false">20*LOG10((K588/(I588*M588))*AEA)</f>
        <v>4.20338118375562</v>
      </c>
      <c r="Y588" s="717" t="n">
        <f aca="false">(L588-(J588+N588))*radconv</f>
        <v>-78.4614859453914</v>
      </c>
      <c r="AA588" s="716" t="n">
        <f aca="false">20*LOG10((E588*G588/(C588*O588))*Acs*Am)</f>
        <v>13.0343471621611</v>
      </c>
      <c r="AB588" s="717" t="n">
        <f aca="false">(F588+H588-(D588+P588))*radconv</f>
        <v>-171.26070604356</v>
      </c>
      <c r="AD588" s="0" t="n">
        <f aca="false">SUM((Q589&lt;0)*(Q588&gt;0))*A588</f>
        <v>0</v>
      </c>
      <c r="AE588" s="0" t="n">
        <f aca="false">IF(AD588&gt;0,S588,0)</f>
        <v>0</v>
      </c>
    </row>
    <row r="589" customFormat="false" ht="12.75" hidden="false" customHeight="false" outlineLevel="0" collapsed="false">
      <c r="A589" s="718" t="n">
        <v>120230</v>
      </c>
      <c r="B589" s="706" t="n">
        <f aca="false">A589/1000</f>
        <v>120.23</v>
      </c>
      <c r="C589" s="707" t="n">
        <f aca="false">SQRT(1+(A589/pole1)^2)</f>
        <v>205.322057360615</v>
      </c>
      <c r="D589" s="708" t="n">
        <f aca="false">ATAN(A589/pole1)</f>
        <v>1.56592591020956</v>
      </c>
      <c r="E589" s="708" t="n">
        <f aca="false">SQRT(1+(A589/Zero1)^2)</f>
        <v>1.81181732992995</v>
      </c>
      <c r="F589" s="709" t="n">
        <f aca="false">ATAN(A589/Zero1)</f>
        <v>0.986116980983839</v>
      </c>
      <c r="G589" s="708" t="n">
        <f aca="false">IF(VIN_nom&gt;Vout, 1, SQRT(1+(A589/z_RHP)^2))</f>
        <v>2.04333172795142</v>
      </c>
      <c r="H589" s="709" t="n">
        <f aca="false">IF(VIN_nom&gt;Vout, 0, -ATAN(A589/z_RHP))</f>
        <v>-1.05939840782477</v>
      </c>
      <c r="I589" s="707" t="n">
        <f aca="false">SQRT(1+(A589/Pole2)^2)</f>
        <v>498736.37443813</v>
      </c>
      <c r="J589" s="710" t="n">
        <f aca="false">ATAN(A589/Pole2)</f>
        <v>1.57079432172759</v>
      </c>
      <c r="K589" s="719" t="n">
        <f aca="false">SQRT(1+(A589/Zero2)^2)</f>
        <v>154.314388760372</v>
      </c>
      <c r="L589" s="720" t="n">
        <f aca="false">ATAN(A589/Zero2)</f>
        <v>1.56431600433654</v>
      </c>
      <c r="M589" s="707" t="n">
        <f aca="false">SQRT(1+(A589/pole4)^2)</f>
        <v>4.8974223871921</v>
      </c>
      <c r="N589" s="710" t="n">
        <f aca="false">ATAN(A589/pole4)</f>
        <v>1.36516109959596</v>
      </c>
      <c r="O589" s="711" t="n">
        <f aca="false">SQRT((1-(V589/pterm2))^2+(A589/pterm1)^2)</f>
        <v>1.71100998254564</v>
      </c>
      <c r="P589" s="712" t="n">
        <f aca="false">IF((ATAN((A589/pterm1)/(1-A589^2/pterm2))&gt;0),ATAN((A589/pterm1)/(1-A589^2/pterm2)),PI()+ATAN((A589/pterm1)/(1-A589^2/pterm2)))</f>
        <v>1.36027799094939</v>
      </c>
      <c r="Q589" s="713" t="n">
        <f aca="false">20*LOG10(((E589*K589*G589)/(C589*I589*O589*M589))*Adc)</f>
        <v>-34.3723893595241</v>
      </c>
      <c r="R589" s="714" t="n">
        <f aca="false">((F589+L589+H589)-(D589+J589+P589+N589))*radconv</f>
        <v>-250.446999899125</v>
      </c>
      <c r="S589" s="717" t="n">
        <f aca="false">IF(R589&gt;0,R589,R589+180)</f>
        <v>-70.4469998991245</v>
      </c>
      <c r="U589" s="644" t="n">
        <f aca="false">IF(Q589&lt;0,A589,1000000000)</f>
        <v>120230</v>
      </c>
      <c r="V589" s="644" t="n">
        <f aca="false">A589^2</f>
        <v>14455252900</v>
      </c>
      <c r="X589" s="716" t="n">
        <f aca="false">20*LOG10((K589/(I589*M589))*AEA)</f>
        <v>4.10803067082132</v>
      </c>
      <c r="Y589" s="717" t="n">
        <f aca="false">(L589-(J589+N589))*radconv</f>
        <v>-78.5891496969415</v>
      </c>
      <c r="AA589" s="716" t="n">
        <f aca="false">20*LOG10((E589*G589/(C589*O589))*Acs*Am)</f>
        <v>13.0002053242089</v>
      </c>
      <c r="AB589" s="717" t="n">
        <f aca="false">(F589+H589-(D589+P589))*radconv</f>
        <v>-171.857850202183</v>
      </c>
      <c r="AD589" s="0" t="n">
        <f aca="false">SUM((Q590&lt;0)*(Q589&gt;0))*A589</f>
        <v>0</v>
      </c>
      <c r="AE589" s="0" t="n">
        <f aca="false">IF(AD589&gt;0,S589,0)</f>
        <v>0</v>
      </c>
    </row>
    <row r="590" customFormat="false" ht="12.75" hidden="false" customHeight="false" outlineLevel="0" collapsed="false">
      <c r="A590" s="718" t="n">
        <v>126030</v>
      </c>
      <c r="B590" s="706" t="n">
        <f aca="false">A590/1000</f>
        <v>126.03</v>
      </c>
      <c r="C590" s="707" t="n">
        <f aca="false">SQRT(1+(A590/pole1)^2)</f>
        <v>215.226742833267</v>
      </c>
      <c r="D590" s="708" t="n">
        <f aca="false">ATAN(A590/pole1)</f>
        <v>1.56615004731852</v>
      </c>
      <c r="E590" s="708" t="n">
        <f aca="false">SQRT(1+(A590/Zero1)^2)</f>
        <v>1.87302733436691</v>
      </c>
      <c r="F590" s="709" t="n">
        <f aca="false">ATAN(A590/Zero1)</f>
        <v>1.00759591511246</v>
      </c>
      <c r="G590" s="708" t="n">
        <f aca="false">IF(VIN_nom&gt;Vout, 1, SQRT(1+(A590/z_RHP)^2))</f>
        <v>2.11871260411003</v>
      </c>
      <c r="H590" s="709" t="n">
        <f aca="false">IF(VIN_nom&gt;Vout, 0, -ATAN(A590/z_RHP))</f>
        <v>-1.07925563540782</v>
      </c>
      <c r="I590" s="707" t="n">
        <f aca="false">SQRT(1+(A590/Pole2)^2)</f>
        <v>522795.8518708</v>
      </c>
      <c r="J590" s="710" t="n">
        <f aca="false">ATAN(A590/Pole2)</f>
        <v>1.57079441400237</v>
      </c>
      <c r="K590" s="719" t="n">
        <f aca="false">SQRT(1+(A590/Zero2)^2)</f>
        <v>161.758343963132</v>
      </c>
      <c r="L590" s="720" t="n">
        <f aca="false">ATAN(A590/Zero2)</f>
        <v>1.56461422610534</v>
      </c>
      <c r="M590" s="707" t="n">
        <f aca="false">SQRT(1+(A590/pole4)^2)</f>
        <v>5.12404567569344</v>
      </c>
      <c r="N590" s="710" t="n">
        <f aca="false">ATAN(A590/pole4)</f>
        <v>1.37437748431067</v>
      </c>
      <c r="O590" s="711" t="n">
        <f aca="false">SQRT((1-(V590/pterm2))^2+(A590/pterm1)^2)</f>
        <v>1.77843411025271</v>
      </c>
      <c r="P590" s="712" t="n">
        <f aca="false">IF((ATAN((A590/pterm1)/(1-A590^2/pterm2))&gt;0),ATAN((A590/pterm1)/(1-A590^2/pterm2)),PI()+ATAN((A590/pterm1)/(1-A590^2/pterm2)))</f>
        <v>1.40468350951639</v>
      </c>
      <c r="Q590" s="713" t="n">
        <f aca="false">20*LOG10(((E590*K590*G590)/(C590*I590*O590*M590))*Adc)</f>
        <v>-34.9069740538047</v>
      </c>
      <c r="R590" s="714" t="n">
        <f aca="false">((F590+L590+H590)-(D590+J590+P590+N590))*radconv</f>
        <v>-253.422152257975</v>
      </c>
      <c r="S590" s="717" t="n">
        <f aca="false">IF(R590&gt;0,R590,R590+180)</f>
        <v>-73.4221522579748</v>
      </c>
      <c r="U590" s="644" t="n">
        <f aca="false">IF(Q590&lt;0,A590,1000000000)</f>
        <v>126030</v>
      </c>
      <c r="V590" s="644" t="n">
        <f aca="false">A590^2</f>
        <v>15883560900</v>
      </c>
      <c r="X590" s="716" t="n">
        <f aca="false">20*LOG10((K590/(I590*M590))*AEA)</f>
        <v>3.71510566617917</v>
      </c>
      <c r="Y590" s="717" t="n">
        <f aca="false">(L590-(J590+N590))*radconv</f>
        <v>-79.1001280822914</v>
      </c>
      <c r="AA590" s="716" t="n">
        <f aca="false">20*LOG10((E590*G590/(C590*O590))*Acs*Am)</f>
        <v>12.8585456345705</v>
      </c>
      <c r="AB590" s="717" t="n">
        <f aca="false">(F590+H590-(D590+P590))*radconv</f>
        <v>-174.322024175683</v>
      </c>
      <c r="AD590" s="0" t="n">
        <f aca="false">SUM((Q591&lt;0)*(Q590&gt;0))*A590</f>
        <v>0</v>
      </c>
      <c r="AE590" s="0" t="n">
        <f aca="false">IF(AD590&gt;0,S590,0)</f>
        <v>0</v>
      </c>
    </row>
    <row r="591" customFormat="false" ht="12.75" hidden="false" customHeight="false" outlineLevel="0" collapsed="false">
      <c r="A591" s="718" t="n">
        <v>131830</v>
      </c>
      <c r="B591" s="706" t="n">
        <f aca="false">A591/1000</f>
        <v>131.83</v>
      </c>
      <c r="C591" s="707" t="n">
        <f aca="false">SQRT(1+(A591/pole1)^2)</f>
        <v>225.13143816697</v>
      </c>
      <c r="D591" s="708" t="n">
        <f aca="false">ATAN(A591/pole1)</f>
        <v>1.56635446253769</v>
      </c>
      <c r="E591" s="708" t="n">
        <f aca="false">SQRT(1+(A591/Zero1)^2)</f>
        <v>1.93504655893809</v>
      </c>
      <c r="F591" s="709" t="n">
        <f aca="false">ATAN(A591/Zero1)</f>
        <v>1.02770681935221</v>
      </c>
      <c r="G591" s="708" t="n">
        <f aca="false">IF(VIN_nom&gt;Vout, 1, SQRT(1+(A591/z_RHP)^2))</f>
        <v>2.19487134087988</v>
      </c>
      <c r="H591" s="709" t="n">
        <f aca="false">IF(VIN_nom&gt;Vout, 0, -ATAN(A591/z_RHP))</f>
        <v>-1.09774170648244</v>
      </c>
      <c r="I591" s="707" t="n">
        <f aca="false">SQRT(1+(A591/Pole2)^2)</f>
        <v>546855.329303473</v>
      </c>
      <c r="J591" s="710" t="n">
        <f aca="false">ATAN(A591/Pole2)</f>
        <v>1.57079449815769</v>
      </c>
      <c r="K591" s="719" t="n">
        <f aca="false">SQRT(1+(A591/Zero2)^2)</f>
        <v>169.202312286246</v>
      </c>
      <c r="L591" s="720" t="n">
        <f aca="false">ATAN(A591/Zero2)</f>
        <v>1.56488620767125</v>
      </c>
      <c r="M591" s="707" t="n">
        <f aca="false">SQRT(1+(A591/pole4)^2)</f>
        <v>5.35106732300003</v>
      </c>
      <c r="N591" s="710" t="n">
        <f aca="false">ATAN(A591/pole4)</f>
        <v>1.3828125164925</v>
      </c>
      <c r="O591" s="711" t="n">
        <f aca="false">SQRT((1-(V591/pterm2))^2+(A591/pterm1)^2)</f>
        <v>1.84873496480451</v>
      </c>
      <c r="P591" s="712" t="n">
        <f aca="false">IF((ATAN((A591/pterm1)/(1-A591^2/pterm2))&gt;0),ATAN((A591/pterm1)/(1-A591^2/pterm2)),PI()+ATAN((A591/pterm1)/(1-A591^2/pterm2)))</f>
        <v>1.44737559614763</v>
      </c>
      <c r="Q591" s="713" t="n">
        <f aca="false">20*LOG10(((E591*K591*G591)/(C591*I591*O591*M591))*Adc)</f>
        <v>-35.4213861227716</v>
      </c>
      <c r="R591" s="714" t="n">
        <f aca="false">((F591+L591+H591)-(D591+J591+P591+N591))*radconv</f>
        <v>-256.254557860329</v>
      </c>
      <c r="S591" s="717" t="n">
        <f aca="false">IF(R591&gt;0,R591,R591+180)</f>
        <v>-76.2545578603288</v>
      </c>
      <c r="U591" s="644" t="n">
        <f aca="false">IF(Q591&lt;0,A591,1000000000)</f>
        <v>131830</v>
      </c>
      <c r="V591" s="644" t="n">
        <f aca="false">A591^2</f>
        <v>17379148900</v>
      </c>
      <c r="X591" s="716" t="n">
        <f aca="false">20*LOG10((K591/(I591*M591))*AEA)</f>
        <v>3.33854293106542</v>
      </c>
      <c r="Y591" s="717" t="n">
        <f aca="false">(L591-(J591+N591))*radconv</f>
        <v>-79.5678412528148</v>
      </c>
      <c r="AA591" s="716" t="n">
        <f aca="false">20*LOG10((E591*G591/(C591*O591))*Acs*Am)</f>
        <v>12.7206963007174</v>
      </c>
      <c r="AB591" s="717" t="n">
        <f aca="false">(F591+H591-(D591+P591))*radconv</f>
        <v>-176.686716607514</v>
      </c>
      <c r="AD591" s="0" t="n">
        <f aca="false">SUM((Q592&lt;0)*(Q591&gt;0))*A591</f>
        <v>0</v>
      </c>
      <c r="AE591" s="0" t="n">
        <f aca="false">IF(AD591&gt;0,S591,0)</f>
        <v>0</v>
      </c>
    </row>
    <row r="592" customFormat="false" ht="12.75" hidden="false" customHeight="false" outlineLevel="0" collapsed="false">
      <c r="A592" s="718" t="n">
        <v>144540</v>
      </c>
      <c r="B592" s="706" t="n">
        <f aca="false">A592/1000</f>
        <v>144.54</v>
      </c>
      <c r="C592" s="707" t="n">
        <f aca="false">SQRT(1+(A592/pole1)^2)</f>
        <v>246.836411278926</v>
      </c>
      <c r="D592" s="708" t="n">
        <f aca="false">ATAN(A592/pole1)</f>
        <v>1.56674504955302</v>
      </c>
      <c r="E592" s="708" t="n">
        <f aca="false">SQRT(1+(A592/Zero1)^2)</f>
        <v>2.07342775227059</v>
      </c>
      <c r="F592" s="709" t="n">
        <f aca="false">ATAN(A592/Zero1)</f>
        <v>1.06752577449599</v>
      </c>
      <c r="G592" s="708" t="n">
        <f aca="false">IF(VIN_nom&gt;Vout, 1, SQRT(1+(A592/z_RHP)^2))</f>
        <v>2.36411566348338</v>
      </c>
      <c r="H592" s="709" t="n">
        <f aca="false">IF(VIN_nom&gt;Vout, 0, -ATAN(A592/z_RHP))</f>
        <v>-1.13405253914498</v>
      </c>
      <c r="I592" s="707" t="n">
        <f aca="false">SQRT(1+(A592/Pole2)^2)</f>
        <v>599578.770367152</v>
      </c>
      <c r="J592" s="710" t="n">
        <f aca="false">ATAN(A592/Pole2)</f>
        <v>1.57079465895733</v>
      </c>
      <c r="K592" s="719" t="n">
        <f aca="false">SQRT(1+(A592/Zero2)^2)</f>
        <v>185.514908619084</v>
      </c>
      <c r="L592" s="720" t="n">
        <f aca="false">ATAN(A592/Zero2)</f>
        <v>1.5654058983369</v>
      </c>
      <c r="M592" s="707" t="n">
        <f aca="false">SQRT(1+(A592/pole4)^2)</f>
        <v>5.84972413152276</v>
      </c>
      <c r="N592" s="710" t="n">
        <f aca="false">ATAN(A592/pole4)</f>
        <v>1.39900433900741</v>
      </c>
      <c r="O592" s="711" t="n">
        <f aca="false">SQRT((1-(V592/pterm2))^2+(A592/pterm1)^2)</f>
        <v>2.01282617455869</v>
      </c>
      <c r="P592" s="712" t="n">
        <f aca="false">IF((ATAN((A592/pterm1)/(1-A592^2/pterm2))&gt;0),ATAN((A592/pterm1)/(1-A592^2/pterm2)),PI()+ATAN((A592/pterm1)/(1-A592^2/pterm2)))</f>
        <v>1.53527906730501</v>
      </c>
      <c r="Q592" s="713" t="n">
        <f aca="false">20*LOG10(((E592*K592*G592)/(C592*I592*O592*M592))*Adc)</f>
        <v>-36.4882621097499</v>
      </c>
      <c r="R592" s="714" t="n">
        <f aca="false">((F592+L592+H592)-(D592+J592+P592+N592))*radconv</f>
        <v>-262.01039036817</v>
      </c>
      <c r="S592" s="717" t="n">
        <f aca="false">IF(R592&gt;0,R592,R592+180)</f>
        <v>-82.0103903681704</v>
      </c>
      <c r="U592" s="644" t="n">
        <f aca="false">IF(Q592&lt;0,A592,1000000000)</f>
        <v>144540</v>
      </c>
      <c r="V592" s="644" t="n">
        <f aca="false">A592^2</f>
        <v>20891811600</v>
      </c>
      <c r="X592" s="716" t="n">
        <f aca="false">20*LOG10((K592/(I592*M592))*AEA)</f>
        <v>2.56461801348314</v>
      </c>
      <c r="Y592" s="717" t="n">
        <f aca="false">(L592-(J592+N592))*radconv</f>
        <v>-80.4657974779163</v>
      </c>
      <c r="AA592" s="716" t="n">
        <f aca="false">20*LOG10((E592*G592/(C592*O592))*Acs*Am)</f>
        <v>12.4277452313213</v>
      </c>
      <c r="AB592" s="717" t="n">
        <f aca="false">(F592+H592-(D592+P592))*radconv</f>
        <v>-181.544592890254</v>
      </c>
      <c r="AD592" s="0" t="n">
        <f aca="false">SUM((Q593&lt;0)*(Q592&gt;0))*A592</f>
        <v>0</v>
      </c>
      <c r="AE592" s="0" t="n">
        <f aca="false">IF(AD592&gt;0,S592,0)</f>
        <v>0</v>
      </c>
    </row>
    <row r="593" customFormat="false" ht="12.75" hidden="false" customHeight="false" outlineLevel="0" collapsed="false">
      <c r="A593" s="718" t="n">
        <v>158490</v>
      </c>
      <c r="B593" s="706" t="n">
        <f aca="false">A593/1000</f>
        <v>158.49</v>
      </c>
      <c r="C593" s="707" t="n">
        <f aca="false">SQRT(1+(A593/pole1)^2)</f>
        <v>270.658978798792</v>
      </c>
      <c r="D593" s="708" t="n">
        <f aca="false">ATAN(A593/pole1)</f>
        <v>1.56710163216637</v>
      </c>
      <c r="E593" s="708" t="n">
        <f aca="false">SQRT(1+(A593/Zero1)^2)</f>
        <v>2.22859734520063</v>
      </c>
      <c r="F593" s="709" t="n">
        <f aca="false">ATAN(A593/Zero1)</f>
        <v>1.1054719301955</v>
      </c>
      <c r="G593" s="708" t="n">
        <f aca="false">IF(VIN_nom&gt;Vout, 1, SQRT(1+(A593/z_RHP)^2))</f>
        <v>2.55295790272252</v>
      </c>
      <c r="H593" s="709" t="n">
        <f aca="false">IF(VIN_nom&gt;Vout, 0, -ATAN(A593/z_RHP))</f>
        <v>-1.16831509964508</v>
      </c>
      <c r="I593" s="707" t="n">
        <f aca="false">SQRT(1+(A593/Pole2)^2)</f>
        <v>657445.961778523</v>
      </c>
      <c r="J593" s="710" t="n">
        <f aca="false">ATAN(A593/Pole2)</f>
        <v>1.57079480575734</v>
      </c>
      <c r="K593" s="719" t="n">
        <f aca="false">SQRT(1+(A593/Zero2)^2)</f>
        <v>203.419025737859</v>
      </c>
      <c r="L593" s="720" t="n">
        <f aca="false">ATAN(A593/Zero2)</f>
        <v>1.56588034598044</v>
      </c>
      <c r="M593" s="707" t="n">
        <f aca="false">SQRT(1+(A593/pole4)^2)</f>
        <v>6.39850691556333</v>
      </c>
      <c r="N593" s="710" t="n">
        <f aca="false">ATAN(A593/pole4)</f>
        <v>1.41386654150708</v>
      </c>
      <c r="O593" s="711" t="n">
        <f aca="false">SQRT((1-(V593/pterm2))^2+(A593/pterm1)^2)</f>
        <v>2.20876767713558</v>
      </c>
      <c r="P593" s="712" t="n">
        <f aca="false">IF((ATAN((A593/pterm1)/(1-A593^2/pterm2))&gt;0),ATAN((A593/pterm1)/(1-A593^2/pterm2)),PI()+ATAN((A593/pterm1)/(1-A593^2/pterm2)))</f>
        <v>1.62352143280118</v>
      </c>
      <c r="Q593" s="713" t="n">
        <f aca="false">20*LOG10(((E593*K593*G593)/(C593*I593*O593*M593))*Adc)</f>
        <v>-37.5799354566273</v>
      </c>
      <c r="R593" s="714" t="n">
        <f aca="false">((F593+L593+H593)-(D593+J593+P593+N593))*radconv</f>
        <v>-267.700047753231</v>
      </c>
      <c r="S593" s="717" t="n">
        <f aca="false">IF(R593&gt;0,R593,R593+180)</f>
        <v>-87.7000477532308</v>
      </c>
      <c r="U593" s="644" t="n">
        <f aca="false">IF(Q593&lt;0,A593,1000000000)</f>
        <v>158490</v>
      </c>
      <c r="V593" s="644" t="n">
        <f aca="false">A593^2</f>
        <v>25119080100</v>
      </c>
      <c r="X593" s="716" t="n">
        <f aca="false">20*LOG10((K593/(I593*M593))*AEA)</f>
        <v>1.7857316149051</v>
      </c>
      <c r="Y593" s="717" t="n">
        <f aca="false">(L593-(J593+N593))*radconv</f>
        <v>-81.2901635198048</v>
      </c>
      <c r="AA593" s="716" t="n">
        <f aca="false">20*LOG10((E593*G593/(C593*O593))*Acs*Am)</f>
        <v>12.114958283022</v>
      </c>
      <c r="AB593" s="717" t="n">
        <f aca="false">(F593+H593-(D593+P593))*radconv</f>
        <v>-186.409884233426</v>
      </c>
      <c r="AD593" s="0" t="n">
        <f aca="false">SUM((Q594&lt;0)*(Q593&gt;0))*A593</f>
        <v>0</v>
      </c>
      <c r="AE593" s="0" t="n">
        <f aca="false">IF(AD593&gt;0,S593,0)</f>
        <v>0</v>
      </c>
    </row>
    <row r="594" customFormat="false" ht="12.75" hidden="false" customHeight="false" outlineLevel="0" collapsed="false">
      <c r="A594" s="718" t="n">
        <v>173780</v>
      </c>
      <c r="B594" s="706" t="n">
        <f aca="false">A594/1000</f>
        <v>173.78</v>
      </c>
      <c r="C594" s="707" t="n">
        <f aca="false">SQRT(1+(A594/pole1)^2)</f>
        <v>296.769911849825</v>
      </c>
      <c r="D594" s="708" t="n">
        <f aca="false">ATAN(A594/pole1)</f>
        <v>1.5674267065859</v>
      </c>
      <c r="E594" s="708" t="n">
        <f aca="false">SQRT(1+(A594/Zero1)^2)</f>
        <v>2.40185595885225</v>
      </c>
      <c r="F594" s="709" t="n">
        <f aca="false">ATAN(A594/Zero1)</f>
        <v>1.14137504175936</v>
      </c>
      <c r="G594" s="708" t="n">
        <f aca="false">IF(VIN_nom&gt;Vout, 1, SQRT(1+(A594/z_RHP)^2))</f>
        <v>2.76288685649491</v>
      </c>
      <c r="H594" s="709" t="n">
        <f aca="false">IF(VIN_nom&gt;Vout, 0, -ATAN(A594/z_RHP))</f>
        <v>-1.20044789270609</v>
      </c>
      <c r="I594" s="707" t="n">
        <f aca="false">SQRT(1+(A594/Pole2)^2)</f>
        <v>720871.722114011</v>
      </c>
      <c r="J594" s="710" t="n">
        <f aca="false">ATAN(A594/Pole2)</f>
        <v>1.57079493958554</v>
      </c>
      <c r="K594" s="719" t="n">
        <f aca="false">SQRT(1+(A594/Zero2)^2)</f>
        <v>223.043008608109</v>
      </c>
      <c r="L594" s="720" t="n">
        <f aca="false">ATAN(A594/Zero2)</f>
        <v>1.56631287153451</v>
      </c>
      <c r="M594" s="707" t="n">
        <f aca="false">SQRT(1+(A594/pole4)^2)</f>
        <v>7.00136087651096</v>
      </c>
      <c r="N594" s="710" t="n">
        <f aca="false">ATAN(A594/pole4)</f>
        <v>1.42747681317918</v>
      </c>
      <c r="O594" s="711" t="n">
        <f aca="false">SQRT((1-(V594/pterm2))^2+(A594/pterm1)^2)</f>
        <v>2.44257798414221</v>
      </c>
      <c r="P594" s="712" t="n">
        <f aca="false">IF((ATAN((A594/pterm1)/(1-A594^2/pterm2))&gt;0),ATAN((A594/pterm1)/(1-A594^2/pterm2)),PI()+ATAN((A594/pterm1)/(1-A594^2/pterm2)))</f>
        <v>1.71135638369309</v>
      </c>
      <c r="Q594" s="713" t="n">
        <f aca="false">20*LOG10(((E594*K594*G594)/(C594*I594*O594*M594))*Adc)</f>
        <v>-38.6992501465583</v>
      </c>
      <c r="R594" s="714" t="n">
        <f aca="false">((F594+L594+H594)-(D594+J594+P594+N594))*radconv</f>
        <v>-273.290258697946</v>
      </c>
      <c r="S594" s="717" t="n">
        <f aca="false">IF(R594&gt;0,R594,R594+180)</f>
        <v>-93.2902586979457</v>
      </c>
      <c r="U594" s="644" t="n">
        <f aca="false">IF(Q594&lt;0,A594,1000000000)</f>
        <v>173780</v>
      </c>
      <c r="V594" s="644" t="n">
        <f aca="false">A594^2</f>
        <v>30199488400</v>
      </c>
      <c r="X594" s="716" t="n">
        <f aca="false">20*LOG10((K594/(I594*M594))*AEA)</f>
        <v>1.00363756398817</v>
      </c>
      <c r="Y594" s="717" t="n">
        <f aca="false">(L594-(J594+N594))*radconv</f>
        <v>-82.0452004245161</v>
      </c>
      <c r="AA594" s="716" t="n">
        <f aca="false">20*LOG10((E594*G594/(C594*O594))*Acs*Am)</f>
        <v>11.7777376440079</v>
      </c>
      <c r="AB594" s="717" t="n">
        <f aca="false">(F594+H594-(D594+P594))*radconv</f>
        <v>-191.24505827343</v>
      </c>
      <c r="AD594" s="0" t="n">
        <f aca="false">SUM((Q595&lt;0)*(Q594&gt;0))*A594</f>
        <v>0</v>
      </c>
      <c r="AE594" s="0" t="n">
        <f aca="false">IF(AD594&gt;0,S594,0)</f>
        <v>0</v>
      </c>
    </row>
    <row r="595" customFormat="false" ht="12.75" hidden="false" customHeight="false" outlineLevel="0" collapsed="false">
      <c r="A595" s="718" t="n">
        <v>190550</v>
      </c>
      <c r="B595" s="706" t="n">
        <f aca="false">A595/1000</f>
        <v>190.55</v>
      </c>
      <c r="C595" s="707" t="n">
        <f aca="false">SQRT(1+(A595/pole1)^2)</f>
        <v>325.408290258616</v>
      </c>
      <c r="D595" s="708" t="n">
        <f aca="false">ATAN(A595/pole1)</f>
        <v>1.56772325950099</v>
      </c>
      <c r="E595" s="708" t="n">
        <f aca="false">SQRT(1+(A595/Zero1)^2)</f>
        <v>2.59494416413307</v>
      </c>
      <c r="F595" s="709" t="n">
        <f aca="false">ATAN(A595/Zero1)</f>
        <v>1.17519326094947</v>
      </c>
      <c r="G595" s="708" t="n">
        <f aca="false">IF(VIN_nom&gt;Vout, 1, SQRT(1+(A595/z_RHP)^2))</f>
        <v>2.99593227616822</v>
      </c>
      <c r="H595" s="709" t="n">
        <f aca="false">IF(VIN_nom&gt;Vout, 0, -ATAN(A595/z_RHP))</f>
        <v>-1.2304793398433</v>
      </c>
      <c r="I595" s="707" t="n">
        <f aca="false">SQRT(1+(A595/Pole2)^2)</f>
        <v>790436.79738061</v>
      </c>
      <c r="J595" s="710" t="n">
        <f aca="false">ATAN(A595/Pole2)</f>
        <v>1.57079506167161</v>
      </c>
      <c r="K595" s="719" t="n">
        <f aca="false">SQRT(1+(A595/Zero2)^2)</f>
        <v>244.566540519496</v>
      </c>
      <c r="L595" s="720" t="n">
        <f aca="false">ATAN(A595/Zero2)</f>
        <v>1.56670744863369</v>
      </c>
      <c r="M595" s="707" t="n">
        <f aca="false">SQRT(1+(A595/pole4)^2)</f>
        <v>7.66381343583393</v>
      </c>
      <c r="N595" s="710" t="n">
        <f aca="false">ATAN(A595/pole4)</f>
        <v>1.43993985137289</v>
      </c>
      <c r="O595" s="711" t="n">
        <f aca="false">SQRT((1-(V595/pterm2))^2+(A595/pterm1)^2)</f>
        <v>2.72197184050943</v>
      </c>
      <c r="P595" s="712" t="n">
        <f aca="false">IF((ATAN((A595/pterm1)/(1-A595^2/pterm2))&gt;0),ATAN((A595/pterm1)/(1-A595^2/pterm2)),PI()+ATAN((A595/pterm1)/(1-A595^2/pterm2)))</f>
        <v>1.79823072821501</v>
      </c>
      <c r="Q595" s="713" t="n">
        <f aca="false">20*LOG10(((E595*K595*G595)/(C595*I595*O595*M595))*Adc)</f>
        <v>-39.8503937473544</v>
      </c>
      <c r="R595" s="714" t="n">
        <f aca="false">((F595+L595+H595)-(D595+J595+P595+N595))*radconv</f>
        <v>-278.759296048046</v>
      </c>
      <c r="S595" s="717" t="n">
        <f aca="false">IF(R595&gt;0,R595,R595+180)</f>
        <v>-98.7592960480457</v>
      </c>
      <c r="U595" s="644" t="n">
        <f aca="false">IF(Q595&lt;0,A595,1000000000)</f>
        <v>190550</v>
      </c>
      <c r="V595" s="644" t="n">
        <f aca="false">A595^2</f>
        <v>36309302500</v>
      </c>
      <c r="X595" s="716" t="n">
        <f aca="false">20*LOG10((K595/(I595*M595))*AEA)</f>
        <v>0.218373663278108</v>
      </c>
      <c r="Y595" s="717" t="n">
        <f aca="false">(L595-(J595+N595))*radconv</f>
        <v>-82.7366793062575</v>
      </c>
      <c r="AA595" s="716" t="n">
        <f aca="false">20*LOG10((E595*G595/(C595*O595))*Acs*Am)</f>
        <v>11.4118579439219</v>
      </c>
      <c r="AB595" s="717" t="n">
        <f aca="false">(F595+H595-(D595+P595))*radconv</f>
        <v>-196.022616741788</v>
      </c>
      <c r="AD595" s="0" t="n">
        <f aca="false">SUM((Q596&lt;0)*(Q595&gt;0))*A595</f>
        <v>0</v>
      </c>
      <c r="AE595" s="0" t="n">
        <f aca="false">IF(AD595&gt;0,S595,0)</f>
        <v>0</v>
      </c>
    </row>
    <row r="596" customFormat="false" ht="12.75" hidden="false" customHeight="false" outlineLevel="0" collapsed="false">
      <c r="A596" s="718" t="n">
        <v>208930</v>
      </c>
      <c r="B596" s="706" t="n">
        <f aca="false">A596/1000</f>
        <v>208.93</v>
      </c>
      <c r="C596" s="707" t="n">
        <f aca="false">SQRT(1+(A596/pole1)^2)</f>
        <v>356.796116952406</v>
      </c>
      <c r="D596" s="708" t="n">
        <f aca="false">ATAN(A596/pole1)</f>
        <v>1.56799360204062</v>
      </c>
      <c r="E596" s="708" t="n">
        <f aca="false">SQRT(1+(A596/Zero1)^2)</f>
        <v>2.80948522714234</v>
      </c>
      <c r="F596" s="709" t="n">
        <f aca="false">ATAN(A596/Zero1)</f>
        <v>1.20687968841654</v>
      </c>
      <c r="G596" s="708" t="n">
        <f aca="false">IF(VIN_nom&gt;Vout, 1, SQRT(1+(A596/z_RHP)^2))</f>
        <v>3.25398719448187</v>
      </c>
      <c r="H596" s="709" t="n">
        <f aca="false">IF(VIN_nom&gt;Vout, 0, -ATAN(A596/z_RHP))</f>
        <v>-1.25842582636002</v>
      </c>
      <c r="I596" s="707" t="n">
        <f aca="false">SQRT(1+(A596/Pole2)^2)</f>
        <v>866680.451727676</v>
      </c>
      <c r="J596" s="710" t="n">
        <f aca="false">ATAN(A596/Pole2)</f>
        <v>1.5707951729671</v>
      </c>
      <c r="K596" s="719" t="n">
        <f aca="false">SQRT(1+(A596/Zero2)^2)</f>
        <v>268.156470548489</v>
      </c>
      <c r="L596" s="720" t="n">
        <f aca="false">ATAN(A596/Zero2)</f>
        <v>1.56706715212405</v>
      </c>
      <c r="M596" s="707" t="n">
        <f aca="false">SQRT(1+(A596/pole4)^2)</f>
        <v>8.39100553327128</v>
      </c>
      <c r="N596" s="710" t="n">
        <f aca="false">ATAN(A596/pole4)</f>
        <v>1.45133717776842</v>
      </c>
      <c r="O596" s="711" t="n">
        <f aca="false">SQRT((1-(V596/pterm2))^2+(A596/pterm1)^2)</f>
        <v>3.05586121238377</v>
      </c>
      <c r="P596" s="712" t="n">
        <f aca="false">IF((ATAN((A596/pterm1)/(1-A596^2/pterm2))&gt;0),ATAN((A596/pterm1)/(1-A596^2/pterm2)),PI()+ATAN((A596/pterm1)/(1-A596^2/pterm2)))</f>
        <v>1.88349858499055</v>
      </c>
      <c r="Q596" s="713" t="n">
        <f aca="false">20*LOG10(((E596*K596*G596)/(C596*I596*O596*M596))*Adc)</f>
        <v>-41.0349660559108</v>
      </c>
      <c r="R596" s="714" t="n">
        <f aca="false">((F596+L596+H596)-(D596+J596+P596+N596))*radconv</f>
        <v>-284.078406615034</v>
      </c>
      <c r="S596" s="717" t="n">
        <f aca="false">IF(R596&gt;0,R596,R596+180)</f>
        <v>-104.078406615034</v>
      </c>
      <c r="U596" s="644" t="n">
        <f aca="false">IF(Q596&lt;0,A596,1000000000)</f>
        <v>208930</v>
      </c>
      <c r="V596" s="644" t="n">
        <f aca="false">A596^2</f>
        <v>43651744900</v>
      </c>
      <c r="X596" s="716" t="n">
        <f aca="false">20*LOG10((K596/(I596*M596))*AEA)</f>
        <v>-0.569020220592767</v>
      </c>
      <c r="Y596" s="717" t="n">
        <f aca="false">(L596-(J596+N596))*radconv</f>
        <v>-83.3690948920654</v>
      </c>
      <c r="AA596" s="716" t="n">
        <f aca="false">20*LOG10((E596*G596/(C596*O596))*Acs*Am)</f>
        <v>11.0146795192364</v>
      </c>
      <c r="AB596" s="717" t="n">
        <f aca="false">(F596+H596-(D596+P596))*radconv</f>
        <v>-200.709311722969</v>
      </c>
      <c r="AD596" s="0" t="n">
        <f aca="false">SUM((Q597&lt;0)*(Q596&gt;0))*A596</f>
        <v>0</v>
      </c>
      <c r="AE596" s="0" t="n">
        <f aca="false">IF(AD596&gt;0,S596,0)</f>
        <v>0</v>
      </c>
    </row>
    <row r="597" customFormat="false" ht="12.75" hidden="false" customHeight="false" outlineLevel="0" collapsed="false">
      <c r="A597" s="718" t="n">
        <v>229090</v>
      </c>
      <c r="B597" s="706" t="n">
        <f aca="false">A597/1000</f>
        <v>229.09</v>
      </c>
      <c r="C597" s="707" t="n">
        <f aca="false">SQRT(1+(A597/pole1)^2)</f>
        <v>391.223703708837</v>
      </c>
      <c r="D597" s="708" t="n">
        <f aca="false">ATAN(A597/pole1)</f>
        <v>1.5682402416716</v>
      </c>
      <c r="E597" s="708" t="n">
        <f aca="false">SQRT(1+(A597/Zero1)^2)</f>
        <v>3.04756644751443</v>
      </c>
      <c r="F597" s="709" t="n">
        <f aca="false">ATAN(A597/Zero1)</f>
        <v>1.23647233747839</v>
      </c>
      <c r="G597" s="708" t="n">
        <f aca="false">IF(VIN_nom&gt;Vout, 1, SQRT(1+(A597/z_RHP)^2))</f>
        <v>3.53950765298225</v>
      </c>
      <c r="H597" s="709" t="n">
        <f aca="false">IF(VIN_nom&gt;Vout, 0, -ATAN(A597/z_RHP))</f>
        <v>-1.28437081975131</v>
      </c>
      <c r="I597" s="707" t="n">
        <f aca="false">SQRT(1+(A597/Pole2)^2)</f>
        <v>950307.876735132</v>
      </c>
      <c r="J597" s="710" t="n">
        <f aca="false">ATAN(A597/Pole2)</f>
        <v>1.57079527450434</v>
      </c>
      <c r="K597" s="719" t="n">
        <f aca="false">SQRT(1+(A597/Zero2)^2)</f>
        <v>294.030986291374</v>
      </c>
      <c r="L597" s="720" t="n">
        <f aca="false">ATAN(A597/Zero2)</f>
        <v>1.56739531814467</v>
      </c>
      <c r="M597" s="707" t="n">
        <f aca="false">SQRT(1+(A597/pole4)^2)</f>
        <v>9.18966747132176</v>
      </c>
      <c r="N597" s="710" t="n">
        <f aca="false">ATAN(A597/pole4)</f>
        <v>1.46176255067869</v>
      </c>
      <c r="O597" s="711" t="n">
        <f aca="false">SQRT((1-(V597/pterm2))^2+(A597/pterm1)^2)</f>
        <v>3.45550525972404</v>
      </c>
      <c r="P597" s="712" t="n">
        <f aca="false">IF((ATAN((A597/pterm1)/(1-A597^2/pterm2))&gt;0),ATAN((A597/pterm1)/(1-A597^2/pterm2)),PI()+ATAN((A597/pterm1)/(1-A597^2/pterm2)))</f>
        <v>1.96668591727824</v>
      </c>
      <c r="Q597" s="713" t="n">
        <f aca="false">20*LOG10(((E597*K597*G597)/(C597*I597*O597*M597))*Adc)</f>
        <v>-42.2552825302881</v>
      </c>
      <c r="R597" s="714" t="n">
        <f aca="false">((F597+L597+H597)-(D597+J597+P597+N597))*radconv</f>
        <v>-289.228358962135</v>
      </c>
      <c r="S597" s="717" t="n">
        <f aca="false">IF(R597&gt;0,R597,R597+180)</f>
        <v>-109.228358962135</v>
      </c>
      <c r="U597" s="644" t="n">
        <f aca="false">IF(Q597&lt;0,A597,1000000000)</f>
        <v>229090</v>
      </c>
      <c r="V597" s="644" t="n">
        <f aca="false">A597^2</f>
        <v>52482228100</v>
      </c>
      <c r="X597" s="716" t="n">
        <f aca="false">20*LOG10((K597/(I597*M597))*AEA)</f>
        <v>-1.35874616703145</v>
      </c>
      <c r="Y597" s="717" t="n">
        <f aca="false">(L597-(J597+N597))*radconv</f>
        <v>-83.9476280500295</v>
      </c>
      <c r="AA597" s="716" t="n">
        <f aca="false">20*LOG10((E597*G597/(C597*O597))*Acs*Am)</f>
        <v>10.5840889912978</v>
      </c>
      <c r="AB597" s="717" t="n">
        <f aca="false">(F597+H597-(D597+P597))*radconv</f>
        <v>-205.280730912105</v>
      </c>
      <c r="AD597" s="0" t="n">
        <f aca="false">SUM((Q598&lt;0)*(Q597&gt;0))*A597</f>
        <v>0</v>
      </c>
      <c r="AE597" s="0" t="n">
        <f aca="false">IF(AD597&gt;0,S597,0)</f>
        <v>0</v>
      </c>
    </row>
    <row r="598" customFormat="false" ht="12.75" hidden="false" customHeight="false" outlineLevel="0" collapsed="false">
      <c r="A598" s="718" t="n">
        <v>251190</v>
      </c>
      <c r="B598" s="706" t="n">
        <f aca="false">A598/1000</f>
        <v>251.19</v>
      </c>
      <c r="C598" s="707" t="n">
        <f aca="false">SQRT(1+(A598/pole1)^2)</f>
        <v>428.964285347208</v>
      </c>
      <c r="D598" s="708" t="n">
        <f aca="false">ATAN(A598/pole1)</f>
        <v>1.56846512827813</v>
      </c>
      <c r="E598" s="708" t="n">
        <f aca="false">SQRT(1+(A598/Zero1)^2)</f>
        <v>3.3111609193402</v>
      </c>
      <c r="F598" s="709" t="n">
        <f aca="false">ATAN(A598/Zero1)</f>
        <v>1.2639970952251</v>
      </c>
      <c r="G598" s="708" t="n">
        <f aca="false">IF(VIN_nom&gt;Vout, 1, SQRT(1+(A598/z_RHP)^2))</f>
        <v>3.85481521037359</v>
      </c>
      <c r="H598" s="709" t="n">
        <f aca="false">IF(VIN_nom&gt;Vout, 0, -ATAN(A598/z_RHP))</f>
        <v>-1.30837907406624</v>
      </c>
      <c r="I598" s="707" t="n">
        <f aca="false">SQRT(1+(A598/Pole2)^2)</f>
        <v>1041982.78212526</v>
      </c>
      <c r="J598" s="710" t="n">
        <f aca="false">ATAN(A598/Pole2)</f>
        <v>1.57079536708614</v>
      </c>
      <c r="K598" s="719" t="n">
        <f aca="false">SQRT(1+(A598/Zero2)^2)</f>
        <v>322.395441052762</v>
      </c>
      <c r="L598" s="720" t="n">
        <f aca="false">ATAN(A598/Zero2)</f>
        <v>1.56769454098723</v>
      </c>
      <c r="M598" s="707" t="n">
        <f aca="false">SQRT(1+(A598/pole4)^2)</f>
        <v>10.0661414427611</v>
      </c>
      <c r="N598" s="710" t="n">
        <f aca="false">ATAN(A598/pole4)</f>
        <v>1.47128926243943</v>
      </c>
      <c r="O598" s="711" t="n">
        <f aca="false">SQRT((1-(V598/pterm2))^2+(A598/pterm1)^2)</f>
        <v>3.93396274436391</v>
      </c>
      <c r="P598" s="712" t="n">
        <f aca="false">IF((ATAN((A598/pterm1)/(1-A598^2/pterm2))&gt;0),ATAN((A598/pterm1)/(1-A598^2/pterm2)),PI()+ATAN((A598/pterm1)/(1-A598^2/pterm2)))</f>
        <v>2.04726403251423</v>
      </c>
      <c r="Q598" s="713" t="n">
        <f aca="false">20*LOG10(((E598*K598*G598)/(C598*I598*O598*M598))*Adc)</f>
        <v>-43.5110925585921</v>
      </c>
      <c r="R598" s="714" t="n">
        <f aca="false">((F598+L598+H598)-(D598+J598+P598+N598))*radconv</f>
        <v>-294.18525061514</v>
      </c>
      <c r="S598" s="717" t="n">
        <f aca="false">IF(R598&gt;0,R598,R598+180)</f>
        <v>-114.18525061514</v>
      </c>
      <c r="U598" s="644" t="n">
        <f aca="false">IF(Q598&lt;0,A598,1000000000)</f>
        <v>251190</v>
      </c>
      <c r="V598" s="644" t="n">
        <f aca="false">A598^2</f>
        <v>63096416100</v>
      </c>
      <c r="X598" s="716" t="n">
        <f aca="false">20*LOG10((K598/(I598*M598))*AEA)</f>
        <v>-2.15001925398945</v>
      </c>
      <c r="Y598" s="717" t="n">
        <f aca="false">(L598-(J598+N598))*radconv</f>
        <v>-84.476329525695</v>
      </c>
      <c r="AA598" s="716" t="n">
        <f aca="false">20*LOG10((E598*G598/(C598*O598))*Acs*Am)</f>
        <v>10.1195520499517</v>
      </c>
      <c r="AB598" s="717" t="n">
        <f aca="false">(F598+H598-(D598+P598))*radconv</f>
        <v>-209.708921089445</v>
      </c>
      <c r="AD598" s="0" t="n">
        <f aca="false">SUM((Q599&lt;0)*(Q598&gt;0))*A598</f>
        <v>0</v>
      </c>
      <c r="AE598" s="0" t="n">
        <f aca="false">IF(AD598&gt;0,S598,0)</f>
        <v>0</v>
      </c>
    </row>
    <row r="599" customFormat="false" ht="12.75" hidden="false" customHeight="false" outlineLevel="0" collapsed="false">
      <c r="A599" s="718" t="n">
        <v>275420</v>
      </c>
      <c r="B599" s="706" t="n">
        <f aca="false">A599/1000</f>
        <v>275.42</v>
      </c>
      <c r="C599" s="707" t="n">
        <f aca="false">SQRT(1+(A599/pole1)^2)</f>
        <v>470.342328397023</v>
      </c>
      <c r="D599" s="708" t="n">
        <f aca="false">ATAN(A599/pole1)</f>
        <v>1.56867021418921</v>
      </c>
      <c r="E599" s="708" t="n">
        <f aca="false">SQRT(1+(A599/Zero1)^2)</f>
        <v>3.60260006270202</v>
      </c>
      <c r="F599" s="709" t="n">
        <f aca="false">ATAN(A599/Zero1)</f>
        <v>1.28952493752891</v>
      </c>
      <c r="G599" s="708" t="n">
        <f aca="false">IF(VIN_nom&gt;Vout, 1, SQRT(1+(A599/z_RHP)^2))</f>
        <v>4.20266310926358</v>
      </c>
      <c r="H599" s="709" t="n">
        <f aca="false">IF(VIN_nom&gt;Vout, 0, -ATAN(A599/z_RHP))</f>
        <v>-1.33054744865873</v>
      </c>
      <c r="I599" s="707" t="n">
        <f aca="false">SQRT(1+(A599/Pole2)^2)</f>
        <v>1142493.32319327</v>
      </c>
      <c r="J599" s="710" t="n">
        <f aca="false">ATAN(A599/Pole2)</f>
        <v>1.57079545151626</v>
      </c>
      <c r="K599" s="719" t="n">
        <f aca="false">SQRT(1+(A599/Zero2)^2)</f>
        <v>353.493692123469</v>
      </c>
      <c r="L599" s="720" t="n">
        <f aca="false">ATAN(A599/Zero2)</f>
        <v>1.56796741822858</v>
      </c>
      <c r="M599" s="707" t="n">
        <f aca="false">SQRT(1+(A599/pole4)^2)</f>
        <v>11.0279649754273</v>
      </c>
      <c r="N599" s="710" t="n">
        <f aca="false">ATAN(A599/pole4)</f>
        <v>1.47999303429141</v>
      </c>
      <c r="O599" s="711" t="n">
        <f aca="false">SQRT((1-(V599/pterm2))^2+(A599/pterm1)^2)</f>
        <v>4.50726292812873</v>
      </c>
      <c r="P599" s="712" t="n">
        <f aca="false">IF((ATAN((A599/pterm1)/(1-A599^2/pterm2))&gt;0),ATAN((A599/pterm1)/(1-A599^2/pterm2)),PI()+ATAN((A599/pterm1)/(1-A599^2/pterm2)))</f>
        <v>2.12483429318731</v>
      </c>
      <c r="Q599" s="713" t="n">
        <f aca="false">20*LOG10(((E599*K599*G599)/(C599*I599*O599*M599))*Adc)</f>
        <v>-44.8021226064008</v>
      </c>
      <c r="R599" s="714" t="n">
        <f aca="false">((F599+L599+H599)-(D599+J599+P599+N599))*radconv</f>
        <v>-298.932025924933</v>
      </c>
      <c r="S599" s="717" t="n">
        <f aca="false">IF(R599&gt;0,R599,R599+180)</f>
        <v>-118.932025924933</v>
      </c>
      <c r="U599" s="644" t="n">
        <f aca="false">IF(Q599&lt;0,A599,1000000000)</f>
        <v>275420</v>
      </c>
      <c r="V599" s="644" t="n">
        <f aca="false">A599^2</f>
        <v>75856176400</v>
      </c>
      <c r="X599" s="716" t="n">
        <f aca="false">20*LOG10((K599/(I599*M599))*AEA)</f>
        <v>-2.94267327449047</v>
      </c>
      <c r="Y599" s="717" t="n">
        <f aca="false">(L599-(J599+N599))*radconv</f>
        <v>-84.9593890424454</v>
      </c>
      <c r="AA599" s="716" t="n">
        <f aca="false">20*LOG10((E599*G599/(C599*O599))*Acs*Am)</f>
        <v>9.62117602264403</v>
      </c>
      <c r="AB599" s="717" t="n">
        <f aca="false">(F599+H599-(D599+P599))*radconv</f>
        <v>-213.972636882488</v>
      </c>
      <c r="AD599" s="0" t="n">
        <f aca="false">SUM((Q600&lt;0)*(Q599&gt;0))*A599</f>
        <v>0</v>
      </c>
      <c r="AE599" s="0" t="n">
        <f aca="false">IF(AD599&gt;0,S599,0)</f>
        <v>0</v>
      </c>
    </row>
    <row r="600" customFormat="false" ht="12.75" hidden="false" customHeight="false" outlineLevel="0" collapsed="false">
      <c r="A600" s="718" t="n">
        <v>302000</v>
      </c>
      <c r="B600" s="706" t="n">
        <f aca="false">A600/1000</f>
        <v>302</v>
      </c>
      <c r="C600" s="707" t="n">
        <f aca="false">SQRT(1+(A600/pole1)^2)</f>
        <v>515.733531155195</v>
      </c>
      <c r="D600" s="708" t="n">
        <f aca="false">ATAN(A600/pole1)</f>
        <v>1.56885733976729</v>
      </c>
      <c r="E600" s="708" t="n">
        <f aca="false">SQRT(1+(A600/Zero1)^2)</f>
        <v>3.92458384594304</v>
      </c>
      <c r="F600" s="709" t="n">
        <f aca="false">ATAN(A600/Zero1)</f>
        <v>1.3131512302668</v>
      </c>
      <c r="G600" s="708" t="n">
        <f aca="false">IF(VIN_nom&gt;Vout, 1, SQRT(1+(A600/z_RHP)^2))</f>
        <v>4.58624482543855</v>
      </c>
      <c r="H600" s="709" t="n">
        <f aca="false">IF(VIN_nom&gt;Vout, 0, -ATAN(A600/z_RHP))</f>
        <v>-1.35098723782441</v>
      </c>
      <c r="I600" s="707" t="n">
        <f aca="false">SQRT(1+(A600/Pole2)^2)</f>
        <v>1252752.10080729</v>
      </c>
      <c r="J600" s="710" t="n">
        <f aca="false">ATAN(A600/Pole2)</f>
        <v>1.57079552855237</v>
      </c>
      <c r="K600" s="719" t="n">
        <f aca="false">SQRT(1+(A600/Zero2)^2)</f>
        <v>387.608100856628</v>
      </c>
      <c r="L600" s="720" t="n">
        <f aca="false">ATAN(A600/Zero2)</f>
        <v>1.56821639849327</v>
      </c>
      <c r="M600" s="707" t="n">
        <f aca="false">SQRT(1+(A600/pole4)^2)</f>
        <v>12.0838735572789</v>
      </c>
      <c r="N600" s="710" t="n">
        <f aca="false">ATAN(A600/pole4)</f>
        <v>1.48794665749514</v>
      </c>
      <c r="O600" s="711" t="n">
        <f aca="false">SQRT((1-(V600/pterm2))^2+(A600/pterm1)^2)</f>
        <v>5.19504294966277</v>
      </c>
      <c r="P600" s="712" t="n">
        <f aca="false">IF((ATAN((A600/pterm1)/(1-A600^2/pterm2))&gt;0),ATAN((A600/pterm1)/(1-A600^2/pterm2)),PI()+ATAN((A600/pterm1)/(1-A600^2/pterm2)))</f>
        <v>2.19910093385621</v>
      </c>
      <c r="Q600" s="713" t="n">
        <f aca="false">20*LOG10(((E600*K600*G600)/(C600*I600*O600*M600))*Adc)</f>
        <v>-46.1278910685371</v>
      </c>
      <c r="R600" s="714" t="n">
        <f aca="false">((F600+L600+H600)-(D600+J600+P600+N600))*radconv</f>
        <v>-303.456787235723</v>
      </c>
      <c r="S600" s="717" t="n">
        <f aca="false">IF(R600&gt;0,R600,R600+180)</f>
        <v>-123.456787235723</v>
      </c>
      <c r="U600" s="644" t="n">
        <f aca="false">IF(Q600&lt;0,A600,1000000000)</f>
        <v>302000</v>
      </c>
      <c r="V600" s="644" t="n">
        <f aca="false">A600^2</f>
        <v>91204000000</v>
      </c>
      <c r="X600" s="716" t="n">
        <f aca="false">20*LOG10((K600/(I600*M600))*AEA)</f>
        <v>-3.73689500605362</v>
      </c>
      <c r="Y600" s="717" t="n">
        <f aca="false">(L600-(J600+N600))*radconv</f>
        <v>-85.4008369798557</v>
      </c>
      <c r="AA600" s="716" t="n">
        <f aca="false">20*LOG10((E600*G600/(C600*O600))*Acs*Am)</f>
        <v>9.08962929207088</v>
      </c>
      <c r="AB600" s="717" t="n">
        <f aca="false">(F600+H600-(D600+P600))*radconv</f>
        <v>-218.055950255867</v>
      </c>
      <c r="AD600" s="0" t="n">
        <f aca="false">SUM((Q601&lt;0)*(Q600&gt;0))*A600</f>
        <v>0</v>
      </c>
      <c r="AE600" s="0" t="n">
        <f aca="false">IF(AD600&gt;0,S600,0)</f>
        <v>0</v>
      </c>
    </row>
    <row r="601" customFormat="false" ht="12.75" hidden="false" customHeight="false" outlineLevel="0" collapsed="false">
      <c r="A601" s="718" t="n">
        <v>331130</v>
      </c>
      <c r="B601" s="706" t="n">
        <f aca="false">A601/1000</f>
        <v>331.13</v>
      </c>
      <c r="C601" s="707" t="n">
        <f aca="false">SQRT(1+(A601/pole1)^2)</f>
        <v>565.479437659557</v>
      </c>
      <c r="D601" s="708" t="n">
        <f aca="false">ATAN(A601/pole1)</f>
        <v>1.56902791497545</v>
      </c>
      <c r="E601" s="708" t="n">
        <f aca="false">SQRT(1+(A601/Zero1)^2)</f>
        <v>4.27957618512057</v>
      </c>
      <c r="F601" s="709" t="n">
        <f aca="false">ATAN(A601/Zero1)</f>
        <v>1.33494791101567</v>
      </c>
      <c r="G601" s="708" t="n">
        <f aca="false">IF(VIN_nom&gt;Vout, 1, SQRT(1+(A601/z_RHP)^2))</f>
        <v>5.00847297631815</v>
      </c>
      <c r="H601" s="709" t="n">
        <f aca="false">IF(VIN_nom&gt;Vout, 0, -ATAN(A601/z_RHP))</f>
        <v>-1.36978371646923</v>
      </c>
      <c r="I601" s="707" t="n">
        <f aca="false">SQRT(1+(A601/Pole2)^2)</f>
        <v>1373588.75212019</v>
      </c>
      <c r="J601" s="710" t="n">
        <f aca="false">ATAN(A601/Pole2)</f>
        <v>1.57079559877496</v>
      </c>
      <c r="K601" s="719" t="n">
        <f aca="false">SQRT(1+(A601/Zero2)^2)</f>
        <v>424.995359566483</v>
      </c>
      <c r="L601" s="720" t="n">
        <f aca="false">ATAN(A601/Zero2)</f>
        <v>1.56844335775598</v>
      </c>
      <c r="M601" s="707" t="n">
        <f aca="false">SQRT(1+(A601/pole4)^2)</f>
        <v>13.2418138092172</v>
      </c>
      <c r="N601" s="710" t="n">
        <f aca="false">ATAN(A601/pole4)</f>
        <v>1.49520600618375</v>
      </c>
      <c r="O601" s="711" t="n">
        <f aca="false">SQRT((1-(V601/pterm2))^2+(A601/pterm1)^2)</f>
        <v>6.0198281878213</v>
      </c>
      <c r="P601" s="712" t="n">
        <f aca="false">IF((ATAN((A601/pterm1)/(1-A601^2/pterm2))&gt;0),ATAN((A601/pterm1)/(1-A601^2/pterm2)),PI()+ATAN((A601/pterm1)/(1-A601^2/pterm2)))</f>
        <v>2.26973768835584</v>
      </c>
      <c r="Q601" s="713" t="n">
        <f aca="false">20*LOG10(((E601*K601*G601)/(C601*I601*O601*M601))*Adc)</f>
        <v>-47.4853450738501</v>
      </c>
      <c r="R601" s="714" t="n">
        <f aca="false">((F601+L601+H601)-(D601+J601+P601+N601))*radconv</f>
        <v>-307.744779730677</v>
      </c>
      <c r="S601" s="717" t="n">
        <f aca="false">IF(R601&gt;0,R601,R601+180)</f>
        <v>-127.744779730677</v>
      </c>
      <c r="U601" s="644" t="n">
        <f aca="false">IF(Q601&lt;0,A601,1000000000)</f>
        <v>331130</v>
      </c>
      <c r="V601" s="644" t="n">
        <f aca="false">A601^2</f>
        <v>109647076900</v>
      </c>
      <c r="X601" s="716" t="n">
        <f aca="false">20*LOG10((K601/(I601*M601))*AEA)</f>
        <v>-4.53172596384022</v>
      </c>
      <c r="Y601" s="717" t="n">
        <f aca="false">(L601-(J601+N601))*radconv</f>
        <v>-85.8037672377706</v>
      </c>
      <c r="AA601" s="716" t="n">
        <f aca="false">20*LOG10((E601*G601/(C601*O601))*Acs*Am)</f>
        <v>8.52700624454447</v>
      </c>
      <c r="AB601" s="717" t="n">
        <f aca="false">(F601+H601-(D601+P601))*radconv</f>
        <v>-221.941012492906</v>
      </c>
      <c r="AD601" s="0" t="n">
        <f aca="false">SUM((Q602&lt;0)*(Q601&gt;0))*A601</f>
        <v>0</v>
      </c>
      <c r="AE601" s="0" t="n">
        <f aca="false">IF(AD601&gt;0,S601,0)</f>
        <v>0</v>
      </c>
    </row>
    <row r="602" customFormat="false" ht="12.75" hidden="false" customHeight="false" outlineLevel="0" collapsed="false">
      <c r="A602" s="718" t="n">
        <v>363080</v>
      </c>
      <c r="B602" s="706" t="n">
        <f aca="false">A602/1000</f>
        <v>363.08</v>
      </c>
      <c r="C602" s="707" t="n">
        <f aca="false">SQRT(1+(A602/pole1)^2)</f>
        <v>620.041132517887</v>
      </c>
      <c r="D602" s="708" t="n">
        <f aca="false">ATAN(A602/pole1)</f>
        <v>1.56918352986728</v>
      </c>
      <c r="E602" s="708" t="n">
        <f aca="false">SQRT(1+(A602/Zero1)^2)</f>
        <v>4.67089916678632</v>
      </c>
      <c r="F602" s="709" t="n">
        <f aca="false">ATAN(A602/Zero1)</f>
        <v>1.35503461487742</v>
      </c>
      <c r="G602" s="708" t="n">
        <f aca="false">IF(VIN_nom&gt;Vout, 1, SQRT(1+(A602/z_RHP)^2))</f>
        <v>5.47328116768102</v>
      </c>
      <c r="H602" s="709" t="n">
        <f aca="false">IF(VIN_nom&gt;Vout, 0, -ATAN(A602/z_RHP))</f>
        <v>-1.38705849054549</v>
      </c>
      <c r="I602" s="707" t="n">
        <f aca="false">SQRT(1+(A602/Pole2)^2)</f>
        <v>1506123.2872883</v>
      </c>
      <c r="J602" s="710" t="n">
        <f aca="false">ATAN(A602/Pole2)</f>
        <v>1.57079566283863</v>
      </c>
      <c r="K602" s="719" t="n">
        <f aca="false">SQRT(1+(A602/Zero2)^2)</f>
        <v>466.002003085748</v>
      </c>
      <c r="L602" s="720" t="n">
        <f aca="false">ATAN(A602/Zero2)</f>
        <v>1.56865041162528</v>
      </c>
      <c r="M602" s="707" t="n">
        <f aca="false">SQRT(1+(A602/pole4)^2)</f>
        <v>14.5125194124716</v>
      </c>
      <c r="N602" s="710" t="n">
        <f aca="false">ATAN(A602/pole4)</f>
        <v>1.50183565861953</v>
      </c>
      <c r="O602" s="711" t="n">
        <f aca="false">SQRT((1-(V602/pterm2))^2+(A602/pterm1)^2)</f>
        <v>7.01014906252733</v>
      </c>
      <c r="P602" s="712" t="n">
        <f aca="false">IF((ATAN((A602/pterm1)/(1-A602^2/pterm2))&gt;0),ATAN((A602/pterm1)/(1-A602^2/pterm2)),PI()+ATAN((A602/pterm1)/(1-A602^2/pterm2)))</f>
        <v>2.33662600837317</v>
      </c>
      <c r="Q602" s="713" t="n">
        <f aca="false">20*LOG10(((E602*K602*G602)/(C602*I602*O602*M602))*Adc)</f>
        <v>-48.8733495732337</v>
      </c>
      <c r="R602" s="714" t="n">
        <f aca="false">((F602+L602+H602)-(D602+J602+P602+N602))*radconv</f>
        <v>-311.792994000496</v>
      </c>
      <c r="S602" s="717" t="n">
        <f aca="false">IF(R602&gt;0,R602,R602+180)</f>
        <v>-131.792994000496</v>
      </c>
      <c r="U602" s="644" t="n">
        <f aca="false">IF(Q602&lt;0,A602,1000000000)</f>
        <v>363080</v>
      </c>
      <c r="V602" s="644" t="n">
        <f aca="false">A602^2</f>
        <v>131827086400</v>
      </c>
      <c r="X602" s="716" t="n">
        <f aca="false">20*LOG10((K602/(I602*M602))*AEA)</f>
        <v>-5.32763674183099</v>
      </c>
      <c r="Y602" s="717" t="n">
        <f aca="false">(L602-(J602+N602))*radconv</f>
        <v>-86.1717587001351</v>
      </c>
      <c r="AA602" s="716" t="n">
        <f aca="false">20*LOG10((E602*G602/(C602*O602))*Acs*Am)</f>
        <v>7.93491252315163</v>
      </c>
      <c r="AB602" s="717" t="n">
        <f aca="false">(F602+H602-(D602+P602))*radconv</f>
        <v>-225.621235300361</v>
      </c>
      <c r="AD602" s="0" t="n">
        <f aca="false">SUM((Q603&lt;0)*(Q602&gt;0))*A602</f>
        <v>0</v>
      </c>
      <c r="AE602" s="0" t="n">
        <f aca="false">IF(AD602&gt;0,S602,0)</f>
        <v>0</v>
      </c>
    </row>
    <row r="603" customFormat="false" ht="12.75" hidden="false" customHeight="false" outlineLevel="0" collapsed="false">
      <c r="A603" s="718" t="n">
        <v>398110</v>
      </c>
      <c r="B603" s="706" t="n">
        <f aca="false">A603/1000</f>
        <v>398.11</v>
      </c>
      <c r="C603" s="707" t="n">
        <f aca="false">SQRT(1+(A603/pole1)^2)</f>
        <v>679.862623267633</v>
      </c>
      <c r="D603" s="708" t="n">
        <f aca="false">ATAN(A603/pole1)</f>
        <v>1.56932544087418</v>
      </c>
      <c r="E603" s="708" t="n">
        <f aca="false">SQRT(1+(A603/Zero1)^2)</f>
        <v>5.10176301128761</v>
      </c>
      <c r="F603" s="709" t="n">
        <f aca="false">ATAN(A603/Zero1)</f>
        <v>1.37350831675429</v>
      </c>
      <c r="G603" s="708" t="n">
        <f aca="false">IF(VIN_nom&gt;Vout, 1, SQRT(1+(A603/z_RHP)^2))</f>
        <v>5.9844682893867</v>
      </c>
      <c r="H603" s="709" t="n">
        <f aca="false">IF(VIN_nom&gt;Vout, 0, -ATAN(A603/z_RHP))</f>
        <v>-1.40290953931179</v>
      </c>
      <c r="I603" s="707" t="n">
        <f aca="false">SQRT(1+(A603/Pole2)^2)</f>
        <v>1651434.23461034</v>
      </c>
      <c r="J603" s="710" t="n">
        <f aca="false">ATAN(A603/Pole2)</f>
        <v>1.57079572126064</v>
      </c>
      <c r="K603" s="719" t="n">
        <f aca="false">SQRT(1+(A603/Zero2)^2)</f>
        <v>510.961731806474</v>
      </c>
      <c r="L603" s="720" t="n">
        <f aca="false">ATAN(A603/Zero2)</f>
        <v>1.56883923181865</v>
      </c>
      <c r="M603" s="707" t="n">
        <f aca="false">SQRT(1+(A603/pole4)^2)</f>
        <v>15.9063321013782</v>
      </c>
      <c r="N603" s="710" t="n">
        <f aca="false">ATAN(A603/pole4)</f>
        <v>1.5078867949283</v>
      </c>
      <c r="O603" s="711" t="n">
        <f aca="false">SQRT((1-(V603/pterm2))^2+(A603/pterm1)^2)</f>
        <v>8.19924933710727</v>
      </c>
      <c r="P603" s="712" t="n">
        <f aca="false">IF((ATAN((A603/pterm1)/(1-A603^2/pterm2))&gt;0),ATAN((A603/pterm1)/(1-A603^2/pterm2)),PI()+ATAN((A603/pterm1)/(1-A603^2/pterm2)))</f>
        <v>2.39963803523782</v>
      </c>
      <c r="Q603" s="713" t="n">
        <f aca="false">20*LOG10(((E603*K603*G603)/(C603*I603*O603*M603))*Adc)</f>
        <v>-50.288895686521</v>
      </c>
      <c r="R603" s="714" t="n">
        <f aca="false">((F603+L603+H603)-(D603+J603+P603+N603))*radconv</f>
        <v>-315.59707046907</v>
      </c>
      <c r="S603" s="717" t="n">
        <f aca="false">IF(R603&gt;0,R603,R603+180)</f>
        <v>-135.59707046907</v>
      </c>
      <c r="U603" s="644" t="n">
        <f aca="false">IF(Q603&lt;0,A603,1000000000)</f>
        <v>398110</v>
      </c>
      <c r="V603" s="644" t="n">
        <f aca="false">A603^2</f>
        <v>158491572100</v>
      </c>
      <c r="X603" s="716" t="n">
        <f aca="false">20*LOG10((K603/(I603*M603))*AEA)</f>
        <v>-6.12418474608273</v>
      </c>
      <c r="Y603" s="717" t="n">
        <f aca="false">(L603-(J603+N603))*radconv</f>
        <v>-86.5076480194373</v>
      </c>
      <c r="AA603" s="716" t="n">
        <f aca="false">20*LOG10((E603*G603/(C603*O603))*Acs*Am)</f>
        <v>7.31591441411611</v>
      </c>
      <c r="AB603" s="717" t="n">
        <f aca="false">(F603+H603-(D603+P603))*radconv</f>
        <v>-229.089422449632</v>
      </c>
      <c r="AD603" s="0" t="n">
        <f aca="false">SUM((Q604&lt;0)*(Q603&gt;0))*A603</f>
        <v>0</v>
      </c>
      <c r="AE603" s="0" t="n">
        <f aca="false">IF(AD603&gt;0,S603,0)</f>
        <v>0</v>
      </c>
    </row>
    <row r="604" customFormat="false" ht="12.75" hidden="false" customHeight="false" outlineLevel="0" collapsed="false">
      <c r="A604" s="718" t="n">
        <v>436520</v>
      </c>
      <c r="B604" s="706" t="n">
        <f aca="false">A604/1000</f>
        <v>436.52</v>
      </c>
      <c r="C604" s="707" t="n">
        <f aca="false">SQRT(1+(A604/pole1)^2)</f>
        <v>745.456226414022</v>
      </c>
      <c r="D604" s="708" t="n">
        <f aca="false">ATAN(A604/pole1)</f>
        <v>1.56945486600285</v>
      </c>
      <c r="E604" s="708" t="n">
        <f aca="false">SQRT(1+(A604/Zero1)^2)</f>
        <v>5.57587698012391</v>
      </c>
      <c r="F604" s="709" t="n">
        <f aca="false">ATAN(A604/Zero1)</f>
        <v>1.39047674231682</v>
      </c>
      <c r="G604" s="708" t="n">
        <f aca="false">IF(VIN_nom&gt;Vout, 1, SQRT(1+(A604/z_RHP)^2))</f>
        <v>6.54642428031234</v>
      </c>
      <c r="H604" s="709" t="n">
        <f aca="false">IF(VIN_nom&gt;Vout, 0, -ATAN(A604/z_RHP))</f>
        <v>-1.41744078612605</v>
      </c>
      <c r="I604" s="707" t="n">
        <f aca="false">SQRT(1+(A604/Pole2)^2)</f>
        <v>1810766.04981559</v>
      </c>
      <c r="J604" s="710" t="n">
        <f aca="false">ATAN(A604/Pole2)</f>
        <v>1.57079577454244</v>
      </c>
      <c r="K604" s="719" t="n">
        <f aca="false">SQRT(1+(A604/Zero2)^2)</f>
        <v>560.259584796723</v>
      </c>
      <c r="L604" s="720" t="n">
        <f aca="false">ATAN(A604/Zero2)</f>
        <v>1.56901143893558</v>
      </c>
      <c r="M604" s="707" t="n">
        <f aca="false">SQRT(1+(A604/pole4)^2)</f>
        <v>17.4351892253648</v>
      </c>
      <c r="N604" s="710" t="n">
        <f aca="false">ATAN(A604/pole4)</f>
        <v>1.51340956308013</v>
      </c>
      <c r="O604" s="711" t="n">
        <f aca="false">SQRT((1-(V604/pterm2))^2+(A604/pterm1)^2)</f>
        <v>9.62756932738948</v>
      </c>
      <c r="P604" s="712" t="n">
        <f aca="false">IF((ATAN((A604/pterm1)/(1-A604^2/pterm2))&gt;0),ATAN((A604/pterm1)/(1-A604^2/pterm2)),PI()+ATAN((A604/pterm1)/(1-A604^2/pterm2)))</f>
        <v>2.45874665745118</v>
      </c>
      <c r="Q604" s="713" t="n">
        <f aca="false">20*LOG10(((E604*K604*G604)/(C604*I604*O604*M604))*Adc)</f>
        <v>-51.7294720866707</v>
      </c>
      <c r="R604" s="714" t="n">
        <f aca="false">((F604+L604+H604)-(D604+J604+P604+N604))*radconv</f>
        <v>-319.158088134388</v>
      </c>
      <c r="S604" s="717" t="n">
        <f aca="false">IF(R604&gt;0,R604,R604+180)</f>
        <v>-139.158088134388</v>
      </c>
      <c r="U604" s="644" t="n">
        <f aca="false">IF(Q604&lt;0,A604,1000000000)</f>
        <v>436520</v>
      </c>
      <c r="V604" s="644" t="n">
        <f aca="false">A604^2</f>
        <v>190549710400</v>
      </c>
      <c r="X604" s="716" t="n">
        <f aca="false">20*LOG10((K604/(I604*M604))*AEA)</f>
        <v>-6.92131993486625</v>
      </c>
      <c r="Y604" s="717" t="n">
        <f aca="false">(L604-(J604+N604))*radconv</f>
        <v>-86.8142156379371</v>
      </c>
      <c r="AA604" s="716" t="n">
        <f aca="false">20*LOG10((E604*G604/(C604*O604))*Acs*Am)</f>
        <v>6.67247320274992</v>
      </c>
      <c r="AB604" s="717" t="n">
        <f aca="false">(F604+H604-(D604+P604))*radconv</f>
        <v>-232.343872496451</v>
      </c>
      <c r="AD604" s="0" t="n">
        <f aca="false">SUM((Q605&lt;0)*(Q604&gt;0))*A604</f>
        <v>0</v>
      </c>
      <c r="AE604" s="0" t="n">
        <f aca="false">IF(AD604&gt;0,S604,0)</f>
        <v>0</v>
      </c>
    </row>
    <row r="605" customFormat="false" ht="12.75" hidden="false" customHeight="false" outlineLevel="0" collapsed="false">
      <c r="A605" s="718" t="n">
        <v>478630</v>
      </c>
      <c r="B605" s="706" t="n">
        <f aca="false">A605/1000</f>
        <v>478.63</v>
      </c>
      <c r="C605" s="707" t="n">
        <f aca="false">SQRT(1+(A605/pole1)^2)</f>
        <v>817.368413004207</v>
      </c>
      <c r="D605" s="708" t="n">
        <f aca="false">ATAN(A605/pole1)</f>
        <v>1.56957288797152</v>
      </c>
      <c r="E605" s="708" t="n">
        <f aca="false">SQRT(1+(A605/Zero1)^2)</f>
        <v>6.09720574610508</v>
      </c>
      <c r="F605" s="709" t="n">
        <f aca="false">ATAN(A605/Zero1)</f>
        <v>1.4060424406346</v>
      </c>
      <c r="G605" s="708" t="n">
        <f aca="false">IF(VIN_nom&gt;Vout, 1, SQRT(1+(A605/z_RHP)^2))</f>
        <v>7.16384004156596</v>
      </c>
      <c r="H605" s="709" t="n">
        <f aca="false">IF(VIN_nom&gt;Vout, 0, -ATAN(A605/z_RHP))</f>
        <v>-1.43074903883694</v>
      </c>
      <c r="I605" s="707" t="n">
        <f aca="false">SQRT(1+(A605/Pole2)^2)</f>
        <v>1985446.15234861</v>
      </c>
      <c r="J605" s="710" t="n">
        <f aca="false">ATAN(A605/Pole2)</f>
        <v>1.57079582312976</v>
      </c>
      <c r="K605" s="719" t="n">
        <f aca="false">SQRT(1+(A605/Zero2)^2)</f>
        <v>614.306270539784</v>
      </c>
      <c r="L605" s="720" t="n">
        <f aca="false">ATAN(A605/Zero2)</f>
        <v>1.56916847357313</v>
      </c>
      <c r="M605" s="707" t="n">
        <f aca="false">SQRT(1+(A605/pole4)^2)</f>
        <v>19.1118283590178</v>
      </c>
      <c r="N605" s="710" t="n">
        <f aca="false">ATAN(A605/pole4)</f>
        <v>1.51844880473847</v>
      </c>
      <c r="O605" s="711" t="n">
        <f aca="false">SQRT((1-(V605/pterm2))^2+(A605/pterm1)^2)</f>
        <v>11.3433776461528</v>
      </c>
      <c r="P605" s="712" t="n">
        <f aca="false">IF((ATAN((A605/pterm1)/(1-A605^2/pterm2))&gt;0),ATAN((A605/pterm1)/(1-A605^2/pterm2)),PI()+ATAN((A605/pterm1)/(1-A605^2/pterm2)))</f>
        <v>2.51397109253847</v>
      </c>
      <c r="Q605" s="713" t="n">
        <f aca="false">20*LOG10(((E605*K605*G605)/(C605*I605*O605*M605))*Adc)</f>
        <v>-53.1922266849411</v>
      </c>
      <c r="R605" s="714" t="n">
        <f aca="false">((F605+L605+H605)-(D605+J605+P605+N605))*radconv</f>
        <v>-322.479367890468</v>
      </c>
      <c r="S605" s="717" t="n">
        <f aca="false">IF(R605&gt;0,R605,R605+180)</f>
        <v>-142.479367890468</v>
      </c>
      <c r="U605" s="644" t="n">
        <f aca="false">IF(Q605&lt;0,A605,1000000000)</f>
        <v>478630</v>
      </c>
      <c r="V605" s="644" t="n">
        <f aca="false">A605^2</f>
        <v>229086676900</v>
      </c>
      <c r="X605" s="716" t="n">
        <f aca="false">20*LOG10((K605/(I605*M605))*AEA)</f>
        <v>-7.71883368727465</v>
      </c>
      <c r="Y605" s="717" t="n">
        <f aca="false">(L605-(J605+N605))*radconv</f>
        <v>-87.0939482791061</v>
      </c>
      <c r="AA605" s="716" t="n">
        <f aca="false">20*LOG10((E605*G605/(C605*O605))*Acs*Am)</f>
        <v>6.00723235688793</v>
      </c>
      <c r="AB605" s="717" t="n">
        <f aca="false">(F605+H605-(D605+P605))*radconv</f>
        <v>-235.385419611362</v>
      </c>
      <c r="AD605" s="0" t="n">
        <f aca="false">SUM((Q606&lt;0)*(Q605&gt;0))*A605</f>
        <v>0</v>
      </c>
      <c r="AE605" s="0" t="n">
        <f aca="false">IF(AD605&gt;0,S605,0)</f>
        <v>0</v>
      </c>
    </row>
    <row r="606" customFormat="false" ht="12.75" hidden="false" customHeight="false" outlineLevel="0" collapsed="false">
      <c r="A606" s="718" t="n">
        <v>524810</v>
      </c>
      <c r="B606" s="706" t="n">
        <f aca="false">A606/1000</f>
        <v>524.81</v>
      </c>
      <c r="C606" s="707" t="n">
        <f aca="false">SQRT(1+(A606/pole1)^2)</f>
        <v>896.231040294375</v>
      </c>
      <c r="D606" s="708" t="n">
        <f aca="false">ATAN(A606/pole1)</f>
        <v>1.56968054284797</v>
      </c>
      <c r="E606" s="708" t="n">
        <f aca="false">SQRT(1+(A606/Zero1)^2)</f>
        <v>6.67034161290426</v>
      </c>
      <c r="F606" s="709" t="n">
        <f aca="false">ATAN(A606/Zero1)</f>
        <v>1.4203116399208</v>
      </c>
      <c r="G606" s="708" t="n">
        <f aca="false">IF(VIN_nom&gt;Vout, 1, SQRT(1+(A606/z_RHP)^2))</f>
        <v>7.84214776588454</v>
      </c>
      <c r="H606" s="709" t="n">
        <f aca="false">IF(VIN_nom&gt;Vout, 0, -ATAN(A606/z_RHP))</f>
        <v>-1.4429321099117</v>
      </c>
      <c r="I606" s="707" t="n">
        <f aca="false">SQRT(1+(A606/Pole2)^2)</f>
        <v>2177009.37094217</v>
      </c>
      <c r="J606" s="710" t="n">
        <f aca="false">ATAN(A606/Pole2)</f>
        <v>1.57079586744915</v>
      </c>
      <c r="K606" s="719" t="n">
        <f aca="false">SQRT(1+(A606/Zero2)^2)</f>
        <v>673.576670863044</v>
      </c>
      <c r="L606" s="720" t="n">
        <f aca="false">ATAN(A606/Zero2)</f>
        <v>1.56931171426213</v>
      </c>
      <c r="M606" s="707" t="n">
        <f aca="false">SQRT(1+(A606/pole4)^2)</f>
        <v>20.9509817191184</v>
      </c>
      <c r="N606" s="710" t="n">
        <f aca="false">ATAN(A606/pole4)</f>
        <v>1.52304772471618</v>
      </c>
      <c r="O606" s="711" t="n">
        <f aca="false">SQRT((1-(V606/pterm2))^2+(A606/pterm1)^2)</f>
        <v>13.4055207575735</v>
      </c>
      <c r="P606" s="712" t="n">
        <f aca="false">IF((ATAN((A606/pterm1)/(1-A606^2/pterm2))&gt;0),ATAN((A606/pterm1)/(1-A606^2/pterm2)),PI()+ATAN((A606/pterm1)/(1-A606^2/pterm2)))</f>
        <v>2.56540383570159</v>
      </c>
      <c r="Q606" s="713" t="n">
        <f aca="false">20*LOG10(((E606*K606*G606)/(C606*I606*O606*M606))*Adc)</f>
        <v>-54.675012693232</v>
      </c>
      <c r="R606" s="714" t="n">
        <f aca="false">((F606+L606+H606)-(D606+J606+P606+N606))*radconv</f>
        <v>-325.56818299147</v>
      </c>
      <c r="S606" s="717" t="n">
        <f aca="false">IF(R606&gt;0,R606,R606+180)</f>
        <v>-145.56818299147</v>
      </c>
      <c r="U606" s="644" t="n">
        <f aca="false">IF(Q606&lt;0,A606,1000000000)</f>
        <v>524810</v>
      </c>
      <c r="V606" s="644" t="n">
        <f aca="false">A606^2</f>
        <v>275425536100</v>
      </c>
      <c r="X606" s="716" t="n">
        <f aca="false">20*LOG10((K606/(I606*M606))*AEA)</f>
        <v>-8.51687845339632</v>
      </c>
      <c r="Y606" s="717" t="n">
        <f aca="false">(L606-(J606+N606))*radconv</f>
        <v>-87.349242436818</v>
      </c>
      <c r="AA606" s="716" t="n">
        <f aca="false">20*LOG10((E606*G606/(C606*O606))*Acs*Am)</f>
        <v>5.32249111471867</v>
      </c>
      <c r="AB606" s="717" t="n">
        <f aca="false">(F606+H606-(D606+P606))*radconv</f>
        <v>-238.218940554652</v>
      </c>
      <c r="AD606" s="0" t="n">
        <f aca="false">SUM((Q607&lt;0)*(Q606&gt;0))*A606</f>
        <v>0</v>
      </c>
      <c r="AE606" s="0" t="n">
        <f aca="false">IF(AD606&gt;0,S606,0)</f>
        <v>0</v>
      </c>
    </row>
    <row r="607" customFormat="false" ht="12.75" hidden="false" customHeight="false" outlineLevel="0" collapsed="false">
      <c r="A607" s="718" t="n">
        <v>575440</v>
      </c>
      <c r="B607" s="706" t="n">
        <f aca="false">A607/1000</f>
        <v>575.44</v>
      </c>
      <c r="C607" s="707" t="n">
        <f aca="false">SQRT(1+(A607/pole1)^2)</f>
        <v>982.693042853772</v>
      </c>
      <c r="D607" s="708" t="n">
        <f aca="false">ATAN(A607/pole1)</f>
        <v>1.56977871485609</v>
      </c>
      <c r="E607" s="708" t="n">
        <f aca="false">SQRT(1+(A607/Zero1)^2)</f>
        <v>7.3000097295538</v>
      </c>
      <c r="F607" s="709" t="n">
        <f aca="false">ATAN(A607/Zero1)</f>
        <v>1.43337812069476</v>
      </c>
      <c r="G607" s="708" t="n">
        <f aca="false">IF(VIN_nom&gt;Vout, 1, SQRT(1+(A607/z_RHP)^2))</f>
        <v>8.58693463434273</v>
      </c>
      <c r="H607" s="709" t="n">
        <f aca="false">IF(VIN_nom&gt;Vout, 0, -ATAN(A607/z_RHP))</f>
        <v>-1.45407548487473</v>
      </c>
      <c r="I607" s="707" t="n">
        <f aca="false">SQRT(1+(A607/Pole2)^2)</f>
        <v>2387032.01618669</v>
      </c>
      <c r="J607" s="710" t="n">
        <f aca="false">ATAN(A607/Pole2)</f>
        <v>1.57079590786461</v>
      </c>
      <c r="K607" s="719" t="n">
        <f aca="false">SQRT(1+(A607/Zero2)^2)</f>
        <v>738.558502357518</v>
      </c>
      <c r="L607" s="720" t="n">
        <f aca="false">ATAN(A607/Zero2)</f>
        <v>1.56944233750041</v>
      </c>
      <c r="M607" s="707" t="n">
        <f aca="false">SQRT(1+(A607/pole4)^2)</f>
        <v>22.9677834218816</v>
      </c>
      <c r="N607" s="710" t="n">
        <f aca="false">ATAN(A607/pole4)</f>
        <v>1.52724331187014</v>
      </c>
      <c r="O607" s="711" t="n">
        <f aca="false">SQRT((1-(V607/pterm2))^2+(A607/pterm1)^2)</f>
        <v>15.8835931651803</v>
      </c>
      <c r="P607" s="712" t="n">
        <f aca="false">IF((ATAN((A607/pterm1)/(1-A607^2/pterm2))&gt;0),ATAN((A607/pterm1)/(1-A607^2/pterm2)),PI()+ATAN((A607/pterm1)/(1-A607^2/pterm2)))</f>
        <v>2.61314713687809</v>
      </c>
      <c r="Q607" s="713" t="n">
        <f aca="false">20*LOG10(((E607*K607*G607)/(C607*I607*O607*M607))*Adc)</f>
        <v>-56.1749977704963</v>
      </c>
      <c r="R607" s="714" t="n">
        <f aca="false">((F607+L607+H607)-(D607+J607+P607+N607))*radconv</f>
        <v>-328.432019239264</v>
      </c>
      <c r="S607" s="717" t="n">
        <f aca="false">IF(R607&gt;0,R607,R607+180)</f>
        <v>-148.432019239264</v>
      </c>
      <c r="U607" s="644" t="n">
        <f aca="false">IF(Q607&lt;0,A607,1000000000)</f>
        <v>575440</v>
      </c>
      <c r="V607" s="644" t="n">
        <f aca="false">A607^2</f>
        <v>331131193600</v>
      </c>
      <c r="X607" s="716" t="n">
        <f aca="false">20*LOG10((K607/(I607*M607))*AEA)</f>
        <v>-9.31517419080082</v>
      </c>
      <c r="Y607" s="717" t="n">
        <f aca="false">(L607-(J607+N607))*radconv</f>
        <v>-87.5821500289613</v>
      </c>
      <c r="AA607" s="716" t="n">
        <f aca="false">20*LOG10((E607*G607/(C607*O607))*Acs*Am)</f>
        <v>4.62080177485888</v>
      </c>
      <c r="AB607" s="717" t="n">
        <f aca="false">(F607+H607-(D607+P607))*radconv</f>
        <v>-240.849869210303</v>
      </c>
      <c r="AD607" s="0" t="n">
        <f aca="false">SUM((Q608&lt;0)*(Q607&gt;0))*A607</f>
        <v>0</v>
      </c>
      <c r="AE607" s="0" t="n">
        <f aca="false">IF(AD607&gt;0,S607,0)</f>
        <v>0</v>
      </c>
    </row>
    <row r="608" customFormat="false" ht="12.75" hidden="false" customHeight="false" outlineLevel="0" collapsed="false">
      <c r="A608" s="718" t="n">
        <v>630960</v>
      </c>
      <c r="B608" s="706" t="n">
        <f aca="false">A608/1000</f>
        <v>630.96</v>
      </c>
      <c r="C608" s="707" t="n">
        <f aca="false">SQRT(1+(A608/pole1)^2)</f>
        <v>1077.50581868989</v>
      </c>
      <c r="D608" s="708" t="n">
        <f aca="false">ATAN(A608/pole1)</f>
        <v>1.56986825742747</v>
      </c>
      <c r="E608" s="708" t="n">
        <f aca="false">SQRT(1+(A608/Zero1)^2)</f>
        <v>7.99168903011004</v>
      </c>
      <c r="F608" s="709" t="n">
        <f aca="false">ATAN(A608/Zero1)</f>
        <v>1.44533747295737</v>
      </c>
      <c r="G608" s="708" t="n">
        <f aca="false">IF(VIN_nom&gt;Vout, 1, SQRT(1+(A608/z_RHP)^2))</f>
        <v>9.40467742122913</v>
      </c>
      <c r="H608" s="709" t="n">
        <f aca="false">IF(VIN_nom&gt;Vout, 0, -ATAN(A608/z_RHP))</f>
        <v>-1.46426486861982</v>
      </c>
      <c r="I608" s="707" t="n">
        <f aca="false">SQRT(1+(A608/Pole2)^2)</f>
        <v>2617339.28981846</v>
      </c>
      <c r="J608" s="710" t="n">
        <f aca="false">ATAN(A608/Pole2)</f>
        <v>1.5707959447275</v>
      </c>
      <c r="K608" s="719" t="n">
        <f aca="false">SQRT(1+(A608/Zero2)^2)</f>
        <v>809.816489610379</v>
      </c>
      <c r="L608" s="720" t="n">
        <f aca="false">ATAN(A608/Zero2)</f>
        <v>1.56956147881764</v>
      </c>
      <c r="M608" s="707" t="n">
        <f aca="false">SQRT(1+(A608/pole4)^2)</f>
        <v>25.1797606999027</v>
      </c>
      <c r="N608" s="710" t="n">
        <f aca="false">ATAN(A608/pole4)</f>
        <v>1.53107144332945</v>
      </c>
      <c r="O608" s="711" t="n">
        <f aca="false">SQRT((1-(V608/pterm2))^2+(A608/pterm1)^2)</f>
        <v>18.8623883143422</v>
      </c>
      <c r="P608" s="712" t="n">
        <f aca="false">IF((ATAN((A608/pterm1)/(1-A608^2/pterm2))&gt;0),ATAN((A608/pterm1)/(1-A608^2/pterm2)),PI()+ATAN((A608/pterm1)/(1-A608^2/pterm2)))</f>
        <v>2.65735721651947</v>
      </c>
      <c r="Q608" s="713" t="n">
        <f aca="false">20*LOG10(((E608*K608*G608)/(C608*I608*O608*M608))*Adc)</f>
        <v>-57.6902250896956</v>
      </c>
      <c r="R608" s="714" t="n">
        <f aca="false">((F608+L608+H608)-(D608+J608+P608+N608))*radconv</f>
        <v>-331.081300496665</v>
      </c>
      <c r="S608" s="717" t="n">
        <f aca="false">IF(R608&gt;0,R608,R608+180)</f>
        <v>-151.081300496665</v>
      </c>
      <c r="U608" s="644" t="n">
        <f aca="false">IF(Q608&lt;0,A608,1000000000)</f>
        <v>630960</v>
      </c>
      <c r="V608" s="644" t="n">
        <f aca="false">A608^2</f>
        <v>398110521600</v>
      </c>
      <c r="X608" s="716" t="n">
        <f aca="false">20*LOG10((K608/(I608*M608))*AEA)</f>
        <v>-10.1138258130709</v>
      </c>
      <c r="Y608" s="717" t="n">
        <f aca="false">(L608-(J608+N608))*radconv</f>
        <v>-87.7946616226886</v>
      </c>
      <c r="AA608" s="716" t="n">
        <f aca="false">20*LOG10((E608*G608/(C608*O608))*Acs*Am)</f>
        <v>3.90422607792968</v>
      </c>
      <c r="AB608" s="717" t="n">
        <f aca="false">(F608+H608-(D608+P608))*radconv</f>
        <v>-243.286638873977</v>
      </c>
      <c r="AD608" s="0" t="n">
        <f aca="false">SUM((Q609&lt;0)*(Q608&gt;0))*A608</f>
        <v>0</v>
      </c>
      <c r="AE608" s="0" t="n">
        <f aca="false">IF(AD608&gt;0,S608,0)</f>
        <v>0</v>
      </c>
    </row>
    <row r="609" customFormat="false" ht="12.75" hidden="false" customHeight="false" outlineLevel="0" collapsed="false">
      <c r="A609" s="718" t="n">
        <v>691830</v>
      </c>
      <c r="B609" s="706" t="n">
        <f aca="false">A609/1000</f>
        <v>691.83</v>
      </c>
      <c r="C609" s="707" t="n">
        <f aca="false">SQRT(1+(A609/pole1)^2)</f>
        <v>1181.45492034016</v>
      </c>
      <c r="D609" s="708" t="n">
        <f aca="false">ATAN(A609/pole1)</f>
        <v>1.56994991268109</v>
      </c>
      <c r="E609" s="708" t="n">
        <f aca="false">SQRT(1+(A609/Zero1)^2)</f>
        <v>8.75111549080294</v>
      </c>
      <c r="F609" s="709" t="n">
        <f aca="false">ATAN(A609/Zero1)</f>
        <v>1.45627501744784</v>
      </c>
      <c r="G609" s="708" t="n">
        <f aca="false">IF(VIN_nom&gt;Vout, 1, SQRT(1+(A609/z_RHP)^2))</f>
        <v>10.3021545804846</v>
      </c>
      <c r="H609" s="709" t="n">
        <f aca="false">IF(VIN_nom&gt;Vout, 0, -ATAN(A609/z_RHP))</f>
        <v>-1.47357617503183</v>
      </c>
      <c r="I609" s="707" t="n">
        <f aca="false">SQRT(1+(A609/Pole2)^2)</f>
        <v>2869839.35728902</v>
      </c>
      <c r="J609" s="710" t="n">
        <f aca="false">ATAN(A609/Pole2)</f>
        <v>1.57079597834334</v>
      </c>
      <c r="K609" s="719" t="n">
        <f aca="false">SQRT(1+(A609/Zero2)^2)</f>
        <v>887.941026608081</v>
      </c>
      <c r="L609" s="720" t="n">
        <f aca="false">ATAN(A609/Zero2)</f>
        <v>1.56967012563804</v>
      </c>
      <c r="M609" s="707" t="n">
        <f aca="false">SQRT(1+(A609/pole4)^2)</f>
        <v>27.6052406191396</v>
      </c>
      <c r="N609" s="710" t="n">
        <f aca="false">ATAN(A609/pole4)</f>
        <v>1.53456339365159</v>
      </c>
      <c r="O609" s="711" t="n">
        <f aca="false">SQRT((1-(V609/pterm2))^2+(A609/pterm1)^2)</f>
        <v>22.4426236160487</v>
      </c>
      <c r="P609" s="712" t="n">
        <f aca="false">IF((ATAN((A609/pterm1)/(1-A609^2/pterm2))&gt;0),ATAN((A609/pterm1)/(1-A609^2/pterm2)),PI()+ATAN((A609/pterm1)/(1-A609^2/pterm2)))</f>
        <v>2.69819331554982</v>
      </c>
      <c r="Q609" s="713" t="n">
        <f aca="false">20*LOG10(((E609*K609*G609)/(C609*I609*O609*M609))*Adc)</f>
        <v>-59.218334552496</v>
      </c>
      <c r="R609" s="714" t="n">
        <f aca="false">((F609+L609+H609)-(D609+J609+P609+N609))*radconv</f>
        <v>-333.526389486213</v>
      </c>
      <c r="S609" s="717" t="n">
        <f aca="false">IF(R609&gt;0,R609,R609+180)</f>
        <v>-153.526389486213</v>
      </c>
      <c r="U609" s="644" t="n">
        <f aca="false">IF(Q609&lt;0,A609,1000000000)</f>
        <v>691830</v>
      </c>
      <c r="V609" s="644" t="n">
        <f aca="false">A609^2</f>
        <v>478628748900</v>
      </c>
      <c r="X609" s="716" t="n">
        <f aca="false">20*LOG10((K609/(I609*M609))*AEA)</f>
        <v>-10.9126256989115</v>
      </c>
      <c r="Y609" s="717" t="n">
        <f aca="false">(L609-(J609+N609))*radconv</f>
        <v>-87.9885125604177</v>
      </c>
      <c r="AA609" s="716" t="n">
        <f aca="false">20*LOG10((E609*G609/(C609*O609))*Acs*Am)</f>
        <v>3.1749165009698</v>
      </c>
      <c r="AB609" s="717" t="n">
        <f aca="false">(F609+H609-(D609+P609))*radconv</f>
        <v>-245.537876925795</v>
      </c>
      <c r="AD609" s="0" t="n">
        <f aca="false">SUM((Q610&lt;0)*(Q609&gt;0))*A609</f>
        <v>0</v>
      </c>
      <c r="AE609" s="0" t="n">
        <f aca="false">IF(AD609&gt;0,S609,0)</f>
        <v>0</v>
      </c>
    </row>
    <row r="610" customFormat="false" ht="12.75" hidden="false" customHeight="false" outlineLevel="0" collapsed="false">
      <c r="A610" s="718" t="n">
        <v>758580</v>
      </c>
      <c r="B610" s="706" t="n">
        <f aca="false">A610/1000</f>
        <v>758.58</v>
      </c>
      <c r="C610" s="707" t="n">
        <f aca="false">SQRT(1+(A610/pole1)^2)</f>
        <v>1295.44544101764</v>
      </c>
      <c r="D610" s="708" t="n">
        <f aca="false">ATAN(A610/pole1)</f>
        <v>1.57002439146852</v>
      </c>
      <c r="E610" s="708" t="n">
        <f aca="false">SQRT(1+(A610/Zero1)^2)</f>
        <v>9.58490549647383</v>
      </c>
      <c r="F610" s="709" t="n">
        <f aca="false">ATAN(A610/Zero1)</f>
        <v>1.46627541169877</v>
      </c>
      <c r="G610" s="708" t="n">
        <f aca="false">IF(VIN_nom&gt;Vout, 1, SQRT(1+(A610/z_RHP)^2))</f>
        <v>11.2871829817501</v>
      </c>
      <c r="H610" s="709" t="n">
        <f aca="false">IF(VIN_nom&gt;Vout, 0, -ATAN(A610/z_RHP))</f>
        <v>-1.48208394793058</v>
      </c>
      <c r="I610" s="707" t="n">
        <f aca="false">SQRT(1+(A610/Pole2)^2)</f>
        <v>3146730.75705344</v>
      </c>
      <c r="J610" s="710" t="n">
        <f aca="false">ATAN(A610/Pole2)</f>
        <v>1.57079600900476</v>
      </c>
      <c r="K610" s="719" t="n">
        <f aca="false">SQRT(1+(A610/Zero2)^2)</f>
        <v>973.612349996163</v>
      </c>
      <c r="L610" s="720" t="n">
        <f aca="false">ATAN(A610/Zero2)</f>
        <v>1.56976922378431</v>
      </c>
      <c r="M610" s="707" t="n">
        <f aca="false">SQRT(1+(A610/pole4)^2)</f>
        <v>30.2653421605582</v>
      </c>
      <c r="N610" s="710" t="n">
        <f aca="false">ATAN(A610/pole4)</f>
        <v>1.53774921844073</v>
      </c>
      <c r="O610" s="711" t="n">
        <f aca="false">SQRT((1-(V610/pterm2))^2+(A610/pterm1)^2)</f>
        <v>26.7469036472628</v>
      </c>
      <c r="P610" s="712" t="n">
        <f aca="false">IF((ATAN((A610/pterm1)/(1-A610^2/pterm2))&gt;0),ATAN((A610/pterm1)/(1-A610^2/pterm2)),PI()+ATAN((A610/pterm1)/(1-A610^2/pterm2)))</f>
        <v>2.73584640276406</v>
      </c>
      <c r="Q610" s="713" t="n">
        <f aca="false">20*LOG10(((E610*K610*G610)/(C610*I610*O610*M610))*Adc)</f>
        <v>-60.757815209351</v>
      </c>
      <c r="R610" s="714" t="n">
        <f aca="false">((F610+L610+H610)-(D610+J610+P610+N610))*radconv</f>
        <v>-335.77935705401</v>
      </c>
      <c r="S610" s="717" t="n">
        <f aca="false">IF(R610&gt;0,R610,R610+180)</f>
        <v>-155.77935705401</v>
      </c>
      <c r="U610" s="644" t="n">
        <f aca="false">IF(Q610&lt;0,A610,1000000000)</f>
        <v>758580</v>
      </c>
      <c r="V610" s="644" t="n">
        <f aca="false">A610^2</f>
        <v>575443616400</v>
      </c>
      <c r="X610" s="716" t="n">
        <f aca="false">20*LOG10((K610/(I610*M610))*AEA)</f>
        <v>-11.7117076484734</v>
      </c>
      <c r="Y610" s="717" t="n">
        <f aca="false">(L610-(J610+N610))*radconv</f>
        <v>-88.1653707265363</v>
      </c>
      <c r="AA610" s="716" t="n">
        <f aca="false">20*LOG10((E610*G610/(C610*O610))*Acs*Am)</f>
        <v>2.4345177936768</v>
      </c>
      <c r="AB610" s="717" t="n">
        <f aca="false">(F610+H610-(D610+P610))*radconv</f>
        <v>-247.613986327473</v>
      </c>
      <c r="AD610" s="0" t="n">
        <f aca="false">SUM((Q611&lt;0)*(Q610&gt;0))*A610</f>
        <v>0</v>
      </c>
      <c r="AE610" s="0" t="n">
        <f aca="false">IF(AD610&gt;0,S610,0)</f>
        <v>0</v>
      </c>
    </row>
    <row r="611" customFormat="false" ht="12.75" hidden="false" customHeight="false" outlineLevel="0" collapsed="false">
      <c r="A611" s="718" t="n">
        <v>831760</v>
      </c>
      <c r="B611" s="706" t="n">
        <f aca="false">A611/1000</f>
        <v>831.76</v>
      </c>
      <c r="C611" s="707" t="n">
        <f aca="false">SQRT(1+(A611/pole1)^2)</f>
        <v>1420.41662845801</v>
      </c>
      <c r="D611" s="708" t="n">
        <f aca="false">ATAN(A611/pole1)</f>
        <v>1.57009230794397</v>
      </c>
      <c r="E611" s="708" t="n">
        <f aca="false">SQRT(1+(A611/Zero1)^2)</f>
        <v>10.4999322394849</v>
      </c>
      <c r="F611" s="709" t="n">
        <f aca="false">ATAN(A611/Zero1)</f>
        <v>1.4754130503684</v>
      </c>
      <c r="G611" s="708" t="n">
        <f aca="false">IF(VIN_nom&gt;Vout, 1, SQRT(1+(A611/z_RHP)^2))</f>
        <v>12.3678808084251</v>
      </c>
      <c r="H611" s="709" t="n">
        <f aca="false">IF(VIN_nom&gt;Vout, 0, -ATAN(A611/z_RHP))</f>
        <v>-1.48985337375207</v>
      </c>
      <c r="I611" s="707" t="n">
        <f aca="false">SQRT(1+(A611/Pole2)^2)</f>
        <v>3450294.99128207</v>
      </c>
      <c r="J611" s="710" t="n">
        <f aca="false">ATAN(A611/Pole2)</f>
        <v>1.57079603696461</v>
      </c>
      <c r="K611" s="719" t="n">
        <f aca="false">SQRT(1+(A611/Zero2)^2)</f>
        <v>1067.53636580972</v>
      </c>
      <c r="L611" s="720" t="n">
        <f aca="false">ATAN(A611/Zero2)</f>
        <v>1.56985959041919</v>
      </c>
      <c r="M611" s="707" t="n">
        <f aca="false">SQRT(1+(A611/pole4)^2)</f>
        <v>33.1819838516072</v>
      </c>
      <c r="N611" s="710" t="n">
        <f aca="false">ATAN(A611/pole4)</f>
        <v>1.5406549272375</v>
      </c>
      <c r="O611" s="711" t="n">
        <f aca="false">SQRT((1-(V611/pterm2))^2+(A611/pterm1)^2)</f>
        <v>31.9205769301978</v>
      </c>
      <c r="P611" s="712" t="n">
        <f aca="false">IF((ATAN((A611/pterm1)/(1-A611^2/pterm2))&gt;0),ATAN((A611/pterm1)/(1-A611^2/pterm2)),PI()+ATAN((A611/pterm1)/(1-A611^2/pterm2)))</f>
        <v>2.77049721932348</v>
      </c>
      <c r="Q611" s="713" t="n">
        <f aca="false">20*LOG10(((E611*K611*G611)/(C611*I611*O611*M611))*Adc)</f>
        <v>-62.3066602325305</v>
      </c>
      <c r="R611" s="714" t="n">
        <f aca="false">((F611+L611+H611)-(D611+J611+P611+N611))*radconv</f>
        <v>-337.851509933386</v>
      </c>
      <c r="S611" s="717" t="n">
        <f aca="false">IF(R611&gt;0,R611,R611+180)</f>
        <v>-157.851509933386</v>
      </c>
      <c r="U611" s="644" t="n">
        <f aca="false">IF(Q611&lt;0,A611,1000000000)</f>
        <v>831760</v>
      </c>
      <c r="V611" s="644" t="n">
        <f aca="false">A611^2</f>
        <v>691824697600</v>
      </c>
      <c r="X611" s="716" t="n">
        <f aca="false">20*LOG10((K611/(I611*M611))*AEA)</f>
        <v>-12.5108436092334</v>
      </c>
      <c r="Y611" s="717" t="n">
        <f aca="false">(L611-(J611+N611))*radconv</f>
        <v>-88.3266795524636</v>
      </c>
      <c r="AA611" s="716" t="n">
        <f aca="false">20*LOG10((E611*G611/(C611*O611))*Acs*Am)</f>
        <v>1.68480873125727</v>
      </c>
      <c r="AB611" s="717" t="n">
        <f aca="false">(F611+H611-(D611+P611))*radconv</f>
        <v>-249.524830380923</v>
      </c>
      <c r="AD611" s="0" t="n">
        <f aca="false">SUM((Q612&lt;0)*(Q611&gt;0))*A611</f>
        <v>0</v>
      </c>
      <c r="AE611" s="0" t="n">
        <f aca="false">IF(AD611&gt;0,S611,0)</f>
        <v>0</v>
      </c>
    </row>
    <row r="612" customFormat="false" ht="12.75" hidden="false" customHeight="false" outlineLevel="0" collapsed="false">
      <c r="A612" s="718" t="n">
        <v>912010</v>
      </c>
      <c r="B612" s="706" t="n">
        <f aca="false">A612/1000</f>
        <v>912.01</v>
      </c>
      <c r="C612" s="707" t="n">
        <f aca="false">SQRT(1+(A612/pole1)^2)</f>
        <v>1557.46142554121</v>
      </c>
      <c r="D612" s="708" t="n">
        <f aca="false">ATAN(A612/pole1)</f>
        <v>1.57015425627404</v>
      </c>
      <c r="E612" s="708" t="n">
        <f aca="false">SQRT(1+(A612/Zero1)^2)</f>
        <v>11.5042004480383</v>
      </c>
      <c r="F612" s="709" t="n">
        <f aca="false">ATAN(A612/Zero1)</f>
        <v>1.48376171495039</v>
      </c>
      <c r="G612" s="708" t="n">
        <f aca="false">IF(VIN_nom&gt;Vout, 1, SQRT(1+(A612/z_RHP)^2))</f>
        <v>13.5537007806353</v>
      </c>
      <c r="H612" s="709" t="n">
        <f aca="false">IF(VIN_nom&gt;Vout, 0, -ATAN(A612/z_RHP))</f>
        <v>-1.4969486369005</v>
      </c>
      <c r="I612" s="707" t="n">
        <f aca="false">SQRT(1+(A612/Pole2)^2)</f>
        <v>3783186.89886402</v>
      </c>
      <c r="J612" s="710" t="n">
        <f aca="false">ATAN(A612/Pole2)</f>
        <v>1.57079606246749</v>
      </c>
      <c r="K612" s="719" t="n">
        <f aca="false">SQRT(1+(A612/Zero2)^2)</f>
        <v>1170.53449206065</v>
      </c>
      <c r="L612" s="720" t="n">
        <f aca="false">ATAN(A612/Zero2)</f>
        <v>1.56994201611168</v>
      </c>
      <c r="M612" s="707" t="n">
        <f aca="false">SQRT(1+(A612/pole4)^2)</f>
        <v>36.3806734239975</v>
      </c>
      <c r="N612" s="710" t="n">
        <f aca="false">ATAN(A612/pole4)</f>
        <v>1.54330574258222</v>
      </c>
      <c r="O612" s="711" t="n">
        <f aca="false">SQRT((1-(V612/pterm2))^2+(A612/pterm1)^2)</f>
        <v>38.1410189422334</v>
      </c>
      <c r="P612" s="712" t="n">
        <f aca="false">IF((ATAN((A612/pterm1)/(1-A612^2/pterm2))&gt;0),ATAN((A612/pterm1)/(1-A612^2/pterm2)),PI()+ATAN((A612/pterm1)/(1-A612^2/pterm2)))</f>
        <v>2.80234718983082</v>
      </c>
      <c r="Q612" s="713" t="n">
        <f aca="false">20*LOG10(((E612*K612*G612)/(C612*I612*O612*M612))*Adc)</f>
        <v>-63.8638398751341</v>
      </c>
      <c r="R612" s="714" t="n">
        <f aca="false">((F612+L612+H612)-(D612+J612+P612+N612))*radconv</f>
        <v>-339.755272937355</v>
      </c>
      <c r="S612" s="717" t="n">
        <f aca="false">IF(R612&gt;0,R612,R612+180)</f>
        <v>-159.755272937355</v>
      </c>
      <c r="U612" s="644" t="n">
        <f aca="false">IF(Q612&lt;0,A612,1000000000)</f>
        <v>912010</v>
      </c>
      <c r="V612" s="644" t="n">
        <f aca="false">A612^2</f>
        <v>831762240100</v>
      </c>
      <c r="X612" s="716" t="n">
        <f aca="false">20*LOG10((K612/(I612*M612))*AEA)</f>
        <v>-13.3102119737995</v>
      </c>
      <c r="Y612" s="717" t="n">
        <f aca="false">(L612-(J612+N612))*radconv</f>
        <v>-88.473838901057</v>
      </c>
      <c r="AA612" s="716" t="n">
        <f aca="false">20*LOG10((E612*G612/(C612*O612))*Acs*Am)</f>
        <v>0.926997453219757</v>
      </c>
      <c r="AB612" s="717" t="n">
        <f aca="false">(F612+H612-(D612+P612))*radconv</f>
        <v>-251.281434036298</v>
      </c>
      <c r="AD612" s="0" t="n">
        <f aca="false">SUM((Q613&lt;0)*(Q612&gt;0))*A612</f>
        <v>0</v>
      </c>
      <c r="AE612" s="0" t="n">
        <f aca="false">IF(AD612&gt;0,S612,0)</f>
        <v>0</v>
      </c>
    </row>
    <row r="613" customFormat="false" ht="12.75" hidden="false" customHeight="false" outlineLevel="0" collapsed="false">
      <c r="A613" s="718" t="n">
        <v>1000000</v>
      </c>
      <c r="B613" s="706" t="n">
        <f aca="false">A613/1000</f>
        <v>1000</v>
      </c>
      <c r="C613" s="707" t="n">
        <f aca="false">SQRT(1+(A613/pole1)^2)</f>
        <v>1707.72400689791</v>
      </c>
      <c r="D613" s="708" t="n">
        <f aca="false">ATAN(A613/pole1)</f>
        <v>1.57021075204563</v>
      </c>
      <c r="E613" s="708" t="n">
        <f aca="false">SQRT(1+(A613/Zero1)^2)</f>
        <v>12.6060965432026</v>
      </c>
      <c r="F613" s="709" t="n">
        <f aca="false">ATAN(A613/Zero1)</f>
        <v>1.49138619653811</v>
      </c>
      <c r="G613" s="708" t="n">
        <f aca="false">IF(VIN_nom&gt;Vout, 1, SQRT(1+(A613/z_RHP)^2))</f>
        <v>14.8545443785448</v>
      </c>
      <c r="H613" s="709" t="n">
        <f aca="false">IF(VIN_nom&gt;Vout, 0, -ATAN(A613/z_RHP))</f>
        <v>-1.50342590886381</v>
      </c>
      <c r="I613" s="707" t="n">
        <f aca="false">SQRT(1+(A613/Pole2)^2)</f>
        <v>4148185.76426135</v>
      </c>
      <c r="J613" s="710" t="n">
        <f aca="false">ATAN(A613/Pole2)</f>
        <v>1.57079608572565</v>
      </c>
      <c r="K613" s="719" t="n">
        <f aca="false">SQRT(1+(A613/Zero2)^2)</f>
        <v>1283.46665080098</v>
      </c>
      <c r="L613" s="720" t="n">
        <f aca="false">ATAN(A613/Zero2)</f>
        <v>1.57001718687681</v>
      </c>
      <c r="M613" s="707" t="n">
        <f aca="false">SQRT(1+(A613/pole4)^2)</f>
        <v>39.8881165388776</v>
      </c>
      <c r="N613" s="710" t="n">
        <f aca="false">ATAN(A613/pole4)</f>
        <v>1.54572357660599</v>
      </c>
      <c r="O613" s="711" t="n">
        <f aca="false">SQRT((1-(V613/pterm2))^2+(A613/pterm1)^2)</f>
        <v>45.6190903284015</v>
      </c>
      <c r="P613" s="712" t="n">
        <f aca="false">IF((ATAN((A613/pterm1)/(1-A613^2/pterm2))&gt;0),ATAN((A613/pterm1)/(1-A613^2/pterm2)),PI()+ATAN((A613/pterm1)/(1-A613^2/pterm2)))</f>
        <v>2.8315821121064</v>
      </c>
      <c r="Q613" s="713" t="n">
        <f aca="false">20*LOG10(((E613*K613*G613)/(C613*I613*O613*M613))*Adc)</f>
        <v>-65.4278780116512</v>
      </c>
      <c r="R613" s="714" t="n">
        <f aca="false">((F613+L613+H613)-(D613+J613+P613+N613))*radconv</f>
        <v>-341.502043349849</v>
      </c>
      <c r="S613" s="717" t="n">
        <f aca="false">IF(R613&gt;0,R613,R613+180)</f>
        <v>-161.502043349849</v>
      </c>
      <c r="U613" s="644" t="n">
        <f aca="false">IF(Q613&lt;0,A613,1000000000)</f>
        <v>1000000</v>
      </c>
      <c r="V613" s="644" t="n">
        <f aca="false">A613^2</f>
        <v>1000000000000</v>
      </c>
      <c r="X613" s="716" t="n">
        <f aca="false">20*LOG10((K613/(I613*M613))*AEA)</f>
        <v>-14.1096684312804</v>
      </c>
      <c r="Y613" s="717" t="n">
        <f aca="false">(L613-(J613+N613))*radconv</f>
        <v>-88.6080649513461</v>
      </c>
      <c r="AA613" s="716" t="n">
        <f aca="false">20*LOG10((E613*G613/(C613*O613))*Acs*Am)</f>
        <v>0.162415774183584</v>
      </c>
      <c r="AB613" s="717" t="n">
        <f aca="false">(F613+H613-(D613+P613))*radconv</f>
        <v>-252.893978398503</v>
      </c>
      <c r="AD613" s="0" t="n">
        <f aca="false">SUM((Q614&lt;0)*(Q613&gt;0))*A613</f>
        <v>0</v>
      </c>
      <c r="AE613" s="0" t="n">
        <f aca="false">IF(AD613&gt;0,S613,0)</f>
        <v>0</v>
      </c>
    </row>
    <row r="614" customFormat="false" ht="12.75" hidden="false" customHeight="false" outlineLevel="0" collapsed="false">
      <c r="A614" s="722"/>
      <c r="B614" s="722"/>
      <c r="C614" s="723"/>
      <c r="D614" s="723"/>
      <c r="E614" s="723"/>
      <c r="F614" s="723"/>
      <c r="G614" s="708"/>
      <c r="H614" s="709"/>
      <c r="I614" s="723"/>
      <c r="J614" s="723"/>
      <c r="K614" s="723"/>
      <c r="L614" s="723"/>
      <c r="M614" s="723"/>
      <c r="N614" s="723"/>
      <c r="O614" s="723"/>
      <c r="P614" s="724"/>
      <c r="Q614" s="725"/>
      <c r="R614" s="714"/>
      <c r="S614" s="726"/>
      <c r="AA614" s="716"/>
      <c r="AB614" s="717"/>
    </row>
    <row r="615" customFormat="false" ht="12.75" hidden="false" customHeight="false" outlineLevel="0" collapsed="false">
      <c r="A615" s="722"/>
      <c r="B615" s="722"/>
      <c r="C615" s="723"/>
      <c r="D615" s="723"/>
      <c r="E615" s="723"/>
      <c r="F615" s="723"/>
      <c r="G615" s="708"/>
      <c r="H615" s="709"/>
      <c r="I615" s="723"/>
      <c r="J615" s="723"/>
      <c r="K615" s="723"/>
      <c r="L615" s="723"/>
      <c r="M615" s="723"/>
      <c r="N615" s="723"/>
      <c r="O615" s="723"/>
      <c r="P615" s="724"/>
      <c r="Q615" s="726"/>
      <c r="R615" s="714"/>
      <c r="S615" s="726"/>
      <c r="AA615" s="716"/>
      <c r="AB615" s="717"/>
    </row>
    <row r="616" customFormat="false" ht="12.75" hidden="false" customHeight="false" outlineLevel="0" collapsed="false">
      <c r="A616" s="644" t="s">
        <v>936</v>
      </c>
      <c r="G616" s="708"/>
      <c r="H616" s="709"/>
      <c r="Q616" s="713"/>
      <c r="R616" s="714"/>
      <c r="S616" s="727"/>
      <c r="AA616" s="716"/>
      <c r="AB616" s="717"/>
    </row>
    <row r="617" customFormat="false" ht="12.75" hidden="false" customHeight="false" outlineLevel="0" collapsed="false">
      <c r="A617" s="728" t="n">
        <f aca="false">Q4*1000</f>
        <v>4786.3</v>
      </c>
      <c r="B617" s="728"/>
      <c r="C617" s="729" t="n">
        <f aca="false">SQRT(1+(A617/pole1)^2)</f>
        <v>8.2346227756772</v>
      </c>
      <c r="D617" s="719" t="n">
        <f aca="false">ATAN(A617/pole1)</f>
        <v>1.44905737567666</v>
      </c>
      <c r="E617" s="719" t="n">
        <f aca="false">SQRT(1+(A617/Zero1)^2)</f>
        <v>1.00180716297651</v>
      </c>
      <c r="F617" s="720" t="n">
        <f aca="false">ATAN(A617/Zero1)</f>
        <v>0.0600740482260749</v>
      </c>
      <c r="G617" s="708" t="n">
        <f aca="false">IF(VIN_nom&gt;Vout, 1, SQRT(1+(A617/z_RHP)^2))</f>
        <v>1.00251287294185</v>
      </c>
      <c r="H617" s="709" t="n">
        <f aca="false">IF(VIN_nom&gt;Vout, 0, -ATAN(A617/z_RHP))</f>
        <v>-0.070818388744285</v>
      </c>
      <c r="I617" s="729" t="n">
        <f aca="false">SQRT(1+(A617/Pole2)^2)</f>
        <v>19854.4615486668</v>
      </c>
      <c r="J617" s="730" t="n">
        <f aca="false">ATAN(A617/Pole2)</f>
        <v>1.57074596028166</v>
      </c>
      <c r="K617" s="719" t="n">
        <f aca="false">SQRT(1+(A617/Zero2)^2)</f>
        <v>6.22391511851261</v>
      </c>
      <c r="L617" s="720" t="n">
        <f aca="false">ATAN(A617/Zero2)</f>
        <v>1.40942631302199</v>
      </c>
      <c r="M617" s="729" t="n">
        <f aca="false">SQRT(1+(A617/pole4)^2)</f>
        <v>1.01805019440225</v>
      </c>
      <c r="N617" s="730" t="n">
        <f aca="false">ATAN(A617/pole4)</f>
        <v>0.188588460844916</v>
      </c>
      <c r="O617" s="729" t="n">
        <f aca="false">SQRT((1-(A617^2/(pole3^2)))^2+(A617/(Q*pole3))^2)</f>
        <v>1.00120012943496</v>
      </c>
      <c r="P617" s="731" t="n">
        <f aca="false">ATAN((A617/(Q*pole3))/(1-A617^2/pole3^2))</f>
        <v>0.0665800578580914</v>
      </c>
      <c r="Q617" s="713" t="n">
        <f aca="false">20*LOG10(((E617*K617*G617)/(C617*I617*O617*M617))*Adc)</f>
        <v>0.643868372146423</v>
      </c>
      <c r="R617" s="714" t="n">
        <f aca="false">((F617+L617+H617)-(D617+J617+P617+N617))*radconv</f>
        <v>-107.503491513567</v>
      </c>
      <c r="S617" s="717" t="n">
        <f aca="false">IF(R617&gt;0,R617,R617+180)</f>
        <v>72.4965084864333</v>
      </c>
      <c r="T617" s="644" t="s">
        <v>937</v>
      </c>
      <c r="X617" s="716" t="n">
        <f aca="false">20*LOG10((K617/(I617*M617))*AEA)</f>
        <v>17.8654014608945</v>
      </c>
      <c r="Y617" s="717" t="n">
        <f aca="false">(L617-(J617+N617))*radconv</f>
        <v>-20.0482578347083</v>
      </c>
      <c r="AA617" s="716" t="n">
        <f aca="false">20*LOG10((E617*G617/(C617*O617))*Acs*Am)</f>
        <v>34.2590922658063</v>
      </c>
      <c r="AB617" s="717" t="n">
        <f aca="false">(F617+H617-(D617+P617))*radconv</f>
        <v>-87.4552336788584</v>
      </c>
    </row>
    <row r="618" customFormat="false" ht="12.75" hidden="false" customHeight="false" outlineLevel="0" collapsed="false">
      <c r="A618" s="728" t="n">
        <f aca="false">A617</f>
        <v>4786.3</v>
      </c>
      <c r="B618" s="728"/>
      <c r="C618" s="729"/>
      <c r="D618" s="719"/>
      <c r="E618" s="719"/>
      <c r="F618" s="720"/>
      <c r="G618" s="708"/>
      <c r="H618" s="709"/>
      <c r="I618" s="729"/>
      <c r="J618" s="730"/>
      <c r="K618" s="719"/>
      <c r="L618" s="720"/>
      <c r="M618" s="707"/>
      <c r="N618" s="710"/>
      <c r="O618" s="729"/>
      <c r="P618" s="712"/>
      <c r="Q618" s="713"/>
      <c r="R618" s="714" t="n">
        <v>-90</v>
      </c>
      <c r="S618" s="717"/>
      <c r="X618" s="716"/>
      <c r="Y618" s="717"/>
      <c r="AA618" s="716"/>
      <c r="AB618" s="717"/>
    </row>
    <row r="619" customFormat="false" ht="12.75" hidden="false" customHeight="false" outlineLevel="0" collapsed="false">
      <c r="A619" s="644" t="n">
        <f aca="false">A618</f>
        <v>4786.3</v>
      </c>
      <c r="B619" s="728"/>
      <c r="C619" s="729"/>
      <c r="D619" s="719"/>
      <c r="E619" s="719"/>
      <c r="F619" s="720"/>
      <c r="G619" s="708"/>
      <c r="H619" s="709"/>
      <c r="I619" s="729"/>
      <c r="J619" s="730"/>
      <c r="K619" s="719"/>
      <c r="L619" s="720"/>
      <c r="M619" s="707"/>
      <c r="N619" s="710"/>
      <c r="O619" s="729"/>
      <c r="P619" s="712"/>
      <c r="Q619" s="713"/>
      <c r="R619" s="714" t="n">
        <f aca="false">R617</f>
        <v>-107.503491513567</v>
      </c>
      <c r="S619" s="717"/>
      <c r="X619" s="716"/>
      <c r="Y619" s="717"/>
      <c r="AA619" s="716"/>
      <c r="AB619" s="717"/>
    </row>
    <row r="620" customFormat="false" ht="12.75" hidden="false" customHeight="false" outlineLevel="0" collapsed="false">
      <c r="A620" s="728" t="n">
        <v>1000000</v>
      </c>
      <c r="B620" s="728"/>
      <c r="C620" s="729"/>
      <c r="D620" s="719"/>
      <c r="E620" s="719"/>
      <c r="F620" s="720"/>
      <c r="G620" s="708"/>
      <c r="H620" s="709"/>
      <c r="I620" s="729"/>
      <c r="J620" s="730"/>
      <c r="K620" s="719"/>
      <c r="L620" s="720"/>
      <c r="M620" s="707"/>
      <c r="N620" s="710"/>
      <c r="O620" s="729"/>
      <c r="P620" s="712"/>
      <c r="Q620" s="713"/>
      <c r="R620" s="714" t="n">
        <f aca="false">R617</f>
        <v>-107.503491513567</v>
      </c>
      <c r="S620" s="717"/>
      <c r="X620" s="716"/>
      <c r="Y620" s="717"/>
      <c r="AA620" s="716"/>
      <c r="AB620" s="717"/>
    </row>
    <row r="621" customFormat="false" ht="12.75" hidden="false" customHeight="false" outlineLevel="0" collapsed="false">
      <c r="A621" s="728"/>
      <c r="B621" s="728"/>
      <c r="C621" s="729"/>
      <c r="D621" s="719"/>
      <c r="E621" s="719"/>
      <c r="F621" s="720"/>
      <c r="G621" s="708"/>
      <c r="H621" s="709"/>
      <c r="I621" s="729"/>
      <c r="J621" s="730"/>
      <c r="K621" s="719"/>
      <c r="L621" s="720"/>
      <c r="M621" s="707"/>
      <c r="N621" s="710"/>
      <c r="O621" s="729"/>
      <c r="P621" s="712"/>
      <c r="Q621" s="713"/>
      <c r="R621" s="714"/>
      <c r="S621" s="717"/>
      <c r="X621" s="716"/>
      <c r="Y621" s="717"/>
      <c r="AA621" s="716"/>
      <c r="AB621" s="717"/>
    </row>
    <row r="622" customFormat="false" ht="12.75" hidden="false" customHeight="false" outlineLevel="0" collapsed="false">
      <c r="A622" s="732" t="n">
        <f aca="false">pole1</f>
        <v>585.574816193763</v>
      </c>
      <c r="B622" s="733"/>
      <c r="C622" s="729" t="n">
        <f aca="false">SQRT(1+(A622/pole1)^2)</f>
        <v>1.4142135623731</v>
      </c>
      <c r="D622" s="719" t="n">
        <f aca="false">ATAN(A622/pole1)</f>
        <v>0.785398163397448</v>
      </c>
      <c r="E622" s="719" t="n">
        <f aca="false">SQRT(1+(A622/Zero1)^2)</f>
        <v>1.00002707376369</v>
      </c>
      <c r="F622" s="720" t="n">
        <f aca="false">ATAN(A622/Zero1)</f>
        <v>0.00735841734106941</v>
      </c>
      <c r="G622" s="708" t="n">
        <f aca="false">IF(VIN_nom&gt;Vout, 1, SQRT(1+(A622/z_RHP)^2))</f>
        <v>1.00003765933288</v>
      </c>
      <c r="H622" s="709" t="n">
        <f aca="false">IF(VIN_nom&gt;Vout, 0, -ATAN(A622/z_RHP))</f>
        <v>-0.00867849653599787</v>
      </c>
      <c r="I622" s="729" t="n">
        <f aca="false">SQRT(1+(A622/Pole2)^2)</f>
        <v>2429.07332228468</v>
      </c>
      <c r="J622" s="730" t="n">
        <f aca="false">ATAN(A622/Pole2)</f>
        <v>1.57038464715597</v>
      </c>
      <c r="K622" s="719" t="n">
        <f aca="false">SQRT(1+(A622/Zero2)^2)</f>
        <v>1.25093993895381</v>
      </c>
      <c r="L622" s="720" t="n">
        <f aca="false">ATAN(A622/Zero2)</f>
        <v>0.644502288929293</v>
      </c>
      <c r="M622" s="707" t="n">
        <f aca="false">SQRT(1+(A622/pole4)^2)</f>
        <v>1.00027257725636</v>
      </c>
      <c r="N622" s="710" t="n">
        <f aca="false">ATAN(A622/pole4)</f>
        <v>0.0233458928060303</v>
      </c>
      <c r="O622" s="729" t="n">
        <f aca="false">SQRT((1-(A622^2/(pole3^2)))^2+(A622/(Q*pole3))^2)</f>
        <v>1.00001796656165</v>
      </c>
      <c r="P622" s="712" t="n">
        <f aca="false">ATAN((A622/(Q*pole3))/(1-A622^2/pole3^2))</f>
        <v>0.00814936242409392</v>
      </c>
      <c r="Q622" s="713" t="n">
        <f aca="false">20*LOG10(((E622*K622*G622)/(C622*I622*O622*M622))*Adc)</f>
        <v>20.3846072321715</v>
      </c>
      <c r="R622" s="714" t="n">
        <f aca="false">((F622+L622+H622)-(D622+J622+P622+N622))*radconv</f>
        <v>-99.9293317320601</v>
      </c>
      <c r="S622" s="717" t="n">
        <f aca="false">IF(R622&gt;0,R622,R622+180)</f>
        <v>80.0706682679399</v>
      </c>
      <c r="T622" s="644" t="s">
        <v>925</v>
      </c>
      <c r="X622" s="716" t="n">
        <f aca="false">20*LOG10((K622/(I622*M622))*AEA)</f>
        <v>22.3302237634559</v>
      </c>
      <c r="Y622" s="717" t="n">
        <f aca="false">(L622-(J622+N622))*radconv</f>
        <v>-54.3867726409046</v>
      </c>
      <c r="AA622" s="716" t="n">
        <f aca="false">20*LOG10((E622*G622/(C622*O622))*Acs*Am)</f>
        <v>49.53500882327</v>
      </c>
      <c r="AB622" s="717" t="n">
        <f aca="false">(F622+H622-(D622+P622))*radconv</f>
        <v>-45.5425590911555</v>
      </c>
    </row>
    <row r="623" customFormat="false" ht="12.75" hidden="false" customHeight="false" outlineLevel="0" collapsed="false">
      <c r="A623" s="732" t="n">
        <f aca="false">Zero1</f>
        <v>79577.4716368782</v>
      </c>
      <c r="B623" s="733"/>
      <c r="C623" s="729" t="n">
        <f aca="false">SQRT(1+(A623/pole1)^2)</f>
        <v>135.900014648526</v>
      </c>
      <c r="D623" s="719" t="n">
        <f aca="false">ATAN(A623/pole1)</f>
        <v>1.56343790945383</v>
      </c>
      <c r="E623" s="719" t="n">
        <f aca="false">SQRT(1+(A623/Zero1)^2)</f>
        <v>1.4142135623731</v>
      </c>
      <c r="F623" s="720" t="n">
        <f aca="false">ATAN(A623/Zero1)</f>
        <v>0.785398163397448</v>
      </c>
      <c r="G623" s="708" t="n">
        <f aca="false">IF(VIN_nom&gt;Vout, 1, SQRT(1+(A623/z_RHP)^2))</f>
        <v>1.54628499962931</v>
      </c>
      <c r="H623" s="709" t="n">
        <f aca="false">IF(VIN_nom&gt;Vout, 0, -ATAN(A623/z_RHP))</f>
        <v>-0.86753151995961</v>
      </c>
      <c r="I623" s="729" t="n">
        <f aca="false">SQRT(1+(A623/Pole2)^2)</f>
        <v>330102.135001515</v>
      </c>
      <c r="J623" s="730" t="n">
        <f aca="false">ATAN(A623/Pole2)</f>
        <v>1.57079329742946</v>
      </c>
      <c r="K623" s="719" t="n">
        <f aca="false">SQRT(1+(A623/Zero2)^2)</f>
        <v>102.139895364152</v>
      </c>
      <c r="L623" s="720" t="n">
        <f aca="false">ATAN(A623/Zero2)</f>
        <v>1.56100567669925</v>
      </c>
      <c r="M623" s="707" t="n">
        <f aca="false">SQRT(1+(A623/pole4)^2)</f>
        <v>3.32703836171105</v>
      </c>
      <c r="N623" s="710" t="n">
        <f aca="false">ATAN(A623/pole4)</f>
        <v>1.2655085902611</v>
      </c>
      <c r="O623" s="729" t="n">
        <f aca="false">SQRT((1-(A623^2/(pole3^2)))^2+(A623/(Q*pole3))^2)</f>
        <v>1.32015935991495</v>
      </c>
      <c r="P623" s="712" t="n">
        <f aca="false">ATAN((A623/(Q*pole3))/(1-A623^2/pole3^2))</f>
        <v>0.99525132979666</v>
      </c>
      <c r="Q623" s="713" t="n">
        <f aca="false">20*LOG10(((E623*K623*G623)/(C623*I623*O623*M623))*Adc)</f>
        <v>-29.750089545484</v>
      </c>
      <c r="R623" s="714" t="n">
        <f aca="false">((F623+L623+H623)-(D623+J623+P623+N623))*radconv</f>
        <v>-224.377079958063</v>
      </c>
      <c r="S623" s="717" t="n">
        <f aca="false">IF(R623&gt;0,R623,R623+180)</f>
        <v>-44.377079958063</v>
      </c>
      <c r="T623" s="644" t="s">
        <v>926</v>
      </c>
      <c r="X623" s="716" t="n">
        <f aca="false">20*LOG10((K623/(I623*M623))*AEA)</f>
        <v>7.46645967137149</v>
      </c>
      <c r="Y623" s="717" t="n">
        <f aca="false">(L623-(J623+N623))*radconv</f>
        <v>-73.0690906023212</v>
      </c>
      <c r="AA623" s="716" t="n">
        <f aca="false">20*LOG10((E623*G623/(C623*O623))*Acs*Am)</f>
        <v>14.2640761376989</v>
      </c>
      <c r="AB623" s="717" t="n">
        <f aca="false">(F623+H623-(D623+P623))*radconv</f>
        <v>-151.307989355742</v>
      </c>
    </row>
    <row r="624" customFormat="false" ht="12.75" hidden="false" customHeight="false" outlineLevel="0" collapsed="false">
      <c r="A624" s="732" t="n">
        <f aca="false">Pole2</f>
        <v>0.241069242514527</v>
      </c>
      <c r="B624" s="733"/>
      <c r="C624" s="729" t="n">
        <f aca="false">SQRT(1+(A624/pole1)^2)</f>
        <v>1.00000008474007</v>
      </c>
      <c r="D624" s="719" t="n">
        <f aca="false">ATAN(A624/pole1)</f>
        <v>0.000411679638927545</v>
      </c>
      <c r="E624" s="719" t="n">
        <f aca="false">SQRT(1+(A624/Zero1)^2)</f>
        <v>1.00000000000459</v>
      </c>
      <c r="F624" s="720" t="n">
        <f aca="false">ATAN(A624/Zero1)</f>
        <v>3.02936544168956E-006</v>
      </c>
      <c r="G624" s="708" t="n">
        <f aca="false">IF(VIN_nom&gt;Vout, 1, SQRT(1+(A624/z_RHP)^2))</f>
        <v>1.00000000000638</v>
      </c>
      <c r="H624" s="709" t="n">
        <f aca="false">IF(VIN_nom&gt;Vout, 0, -ATAN(A624/z_RHP))</f>
        <v>-3.57285022060159E-006</v>
      </c>
      <c r="I624" s="729" t="n">
        <f aca="false">SQRT(1+(A624/Pole2)^2)</f>
        <v>1.4142135623731</v>
      </c>
      <c r="J624" s="730" t="n">
        <f aca="false">ATAN(A624/Pole2)</f>
        <v>0.785398163397448</v>
      </c>
      <c r="K624" s="719" t="n">
        <f aca="false">SQRT(1+(A624/Zero2)^2)</f>
        <v>1.00000004786549</v>
      </c>
      <c r="L624" s="720" t="n">
        <f aca="false">ATAN(A624/Zero2)</f>
        <v>0.000309404229514719</v>
      </c>
      <c r="M624" s="707" t="n">
        <f aca="false">SQRT(1+(A624/pole4)^2)</f>
        <v>1.0000000000462</v>
      </c>
      <c r="N624" s="710" t="n">
        <f aca="false">ATAN(A624/pole4)</f>
        <v>9.6127757462842E-006</v>
      </c>
      <c r="O624" s="729" t="n">
        <f aca="false">SQRT((1-(A624^2/(pole3^2)))^2+(A624/(Q*pole3))^2)</f>
        <v>1.00000000000305</v>
      </c>
      <c r="P624" s="712" t="n">
        <f aca="false">ATAN((A624/(Q*pole3))/(1-A624^2/pole3^2))</f>
        <v>3.35494991109624E-006</v>
      </c>
      <c r="Q624" s="713" t="n">
        <f aca="false">20*LOG10(((E624*K624*G624)/(C624*I624*O624*M624))*Adc)</f>
        <v>86.1506512794729</v>
      </c>
      <c r="R624" s="714" t="n">
        <f aca="false">((F624+L624+H624)-(D624+J624+P624+N624))*radconv</f>
        <v>-45.006634136069</v>
      </c>
      <c r="S624" s="717" t="n">
        <f aca="false">IF(R624&gt;0,R624,R624+180)</f>
        <v>134.993365863931</v>
      </c>
      <c r="T624" s="644" t="s">
        <v>927</v>
      </c>
      <c r="W624" s="644" t="n">
        <f aca="false">Pole2</f>
        <v>0.241069242514527</v>
      </c>
      <c r="X624" s="716" t="n">
        <f aca="false">20*LOG10((K624/(I624*M624))*AEA)</f>
        <v>85.086374791112</v>
      </c>
      <c r="Y624" s="717" t="n">
        <f aca="false">(L624-(J624+N624))*radconv</f>
        <v>-44.9828232663653</v>
      </c>
      <c r="AA624" s="716" t="n">
        <f aca="false">20*LOG10((E624*G624/(C624*O624))*Acs*Am)</f>
        <v>52.5449018429153</v>
      </c>
      <c r="AB624" s="717" t="n">
        <f aca="false">(F624+H624-(D624+P624))*radconv</f>
        <v>-0.0238108697036707</v>
      </c>
    </row>
    <row r="625" customFormat="false" ht="12.75" hidden="false" customHeight="false" outlineLevel="0" collapsed="false">
      <c r="A625" s="732" t="n">
        <f aca="false">Zero2</f>
        <v>779.140075751488</v>
      </c>
      <c r="B625" s="733"/>
      <c r="C625" s="729" t="n">
        <f aca="false">SQRT(1+(A625/pole1)^2)</f>
        <v>1.66444562136792</v>
      </c>
      <c r="D625" s="719" t="n">
        <f aca="false">ATAN(A625/pole1)</f>
        <v>0.926294037865603</v>
      </c>
      <c r="E625" s="719" t="n">
        <f aca="false">SQRT(1+(A625/Zero1)^2)</f>
        <v>1.000047930329</v>
      </c>
      <c r="F625" s="720" t="n">
        <f aca="false">ATAN(A625/Zero1)</f>
        <v>0.0097906500956516</v>
      </c>
      <c r="G625" s="708" t="n">
        <f aca="false">IF(VIN_nom&gt;Vout, 1, SQRT(1+(A625/z_RHP)^2))</f>
        <v>1.00006667033354</v>
      </c>
      <c r="H625" s="709" t="n">
        <f aca="false">IF(VIN_nom&gt;Vout, 0, -ATAN(A625/z_RHP))</f>
        <v>-0.0115470021775336</v>
      </c>
      <c r="I625" s="729" t="n">
        <f aca="false">SQRT(1+(A625/Pole2)^2)</f>
        <v>3232.01792529985</v>
      </c>
      <c r="J625" s="730" t="n">
        <f aca="false">ATAN(A625/Pole2)</f>
        <v>1.57048692256538</v>
      </c>
      <c r="K625" s="719" t="n">
        <f aca="false">SQRT(1+(A625/Zero2)^2)</f>
        <v>1.4142135623731</v>
      </c>
      <c r="L625" s="720" t="n">
        <f aca="false">ATAN(A625/Zero2)</f>
        <v>0.785398163397448</v>
      </c>
      <c r="M625" s="707" t="n">
        <f aca="false">SQRT(1+(A625/pole4)^2)</f>
        <v>1.0004825144703</v>
      </c>
      <c r="N625" s="710" t="n">
        <f aca="false">ATAN(A625/pole4)</f>
        <v>0.0310586713594441</v>
      </c>
      <c r="O625" s="729" t="n">
        <f aca="false">SQRT((1-(A625^2/(pole3^2)))^2+(A625/(Q*pole3))^2)</f>
        <v>1.00003180756578</v>
      </c>
      <c r="P625" s="712" t="n">
        <f aca="false">ATAN((A625/(Q*pole3))/(1-A625^2/pole3^2))</f>
        <v>0.0108431253213533</v>
      </c>
      <c r="Q625" s="713" t="n">
        <f aca="false">20*LOG10(((E625*K625*G625)/(C625*I625*O625*M625))*Adc)</f>
        <v>17.5529131277564</v>
      </c>
      <c r="R625" s="714" t="n">
        <f aca="false">((F625+L625+H625)-(D625+J625+P625+N625))*radconv</f>
        <v>-100.556439181674</v>
      </c>
      <c r="S625" s="717" t="n">
        <f aca="false">IF(R625&gt;0,R625,R625+180)</f>
        <v>79.4435608183261</v>
      </c>
      <c r="T625" s="644" t="s">
        <v>938</v>
      </c>
      <c r="W625" s="644" t="n">
        <f aca="false">Zero2</f>
        <v>779.140075751488</v>
      </c>
      <c r="X625" s="716" t="n">
        <f aca="false">20*LOG10((K625/(I625*M625))*AEA)</f>
        <v>20.9133090168523</v>
      </c>
      <c r="Y625" s="717" t="n">
        <f aca="false">(L625-(J625+N625))*radconv</f>
        <v>-46.7618032830985</v>
      </c>
      <c r="AA625" s="716" t="n">
        <f aca="false">20*LOG10((E625*G625/(C625*O625))*Acs*Am)</f>
        <v>48.1202294654585</v>
      </c>
      <c r="AB625" s="717" t="n">
        <f aca="false">(F625+H625-(D625+P625))*radconv</f>
        <v>-53.7946358985755</v>
      </c>
    </row>
    <row r="626" customFormat="false" ht="12.75" hidden="false" customHeight="false" outlineLevel="0" collapsed="false">
      <c r="A626" s="732" t="n">
        <f aca="false">pole3</f>
        <v>150000</v>
      </c>
      <c r="B626" s="733"/>
      <c r="C626" s="729" t="n">
        <f aca="false">SQRT(1+(A626/pole1)^2)</f>
        <v>256.160509025196</v>
      </c>
      <c r="D626" s="719" t="n">
        <f aca="false">ATAN(A626/pole1)</f>
        <v>1.5668925145181</v>
      </c>
      <c r="E626" s="719" t="n">
        <f aca="false">SQRT(1+(A626/Zero1)^2)</f>
        <v>2.13378948733755</v>
      </c>
      <c r="F626" s="720" t="n">
        <f aca="false">ATAN(A626/Zero1)</f>
        <v>1.08303461886312</v>
      </c>
      <c r="G626" s="708" t="n">
        <f aca="false">IF(VIN_nom&gt;Vout, 1, SQRT(1+(A626/z_RHP)^2))</f>
        <v>2.43768199230715</v>
      </c>
      <c r="H626" s="709" t="n">
        <f aca="false">IF(VIN_nom&gt;Vout, 0, -ATAN(A626/z_RHP))</f>
        <v>-1.14809470676448</v>
      </c>
      <c r="I626" s="729" t="n">
        <f aca="false">SQRT(1+(A626/Pole2)^2)</f>
        <v>622227.864639988</v>
      </c>
      <c r="J626" s="730" t="n">
        <f aca="false">ATAN(A626/Pole2)</f>
        <v>1.57079471966661</v>
      </c>
      <c r="K626" s="719" t="n">
        <f aca="false">SQRT(1+(A626/Zero2)^2)</f>
        <v>192.522536300718</v>
      </c>
      <c r="L626" s="720" t="n">
        <f aca="false">ATAN(A626/Zero2)</f>
        <v>1.56560210633695</v>
      </c>
      <c r="M626" s="707" t="n">
        <f aca="false">SQRT(1+(A626/pole4)^2)</f>
        <v>6.06435416371185</v>
      </c>
      <c r="N626" s="710" t="n">
        <f aca="false">ATAN(A626/pole4)</f>
        <v>1.40514171082433</v>
      </c>
      <c r="O626" s="729" t="n">
        <f aca="false">SQRT((1-(A626^2/(pole3^2)))^2+(A626/(Q*pole3))^2)</f>
        <v>2.08754331915527</v>
      </c>
      <c r="P626" s="712" t="e">
        <f aca="false">ATAN((A626/(Q*pole3))/(1-A626^2/pole3^2))</f>
        <v>#DIV/0!</v>
      </c>
      <c r="Q626" s="713" t="n">
        <f aca="false">20*LOG10(((E626*K626*G626)/(C626*I626*O626*M626))*Adc)</f>
        <v>-36.9244782760162</v>
      </c>
      <c r="R626" s="714" t="e">
        <f aca="false">((F626+L626+H626)-(D626+J626+P626+N626))*radconv</f>
        <v>#DIV/0!</v>
      </c>
      <c r="S626" s="717" t="e">
        <f aca="false">IF(R626&gt;0,R626,R626+180)</f>
        <v>#DIV/0!</v>
      </c>
      <c r="T626" s="644" t="s">
        <v>901</v>
      </c>
      <c r="X626" s="716" t="n">
        <f aca="false">20*LOG10((K626/(I626*M626))*AEA)</f>
        <v>2.25162557442755</v>
      </c>
      <c r="Y626" s="717" t="n">
        <f aca="false">(L626-(J626+N626))*radconv</f>
        <v>-80.8062045687937</v>
      </c>
      <c r="AA626" s="716" t="n">
        <f aca="false">20*LOG10((E626*G626/(C626*O626))*Acs*Am)</f>
        <v>12.3045215041106</v>
      </c>
      <c r="AB626" s="717" t="e">
        <f aca="false">(F626+H626-(D626+P626))*radconv</f>
        <v>#DIV/0!</v>
      </c>
    </row>
    <row r="627" customFormat="false" ht="12.75" hidden="false" customHeight="false" outlineLevel="0" collapsed="false">
      <c r="A627" s="734" t="n">
        <f aca="false">Fp2_u</f>
        <v>25078.0054450232</v>
      </c>
      <c r="C627" s="729" t="n">
        <f aca="false">SQRT(1+(A627/pole1)^2)</f>
        <v>42.8379780776669</v>
      </c>
      <c r="D627" s="719" t="n">
        <f aca="false">ATAN(A627/pole1)</f>
        <v>1.54745043398887</v>
      </c>
      <c r="E627" s="719" t="n">
        <f aca="false">SQRT(1+(A627/Zero1)^2)</f>
        <v>1.048481240162</v>
      </c>
      <c r="F627" s="720" t="n">
        <f aca="false">ATAN(A627/Zero1)</f>
        <v>0.305287736533793</v>
      </c>
      <c r="G627" s="708" t="n">
        <f aca="false">IF(VIN_nom&gt;Vout, 1, SQRT(1+(A627/z_RHP)^2))</f>
        <v>1.06683831531517</v>
      </c>
      <c r="H627" s="709" t="n">
        <f aca="false">IF(VIN_nom&gt;Vout, 0, -ATAN(A627/z_RHP))</f>
        <v>-0.355854412065971</v>
      </c>
      <c r="I627" s="729" t="n">
        <f aca="false">SQRT(1+(A627/Pole2)^2)</f>
        <v>104028.225187917</v>
      </c>
      <c r="J627" s="730" t="n">
        <f aca="false">ATAN(A627/Pole2)</f>
        <v>1.57078671401915</v>
      </c>
      <c r="K627" s="719" t="n">
        <f aca="false">SQRT(1+(A627/Zero2)^2)</f>
        <v>32.2023044718076</v>
      </c>
      <c r="L627" s="720" t="n">
        <f aca="false">ATAN(A627/Zero2)</f>
        <v>1.53973765543545</v>
      </c>
      <c r="M627" s="707" t="n">
        <f aca="false">SQRT(1+(A627/pole4)^2)</f>
        <v>1.4142135623731</v>
      </c>
      <c r="N627" s="710" t="n">
        <f aca="false">ATAN(A627/pole4)</f>
        <v>0.785398163397448</v>
      </c>
      <c r="O627" s="729" t="n">
        <f aca="false">SQRT((1-(A627^2/(pole3^2)))^2+(A627/(Q*pole3))^2)</f>
        <v>1.03280497365687</v>
      </c>
      <c r="P627" s="712" t="n">
        <f aca="false">ATAN((A627/(Q*pole3))/(1-A627^2/pole3^2))</f>
        <v>0.344710158352481</v>
      </c>
      <c r="Q627" s="713" t="n">
        <f aca="false">20*LOG10(((E627*K627*G627)/(C627*I627*O627*M627))*Adc)</f>
        <v>-15.97839345793</v>
      </c>
      <c r="R627" s="714" t="n">
        <f aca="false">((F627+L627+H627)-(D627+J627+P627+N627))*radconv</f>
        <v>-158.089053389478</v>
      </c>
      <c r="S627" s="717" t="n">
        <f aca="false">IF(R627&gt;0,R627,R627+180)</f>
        <v>21.9109466105223</v>
      </c>
      <c r="T627" s="644" t="s">
        <v>939</v>
      </c>
      <c r="X627" s="735"/>
      <c r="Y627" s="736"/>
      <c r="AA627" s="716" t="n">
        <f aca="false">20*LOG10((E627*G627/(C627*O627))*Acs*Am)</f>
        <v>20.6011422644235</v>
      </c>
      <c r="AB627" s="717" t="n">
        <f aca="false">(F627+H627-(D627+P627))*radconv</f>
        <v>-111.310073321325</v>
      </c>
    </row>
    <row r="628" customFormat="false" ht="12.75" hidden="false" customHeight="false" outlineLevel="0" collapsed="false">
      <c r="A628" s="734" t="n">
        <f aca="false">z_RHP</f>
        <v>67472.5296692988</v>
      </c>
      <c r="C628" s="729" t="n">
        <f aca="false">SQRT(1+(A628/pole1)^2)</f>
        <v>115.22877824279</v>
      </c>
      <c r="D628" s="719" t="n">
        <f aca="false">ATAN(A628/pole1)</f>
        <v>1.5621178302589</v>
      </c>
      <c r="E628" s="719" t="n">
        <f aca="false">SQRT(1+(A628/Zero1)^2)</f>
        <v>1.31107156797792</v>
      </c>
      <c r="F628" s="720" t="n">
        <f aca="false">ATAN(A628/Zero1)</f>
        <v>0.703264806835287</v>
      </c>
      <c r="G628" s="708" t="n">
        <f aca="false">IF(VIN_nom&gt;Vout, 1, SQRT(1+(A628/z_RHP)^2))</f>
        <v>1.4142135623731</v>
      </c>
      <c r="H628" s="709" t="n">
        <f aca="false">IF(VIN_nom&gt;Vout, 0, -ATAN(A628/z_RHP))</f>
        <v>-0.785398163397448</v>
      </c>
      <c r="I628" s="729" t="n">
        <f aca="false">SQRT(1+(A628/Pole2)^2)</f>
        <v>279888.587054665</v>
      </c>
      <c r="J628" s="730" t="n">
        <f aca="false">ATAN(A628/Pole2)</f>
        <v>1.57079275394468</v>
      </c>
      <c r="K628" s="719" t="n">
        <f aca="false">SQRT(1+(A628/Zero2)^2)</f>
        <v>86.6044889556922</v>
      </c>
      <c r="L628" s="720" t="n">
        <f aca="false">ATAN(A628/Zero2)</f>
        <v>1.55924932461736</v>
      </c>
      <c r="M628" s="707" t="n">
        <f aca="false">SQRT(1+(A628/pole4)^2)</f>
        <v>2.87033512454766</v>
      </c>
      <c r="N628" s="710" t="n">
        <f aca="false">ATAN(A628/pole4)</f>
        <v>1.21494191472893</v>
      </c>
      <c r="O628" s="729" t="n">
        <f aca="false">SQRT((1-(A628^2/(pole3^2)))^2+(A628/(Q*pole3))^2)</f>
        <v>1.23207670547167</v>
      </c>
      <c r="P628" s="712" t="n">
        <f aca="false">ATAN((A628/(Q*pole3))/(1-A628^2/pole3^2))</f>
        <v>0.866608734350887</v>
      </c>
      <c r="Q628" s="713" t="n">
        <f aca="false">20*LOG10(((E628*K628*G628)/(C628*I628*O628*M628))*Adc)</f>
        <v>-27.8677424124752</v>
      </c>
      <c r="R628" s="714" t="n">
        <f aca="false">((F628+L628+H628)-(D628+J628+P628+N628))*radconv</f>
        <v>-214.13411052546</v>
      </c>
      <c r="S628" s="717" t="n">
        <f aca="false">IF(R628&gt;0,R628,R628+180)</f>
        <v>-34.1341105254602</v>
      </c>
      <c r="T628" s="644" t="s">
        <v>908</v>
      </c>
      <c r="X628" s="726"/>
      <c r="Y628" s="726"/>
      <c r="AA628" s="716" t="n">
        <f aca="false">20*LOG10((E628*G628/(C628*O628))*Acs*Am)</f>
        <v>14.8637564482779</v>
      </c>
      <c r="AB628" s="717" t="n">
        <f aca="false">(F628+H628-(D628+P628))*radconv</f>
        <v>-143.861676596089</v>
      </c>
    </row>
    <row r="629" customFormat="false" ht="12.75" hidden="false" customHeight="false" outlineLevel="0" collapsed="false">
      <c r="A629" s="734" t="n">
        <f aca="false">Fp2_u</f>
        <v>25078.0054450232</v>
      </c>
      <c r="Q629" s="713" t="n">
        <v>-25</v>
      </c>
    </row>
    <row r="631" customFormat="false" ht="12.75" hidden="false" customHeight="false" outlineLevel="0" collapsed="false">
      <c r="D631" s="644" t="s">
        <v>940</v>
      </c>
      <c r="E631" s="644" t="s">
        <v>941</v>
      </c>
    </row>
    <row r="632" customFormat="false" ht="12.75" hidden="false" customHeight="false" outlineLevel="0" collapsed="false">
      <c r="A632" s="644" t="s">
        <v>925</v>
      </c>
      <c r="B632" s="644" t="s">
        <v>942</v>
      </c>
      <c r="C632" s="645" t="n">
        <f aca="false">pole1</f>
        <v>585.574816193763</v>
      </c>
      <c r="D632" s="645" t="n">
        <f aca="false">Q622</f>
        <v>20.3846072321715</v>
      </c>
      <c r="E632" s="645" t="n">
        <f aca="false">AA622</f>
        <v>49.53500882327</v>
      </c>
    </row>
    <row r="633" customFormat="false" ht="12.75" hidden="false" customHeight="false" outlineLevel="0" collapsed="false">
      <c r="A633" s="644" t="s">
        <v>926</v>
      </c>
      <c r="B633" s="644" t="s">
        <v>943</v>
      </c>
      <c r="C633" s="645" t="n">
        <f aca="false">Zero1</f>
        <v>79577.4716368782</v>
      </c>
      <c r="D633" s="645" t="n">
        <f aca="false">Q623</f>
        <v>-29.750089545484</v>
      </c>
      <c r="E633" s="645" t="n">
        <f aca="false">AA623</f>
        <v>14.2640761376989</v>
      </c>
    </row>
    <row r="634" customFormat="false" ht="12.75" hidden="false" customHeight="false" outlineLevel="0" collapsed="false">
      <c r="A634" s="644" t="s">
        <v>927</v>
      </c>
      <c r="B634" s="644" t="s">
        <v>944</v>
      </c>
      <c r="C634" s="645" t="n">
        <f aca="false">Pole2</f>
        <v>0.241069242514527</v>
      </c>
      <c r="D634" s="645" t="n">
        <f aca="false">Q624</f>
        <v>86.1506512794729</v>
      </c>
      <c r="E634" s="645" t="n">
        <f aca="false">AA624</f>
        <v>52.5449018429153</v>
      </c>
    </row>
    <row r="635" customFormat="false" ht="12.75" hidden="false" customHeight="false" outlineLevel="0" collapsed="false">
      <c r="A635" s="644" t="s">
        <v>938</v>
      </c>
      <c r="B635" s="644" t="s">
        <v>945</v>
      </c>
      <c r="C635" s="645" t="n">
        <f aca="false">Zero2</f>
        <v>779.140075751488</v>
      </c>
      <c r="D635" s="645" t="n">
        <f aca="false">Q625</f>
        <v>17.5529131277564</v>
      </c>
      <c r="E635" s="645" t="n">
        <f aca="false">AA625</f>
        <v>48.1202294654585</v>
      </c>
    </row>
    <row r="636" customFormat="false" ht="12.75" hidden="false" customHeight="false" outlineLevel="0" collapsed="false">
      <c r="A636" s="644" t="s">
        <v>901</v>
      </c>
      <c r="B636" s="644" t="s">
        <v>946</v>
      </c>
      <c r="C636" s="644" t="n">
        <f aca="false">pole3</f>
        <v>150000</v>
      </c>
      <c r="D636" s="645" t="n">
        <f aca="false">Q626</f>
        <v>-36.9244782760162</v>
      </c>
      <c r="E636" s="645" t="n">
        <f aca="false">AA626</f>
        <v>12.3045215041106</v>
      </c>
    </row>
    <row r="637" customFormat="false" ht="12.75" hidden="false" customHeight="false" outlineLevel="0" collapsed="false">
      <c r="A637" s="644" t="s">
        <v>947</v>
      </c>
      <c r="B637" s="644" t="s">
        <v>948</v>
      </c>
      <c r="C637" s="734" t="n">
        <f aca="false">z_RHP</f>
        <v>67472.5296692988</v>
      </c>
      <c r="D637" s="645" t="n">
        <f aca="false">Q628</f>
        <v>-27.8677424124752</v>
      </c>
      <c r="E637" s="645" t="n">
        <f aca="false">AA628</f>
        <v>14.8637564482779</v>
      </c>
    </row>
    <row r="639" customFormat="false" ht="12.75" hidden="false" customHeight="false" outlineLevel="0" collapsed="false">
      <c r="A639" s="645" t="n">
        <f aca="false">Q4*1000</f>
        <v>4786.3</v>
      </c>
    </row>
    <row r="640" customFormat="false" ht="12.75" hidden="false" customHeight="false" outlineLevel="0" collapsed="false">
      <c r="A640" s="645" t="n">
        <f aca="false">Q4*1000</f>
        <v>4786.3</v>
      </c>
    </row>
    <row r="687" customFormat="false" ht="12.75" hidden="false" customHeight="false" outlineLevel="0" collapsed="false">
      <c r="AD687" s="0" t="s">
        <v>917</v>
      </c>
      <c r="AE687" s="385" t="n">
        <f aca="false">SUM(AE689:AE1306)</f>
        <v>0</v>
      </c>
    </row>
  </sheetData>
  <mergeCells count="20">
    <mergeCell ref="A2:D2"/>
    <mergeCell ref="E2:G2"/>
    <mergeCell ref="J2:L2"/>
    <mergeCell ref="M2:O2"/>
    <mergeCell ref="P2:R2"/>
    <mergeCell ref="A10:A12"/>
    <mergeCell ref="B10:B11"/>
    <mergeCell ref="C10:H10"/>
    <mergeCell ref="I10:N10"/>
    <mergeCell ref="O10:P10"/>
    <mergeCell ref="Q10:S10"/>
    <mergeCell ref="X10:Y10"/>
    <mergeCell ref="AA10:AB10"/>
    <mergeCell ref="C11:D11"/>
    <mergeCell ref="E11:F11"/>
    <mergeCell ref="G11:H11"/>
    <mergeCell ref="I11:J11"/>
    <mergeCell ref="K11:L11"/>
    <mergeCell ref="M11:N11"/>
    <mergeCell ref="O11:P11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1" scale="48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19" man="true" max="65535" min="0"/>
  </colBreak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5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9" activeCellId="0" sqref="N19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17.29"/>
    <col collapsed="false" customWidth="true" hidden="false" outlineLevel="0" max="2" min="2" style="0" width="12"/>
    <col collapsed="false" customWidth="true" hidden="false" outlineLevel="0" max="4" min="3" style="0" width="12.42"/>
    <col collapsed="false" customWidth="true" hidden="false" outlineLevel="0" max="8" min="7" style="0" width="12.42"/>
    <col collapsed="false" customWidth="true" hidden="false" outlineLevel="0" max="13" min="13" style="0" width="12.15"/>
    <col collapsed="false" customWidth="true" hidden="false" outlineLevel="0" max="14" min="14" style="0" width="12.42"/>
    <col collapsed="false" customWidth="true" hidden="false" outlineLevel="0" max="15" min="15" style="0" width="15.42"/>
  </cols>
  <sheetData>
    <row r="2" customFormat="false" ht="12.75" hidden="false" customHeight="false" outlineLevel="0" collapsed="false">
      <c r="A2" s="0" t="s">
        <v>949</v>
      </c>
      <c r="B2" s="0" t="s">
        <v>443</v>
      </c>
      <c r="C2" s="0" t="s">
        <v>579</v>
      </c>
      <c r="D2" s="0" t="s">
        <v>581</v>
      </c>
      <c r="E2" s="0" t="s">
        <v>401</v>
      </c>
      <c r="F2" s="0" t="s">
        <v>423</v>
      </c>
      <c r="G2" s="320" t="s">
        <v>718</v>
      </c>
      <c r="H2" s="320" t="s">
        <v>950</v>
      </c>
      <c r="I2" s="0" t="s">
        <v>951</v>
      </c>
      <c r="J2" s="0" t="s">
        <v>952</v>
      </c>
    </row>
    <row r="3" customFormat="false" ht="12.75" hidden="false" customHeight="false" outlineLevel="0" collapsed="false">
      <c r="A3" s="0" t="s">
        <v>953</v>
      </c>
      <c r="B3" s="0" t="n">
        <f aca="false">Css</f>
        <v>9.375E-008</v>
      </c>
      <c r="C3" s="0" t="n">
        <f aca="false">Cc1ea</f>
        <v>3.81459376216245E-008</v>
      </c>
      <c r="D3" s="0" t="n">
        <f aca="false">Cc2ea</f>
        <v>1.09159917332137E-009</v>
      </c>
      <c r="E3" s="0" t="n">
        <f aca="false">Cout</f>
        <v>0.0004</v>
      </c>
      <c r="F3" s="0" t="n">
        <f aca="false">Cin</f>
        <v>6.8E-005</v>
      </c>
      <c r="G3" s="0" t="n">
        <f aca="false">Csideal*10^-12</f>
        <v>2.35E-010</v>
      </c>
      <c r="H3" s="0" t="n">
        <f aca="false">N19</f>
        <v>4.16666666666667E-008</v>
      </c>
      <c r="I3" s="0" t="n">
        <f aca="false">Csb</f>
        <v>1000</v>
      </c>
      <c r="J3" s="0" t="n">
        <f aca="false">Csby</f>
        <v>4.16666666666667E-008</v>
      </c>
      <c r="M3" s="0" t="s">
        <v>954</v>
      </c>
      <c r="N3" s="0" t="s">
        <v>955</v>
      </c>
      <c r="O3" s="292" t="s">
        <v>956</v>
      </c>
    </row>
    <row r="4" customFormat="false" ht="12.75" hidden="false" customHeight="false" outlineLevel="0" collapsed="false">
      <c r="A4" s="737" t="s">
        <v>956</v>
      </c>
      <c r="B4" s="737" t="n">
        <f aca="false">SUM(B6:B158)/1000000000000</f>
        <v>1E-007</v>
      </c>
      <c r="C4" s="737" t="n">
        <f aca="false">SUM(C6:C158)/1000000000000000</f>
        <v>3.9E-011</v>
      </c>
      <c r="D4" s="737" t="n">
        <f aca="false">SUM(D6:D158)/1000000000000</f>
        <v>1E-009</v>
      </c>
      <c r="E4" s="737" t="n">
        <f aca="false">SUM(E6:E158)/1000000000000</f>
        <v>0.00039</v>
      </c>
      <c r="F4" s="737" t="n">
        <f aca="false">SUM(F6:F158)/1000000000000</f>
        <v>6.8E-005</v>
      </c>
      <c r="G4" s="737" t="n">
        <f aca="false">SUM(G6:G158)/1000000000000</f>
        <v>2.2E-010</v>
      </c>
      <c r="H4" s="737" t="n">
        <f aca="false">IF(H3="OPEN","OPEN",SUM(H6:H158)/1000000000000)</f>
        <v>3.9E-008</v>
      </c>
      <c r="I4" s="737" t="n">
        <f aca="false">IF(I3="OPEN","OPEN",SUM(I6:I158)/1000000000000)</f>
        <v>0</v>
      </c>
      <c r="J4" s="737" t="n">
        <f aca="false">IF(J3="OPEN","OPEN",SUM(J6:J158)/1000000000000)</f>
        <v>3.9E-008</v>
      </c>
      <c r="M4" s="320" t="s">
        <v>239</v>
      </c>
      <c r="N4" s="473" t="n">
        <f aca="false">Rfadj</f>
        <v>27097.7011494253</v>
      </c>
      <c r="O4" s="292" t="n">
        <f aca="false">IF(N4&gt;(INT(0.5+100*POWER(10,IF(96*(LOG(N4)-INT(LOG(N4)))-ROUND(96*(LOG(N4)-INT(LOG(N4))),0)&lt;0,ROUND(96*(LOG(N4)-INT(LOG(N4))),0)-1,ROUND(96*(LOG(N4)-INT(LOG(N4))),0))/96))*POWER(10,INT(LOG(N4))-2)+INT(0.5+100*POWER(10,(IF(96*(LOG(N4)-INT(LOG(N4)))-ROUND(96*(LOG(N4)-INT(LOG(N4))),0)&lt;0,ROUND(96*(LOG(N4)-INT(LOG(N4))),0)-1,ROUND(96*(LOG(N4)-INT(LOG(N4))),0))+1)/96))*POWER(10,INT(LOG(N4))-2))/2,INT(0.5+100*POWER(10,(IF(96*(LOG(N4)-INT(LOG(N4)))-ROUND(96*(LOG(N4)-INT(LOG(N4))),0)&lt;0,ROUND(96*(LOG(N4)-INT(LOG(N4))),0)-1,ROUND(96*(LOG(N4)-INT(LOG(N4))),0))+1)/96))*POWER(10,INT(LOG(N4))-2),INT(0.5+100*POWER(10,IF(96*(LOG(N4)-INT(LOG(N4)))-ROUND(96*(LOG(N4)-INT(LOG(N4))),0)&lt;0,ROUND(96*(LOG(N4)-INT(LOG(N4))),0)-1,ROUND(96*(LOG(N4)-INT(LOG(N4))),0))/96))*POWER(10,INT(LOG(N4))-2))</f>
        <v>27400</v>
      </c>
      <c r="P4" s="402" t="s">
        <v>957</v>
      </c>
    </row>
    <row r="5" customFormat="false" ht="12.75" hidden="false" customHeight="false" outlineLevel="0" collapsed="false">
      <c r="A5" s="0" t="s">
        <v>958</v>
      </c>
      <c r="O5" s="292"/>
      <c r="P5" s="402"/>
    </row>
    <row r="6" customFormat="false" ht="12.75" hidden="false" customHeight="false" outlineLevel="0" collapsed="false">
      <c r="A6" s="0" t="n">
        <v>0.47</v>
      </c>
      <c r="B6" s="0" t="n">
        <f aca="false">IF(IF((B$3*10^12-$A7)*(B$3*10^12-$A6)*-1&lt;0,0,1)*IF(ABS(B$3*10^12-$A7)&gt;(B$3*10^12-$A6),$A6,$A7)=B7,0,IF((B$3*10^12-$A7)*(B$3*10^12-$A6)*-1&lt;0,0,1)*IF(ABS(B$3*10^12-$A7)&gt;(B$3*10^12-$A6),$A6,$A7))</f>
        <v>0</v>
      </c>
      <c r="C6" s="0" t="n">
        <f aca="false">IF(IF((C$3*10^12-$A7)*(C$3*10^12-$A6)*-1&lt;0,0,1)*IF(ABS(C$3*10^12-$A7)&gt;(C$3*10^12-$A6),$A6,$A7)=C7,0,IF((C$3*10^12-$A7)*(C$3*10^12-$A6)*-1&lt;0,0,1)*IF(ABS(C$3*10^12-$A7)&gt;(C$3*10^12-$A6),$A6,$A7))</f>
        <v>0</v>
      </c>
      <c r="D6" s="0" t="n">
        <f aca="false">IF(IF((D$3*10^12-$A7)*(D$3*10^12-$A6)*-1&lt;0,0,1)*IF(ABS(D$3*10^12-$A7)&gt;(D$3*10^12-$A6),$A6,$A7)=D7,0,IF((D$3*10^12-$A7)*(D$3*10^12-$A6)*-1&lt;0,0,1)*IF(ABS(D$3*10^12-$A7)&gt;(D$3*10^12-$A6),$A6,$A7))</f>
        <v>0</v>
      </c>
      <c r="E6" s="0" t="n">
        <f aca="false">IF(IF((E$3*10^12-$A7)*(E$3*10^12-$A6)*-1&lt;0,0,1)*IF(ABS(E$3*10^12-$A7)&gt;(E$3*10^12-$A6),$A6,$A7)=E7,0,IF((E$3*10^12-$A7)*(E$3*10^12-$A6)*-1&lt;0,0,1)*IF(ABS(E$3*10^12-$A7)&gt;(E$3*10^12-$A6),$A6,$A7))</f>
        <v>0</v>
      </c>
      <c r="F6" s="0" t="n">
        <f aca="false">IF(IF((F$3*10^12-$A7)*(F$3*10^12-$A6)*-1&lt;0,0,1)*IF(ABS(F$3*10^12-$A7)&gt;(F$3*10^12-$A6),$A6,$A7)=F7,0,IF((F$3*10^12-$A7)*(F$3*10^12-$A6)*-1&lt;0,0,1)*IF(ABS(F$3*10^12-$A7)&gt;(F$3*10^12-$A6),$A6,$A7))</f>
        <v>0</v>
      </c>
      <c r="G6" s="0" t="n">
        <f aca="false">IF(IF((G$3*10^12-$A7)*(G$3*10^12-$A6)*-1&lt;0,0,1)*IF(ABS(G$3*10^12-$A7)&gt;(G$3*10^12-$A6),$A6,$A7)=G7,0,IF((G$3*10^12-$A7)*(G$3*10^12-$A6)*-1&lt;0,0,1)*IF(ABS(G$3*10^12-$A7)&gt;(G$3*10^12-$A6),$A6,$A7))</f>
        <v>0</v>
      </c>
      <c r="H6" s="0" t="n">
        <f aca="false">IF(IF((H$3*10^12-$A7)*(H$3*10^12-$A6)*-1&lt;0,0,1)*IF(ABS(H$3*10^12-$A7)&gt;(H$3*10^12-$A6),$A6,$A7)=H7,0,IF((H$3*10^12-$A7)*(H$3*10^12-$A6)*-1&lt;0,0,1)*IF(ABS(H$3*10^12-$A7)&gt;(H$3*10^12-$A6),$A6,$A7))</f>
        <v>0</v>
      </c>
      <c r="I6" s="0" t="n">
        <f aca="false">IF(IF((I$3*10^12-$A7)*(I$3*10^12-$A6)*-1&lt;0,0,1)*IF(ABS(I$3*10^12-$A7)&gt;(I$3*10^12-$A6),$A6,$A7)=I7,0,IF((I$3*10^12-$A7)*(I$3*10^12-$A6)*-1&lt;0,0,1)*IF(ABS(I$3*10^12-$A7)&gt;(I$3*10^12-$A6),$A6,$A7))</f>
        <v>0</v>
      </c>
      <c r="J6" s="0" t="n">
        <f aca="false">IF(IF((J$3*10^12-$A7)*(J$3*10^12-$A6)*-1&lt;0,0,1)*IF(ABS(J$3*10^12-$A7)&gt;(J$3*10^12-$A6),$A6,$A7)=J7,0,IF((J$3*10^12-$A7)*(J$3*10^12-$A6)*-1&lt;0,0,1)*IF(ABS(J$3*10^12-$A7)&gt;(J$3*10^12-$A6),$A6,$A7))</f>
        <v>0</v>
      </c>
      <c r="M6" s="320" t="s">
        <v>959</v>
      </c>
      <c r="N6" s="738" t="n">
        <f aca="false">Rshunt</f>
        <v>4.16666666666667</v>
      </c>
      <c r="O6" s="292" t="n">
        <f aca="false">IF(N6&gt;(INT(0.5+100*POWER(10,IF(96*(LOG(N6)-INT(LOG(N6)))-ROUND(96*(LOG(N6)-INT(LOG(N6))),0)&lt;0,ROUND(96*(LOG(N6)-INT(LOG(N6))),0)-1,ROUND(96*(LOG(N6)-INT(LOG(N6))),0))/96))*POWER(10,INT(LOG(N6))-2)+INT(0.5+100*POWER(10,(IF(96*(LOG(N6)-INT(LOG(N6)))-ROUND(96*(LOG(N6)-INT(LOG(N6))),0)&lt;0,ROUND(96*(LOG(N6)-INT(LOG(N6))),0)-1,ROUND(96*(LOG(N6)-INT(LOG(N6))),0))+1)/96))*POWER(10,INT(LOG(N6))-2))/2,INT(0.5+100*POWER(10,(IF(96*(LOG(N6)-INT(LOG(N6)))-ROUND(96*(LOG(N6)-INT(LOG(N6))),0)&lt;0,ROUND(96*(LOG(N6)-INT(LOG(N6))),0)-1,ROUND(96*(LOG(N6)-INT(LOG(N6))),0))+1)/96))*POWER(10,INT(LOG(N6))-2),INT(0.5+100*POWER(10,IF(96*(LOG(N6)-INT(LOG(N6)))-ROUND(96*(LOG(N6)-INT(LOG(N6))),0)&lt;0,ROUND(96*(LOG(N6)-INT(LOG(N6))),0)-1,ROUND(96*(LOG(N6)-INT(LOG(N6))),0))/96))*POWER(10,INT(LOG(N6))-2))</f>
        <v>4.12</v>
      </c>
      <c r="P6" s="402" t="s">
        <v>957</v>
      </c>
    </row>
    <row r="7" customFormat="false" ht="12.75" hidden="false" customHeight="false" outlineLevel="0" collapsed="false">
      <c r="A7" s="0" t="n">
        <v>0.56</v>
      </c>
      <c r="B7" s="0" t="n">
        <f aca="false">IF(IF((B$3*10^12-$A8)*(B$3*10^12-$A7)*-1&lt;0,0,1)*IF(ABS(B$3*10^12-$A8)&gt;(B$3*10^12-$A7),$A7,$A8)=B8,0,IF((B$3*10^12-$A8)*(B$3*10^12-$A7)*-1&lt;0,0,1)*IF(ABS(B$3*10^12-$A8)&gt;(B$3*10^12-$A7),$A7,$A8))</f>
        <v>0</v>
      </c>
      <c r="C7" s="0" t="n">
        <f aca="false">IF(IF((C$3*10^12-$A8)*(C$3*10^12-$A7)*-1&lt;0,0,1)*IF(ABS(C$3*10^12-$A8)&gt;(C$3*10^12-$A7),$A7,$A8)=C8,0,IF((C$3*10^12-$A8)*(C$3*10^12-$A7)*-1&lt;0,0,1)*IF(ABS(C$3*10^12-$A8)&gt;(C$3*10^12-$A7),$A7,$A8))</f>
        <v>0</v>
      </c>
      <c r="D7" s="0" t="n">
        <f aca="false">IF(IF((D$3*10^12-$A8)*(D$3*10^12-$A7)*-1&lt;0,0,1)*IF(ABS(D$3*10^12-$A8)&gt;(D$3*10^12-$A7),$A7,$A8)=D8,0,IF((D$3*10^12-$A8)*(D$3*10^12-$A7)*-1&lt;0,0,1)*IF(ABS(D$3*10^12-$A8)&gt;(D$3*10^12-$A7),$A7,$A8))</f>
        <v>0</v>
      </c>
      <c r="E7" s="0" t="n">
        <f aca="false">IF(IF((E$3*10^12-$A8)*(E$3*10^12-$A7)*-1&lt;0,0,1)*IF(ABS(E$3*10^12-$A8)&gt;(E$3*10^12-$A7),$A7,$A8)=E8,0,IF((E$3*10^12-$A8)*(E$3*10^12-$A7)*-1&lt;0,0,1)*IF(ABS(E$3*10^12-$A8)&gt;(E$3*10^12-$A7),$A7,$A8))</f>
        <v>0</v>
      </c>
      <c r="F7" s="0" t="n">
        <f aca="false">IF(IF((F$3*10^12-$A8)*(F$3*10^12-$A7)*-1&lt;0,0,1)*IF(ABS(F$3*10^12-$A8)&gt;(F$3*10^12-$A7),$A7,$A8)=F8,0,IF((F$3*10^12-$A8)*(F$3*10^12-$A7)*-1&lt;0,0,1)*IF(ABS(F$3*10^12-$A8)&gt;(F$3*10^12-$A7),$A7,$A8))</f>
        <v>0</v>
      </c>
      <c r="G7" s="0" t="n">
        <f aca="false">IF(IF((G$3*10^12-$A8)*(G$3*10^12-$A7)*-1&lt;0,0,1)*IF(ABS(G$3*10^12-$A8)&gt;(G$3*10^12-$A7),$A7,$A8)=G8,0,IF((G$3*10^12-$A8)*(G$3*10^12-$A7)*-1&lt;0,0,1)*IF(ABS(G$3*10^12-$A8)&gt;(G$3*10^12-$A7),$A7,$A8))</f>
        <v>0</v>
      </c>
      <c r="H7" s="0" t="n">
        <f aca="false">IF(IF((H$3*10^12-$A8)*(H$3*10^12-$A7)*-1&lt;0,0,1)*IF(ABS(H$3*10^12-$A8)&gt;(H$3*10^12-$A7),$A7,$A8)=H8,0,IF((H$3*10^12-$A8)*(H$3*10^12-$A7)*-1&lt;0,0,1)*IF(ABS(H$3*10^12-$A8)&gt;(H$3*10^12-$A7),$A7,$A8))</f>
        <v>0</v>
      </c>
      <c r="I7" s="0" t="n">
        <f aca="false">IF(IF((I$3*10^12-$A8)*(I$3*10^12-$A7)*-1&lt;0,0,1)*IF(ABS(I$3*10^12-$A8)&gt;(I$3*10^12-$A7),$A7,$A8)=I8,0,IF((I$3*10^12-$A8)*(I$3*10^12-$A7)*-1&lt;0,0,1)*IF(ABS(I$3*10^12-$A8)&gt;(I$3*10^12-$A7),$A7,$A8))</f>
        <v>0</v>
      </c>
      <c r="J7" s="0" t="n">
        <f aca="false">IF(IF((J$3*10^12-$A8)*(J$3*10^12-$A7)*-1&lt;0,0,1)*IF(ABS(J$3*10^12-$A8)&gt;(J$3*10^12-$A7),$A7,$A8)=J8,0,IF((J$3*10^12-$A8)*(J$3*10^12-$A7)*-1&lt;0,0,1)*IF(ABS(J$3*10^12-$A8)&gt;(J$3*10^12-$A7),$A7,$A8))</f>
        <v>0</v>
      </c>
      <c r="M7" s="0" t="s">
        <v>960</v>
      </c>
      <c r="N7" s="0" t="n">
        <f aca="false">Rcea1</f>
        <v>4750.05007597337</v>
      </c>
      <c r="O7" s="292" t="n">
        <f aca="false">IF(N7&gt;(INT(0.5+100*POWER(10,IF(96*(LOG(N7)-INT(LOG(N7)))-ROUND(96*(LOG(N7)-INT(LOG(N7))),0)&lt;0,ROUND(96*(LOG(N7)-INT(LOG(N7))),0)-1,ROUND(96*(LOG(N7)-INT(LOG(N7))),0))/96))*POWER(10,INT(LOG(N7))-2)+INT(0.5+100*POWER(10,(IF(96*(LOG(N7)-INT(LOG(N7)))-ROUND(96*(LOG(N7)-INT(LOG(N7))),0)&lt;0,ROUND(96*(LOG(N7)-INT(LOG(N7))),0)-1,ROUND(96*(LOG(N7)-INT(LOG(N7))),0))+1)/96))*POWER(10,INT(LOG(N7))-2))/2,INT(0.5+100*POWER(10,(IF(96*(LOG(N7)-INT(LOG(N7)))-ROUND(96*(LOG(N7)-INT(LOG(N7))),0)&lt;0,ROUND(96*(LOG(N7)-INT(LOG(N7))),0)-1,ROUND(96*(LOG(N7)-INT(LOG(N7))),0))+1)/96))*POWER(10,INT(LOG(N7))-2),INT(0.5+100*POWER(10,IF(96*(LOG(N7)-INT(LOG(N7)))-ROUND(96*(LOG(N7)-INT(LOG(N7))),0)&lt;0,ROUND(96*(LOG(N7)-INT(LOG(N7))),0)-1,ROUND(96*(LOG(N7)-INT(LOG(N7))),0))/96))*POWER(10,INT(LOG(N7))-2))</f>
        <v>4750</v>
      </c>
      <c r="P7" s="402" t="s">
        <v>957</v>
      </c>
    </row>
    <row r="8" customFormat="false" ht="12.75" hidden="false" customHeight="false" outlineLevel="0" collapsed="false">
      <c r="A8" s="0" t="n">
        <v>0.68</v>
      </c>
      <c r="B8" s="0" t="n">
        <f aca="false">IF(IF((B$3*10^12-$A9)*(B$3*10^12-$A8)*-1&lt;0,0,1)*IF(ABS(B$3*10^12-$A9)&gt;(B$3*10^12-$A8),$A8,$A9)=B9,0,IF((B$3*10^12-$A9)*(B$3*10^12-$A8)*-1&lt;0,0,1)*IF(ABS(B$3*10^12-$A9)&gt;(B$3*10^12-$A8),$A8,$A9))</f>
        <v>0</v>
      </c>
      <c r="C8" s="0" t="n">
        <f aca="false">IF(IF((C$3*10^12-$A9)*(C$3*10^12-$A8)*-1&lt;0,0,1)*IF(ABS(C$3*10^12-$A9)&gt;(C$3*10^12-$A8),$A8,$A9)=C9,0,IF((C$3*10^12-$A9)*(C$3*10^12-$A8)*-1&lt;0,0,1)*IF(ABS(C$3*10^12-$A9)&gt;(C$3*10^12-$A8),$A8,$A9))</f>
        <v>0</v>
      </c>
      <c r="D8" s="0" t="n">
        <f aca="false">IF(IF((D$3*10^12-$A9)*(D$3*10^12-$A8)*-1&lt;0,0,1)*IF(ABS(D$3*10^12-$A9)&gt;(D$3*10^12-$A8),$A8,$A9)=D9,0,IF((D$3*10^12-$A9)*(D$3*10^12-$A8)*-1&lt;0,0,1)*IF(ABS(D$3*10^12-$A9)&gt;(D$3*10^12-$A8),$A8,$A9))</f>
        <v>0</v>
      </c>
      <c r="E8" s="0" t="n">
        <f aca="false">IF(IF((E$3*10^12-$A9)*(E$3*10^12-$A8)*-1&lt;0,0,1)*IF(ABS(E$3*10^12-$A9)&gt;(E$3*10^12-$A8),$A8,$A9)=E9,0,IF((E$3*10^12-$A9)*(E$3*10^12-$A8)*-1&lt;0,0,1)*IF(ABS(E$3*10^12-$A9)&gt;(E$3*10^12-$A8),$A8,$A9))</f>
        <v>0</v>
      </c>
      <c r="F8" s="0" t="n">
        <f aca="false">IF(IF((F$3*10^12-$A9)*(F$3*10^12-$A8)*-1&lt;0,0,1)*IF(ABS(F$3*10^12-$A9)&gt;(F$3*10^12-$A8),$A8,$A9)=F9,0,IF((F$3*10^12-$A9)*(F$3*10^12-$A8)*-1&lt;0,0,1)*IF(ABS(F$3*10^12-$A9)&gt;(F$3*10^12-$A8),$A8,$A9))</f>
        <v>0</v>
      </c>
      <c r="G8" s="0" t="n">
        <f aca="false">IF(IF((G$3*10^12-$A9)*(G$3*10^12-$A8)*-1&lt;0,0,1)*IF(ABS(G$3*10^12-$A9)&gt;(G$3*10^12-$A8),$A8,$A9)=G9,0,IF((G$3*10^12-$A9)*(G$3*10^12-$A8)*-1&lt;0,0,1)*IF(ABS(G$3*10^12-$A9)&gt;(G$3*10^12-$A8),$A8,$A9))</f>
        <v>0</v>
      </c>
      <c r="H8" s="0" t="n">
        <f aca="false">IF(IF((H$3*10^12-$A9)*(H$3*10^12-$A8)*-1&lt;0,0,1)*IF(ABS(H$3*10^12-$A9)&gt;(H$3*10^12-$A8),$A8,$A9)=H9,0,IF((H$3*10^12-$A9)*(H$3*10^12-$A8)*-1&lt;0,0,1)*IF(ABS(H$3*10^12-$A9)&gt;(H$3*10^12-$A8),$A8,$A9))</f>
        <v>0</v>
      </c>
      <c r="I8" s="0" t="n">
        <f aca="false">IF(IF((I$3*10^12-$A9)*(I$3*10^12-$A8)*-1&lt;0,0,1)*IF(ABS(I$3*10^12-$A9)&gt;(I$3*10^12-$A8),$A8,$A9)=I9,0,IF((I$3*10^12-$A9)*(I$3*10^12-$A8)*-1&lt;0,0,1)*IF(ABS(I$3*10^12-$A9)&gt;(I$3*10^12-$A8),$A8,$A9))</f>
        <v>0</v>
      </c>
      <c r="J8" s="0" t="n">
        <f aca="false">IF(IF((J$3*10^12-$A9)*(J$3*10^12-$A8)*-1&lt;0,0,1)*IF(ABS(J$3*10^12-$A9)&gt;(J$3*10^12-$A8),$A8,$A9)=J9,0,IF((J$3*10^12-$A9)*(J$3*10^12-$A8)*-1&lt;0,0,1)*IF(ABS(J$3*10^12-$A9)&gt;(J$3*10^12-$A8),$A8,$A9))</f>
        <v>0</v>
      </c>
      <c r="O8" s="292"/>
      <c r="P8" s="402"/>
    </row>
    <row r="9" customFormat="false" ht="12.75" hidden="false" customHeight="false" outlineLevel="0" collapsed="false">
      <c r="A9" s="0" t="n">
        <v>0.82</v>
      </c>
      <c r="B9" s="0" t="n">
        <f aca="false">IF(IF((B$3*10^12-$A10)*(B$3*10^12-$A9)*-1&lt;0,0,1)*IF(ABS(B$3*10^12-$A10)&gt;(B$3*10^12-$A9),$A9,$A10)=B10,0,IF((B$3*10^12-$A10)*(B$3*10^12-$A9)*-1&lt;0,0,1)*IF(ABS(B$3*10^12-$A10)&gt;(B$3*10^12-$A9),$A9,$A10))</f>
        <v>0</v>
      </c>
      <c r="C9" s="0" t="n">
        <f aca="false">IF(IF((C$3*10^12-$A10)*(C$3*10^12-$A9)*-1&lt;0,0,1)*IF(ABS(C$3*10^12-$A10)&gt;(C$3*10^12-$A9),$A9,$A10)=C10,0,IF((C$3*10^12-$A10)*(C$3*10^12-$A9)*-1&lt;0,0,1)*IF(ABS(C$3*10^12-$A10)&gt;(C$3*10^12-$A9),$A9,$A10))</f>
        <v>0</v>
      </c>
      <c r="D9" s="0" t="n">
        <f aca="false">IF(IF((D$3*10^12-$A10)*(D$3*10^12-$A9)*-1&lt;0,0,1)*IF(ABS(D$3*10^12-$A10)&gt;(D$3*10^12-$A9),$A9,$A10)=D10,0,IF((D$3*10^12-$A10)*(D$3*10^12-$A9)*-1&lt;0,0,1)*IF(ABS(D$3*10^12-$A10)&gt;(D$3*10^12-$A9),$A9,$A10))</f>
        <v>0</v>
      </c>
      <c r="E9" s="0" t="n">
        <f aca="false">IF(IF((E$3*10^12-$A10)*(E$3*10^12-$A9)*-1&lt;0,0,1)*IF(ABS(E$3*10^12-$A10)&gt;(E$3*10^12-$A9),$A9,$A10)=E10,0,IF((E$3*10^12-$A10)*(E$3*10^12-$A9)*-1&lt;0,0,1)*IF(ABS(E$3*10^12-$A10)&gt;(E$3*10^12-$A9),$A9,$A10))</f>
        <v>0</v>
      </c>
      <c r="F9" s="0" t="n">
        <f aca="false">IF(IF((F$3*10^12-$A10)*(F$3*10^12-$A9)*-1&lt;0,0,1)*IF(ABS(F$3*10^12-$A10)&gt;(F$3*10^12-$A9),$A9,$A10)=F10,0,IF((F$3*10^12-$A10)*(F$3*10^12-$A9)*-1&lt;0,0,1)*IF(ABS(F$3*10^12-$A10)&gt;(F$3*10^12-$A9),$A9,$A10))</f>
        <v>0</v>
      </c>
      <c r="G9" s="0" t="n">
        <f aca="false">IF(IF((G$3*10^12-$A10)*(G$3*10^12-$A9)*-1&lt;0,0,1)*IF(ABS(G$3*10^12-$A10)&gt;(G$3*10^12-$A9),$A9,$A10)=G10,0,IF((G$3*10^12-$A10)*(G$3*10^12-$A9)*-1&lt;0,0,1)*IF(ABS(G$3*10^12-$A10)&gt;(G$3*10^12-$A9),$A9,$A10))</f>
        <v>0</v>
      </c>
      <c r="H9" s="0" t="n">
        <f aca="false">IF(IF((H$3*10^12-$A10)*(H$3*10^12-$A9)*-1&lt;0,0,1)*IF(ABS(H$3*10^12-$A10)&gt;(H$3*10^12-$A9),$A9,$A10)=H10,0,IF((H$3*10^12-$A10)*(H$3*10^12-$A9)*-1&lt;0,0,1)*IF(ABS(H$3*10^12-$A10)&gt;(H$3*10^12-$A9),$A9,$A10))</f>
        <v>0</v>
      </c>
      <c r="I9" s="0" t="n">
        <f aca="false">IF(IF((I$3*10^12-$A10)*(I$3*10^12-$A9)*-1&lt;0,0,1)*IF(ABS(I$3*10^12-$A10)&gt;(I$3*10^12-$A9),$A9,$A10)=I10,0,IF((I$3*10^12-$A10)*(I$3*10^12-$A9)*-1&lt;0,0,1)*IF(ABS(I$3*10^12-$A10)&gt;(I$3*10^12-$A9),$A9,$A10))</f>
        <v>0</v>
      </c>
      <c r="J9" s="0" t="n">
        <f aca="false">IF(IF((J$3*10^12-$A10)*(J$3*10^12-$A9)*-1&lt;0,0,1)*IF(ABS(J$3*10^12-$A10)&gt;(J$3*10^12-$A9),$A9,$A10)=J10,0,IF((J$3*10^12-$A10)*(J$3*10^12-$A9)*-1&lt;0,0,1)*IF(ABS(J$3*10^12-$A10)&gt;(J$3*10^12-$A9),$A9,$A10))</f>
        <v>0</v>
      </c>
      <c r="M9" s="0" t="s">
        <v>594</v>
      </c>
      <c r="N9" s="0" t="n">
        <f aca="false">Rfb1_</f>
        <v>280000</v>
      </c>
      <c r="O9" s="292" t="n">
        <f aca="false">IF(N9&gt;(INT(0.5+100*POWER(10,IF(96*(LOG(N9)-INT(LOG(N9)))-ROUND(96*(LOG(N9)-INT(LOG(N9))),0)&lt;0,ROUND(96*(LOG(N9)-INT(LOG(N9))),0)-1,ROUND(96*(LOG(N9)-INT(LOG(N9))),0))/96))*POWER(10,INT(LOG(N9))-2)+INT(0.5+100*POWER(10,(IF(96*(LOG(N9)-INT(LOG(N9)))-ROUND(96*(LOG(N9)-INT(LOG(N9))),0)&lt;0,ROUND(96*(LOG(N9)-INT(LOG(N9))),0)-1,ROUND(96*(LOG(N9)-INT(LOG(N9))),0))+1)/96))*POWER(10,INT(LOG(N9))-2))/2,INT(0.5+100*POWER(10,(IF(96*(LOG(N9)-INT(LOG(N9)))-ROUND(96*(LOG(N9)-INT(LOG(N9))),0)&lt;0,ROUND(96*(LOG(N9)-INT(LOG(N9))),0)-1,ROUND(96*(LOG(N9)-INT(LOG(N9))),0))+1)/96))*POWER(10,INT(LOG(N9))-2),INT(0.5+100*POWER(10,IF(96*(LOG(N9)-INT(LOG(N9)))-ROUND(96*(LOG(N9)-INT(LOG(N9))),0)&lt;0,ROUND(96*(LOG(N9)-INT(LOG(N9))),0)-1,ROUND(96*(LOG(N9)-INT(LOG(N9))),0))/96))*POWER(10,INT(LOG(N9))-2))</f>
        <v>280000</v>
      </c>
      <c r="P9" s="402" t="s">
        <v>957</v>
      </c>
    </row>
    <row r="10" customFormat="false" ht="12.75" hidden="false" customHeight="false" outlineLevel="0" collapsed="false">
      <c r="A10" s="0" t="n">
        <v>1</v>
      </c>
      <c r="B10" s="0" t="n">
        <f aca="false">IF(IF((B$3*10^12-$A11)*(B$3*10^12-$A10)*-1&lt;0,0,1)*IF(ABS(B$3*10^12-$A11)&gt;(B$3*10^12-$A10),$A10,$A11)=B11,0,IF((B$3*10^12-$A11)*(B$3*10^12-$A10)*-1&lt;0,0,1)*IF(ABS(B$3*10^12-$A11)&gt;(B$3*10^12-$A10),$A10,$A11))</f>
        <v>0</v>
      </c>
      <c r="C10" s="0" t="n">
        <f aca="false">IF(IF((C$3*10^12-$A11)*(C$3*10^12-$A10)*-1&lt;0,0,1)*IF(ABS(C$3*10^12-$A11)&gt;(C$3*10^12-$A10),$A10,$A11)=C11,0,IF((C$3*10^12-$A11)*(C$3*10^12-$A10)*-1&lt;0,0,1)*IF(ABS(C$3*10^12-$A11)&gt;(C$3*10^12-$A10),$A10,$A11))</f>
        <v>0</v>
      </c>
      <c r="D10" s="0" t="n">
        <f aca="false">IF(IF((D$3*10^12-$A11)*(D$3*10^12-$A10)*-1&lt;0,0,1)*IF(ABS(D$3*10^12-$A11)&gt;(D$3*10^12-$A10),$A10,$A11)=D11,0,IF((D$3*10^12-$A11)*(D$3*10^12-$A10)*-1&lt;0,0,1)*IF(ABS(D$3*10^12-$A11)&gt;(D$3*10^12-$A10),$A10,$A11))</f>
        <v>0</v>
      </c>
      <c r="E10" s="0" t="n">
        <f aca="false">IF(IF((E$3*10^12-$A11)*(E$3*10^12-$A10)*-1&lt;0,0,1)*IF(ABS(E$3*10^12-$A11)&gt;(E$3*10^12-$A10),$A10,$A11)=E11,0,IF((E$3*10^12-$A11)*(E$3*10^12-$A10)*-1&lt;0,0,1)*IF(ABS(E$3*10^12-$A11)&gt;(E$3*10^12-$A10),$A10,$A11))</f>
        <v>0</v>
      </c>
      <c r="F10" s="0" t="n">
        <f aca="false">IF(IF((F$3*10^12-$A11)*(F$3*10^12-$A10)*-1&lt;0,0,1)*IF(ABS(F$3*10^12-$A11)&gt;(F$3*10^12-$A10),$A10,$A11)=F11,0,IF((F$3*10^12-$A11)*(F$3*10^12-$A10)*-1&lt;0,0,1)*IF(ABS(F$3*10^12-$A11)&gt;(F$3*10^12-$A10),$A10,$A11))</f>
        <v>0</v>
      </c>
      <c r="G10" s="0" t="n">
        <f aca="false">IF(IF((G$3*10^12-$A11)*(G$3*10^12-$A10)*-1&lt;0,0,1)*IF(ABS(G$3*10^12-$A11)&gt;(G$3*10^12-$A10),$A10,$A11)=G11,0,IF((G$3*10^12-$A11)*(G$3*10^12-$A10)*-1&lt;0,0,1)*IF(ABS(G$3*10^12-$A11)&gt;(G$3*10^12-$A10),$A10,$A11))</f>
        <v>0</v>
      </c>
      <c r="H10" s="0" t="n">
        <f aca="false">IF(IF((H$3*10^12-$A11)*(H$3*10^12-$A10)*-1&lt;0,0,1)*IF(ABS(H$3*10^12-$A11)&gt;(H$3*10^12-$A10),$A10,$A11)=H11,0,IF((H$3*10^12-$A11)*(H$3*10^12-$A10)*-1&lt;0,0,1)*IF(ABS(H$3*10^12-$A11)&gt;(H$3*10^12-$A10),$A10,$A11))</f>
        <v>0</v>
      </c>
      <c r="I10" s="0" t="n">
        <f aca="false">IF(IF((I$3*10^12-$A11)*(I$3*10^12-$A10)*-1&lt;0,0,1)*IF(ABS(I$3*10^12-$A11)&gt;(I$3*10^12-$A10),$A10,$A11)=I11,0,IF((I$3*10^12-$A11)*(I$3*10^12-$A10)*-1&lt;0,0,1)*IF(ABS(I$3*10^12-$A11)&gt;(I$3*10^12-$A10),$A10,$A11))</f>
        <v>0</v>
      </c>
      <c r="J10" s="0" t="n">
        <f aca="false">IF(IF((J$3*10^12-$A11)*(J$3*10^12-$A10)*-1&lt;0,0,1)*IF(ABS(J$3*10^12-$A11)&gt;(J$3*10^12-$A10),$A10,$A11)=J11,0,IF((J$3*10^12-$A11)*(J$3*10^12-$A10)*-1&lt;0,0,1)*IF(ABS(J$3*10^12-$A11)&gt;(J$3*10^12-$A10),$A10,$A11))</f>
        <v>0</v>
      </c>
      <c r="M10" s="0" t="s">
        <v>596</v>
      </c>
      <c r="N10" s="473" t="n">
        <f aca="false">Rfb2_</f>
        <v>20000</v>
      </c>
      <c r="O10" s="292" t="n">
        <f aca="false">IF(N10="OPEN","OPEN",IF(N10&gt;(INT(0.5+100*POWER(10,IF(96*(LOG(N10)-INT(LOG(N10)))-ROUND(96*(LOG(N10)-INT(LOG(N10))),0)&lt;0,ROUND(96*(LOG(N10)-INT(LOG(N10))),0)-1,ROUND(96*(LOG(N10)-INT(LOG(N10))),0))/96))*POWER(10,INT(LOG(N10))-2)+INT(0.5+100*POWER(10,(IF(96*(LOG(N10)-INT(LOG(N10)))-ROUND(96*(LOG(N10)-INT(LOG(N10))),0)&lt;0,ROUND(96*(LOG(N10)-INT(LOG(N10))),0)-1,ROUND(96*(LOG(N10)-INT(LOG(N10))),0))+1)/96))*POWER(10,INT(LOG(N10))-2))/2,INT(0.5+100*POWER(10,(IF(96*(LOG(N10)-INT(LOG(N10)))-ROUND(96*(LOG(N10)-INT(LOG(N10))),0)&lt;0,ROUND(96*(LOG(N10)-INT(LOG(N10))),0)-1,ROUND(96*(LOG(N10)-INT(LOG(N10))),0))+1)/96))*POWER(10,INT(LOG(N10))-2),INT(0.5+100*POWER(10,IF(96*(LOG(N10)-INT(LOG(N10)))-ROUND(96*(LOG(N10)-INT(LOG(N10))),0)&lt;0,ROUND(96*(LOG(N10)-INT(LOG(N10))),0)-1,ROUND(96*(LOG(N10)-INT(LOG(N10))),0))/96))*POWER(10,INT(LOG(N10))-2)))</f>
        <v>20000</v>
      </c>
      <c r="P10" s="402" t="s">
        <v>957</v>
      </c>
    </row>
    <row r="11" customFormat="false" ht="12.75" hidden="false" customHeight="false" outlineLevel="0" collapsed="false">
      <c r="A11" s="0" t="n">
        <v>1.2</v>
      </c>
      <c r="B11" s="0" t="n">
        <f aca="false">IF(IF((B$3*10^12-$A12)*(B$3*10^12-$A11)*-1&lt;0,0,1)*IF(ABS(B$3*10^12-$A12)&gt;(B$3*10^12-$A11),$A11,$A12)=B12,0,IF((B$3*10^12-$A12)*(B$3*10^12-$A11)*-1&lt;0,0,1)*IF(ABS(B$3*10^12-$A12)&gt;(B$3*10^12-$A11),$A11,$A12))</f>
        <v>0</v>
      </c>
      <c r="C11" s="0" t="n">
        <f aca="false">IF(IF((C$3*10^12-$A12)*(C$3*10^12-$A11)*-1&lt;0,0,1)*IF(ABS(C$3*10^12-$A12)&gt;(C$3*10^12-$A11),$A11,$A12)=C12,0,IF((C$3*10^12-$A12)*(C$3*10^12-$A11)*-1&lt;0,0,1)*IF(ABS(C$3*10^12-$A12)&gt;(C$3*10^12-$A11),$A11,$A12))</f>
        <v>0</v>
      </c>
      <c r="D11" s="0" t="n">
        <f aca="false">IF(IF((D$3*10^12-$A12)*(D$3*10^12-$A11)*-1&lt;0,0,1)*IF(ABS(D$3*10^12-$A12)&gt;(D$3*10^12-$A11),$A11,$A12)=D12,0,IF((D$3*10^12-$A12)*(D$3*10^12-$A11)*-1&lt;0,0,1)*IF(ABS(D$3*10^12-$A12)&gt;(D$3*10^12-$A11),$A11,$A12))</f>
        <v>0</v>
      </c>
      <c r="E11" s="0" t="n">
        <f aca="false">IF(IF((E$3*10^12-$A12)*(E$3*10^12-$A11)*-1&lt;0,0,1)*IF(ABS(E$3*10^12-$A12)&gt;(E$3*10^12-$A11),$A11,$A12)=E12,0,IF((E$3*10^12-$A12)*(E$3*10^12-$A11)*-1&lt;0,0,1)*IF(ABS(E$3*10^12-$A12)&gt;(E$3*10^12-$A11),$A11,$A12))</f>
        <v>0</v>
      </c>
      <c r="F11" s="0" t="n">
        <f aca="false">IF(IF((F$3*10^12-$A12)*(F$3*10^12-$A11)*-1&lt;0,0,1)*IF(ABS(F$3*10^12-$A12)&gt;(F$3*10^12-$A11),$A11,$A12)=F12,0,IF((F$3*10^12-$A12)*(F$3*10^12-$A11)*-1&lt;0,0,1)*IF(ABS(F$3*10^12-$A12)&gt;(F$3*10^12-$A11),$A11,$A12))</f>
        <v>0</v>
      </c>
      <c r="G11" s="0" t="n">
        <f aca="false">IF(IF((G$3*10^12-$A12)*(G$3*10^12-$A11)*-1&lt;0,0,1)*IF(ABS(G$3*10^12-$A12)&gt;(G$3*10^12-$A11),$A11,$A12)=G12,0,IF((G$3*10^12-$A12)*(G$3*10^12-$A11)*-1&lt;0,0,1)*IF(ABS(G$3*10^12-$A12)&gt;(G$3*10^12-$A11),$A11,$A12))</f>
        <v>0</v>
      </c>
      <c r="H11" s="0" t="n">
        <f aca="false">IF(IF((H$3*10^12-$A12)*(H$3*10^12-$A11)*-1&lt;0,0,1)*IF(ABS(H$3*10^12-$A12)&gt;(H$3*10^12-$A11),$A11,$A12)=H12,0,IF((H$3*10^12-$A12)*(H$3*10^12-$A11)*-1&lt;0,0,1)*IF(ABS(H$3*10^12-$A12)&gt;(H$3*10^12-$A11),$A11,$A12))</f>
        <v>0</v>
      </c>
      <c r="I11" s="0" t="n">
        <f aca="false">IF(IF((I$3*10^12-$A12)*(I$3*10^12-$A11)*-1&lt;0,0,1)*IF(ABS(I$3*10^12-$A12)&gt;(I$3*10^12-$A11),$A11,$A12)=I12,0,IF((I$3*10^12-$A12)*(I$3*10^12-$A11)*-1&lt;0,0,1)*IF(ABS(I$3*10^12-$A12)&gt;(I$3*10^12-$A11),$A11,$A12))</f>
        <v>0</v>
      </c>
      <c r="J11" s="0" t="n">
        <f aca="false">IF(IF((J$3*10^12-$A12)*(J$3*10^12-$A11)*-1&lt;0,0,1)*IF(ABS(J$3*10^12-$A12)&gt;(J$3*10^12-$A11),$A11,$A12)=J12,0,IF((J$3*10^12-$A12)*(J$3*10^12-$A11)*-1&lt;0,0,1)*IF(ABS(J$3*10^12-$A12)&gt;(J$3*10^12-$A11),$A11,$A12))</f>
        <v>0</v>
      </c>
      <c r="O11" s="292"/>
    </row>
    <row r="12" customFormat="false" ht="12.75" hidden="false" customHeight="false" outlineLevel="0" collapsed="false">
      <c r="A12" s="0" t="n">
        <v>1.5</v>
      </c>
      <c r="B12" s="0" t="n">
        <f aca="false">IF(IF((B$3*10^12-$A13)*(B$3*10^12-$A12)*-1&lt;0,0,1)*IF(ABS(B$3*10^12-$A13)&gt;(B$3*10^12-$A12),$A12,$A13)=B13,0,IF((B$3*10^12-$A13)*(B$3*10^12-$A12)*-1&lt;0,0,1)*IF(ABS(B$3*10^12-$A13)&gt;(B$3*10^12-$A12),$A12,$A13))</f>
        <v>0</v>
      </c>
      <c r="C12" s="0" t="n">
        <f aca="false">IF(IF((C$3*10^12-$A13)*(C$3*10^12-$A12)*-1&lt;0,0,1)*IF(ABS(C$3*10^12-$A13)&gt;(C$3*10^12-$A12),$A12,$A13)=C13,0,IF((C$3*10^12-$A13)*(C$3*10^12-$A12)*-1&lt;0,0,1)*IF(ABS(C$3*10^12-$A13)&gt;(C$3*10^12-$A12),$A12,$A13))</f>
        <v>0</v>
      </c>
      <c r="D12" s="0" t="n">
        <f aca="false">IF(IF((D$3*10^12-$A13)*(D$3*10^12-$A12)*-1&lt;0,0,1)*IF(ABS(D$3*10^12-$A13)&gt;(D$3*10^12-$A12),$A12,$A13)=D13,0,IF((D$3*10^12-$A13)*(D$3*10^12-$A12)*-1&lt;0,0,1)*IF(ABS(D$3*10^12-$A13)&gt;(D$3*10^12-$A12),$A12,$A13))</f>
        <v>0</v>
      </c>
      <c r="E12" s="0" t="n">
        <f aca="false">IF(IF((E$3*10^12-$A13)*(E$3*10^12-$A12)*-1&lt;0,0,1)*IF(ABS(E$3*10^12-$A13)&gt;(E$3*10^12-$A12),$A12,$A13)=E13,0,IF((E$3*10^12-$A13)*(E$3*10^12-$A12)*-1&lt;0,0,1)*IF(ABS(E$3*10^12-$A13)&gt;(E$3*10^12-$A12),$A12,$A13))</f>
        <v>0</v>
      </c>
      <c r="F12" s="0" t="n">
        <f aca="false">IF(IF((F$3*10^12-$A13)*(F$3*10^12-$A12)*-1&lt;0,0,1)*IF(ABS(F$3*10^12-$A13)&gt;(F$3*10^12-$A12),$A12,$A13)=F13,0,IF((F$3*10^12-$A13)*(F$3*10^12-$A12)*-1&lt;0,0,1)*IF(ABS(F$3*10^12-$A13)&gt;(F$3*10^12-$A12),$A12,$A13))</f>
        <v>0</v>
      </c>
      <c r="G12" s="0" t="n">
        <f aca="false">IF(IF((G$3*10^12-$A13)*(G$3*10^12-$A12)*-1&lt;0,0,1)*IF(ABS(G$3*10^12-$A13)&gt;(G$3*10^12-$A12),$A12,$A13)=G13,0,IF((G$3*10^12-$A13)*(G$3*10^12-$A12)*-1&lt;0,0,1)*IF(ABS(G$3*10^12-$A13)&gt;(G$3*10^12-$A12),$A12,$A13))</f>
        <v>0</v>
      </c>
      <c r="H12" s="0" t="n">
        <f aca="false">IF(IF((H$3*10^12-$A13)*(H$3*10^12-$A12)*-1&lt;0,0,1)*IF(ABS(H$3*10^12-$A13)&gt;(H$3*10^12-$A12),$A12,$A13)=H13,0,IF((H$3*10^12-$A13)*(H$3*10^12-$A12)*-1&lt;0,0,1)*IF(ABS(H$3*10^12-$A13)&gt;(H$3*10^12-$A12),$A12,$A13))</f>
        <v>0</v>
      </c>
      <c r="I12" s="0" t="n">
        <f aca="false">IF(IF((I$3*10^12-$A13)*(I$3*10^12-$A12)*-1&lt;0,0,1)*IF(ABS(I$3*10^12-$A13)&gt;(I$3*10^12-$A12),$A12,$A13)=I13,0,IF((I$3*10^12-$A13)*(I$3*10^12-$A12)*-1&lt;0,0,1)*IF(ABS(I$3*10^12-$A13)&gt;(I$3*10^12-$A12),$A12,$A13))</f>
        <v>0</v>
      </c>
      <c r="J12" s="0" t="n">
        <f aca="false">IF(IF((J$3*10^12-$A13)*(J$3*10^12-$A12)*-1&lt;0,0,1)*IF(ABS(J$3*10^12-$A13)&gt;(J$3*10^12-$A12),$A12,$A13)=J13,0,IF((J$3*10^12-$A13)*(J$3*10^12-$A12)*-1&lt;0,0,1)*IF(ABS(J$3*10^12-$A13)&gt;(J$3*10^12-$A12),$A12,$A13))</f>
        <v>0</v>
      </c>
      <c r="O12" s="292"/>
    </row>
    <row r="13" customFormat="false" ht="12.75" hidden="false" customHeight="false" outlineLevel="0" collapsed="false">
      <c r="A13" s="0" t="n">
        <v>1.8</v>
      </c>
      <c r="B13" s="0" t="n">
        <f aca="false">IF(IF((B$3*10^12-$A14)*(B$3*10^12-$A13)*-1&lt;0,0,1)*IF(ABS(B$3*10^12-$A14)&gt;(B$3*10^12-$A13),$A13,$A14)=B14,0,IF((B$3*10^12-$A14)*(B$3*10^12-$A13)*-1&lt;0,0,1)*IF(ABS(B$3*10^12-$A14)&gt;(B$3*10^12-$A13),$A13,$A14))</f>
        <v>0</v>
      </c>
      <c r="C13" s="0" t="n">
        <f aca="false">IF(IF((C$3*10^12-$A14)*(C$3*10^12-$A13)*-1&lt;0,0,1)*IF(ABS(C$3*10^12-$A14)&gt;(C$3*10^12-$A13),$A13,$A14)=C14,0,IF((C$3*10^12-$A14)*(C$3*10^12-$A13)*-1&lt;0,0,1)*IF(ABS(C$3*10^12-$A14)&gt;(C$3*10^12-$A13),$A13,$A14))</f>
        <v>0</v>
      </c>
      <c r="D13" s="0" t="n">
        <f aca="false">IF(IF((D$3*10^12-$A14)*(D$3*10^12-$A13)*-1&lt;0,0,1)*IF(ABS(D$3*10^12-$A14)&gt;(D$3*10^12-$A13),$A13,$A14)=D14,0,IF((D$3*10^12-$A14)*(D$3*10^12-$A13)*-1&lt;0,0,1)*IF(ABS(D$3*10^12-$A14)&gt;(D$3*10^12-$A13),$A13,$A14))</f>
        <v>0</v>
      </c>
      <c r="E13" s="0" t="n">
        <f aca="false">IF(IF((E$3*10^12-$A14)*(E$3*10^12-$A13)*-1&lt;0,0,1)*IF(ABS(E$3*10^12-$A14)&gt;(E$3*10^12-$A13),$A13,$A14)=E14,0,IF((E$3*10^12-$A14)*(E$3*10^12-$A13)*-1&lt;0,0,1)*IF(ABS(E$3*10^12-$A14)&gt;(E$3*10^12-$A13),$A13,$A14))</f>
        <v>0</v>
      </c>
      <c r="F13" s="0" t="n">
        <f aca="false">IF(IF((F$3*10^12-$A14)*(F$3*10^12-$A13)*-1&lt;0,0,1)*IF(ABS(F$3*10^12-$A14)&gt;(F$3*10^12-$A13),$A13,$A14)=F14,0,IF((F$3*10^12-$A14)*(F$3*10^12-$A13)*-1&lt;0,0,1)*IF(ABS(F$3*10^12-$A14)&gt;(F$3*10^12-$A13),$A13,$A14))</f>
        <v>0</v>
      </c>
      <c r="G13" s="0" t="n">
        <f aca="false">IF(IF((G$3*10^12-$A14)*(G$3*10^12-$A13)*-1&lt;0,0,1)*IF(ABS(G$3*10^12-$A14)&gt;(G$3*10^12-$A13),$A13,$A14)=G14,0,IF((G$3*10^12-$A14)*(G$3*10^12-$A13)*-1&lt;0,0,1)*IF(ABS(G$3*10^12-$A14)&gt;(G$3*10^12-$A13),$A13,$A14))</f>
        <v>0</v>
      </c>
      <c r="H13" s="0" t="n">
        <f aca="false">IF(IF((H$3*10^12-$A14)*(H$3*10^12-$A13)*-1&lt;0,0,1)*IF(ABS(H$3*10^12-$A14)&gt;(H$3*10^12-$A13),$A13,$A14)=H14,0,IF((H$3*10^12-$A14)*(H$3*10^12-$A13)*-1&lt;0,0,1)*IF(ABS(H$3*10^12-$A14)&gt;(H$3*10^12-$A13),$A13,$A14))</f>
        <v>0</v>
      </c>
      <c r="I13" s="0" t="n">
        <f aca="false">IF(IF((I$3*10^12-$A14)*(I$3*10^12-$A13)*-1&lt;0,0,1)*IF(ABS(I$3*10^12-$A14)&gt;(I$3*10^12-$A13),$A13,$A14)=I14,0,IF((I$3*10^12-$A14)*(I$3*10^12-$A13)*-1&lt;0,0,1)*IF(ABS(I$3*10^12-$A14)&gt;(I$3*10^12-$A13),$A13,$A14))</f>
        <v>0</v>
      </c>
      <c r="J13" s="0" t="n">
        <f aca="false">IF(IF((J$3*10^12-$A14)*(J$3*10^12-$A13)*-1&lt;0,0,1)*IF(ABS(J$3*10^12-$A14)&gt;(J$3*10^12-$A13),$A13,$A14)=J14,0,IF((J$3*10^12-$A14)*(J$3*10^12-$A13)*-1&lt;0,0,1)*IF(ABS(J$3*10^12-$A14)&gt;(J$3*10^12-$A13),$A13,$A14))</f>
        <v>0</v>
      </c>
      <c r="M13" s="320" t="s">
        <v>344</v>
      </c>
      <c r="N13" s="0" t="n">
        <f aca="false">Rs_ideal*1000</f>
        <v>4.32463161815798</v>
      </c>
      <c r="O13" s="292" t="n">
        <f aca="false">IF(N13=0,0,IF(N13&gt;(INT(0.5+100*POWER(10,IF(96*(LOG(N13)-INT(LOG(N13)))-ROUND(96*(LOG(N13)-INT(LOG(N13))),0)&lt;0,ROUND(96*(LOG(N13)-INT(LOG(N13))),0)-1,ROUND(96*(LOG(N13)-INT(LOG(N13))),0))/96))*POWER(10,INT(LOG(N13))-2)+INT(0.5+100*POWER(10,(IF(96*(LOG(N13)-INT(LOG(N13)))-ROUND(96*(LOG(N13)-INT(LOG(N13))),0)&lt;0,ROUND(96*(LOG(N13)-INT(LOG(N13))),0)-1,ROUND(96*(LOG(N13)-INT(LOG(N13))),0))+1)/96))*POWER(10,INT(LOG(N13))-2))/2,INT(0.5+100*POWER(10,(IF(96*(LOG(N13)-INT(LOG(N13)))-ROUND(96*(LOG(N13)-INT(LOG(N13))),0)&lt;0,ROUND(96*(LOG(N13)-INT(LOG(N13))),0)-1,ROUND(96*(LOG(N13)-INT(LOG(N13))),0))+1)/96))*POWER(10,INT(LOG(N13))-2),INT(0.5+100*POWER(10,IF(96*(LOG(N13)-INT(LOG(N13)))-ROUND(96*(LOG(N13)-INT(LOG(N13))),0)&lt;0,ROUND(96*(LOG(N13)-INT(LOG(N13))),0)-1,ROUND(96*(LOG(N13)-INT(LOG(N13))),0))/96))*POWER(10,INT(LOG(N13))-2)))</f>
        <v>4.32</v>
      </c>
      <c r="P13" s="402" t="s">
        <v>388</v>
      </c>
    </row>
    <row r="14" customFormat="false" ht="12.75" hidden="false" customHeight="false" outlineLevel="0" collapsed="false">
      <c r="A14" s="0" t="n">
        <v>2.2</v>
      </c>
      <c r="B14" s="0" t="n">
        <f aca="false">IF(IF((B$3*10^12-$A15)*(B$3*10^12-$A14)*-1&lt;0,0,1)*IF(ABS(B$3*10^12-$A15)&gt;(B$3*10^12-$A14),$A14,$A15)=B15,0,IF((B$3*10^12-$A15)*(B$3*10^12-$A14)*-1&lt;0,0,1)*IF(ABS(B$3*10^12-$A15)&gt;(B$3*10^12-$A14),$A14,$A15))</f>
        <v>0</v>
      </c>
      <c r="C14" s="0" t="n">
        <f aca="false">IF(IF((C$3*10^12-$A15)*(C$3*10^12-$A14)*-1&lt;0,0,1)*IF(ABS(C$3*10^12-$A15)&gt;(C$3*10^12-$A14),$A14,$A15)=C15,0,IF((C$3*10^12-$A15)*(C$3*10^12-$A14)*-1&lt;0,0,1)*IF(ABS(C$3*10^12-$A15)&gt;(C$3*10^12-$A14),$A14,$A15))</f>
        <v>0</v>
      </c>
      <c r="D14" s="0" t="n">
        <f aca="false">IF(IF((D$3*10^12-$A15)*(D$3*10^12-$A14)*-1&lt;0,0,1)*IF(ABS(D$3*10^12-$A15)&gt;(D$3*10^12-$A14),$A14,$A15)=D15,0,IF((D$3*10^12-$A15)*(D$3*10^12-$A14)*-1&lt;0,0,1)*IF(ABS(D$3*10^12-$A15)&gt;(D$3*10^12-$A14),$A14,$A15))</f>
        <v>0</v>
      </c>
      <c r="E14" s="0" t="n">
        <f aca="false">IF(IF((E$3*10^12-$A15)*(E$3*10^12-$A14)*-1&lt;0,0,1)*IF(ABS(E$3*10^12-$A15)&gt;(E$3*10^12-$A14),$A14,$A15)=E15,0,IF((E$3*10^12-$A15)*(E$3*10^12-$A14)*-1&lt;0,0,1)*IF(ABS(E$3*10^12-$A15)&gt;(E$3*10^12-$A14),$A14,$A15))</f>
        <v>0</v>
      </c>
      <c r="F14" s="0" t="n">
        <f aca="false">IF(IF((F$3*10^12-$A15)*(F$3*10^12-$A14)*-1&lt;0,0,1)*IF(ABS(F$3*10^12-$A15)&gt;(F$3*10^12-$A14),$A14,$A15)=F15,0,IF((F$3*10^12-$A15)*(F$3*10^12-$A14)*-1&lt;0,0,1)*IF(ABS(F$3*10^12-$A15)&gt;(F$3*10^12-$A14),$A14,$A15))</f>
        <v>0</v>
      </c>
      <c r="G14" s="0" t="n">
        <f aca="false">IF(IF((G$3*10^12-$A15)*(G$3*10^12-$A14)*-1&lt;0,0,1)*IF(ABS(G$3*10^12-$A15)&gt;(G$3*10^12-$A14),$A14,$A15)=G15,0,IF((G$3*10^12-$A15)*(G$3*10^12-$A14)*-1&lt;0,0,1)*IF(ABS(G$3*10^12-$A15)&gt;(G$3*10^12-$A14),$A14,$A15))</f>
        <v>0</v>
      </c>
      <c r="H14" s="0" t="n">
        <f aca="false">IF(IF((H$3*10^12-$A15)*(H$3*10^12-$A14)*-1&lt;0,0,1)*IF(ABS(H$3*10^12-$A15)&gt;(H$3*10^12-$A14),$A14,$A15)=H15,0,IF((H$3*10^12-$A15)*(H$3*10^12-$A14)*-1&lt;0,0,1)*IF(ABS(H$3*10^12-$A15)&gt;(H$3*10^12-$A14),$A14,$A15))</f>
        <v>0</v>
      </c>
      <c r="I14" s="0" t="n">
        <f aca="false">IF(IF((I$3*10^12-$A15)*(I$3*10^12-$A14)*-1&lt;0,0,1)*IF(ABS(I$3*10^12-$A15)&gt;(I$3*10^12-$A14),$A14,$A15)=I15,0,IF((I$3*10^12-$A15)*(I$3*10^12-$A14)*-1&lt;0,0,1)*IF(ABS(I$3*10^12-$A15)&gt;(I$3*10^12-$A14),$A14,$A15))</f>
        <v>0</v>
      </c>
      <c r="J14" s="0" t="n">
        <f aca="false">IF(IF((J$3*10^12-$A15)*(J$3*10^12-$A14)*-1&lt;0,0,1)*IF(ABS(J$3*10^12-$A15)&gt;(J$3*10^12-$A14),$A14,$A15)=J15,0,IF((J$3*10^12-$A15)*(J$3*10^12-$A14)*-1&lt;0,0,1)*IF(ABS(J$3*10^12-$A15)&gt;(J$3*10^12-$A14),$A14,$A15))</f>
        <v>0</v>
      </c>
      <c r="M14" s="320" t="s">
        <v>366</v>
      </c>
      <c r="N14" s="0" t="n">
        <f aca="false">Cslope_ideal</f>
        <v>235</v>
      </c>
      <c r="O14" s="0" t="n">
        <f aca="false">G4*1000000000000</f>
        <v>220</v>
      </c>
      <c r="P14" s="320" t="s">
        <v>42</v>
      </c>
    </row>
    <row r="15" customFormat="false" ht="12.75" hidden="false" customHeight="false" outlineLevel="0" collapsed="false">
      <c r="A15" s="0" t="n">
        <v>2.7</v>
      </c>
      <c r="B15" s="0" t="n">
        <f aca="false">IF(IF((B$3*10^12-$A16)*(B$3*10^12-$A15)*-1&lt;0,0,1)*IF(ABS(B$3*10^12-$A16)&gt;(B$3*10^12-$A15),$A15,$A16)=B16,0,IF((B$3*10^12-$A16)*(B$3*10^12-$A15)*-1&lt;0,0,1)*IF(ABS(B$3*10^12-$A16)&gt;(B$3*10^12-$A15),$A15,$A16))</f>
        <v>0</v>
      </c>
      <c r="C15" s="0" t="n">
        <f aca="false">IF(IF((C$3*10^12-$A16)*(C$3*10^12-$A15)*-1&lt;0,0,1)*IF(ABS(C$3*10^12-$A16)&gt;(C$3*10^12-$A15),$A15,$A16)=C16,0,IF((C$3*10^12-$A16)*(C$3*10^12-$A15)*-1&lt;0,0,1)*IF(ABS(C$3*10^12-$A16)&gt;(C$3*10^12-$A15),$A15,$A16))</f>
        <v>0</v>
      </c>
      <c r="D15" s="0" t="n">
        <f aca="false">IF(IF((D$3*10^12-$A16)*(D$3*10^12-$A15)*-1&lt;0,0,1)*IF(ABS(D$3*10^12-$A16)&gt;(D$3*10^12-$A15),$A15,$A16)=D16,0,IF((D$3*10^12-$A16)*(D$3*10^12-$A15)*-1&lt;0,0,1)*IF(ABS(D$3*10^12-$A16)&gt;(D$3*10^12-$A15),$A15,$A16))</f>
        <v>0</v>
      </c>
      <c r="E15" s="0" t="n">
        <f aca="false">IF(IF((E$3*10^12-$A16)*(E$3*10^12-$A15)*-1&lt;0,0,1)*IF(ABS(E$3*10^12-$A16)&gt;(E$3*10^12-$A15),$A15,$A16)=E16,0,IF((E$3*10^12-$A16)*(E$3*10^12-$A15)*-1&lt;0,0,1)*IF(ABS(E$3*10^12-$A16)&gt;(E$3*10^12-$A15),$A15,$A16))</f>
        <v>0</v>
      </c>
      <c r="F15" s="0" t="n">
        <f aca="false">IF(IF((F$3*10^12-$A16)*(F$3*10^12-$A15)*-1&lt;0,0,1)*IF(ABS(F$3*10^12-$A16)&gt;(F$3*10^12-$A15),$A15,$A16)=F16,0,IF((F$3*10^12-$A16)*(F$3*10^12-$A15)*-1&lt;0,0,1)*IF(ABS(F$3*10^12-$A16)&gt;(F$3*10^12-$A15),$A15,$A16))</f>
        <v>0</v>
      </c>
      <c r="G15" s="0" t="n">
        <f aca="false">IF(IF((G$3*10^12-$A16)*(G$3*10^12-$A15)*-1&lt;0,0,1)*IF(ABS(G$3*10^12-$A16)&gt;(G$3*10^12-$A15),$A15,$A16)=G16,0,IF((G$3*10^12-$A16)*(G$3*10^12-$A15)*-1&lt;0,0,1)*IF(ABS(G$3*10^12-$A16)&gt;(G$3*10^12-$A15),$A15,$A16))</f>
        <v>0</v>
      </c>
      <c r="H15" s="0" t="n">
        <f aca="false">IF(IF((H$3*10^12-$A16)*(H$3*10^12-$A15)*-1&lt;0,0,1)*IF(ABS(H$3*10^12-$A16)&gt;(H$3*10^12-$A15),$A15,$A16)=H16,0,IF((H$3*10^12-$A16)*(H$3*10^12-$A15)*-1&lt;0,0,1)*IF(ABS(H$3*10^12-$A16)&gt;(H$3*10^12-$A15),$A15,$A16))</f>
        <v>0</v>
      </c>
      <c r="I15" s="0" t="n">
        <f aca="false">IF(IF((I$3*10^12-$A16)*(I$3*10^12-$A15)*-1&lt;0,0,1)*IF(ABS(I$3*10^12-$A16)&gt;(I$3*10^12-$A15),$A15,$A16)=I16,0,IF((I$3*10^12-$A16)*(I$3*10^12-$A15)*-1&lt;0,0,1)*IF(ABS(I$3*10^12-$A16)&gt;(I$3*10^12-$A15),$A15,$A16))</f>
        <v>0</v>
      </c>
      <c r="J15" s="0" t="n">
        <f aca="false">IF(IF((J$3*10^12-$A16)*(J$3*10^12-$A15)*-1&lt;0,0,1)*IF(ABS(J$3*10^12-$A16)&gt;(J$3*10^12-$A15),$A15,$A16)=J16,0,IF((J$3*10^12-$A16)*(J$3*10^12-$A15)*-1&lt;0,0,1)*IF(ABS(J$3*10^12-$A16)&gt;(J$3*10^12-$A15),$A15,$A16))</f>
        <v>0</v>
      </c>
    </row>
    <row r="16" customFormat="false" ht="12.75" hidden="false" customHeight="false" outlineLevel="0" collapsed="false">
      <c r="A16" s="0" t="n">
        <v>3.3</v>
      </c>
      <c r="B16" s="0" t="n">
        <f aca="false">IF(IF((B$3*10^12-$A17)*(B$3*10^12-$A16)*-1&lt;0,0,1)*IF(ABS(B$3*10^12-$A17)&gt;(B$3*10^12-$A16),$A16,$A17)=B17,0,IF((B$3*10^12-$A17)*(B$3*10^12-$A16)*-1&lt;0,0,1)*IF(ABS(B$3*10^12-$A17)&gt;(B$3*10^12-$A16),$A16,$A17))</f>
        <v>0</v>
      </c>
      <c r="C16" s="0" t="n">
        <f aca="false">IF(IF((C$3*10^12-$A17)*(C$3*10^12-$A16)*-1&lt;0,0,1)*IF(ABS(C$3*10^12-$A17)&gt;(C$3*10^12-$A16),$A16,$A17)=C17,0,IF((C$3*10^12-$A17)*(C$3*10^12-$A16)*-1&lt;0,0,1)*IF(ABS(C$3*10^12-$A17)&gt;(C$3*10^12-$A16),$A16,$A17))</f>
        <v>0</v>
      </c>
      <c r="D16" s="0" t="n">
        <f aca="false">IF(IF((D$3*10^12-$A17)*(D$3*10^12-$A16)*-1&lt;0,0,1)*IF(ABS(D$3*10^12-$A17)&gt;(D$3*10^12-$A16),$A16,$A17)=D17,0,IF((D$3*10^12-$A17)*(D$3*10^12-$A16)*-1&lt;0,0,1)*IF(ABS(D$3*10^12-$A17)&gt;(D$3*10^12-$A16),$A16,$A17))</f>
        <v>0</v>
      </c>
      <c r="E16" s="0" t="n">
        <f aca="false">IF(IF((E$3*10^12-$A17)*(E$3*10^12-$A16)*-1&lt;0,0,1)*IF(ABS(E$3*10^12-$A17)&gt;(E$3*10^12-$A16),$A16,$A17)=E17,0,IF((E$3*10^12-$A17)*(E$3*10^12-$A16)*-1&lt;0,0,1)*IF(ABS(E$3*10^12-$A17)&gt;(E$3*10^12-$A16),$A16,$A17))</f>
        <v>0</v>
      </c>
      <c r="F16" s="0" t="n">
        <f aca="false">IF(IF((F$3*10^12-$A17)*(F$3*10^12-$A16)*-1&lt;0,0,1)*IF(ABS(F$3*10^12-$A17)&gt;(F$3*10^12-$A16),$A16,$A17)=F17,0,IF((F$3*10^12-$A17)*(F$3*10^12-$A16)*-1&lt;0,0,1)*IF(ABS(F$3*10^12-$A17)&gt;(F$3*10^12-$A16),$A16,$A17))</f>
        <v>0</v>
      </c>
      <c r="G16" s="0" t="n">
        <f aca="false">IF(IF((G$3*10^12-$A17)*(G$3*10^12-$A16)*-1&lt;0,0,1)*IF(ABS(G$3*10^12-$A17)&gt;(G$3*10^12-$A16),$A16,$A17)=G17,0,IF((G$3*10^12-$A17)*(G$3*10^12-$A16)*-1&lt;0,0,1)*IF(ABS(G$3*10^12-$A17)&gt;(G$3*10^12-$A16),$A16,$A17))</f>
        <v>0</v>
      </c>
      <c r="H16" s="0" t="n">
        <f aca="false">IF(IF((H$3*10^12-$A17)*(H$3*10^12-$A16)*-1&lt;0,0,1)*IF(ABS(H$3*10^12-$A17)&gt;(H$3*10^12-$A16),$A16,$A17)=H17,0,IF((H$3*10^12-$A17)*(H$3*10^12-$A16)*-1&lt;0,0,1)*IF(ABS(H$3*10^12-$A17)&gt;(H$3*10^12-$A16),$A16,$A17))</f>
        <v>0</v>
      </c>
      <c r="I16" s="0" t="n">
        <f aca="false">IF(IF((I$3*10^12-$A17)*(I$3*10^12-$A16)*-1&lt;0,0,1)*IF(ABS(I$3*10^12-$A17)&gt;(I$3*10^12-$A16),$A16,$A17)=I17,0,IF((I$3*10^12-$A17)*(I$3*10^12-$A16)*-1&lt;0,0,1)*IF(ABS(I$3*10^12-$A17)&gt;(I$3*10^12-$A16),$A16,$A17))</f>
        <v>0</v>
      </c>
      <c r="J16" s="0" t="n">
        <f aca="false">IF(IF((J$3*10^12-$A17)*(J$3*10^12-$A16)*-1&lt;0,0,1)*IF(ABS(J$3*10^12-$A17)&gt;(J$3*10^12-$A16),$A16,$A17)=J17,0,IF((J$3*10^12-$A17)*(J$3*10^12-$A16)*-1&lt;0,0,1)*IF(ABS(J$3*10^12-$A17)&gt;(J$3*10^12-$A16),$A16,$A17))</f>
        <v>0</v>
      </c>
      <c r="M16" s="320" t="s">
        <v>961</v>
      </c>
      <c r="N16" s="0" t="n">
        <f aca="false">Ruvlo1</f>
        <v>249</v>
      </c>
      <c r="O16" s="292" t="n">
        <f aca="false">IF(N16="OPEN","OPEN",IF(N16&gt;(INT(0.5+100*POWER(10,IF(96*(LOG(N16)-INT(LOG(N16)))-ROUND(96*(LOG(N16)-INT(LOG(N16))),0)&lt;0,ROUND(96*(LOG(N16)-INT(LOG(N16))),0)-1,ROUND(96*(LOG(N16)-INT(LOG(N16))),0))/96))*POWER(10,INT(LOG(N16))-2)+INT(0.5+100*POWER(10,(IF(96*(LOG(N16)-INT(LOG(N16)))-ROUND(96*(LOG(N16)-INT(LOG(N16))),0)&lt;0,ROUND(96*(LOG(N16)-INT(LOG(N16))),0)-1,ROUND(96*(LOG(N16)-INT(LOG(N16))),0))+1)/96))*POWER(10,INT(LOG(N16))-2))/2,INT(0.5+100*POWER(10,(IF(96*(LOG(N16)-INT(LOG(N16)))-ROUND(96*(LOG(N16)-INT(LOG(N16))),0)&lt;0,ROUND(96*(LOG(N16)-INT(LOG(N16))),0)-1,ROUND(96*(LOG(N16)-INT(LOG(N16))),0))+1)/96))*POWER(10,INT(LOG(N16))-2),INT(0.5+100*POWER(10,IF(96*(LOG(N16)-INT(LOG(N16)))-ROUND(96*(LOG(N16)-INT(LOG(N16))),0)&lt;0,ROUND(96*(LOG(N16)-INT(LOG(N16))),0)-1,ROUND(96*(LOG(N16)-INT(LOG(N16))),0))/96))*POWER(10,INT(LOG(N16))-2)))</f>
        <v>249</v>
      </c>
      <c r="P16" s="402" t="s">
        <v>447</v>
      </c>
    </row>
    <row r="17" customFormat="false" ht="12.75" hidden="false" customHeight="false" outlineLevel="0" collapsed="false">
      <c r="A17" s="0" t="n">
        <v>3.9</v>
      </c>
      <c r="B17" s="0" t="n">
        <f aca="false">IF(IF((B$3*10^12-$A18)*(B$3*10^12-$A17)*-1&lt;0,0,1)*IF(ABS(B$3*10^12-$A18)&gt;(B$3*10^12-$A17),$A17,$A18)=B18,0,IF((B$3*10^12-$A18)*(B$3*10^12-$A17)*-1&lt;0,0,1)*IF(ABS(B$3*10^12-$A18)&gt;(B$3*10^12-$A17),$A17,$A18))</f>
        <v>0</v>
      </c>
      <c r="C17" s="0" t="n">
        <f aca="false">IF(IF((C$3*10^12-$A18)*(C$3*10^12-$A17)*-1&lt;0,0,1)*IF(ABS(C$3*10^12-$A18)&gt;(C$3*10^12-$A17),$A17,$A18)=C18,0,IF((C$3*10^12-$A18)*(C$3*10^12-$A17)*-1&lt;0,0,1)*IF(ABS(C$3*10^12-$A18)&gt;(C$3*10^12-$A17),$A17,$A18))</f>
        <v>0</v>
      </c>
      <c r="D17" s="0" t="n">
        <f aca="false">IF(IF((D$3*10^12-$A18)*(D$3*10^12-$A17)*-1&lt;0,0,1)*IF(ABS(D$3*10^12-$A18)&gt;(D$3*10^12-$A17),$A17,$A18)=D18,0,IF((D$3*10^12-$A18)*(D$3*10^12-$A17)*-1&lt;0,0,1)*IF(ABS(D$3*10^12-$A18)&gt;(D$3*10^12-$A17),$A17,$A18))</f>
        <v>0</v>
      </c>
      <c r="E17" s="0" t="n">
        <f aca="false">IF(IF((E$3*10^12-$A18)*(E$3*10^12-$A17)*-1&lt;0,0,1)*IF(ABS(E$3*10^12-$A18)&gt;(E$3*10^12-$A17),$A17,$A18)=E18,0,IF((E$3*10^12-$A18)*(E$3*10^12-$A17)*-1&lt;0,0,1)*IF(ABS(E$3*10^12-$A18)&gt;(E$3*10^12-$A17),$A17,$A18))</f>
        <v>0</v>
      </c>
      <c r="F17" s="0" t="n">
        <f aca="false">IF(IF((F$3*10^12-$A18)*(F$3*10^12-$A17)*-1&lt;0,0,1)*IF(ABS(F$3*10^12-$A18)&gt;(F$3*10^12-$A17),$A17,$A18)=F18,0,IF((F$3*10^12-$A18)*(F$3*10^12-$A17)*-1&lt;0,0,1)*IF(ABS(F$3*10^12-$A18)&gt;(F$3*10^12-$A17),$A17,$A18))</f>
        <v>0</v>
      </c>
      <c r="G17" s="0" t="n">
        <f aca="false">IF(IF((G$3*10^12-$A18)*(G$3*10^12-$A17)*-1&lt;0,0,1)*IF(ABS(G$3*10^12-$A18)&gt;(G$3*10^12-$A17),$A17,$A18)=G18,0,IF((G$3*10^12-$A18)*(G$3*10^12-$A17)*-1&lt;0,0,1)*IF(ABS(G$3*10^12-$A18)&gt;(G$3*10^12-$A17),$A17,$A18))</f>
        <v>0</v>
      </c>
      <c r="H17" s="0" t="n">
        <f aca="false">IF(IF((H$3*10^12-$A18)*(H$3*10^12-$A17)*-1&lt;0,0,1)*IF(ABS(H$3*10^12-$A18)&gt;(H$3*10^12-$A17),$A17,$A18)=H18,0,IF((H$3*10^12-$A18)*(H$3*10^12-$A17)*-1&lt;0,0,1)*IF(ABS(H$3*10^12-$A18)&gt;(H$3*10^12-$A17),$A17,$A18))</f>
        <v>0</v>
      </c>
      <c r="I17" s="0" t="n">
        <f aca="false">IF(IF((I$3*10^12-$A18)*(I$3*10^12-$A17)*-1&lt;0,0,1)*IF(ABS(I$3*10^12-$A18)&gt;(I$3*10^12-$A17),$A17,$A18)=I18,0,IF((I$3*10^12-$A18)*(I$3*10^12-$A17)*-1&lt;0,0,1)*IF(ABS(I$3*10^12-$A18)&gt;(I$3*10^12-$A17),$A17,$A18))</f>
        <v>0</v>
      </c>
      <c r="J17" s="0" t="n">
        <f aca="false">IF(IF((J$3*10^12-$A18)*(J$3*10^12-$A17)*-1&lt;0,0,1)*IF(ABS(J$3*10^12-$A18)&gt;(J$3*10^12-$A17),$A17,$A18)=J18,0,IF((J$3*10^12-$A18)*(J$3*10^12-$A17)*-1&lt;0,0,1)*IF(ABS(J$3*10^12-$A18)&gt;(J$3*10^12-$A17),$A17,$A18))</f>
        <v>0</v>
      </c>
      <c r="M17" s="320" t="s">
        <v>962</v>
      </c>
      <c r="N17" s="0" t="n">
        <f aca="false">Ruvlo2</f>
        <v>57.8287106660829</v>
      </c>
      <c r="O17" s="292" t="n">
        <f aca="false">IF(N17="OPEN","OPEN",IF(N17&gt;(INT(0.5+100*POWER(10,IF(96*(LOG(N17)-INT(LOG(N17)))-ROUND(96*(LOG(N17)-INT(LOG(N17))),0)&lt;0,ROUND(96*(LOG(N17)-INT(LOG(N17))),0)-1,ROUND(96*(LOG(N17)-INT(LOG(N17))),0))/96))*POWER(10,INT(LOG(N17))-2)+INT(0.5+100*POWER(10,(IF(96*(LOG(N17)-INT(LOG(N17)))-ROUND(96*(LOG(N17)-INT(LOG(N17))),0)&lt;0,ROUND(96*(LOG(N17)-INT(LOG(N17))),0)-1,ROUND(96*(LOG(N17)-INT(LOG(N17))),0))+1)/96))*POWER(10,INT(LOG(N17))-2))/2,INT(0.5+100*POWER(10,(IF(96*(LOG(N17)-INT(LOG(N17)))-ROUND(96*(LOG(N17)-INT(LOG(N17))),0)&lt;0,ROUND(96*(LOG(N17)-INT(LOG(N17))),0)-1,ROUND(96*(LOG(N17)-INT(LOG(N17))),0))+1)/96))*POWER(10,INT(LOG(N17))-2),INT(0.5+100*POWER(10,IF(96*(LOG(N17)-INT(LOG(N17)))-ROUND(96*(LOG(N17)-INT(LOG(N17))),0)&lt;0,ROUND(96*(LOG(N17)-INT(LOG(N17))),0)-1,ROUND(96*(LOG(N17)-INT(LOG(N17))),0))/96))*POWER(10,INT(LOG(N17))-2)))</f>
        <v>57.6</v>
      </c>
      <c r="P17" s="402" t="s">
        <v>447</v>
      </c>
    </row>
    <row r="18" customFormat="false" ht="12.75" hidden="false" customHeight="false" outlineLevel="0" collapsed="false">
      <c r="A18" s="0" t="n">
        <v>4.7</v>
      </c>
      <c r="B18" s="0" t="n">
        <f aca="false">IF(IF((B$3*10^12-$A19)*(B$3*10^12-$A18)*-1&lt;0,0,1)*IF(ABS(B$3*10^12-$A19)&gt;(B$3*10^12-$A18),$A18,$A19)=B19,0,IF((B$3*10^12-$A19)*(B$3*10^12-$A18)*-1&lt;0,0,1)*IF(ABS(B$3*10^12-$A19)&gt;(B$3*10^12-$A18),$A18,$A19))</f>
        <v>0</v>
      </c>
      <c r="C18" s="0" t="n">
        <f aca="false">IF(IF((C$3*10^12-$A19)*(C$3*10^12-$A18)*-1&lt;0,0,1)*IF(ABS(C$3*10^12-$A19)&gt;(C$3*10^12-$A18),$A18,$A19)=C19,0,IF((C$3*10^12-$A19)*(C$3*10^12-$A18)*-1&lt;0,0,1)*IF(ABS(C$3*10^12-$A19)&gt;(C$3*10^12-$A18),$A18,$A19))</f>
        <v>0</v>
      </c>
      <c r="D18" s="0" t="n">
        <f aca="false">IF(IF((D$3*10^12-$A19)*(D$3*10^12-$A18)*-1&lt;0,0,1)*IF(ABS(D$3*10^12-$A19)&gt;(D$3*10^12-$A18),$A18,$A19)=D19,0,IF((D$3*10^12-$A19)*(D$3*10^12-$A18)*-1&lt;0,0,1)*IF(ABS(D$3*10^12-$A19)&gt;(D$3*10^12-$A18),$A18,$A19))</f>
        <v>0</v>
      </c>
      <c r="E18" s="0" t="n">
        <f aca="false">IF(IF((E$3*10^12-$A19)*(E$3*10^12-$A18)*-1&lt;0,0,1)*IF(ABS(E$3*10^12-$A19)&gt;(E$3*10^12-$A18),$A18,$A19)=E19,0,IF((E$3*10^12-$A19)*(E$3*10^12-$A18)*-1&lt;0,0,1)*IF(ABS(E$3*10^12-$A19)&gt;(E$3*10^12-$A18),$A18,$A19))</f>
        <v>0</v>
      </c>
      <c r="F18" s="0" t="n">
        <f aca="false">IF(IF((F$3*10^12-$A19)*(F$3*10^12-$A18)*-1&lt;0,0,1)*IF(ABS(F$3*10^12-$A19)&gt;(F$3*10^12-$A18),$A18,$A19)=F19,0,IF((F$3*10^12-$A19)*(F$3*10^12-$A18)*-1&lt;0,0,1)*IF(ABS(F$3*10^12-$A19)&gt;(F$3*10^12-$A18),$A18,$A19))</f>
        <v>0</v>
      </c>
      <c r="G18" s="0" t="n">
        <f aca="false">IF(IF((G$3*10^12-$A19)*(G$3*10^12-$A18)*-1&lt;0,0,1)*IF(ABS(G$3*10^12-$A19)&gt;(G$3*10^12-$A18),$A18,$A19)=G19,0,IF((G$3*10^12-$A19)*(G$3*10^12-$A18)*-1&lt;0,0,1)*IF(ABS(G$3*10^12-$A19)&gt;(G$3*10^12-$A18),$A18,$A19))</f>
        <v>0</v>
      </c>
      <c r="H18" s="0" t="n">
        <f aca="false">IF(IF((H$3*10^12-$A19)*(H$3*10^12-$A18)*-1&lt;0,0,1)*IF(ABS(H$3*10^12-$A19)&gt;(H$3*10^12-$A18),$A18,$A19)=H19,0,IF((H$3*10^12-$A19)*(H$3*10^12-$A18)*-1&lt;0,0,1)*IF(ABS(H$3*10^12-$A19)&gt;(H$3*10^12-$A18),$A18,$A19))</f>
        <v>0</v>
      </c>
      <c r="I18" s="0" t="n">
        <f aca="false">IF(IF((I$3*10^12-$A19)*(I$3*10^12-$A18)*-1&lt;0,0,1)*IF(ABS(I$3*10^12-$A19)&gt;(I$3*10^12-$A18),$A18,$A19)=I19,0,IF((I$3*10^12-$A19)*(I$3*10^12-$A18)*-1&lt;0,0,1)*IF(ABS(I$3*10^12-$A19)&gt;(I$3*10^12-$A18),$A18,$A19))</f>
        <v>0</v>
      </c>
      <c r="J18" s="0" t="n">
        <f aca="false">IF(IF((J$3*10^12-$A19)*(J$3*10^12-$A18)*-1&lt;0,0,1)*IF(ABS(J$3*10^12-$A19)&gt;(J$3*10^12-$A18),$A18,$A19)=J19,0,IF((J$3*10^12-$A19)*(J$3*10^12-$A18)*-1&lt;0,0,1)*IF(ABS(J$3*10^12-$A19)&gt;(J$3*10^12-$A18),$A18,$A19))</f>
        <v>0</v>
      </c>
      <c r="O18" s="292"/>
    </row>
    <row r="19" customFormat="false" ht="12.75" hidden="false" customHeight="false" outlineLevel="0" collapsed="false">
      <c r="A19" s="0" t="n">
        <v>5.6</v>
      </c>
      <c r="B19" s="0" t="n">
        <f aca="false">IF(IF((B$3*10^12-$A20)*(B$3*10^12-$A19)*-1&lt;0,0,1)*IF(ABS(B$3*10^12-$A20)&gt;(B$3*10^12-$A19),$A19,$A20)=B20,0,IF((B$3*10^12-$A20)*(B$3*10^12-$A19)*-1&lt;0,0,1)*IF(ABS(B$3*10^12-$A20)&gt;(B$3*10^12-$A19),$A19,$A20))</f>
        <v>0</v>
      </c>
      <c r="C19" s="0" t="n">
        <f aca="false">IF(IF((C$3*10^12-$A20)*(C$3*10^12-$A19)*-1&lt;0,0,1)*IF(ABS(C$3*10^12-$A20)&gt;(C$3*10^12-$A19),$A19,$A20)=C20,0,IF((C$3*10^12-$A20)*(C$3*10^12-$A19)*-1&lt;0,0,1)*IF(ABS(C$3*10^12-$A20)&gt;(C$3*10^12-$A19),$A19,$A20))</f>
        <v>0</v>
      </c>
      <c r="D19" s="0" t="n">
        <f aca="false">IF(IF((D$3*10^12-$A20)*(D$3*10^12-$A19)*-1&lt;0,0,1)*IF(ABS(D$3*10^12-$A20)&gt;(D$3*10^12-$A19),$A19,$A20)=D20,0,IF((D$3*10^12-$A20)*(D$3*10^12-$A19)*-1&lt;0,0,1)*IF(ABS(D$3*10^12-$A20)&gt;(D$3*10^12-$A19),$A19,$A20))</f>
        <v>0</v>
      </c>
      <c r="E19" s="0" t="n">
        <f aca="false">IF(IF((E$3*10^12-$A20)*(E$3*10^12-$A19)*-1&lt;0,0,1)*IF(ABS(E$3*10^12-$A20)&gt;(E$3*10^12-$A19),$A19,$A20)=E20,0,IF((E$3*10^12-$A20)*(E$3*10^12-$A19)*-1&lt;0,0,1)*IF(ABS(E$3*10^12-$A20)&gt;(E$3*10^12-$A19),$A19,$A20))</f>
        <v>0</v>
      </c>
      <c r="F19" s="0" t="n">
        <f aca="false">IF(IF((F$3*10^12-$A20)*(F$3*10^12-$A19)*-1&lt;0,0,1)*IF(ABS(F$3*10^12-$A20)&gt;(F$3*10^12-$A19),$A19,$A20)=F20,0,IF((F$3*10^12-$A20)*(F$3*10^12-$A19)*-1&lt;0,0,1)*IF(ABS(F$3*10^12-$A20)&gt;(F$3*10^12-$A19),$A19,$A20))</f>
        <v>0</v>
      </c>
      <c r="G19" s="0" t="n">
        <f aca="false">IF(IF((G$3*10^12-$A20)*(G$3*10^12-$A19)*-1&lt;0,0,1)*IF(ABS(G$3*10^12-$A20)&gt;(G$3*10^12-$A19),$A19,$A20)=G20,0,IF((G$3*10^12-$A20)*(G$3*10^12-$A19)*-1&lt;0,0,1)*IF(ABS(G$3*10^12-$A20)&gt;(G$3*10^12-$A19),$A19,$A20))</f>
        <v>0</v>
      </c>
      <c r="H19" s="0" t="n">
        <f aca="false">IF(IF((H$3*10^12-$A20)*(H$3*10^12-$A19)*-1&lt;0,0,1)*IF(ABS(H$3*10^12-$A20)&gt;(H$3*10^12-$A19),$A19,$A20)=H20,0,IF((H$3*10^12-$A20)*(H$3*10^12-$A19)*-1&lt;0,0,1)*IF(ABS(H$3*10^12-$A20)&gt;(H$3*10^12-$A19),$A19,$A20))</f>
        <v>0</v>
      </c>
      <c r="I19" s="0" t="n">
        <f aca="false">IF(IF((I$3*10^12-$A20)*(I$3*10^12-$A19)*-1&lt;0,0,1)*IF(ABS(I$3*10^12-$A20)&gt;(I$3*10^12-$A19),$A19,$A20)=I20,0,IF((I$3*10^12-$A20)*(I$3*10^12-$A19)*-1&lt;0,0,1)*IF(ABS(I$3*10^12-$A20)&gt;(I$3*10^12-$A19),$A19,$A20))</f>
        <v>0</v>
      </c>
      <c r="J19" s="0" t="n">
        <f aca="false">IF(IF((J$3*10^12-$A20)*(J$3*10^12-$A19)*-1&lt;0,0,1)*IF(ABS(J$3*10^12-$A20)&gt;(J$3*10^12-$A19),$A19,$A20)=J20,0,IF((J$3*10^12-$A20)*(J$3*10^12-$A19)*-1&lt;0,0,1)*IF(ABS(J$3*10^12-$A20)&gt;(J$3*10^12-$A19),$A19,$A20))</f>
        <v>0</v>
      </c>
      <c r="M19" s="320" t="s">
        <v>950</v>
      </c>
      <c r="N19" s="0" t="n">
        <f aca="false">Csby</f>
        <v>4.16666666666667E-008</v>
      </c>
      <c r="O19" s="292" t="n">
        <f aca="false">H4</f>
        <v>3.9E-008</v>
      </c>
    </row>
    <row r="20" customFormat="false" ht="12.75" hidden="false" customHeight="false" outlineLevel="0" collapsed="false">
      <c r="A20" s="0" t="n">
        <v>6.8</v>
      </c>
      <c r="B20" s="0" t="n">
        <f aca="false">IF(IF((B$3*10^12-$A21)*(B$3*10^12-$A20)*-1&lt;0,0,1)*IF(ABS(B$3*10^12-$A21)&gt;(B$3*10^12-$A20),$A20,$A21)=B21,0,IF((B$3*10^12-$A21)*(B$3*10^12-$A20)*-1&lt;0,0,1)*IF(ABS(B$3*10^12-$A21)&gt;(B$3*10^12-$A20),$A20,$A21))</f>
        <v>0</v>
      </c>
      <c r="C20" s="0" t="n">
        <f aca="false">IF(IF((C$3*10^12-$A21)*(C$3*10^12-$A20)*-1&lt;0,0,1)*IF(ABS(C$3*10^12-$A21)&gt;(C$3*10^12-$A20),$A20,$A21)=C21,0,IF((C$3*10^12-$A21)*(C$3*10^12-$A20)*-1&lt;0,0,1)*IF(ABS(C$3*10^12-$A21)&gt;(C$3*10^12-$A20),$A20,$A21))</f>
        <v>0</v>
      </c>
      <c r="D20" s="0" t="n">
        <f aca="false">IF(IF((D$3*10^12-$A21)*(D$3*10^12-$A20)*-1&lt;0,0,1)*IF(ABS(D$3*10^12-$A21)&gt;(D$3*10^12-$A20),$A20,$A21)=D21,0,IF((D$3*10^12-$A21)*(D$3*10^12-$A20)*-1&lt;0,0,1)*IF(ABS(D$3*10^12-$A21)&gt;(D$3*10^12-$A20),$A20,$A21))</f>
        <v>0</v>
      </c>
      <c r="E20" s="0" t="n">
        <f aca="false">IF(IF((E$3*10^12-$A21)*(E$3*10^12-$A20)*-1&lt;0,0,1)*IF(ABS(E$3*10^12-$A21)&gt;(E$3*10^12-$A20),$A20,$A21)=E21,0,IF((E$3*10^12-$A21)*(E$3*10^12-$A20)*-1&lt;0,0,1)*IF(ABS(E$3*10^12-$A21)&gt;(E$3*10^12-$A20),$A20,$A21))</f>
        <v>0</v>
      </c>
      <c r="F20" s="0" t="n">
        <f aca="false">IF(IF((F$3*10^12-$A21)*(F$3*10^12-$A20)*-1&lt;0,0,1)*IF(ABS(F$3*10^12-$A21)&gt;(F$3*10^12-$A20),$A20,$A21)=F21,0,IF((F$3*10^12-$A21)*(F$3*10^12-$A20)*-1&lt;0,0,1)*IF(ABS(F$3*10^12-$A21)&gt;(F$3*10^12-$A20),$A20,$A21))</f>
        <v>0</v>
      </c>
      <c r="G20" s="0" t="n">
        <f aca="false">IF(IF((G$3*10^12-$A21)*(G$3*10^12-$A20)*-1&lt;0,0,1)*IF(ABS(G$3*10^12-$A21)&gt;(G$3*10^12-$A20),$A20,$A21)=G21,0,IF((G$3*10^12-$A21)*(G$3*10^12-$A20)*-1&lt;0,0,1)*IF(ABS(G$3*10^12-$A21)&gt;(G$3*10^12-$A20),$A20,$A21))</f>
        <v>0</v>
      </c>
      <c r="H20" s="0" t="n">
        <f aca="false">IF(IF((H$3*10^12-$A21)*(H$3*10^12-$A20)*-1&lt;0,0,1)*IF(ABS(H$3*10^12-$A21)&gt;(H$3*10^12-$A20),$A20,$A21)=H21,0,IF((H$3*10^12-$A21)*(H$3*10^12-$A20)*-1&lt;0,0,1)*IF(ABS(H$3*10^12-$A21)&gt;(H$3*10^12-$A20),$A20,$A21))</f>
        <v>0</v>
      </c>
      <c r="I20" s="0" t="n">
        <f aca="false">IF(IF((I$3*10^12-$A21)*(I$3*10^12-$A20)*-1&lt;0,0,1)*IF(ABS(I$3*10^12-$A21)&gt;(I$3*10^12-$A20),$A20,$A21)=I21,0,IF((I$3*10^12-$A21)*(I$3*10^12-$A20)*-1&lt;0,0,1)*IF(ABS(I$3*10^12-$A21)&gt;(I$3*10^12-$A20),$A20,$A21))</f>
        <v>0</v>
      </c>
      <c r="J20" s="0" t="n">
        <f aca="false">IF(IF((J$3*10^12-$A21)*(J$3*10^12-$A20)*-1&lt;0,0,1)*IF(ABS(J$3*10^12-$A21)&gt;(J$3*10^12-$A20),$A20,$A21)=J21,0,IF((J$3*10^12-$A21)*(J$3*10^12-$A20)*-1&lt;0,0,1)*IF(ABS(J$3*10^12-$A21)&gt;(J$3*10^12-$A20),$A20,$A21))</f>
        <v>0</v>
      </c>
      <c r="O20" s="292"/>
    </row>
    <row r="21" customFormat="false" ht="12.75" hidden="false" customHeight="false" outlineLevel="0" collapsed="false">
      <c r="A21" s="0" t="n">
        <v>8.2</v>
      </c>
      <c r="B21" s="0" t="n">
        <f aca="false">IF(IF((B$3*10^12-$A22)*(B$3*10^12-$A21)*-1&lt;0,0,1)*IF(ABS(B$3*10^12-$A22)&gt;(B$3*10^12-$A21),$A21,$A22)=B22,0,IF((B$3*10^12-$A22)*(B$3*10^12-$A21)*-1&lt;0,0,1)*IF(ABS(B$3*10^12-$A22)&gt;(B$3*10^12-$A21),$A21,$A22))</f>
        <v>0</v>
      </c>
      <c r="C21" s="0" t="n">
        <f aca="false">IF(IF((C$3*10^12-$A22)*(C$3*10^12-$A21)*-1&lt;0,0,1)*IF(ABS(C$3*10^12-$A22)&gt;(C$3*10^12-$A21),$A21,$A22)=C22,0,IF((C$3*10^12-$A22)*(C$3*10^12-$A21)*-1&lt;0,0,1)*IF(ABS(C$3*10^12-$A22)&gt;(C$3*10^12-$A21),$A21,$A22))</f>
        <v>0</v>
      </c>
      <c r="D21" s="0" t="n">
        <f aca="false">IF(IF((D$3*10^12-$A22)*(D$3*10^12-$A21)*-1&lt;0,0,1)*IF(ABS(D$3*10^12-$A22)&gt;(D$3*10^12-$A21),$A21,$A22)=D22,0,IF((D$3*10^12-$A22)*(D$3*10^12-$A21)*-1&lt;0,0,1)*IF(ABS(D$3*10^12-$A22)&gt;(D$3*10^12-$A21),$A21,$A22))</f>
        <v>0</v>
      </c>
      <c r="E21" s="0" t="n">
        <f aca="false">IF(IF((E$3*10^12-$A22)*(E$3*10^12-$A21)*-1&lt;0,0,1)*IF(ABS(E$3*10^12-$A22)&gt;(E$3*10^12-$A21),$A21,$A22)=E22,0,IF((E$3*10^12-$A22)*(E$3*10^12-$A21)*-1&lt;0,0,1)*IF(ABS(E$3*10^12-$A22)&gt;(E$3*10^12-$A21),$A21,$A22))</f>
        <v>0</v>
      </c>
      <c r="F21" s="0" t="n">
        <f aca="false">IF(IF((F$3*10^12-$A22)*(F$3*10^12-$A21)*-1&lt;0,0,1)*IF(ABS(F$3*10^12-$A22)&gt;(F$3*10^12-$A21),$A21,$A22)=F22,0,IF((F$3*10^12-$A22)*(F$3*10^12-$A21)*-1&lt;0,0,1)*IF(ABS(F$3*10^12-$A22)&gt;(F$3*10^12-$A21),$A21,$A22))</f>
        <v>0</v>
      </c>
      <c r="G21" s="0" t="n">
        <f aca="false">IF(IF((G$3*10^12-$A22)*(G$3*10^12-$A21)*-1&lt;0,0,1)*IF(ABS(G$3*10^12-$A22)&gt;(G$3*10^12-$A21),$A21,$A22)=G22,0,IF((G$3*10^12-$A22)*(G$3*10^12-$A21)*-1&lt;0,0,1)*IF(ABS(G$3*10^12-$A22)&gt;(G$3*10^12-$A21),$A21,$A22))</f>
        <v>0</v>
      </c>
      <c r="H21" s="0" t="n">
        <f aca="false">IF(IF((H$3*10^12-$A22)*(H$3*10^12-$A21)*-1&lt;0,0,1)*IF(ABS(H$3*10^12-$A22)&gt;(H$3*10^12-$A21),$A21,$A22)=H22,0,IF((H$3*10^12-$A22)*(H$3*10^12-$A21)*-1&lt;0,0,1)*IF(ABS(H$3*10^12-$A22)&gt;(H$3*10^12-$A21),$A21,$A22))</f>
        <v>0</v>
      </c>
      <c r="I21" s="0" t="n">
        <f aca="false">IF(IF((I$3*10^12-$A22)*(I$3*10^12-$A21)*-1&lt;0,0,1)*IF(ABS(I$3*10^12-$A22)&gt;(I$3*10^12-$A21),$A21,$A22)=I22,0,IF((I$3*10^12-$A22)*(I$3*10^12-$A21)*-1&lt;0,0,1)*IF(ABS(I$3*10^12-$A22)&gt;(I$3*10^12-$A21),$A21,$A22))</f>
        <v>0</v>
      </c>
      <c r="J21" s="0" t="n">
        <f aca="false">IF(IF((J$3*10^12-$A22)*(J$3*10^12-$A21)*-1&lt;0,0,1)*IF(ABS(J$3*10^12-$A22)&gt;(J$3*10^12-$A21),$A21,$A22)=J22,0,IF((J$3*10^12-$A22)*(J$3*10^12-$A21)*-1&lt;0,0,1)*IF(ABS(J$3*10^12-$A22)&gt;(J$3*10^12-$A21),$A21,$A22))</f>
        <v>0</v>
      </c>
      <c r="M21" s="320" t="s">
        <v>959</v>
      </c>
      <c r="N21" s="438" t="n">
        <f aca="false">Rshunt</f>
        <v>4.16666666666667</v>
      </c>
      <c r="O21" s="292" t="n">
        <f aca="false">IF(N21=0,0,IF(N21&gt;(INT(0.5+100*POWER(10,IF(96*(LOG(N21)-INT(LOG(N21)))-ROUND(96*(LOG(N21)-INT(LOG(N21))),0)&lt;0,ROUND(96*(LOG(N21)-INT(LOG(N21))),0)-1,ROUND(96*(LOG(N21)-INT(LOG(N21))),0))/96))*POWER(10,INT(LOG(N21))-2)+INT(0.5+100*POWER(10,(IF(96*(LOG(N21)-INT(LOG(N21)))-ROUND(96*(LOG(N21)-INT(LOG(N21))),0)&lt;0,ROUND(96*(LOG(N21)-INT(LOG(N21))),0)-1,ROUND(96*(LOG(N21)-INT(LOG(N21))),0))+1)/96))*POWER(10,INT(LOG(N21))-2))/2,INT(0.5+100*POWER(10,(IF(96*(LOG(N21)-INT(LOG(N21)))-ROUND(96*(LOG(N21)-INT(LOG(N21))),0)&lt;0,ROUND(96*(LOG(N21)-INT(LOG(N21))),0)-1,ROUND(96*(LOG(N21)-INT(LOG(N21))),0))+1)/96))*POWER(10,INT(LOG(N21))-2),INT(0.5+100*POWER(10,IF(96*(LOG(N21)-INT(LOG(N21)))-ROUND(96*(LOG(N21)-INT(LOG(N21))),0)&lt;0,ROUND(96*(LOG(N21)-INT(LOG(N21))),0)-1,ROUND(96*(LOG(N21)-INT(LOG(N21))),0))/96))*POWER(10,INT(LOG(N21))-2)))</f>
        <v>4.12</v>
      </c>
      <c r="P21" s="402" t="s">
        <v>388</v>
      </c>
    </row>
    <row r="22" customFormat="false" ht="12.75" hidden="false" customHeight="false" outlineLevel="0" collapsed="false">
      <c r="A22" s="0" t="n">
        <v>10</v>
      </c>
      <c r="B22" s="0" t="n">
        <f aca="false">IF(IF((B$3*10^12-$A23)*(B$3*10^12-$A22)*-1&lt;0,0,1)*IF(ABS(B$3*10^12-$A23)&gt;(B$3*10^12-$A22),$A22,$A23)=B23,0,IF((B$3*10^12-$A23)*(B$3*10^12-$A22)*-1&lt;0,0,1)*IF(ABS(B$3*10^12-$A23)&gt;(B$3*10^12-$A22),$A22,$A23))</f>
        <v>0</v>
      </c>
      <c r="C22" s="0" t="n">
        <f aca="false">IF(IF((C$3*10^12-$A23)*(C$3*10^12-$A22)*-1&lt;0,0,1)*IF(ABS(C$3*10^12-$A23)&gt;(C$3*10^12-$A22),$A22,$A23)=C23,0,IF((C$3*10^12-$A23)*(C$3*10^12-$A22)*-1&lt;0,0,1)*IF(ABS(C$3*10^12-$A23)&gt;(C$3*10^12-$A22),$A22,$A23))</f>
        <v>0</v>
      </c>
      <c r="D22" s="0" t="n">
        <f aca="false">IF(IF((D$3*10^12-$A23)*(D$3*10^12-$A22)*-1&lt;0,0,1)*IF(ABS(D$3*10^12-$A23)&gt;(D$3*10^12-$A22),$A22,$A23)=D23,0,IF((D$3*10^12-$A23)*(D$3*10^12-$A22)*-1&lt;0,0,1)*IF(ABS(D$3*10^12-$A23)&gt;(D$3*10^12-$A22),$A22,$A23))</f>
        <v>0</v>
      </c>
      <c r="E22" s="0" t="n">
        <f aca="false">IF(IF((E$3*10^12-$A23)*(E$3*10^12-$A22)*-1&lt;0,0,1)*IF(ABS(E$3*10^12-$A23)&gt;(E$3*10^12-$A22),$A22,$A23)=E23,0,IF((E$3*10^12-$A23)*(E$3*10^12-$A22)*-1&lt;0,0,1)*IF(ABS(E$3*10^12-$A23)&gt;(E$3*10^12-$A22),$A22,$A23))</f>
        <v>0</v>
      </c>
      <c r="F22" s="0" t="n">
        <f aca="false">IF(IF((F$3*10^12-$A23)*(F$3*10^12-$A22)*-1&lt;0,0,1)*IF(ABS(F$3*10^12-$A23)&gt;(F$3*10^12-$A22),$A22,$A23)=F23,0,IF((F$3*10^12-$A23)*(F$3*10^12-$A22)*-1&lt;0,0,1)*IF(ABS(F$3*10^12-$A23)&gt;(F$3*10^12-$A22),$A22,$A23))</f>
        <v>0</v>
      </c>
      <c r="G22" s="0" t="n">
        <f aca="false">IF(IF((G$3*10^12-$A23)*(G$3*10^12-$A22)*-1&lt;0,0,1)*IF(ABS(G$3*10^12-$A23)&gt;(G$3*10^12-$A22),$A22,$A23)=G23,0,IF((G$3*10^12-$A23)*(G$3*10^12-$A22)*-1&lt;0,0,1)*IF(ABS(G$3*10^12-$A23)&gt;(G$3*10^12-$A22),$A22,$A23))</f>
        <v>0</v>
      </c>
      <c r="H22" s="0" t="n">
        <f aca="false">IF(IF((H$3*10^12-$A23)*(H$3*10^12-$A22)*-1&lt;0,0,1)*IF(ABS(H$3*10^12-$A23)&gt;(H$3*10^12-$A22),$A22,$A23)=H23,0,IF((H$3*10^12-$A23)*(H$3*10^12-$A22)*-1&lt;0,0,1)*IF(ABS(H$3*10^12-$A23)&gt;(H$3*10^12-$A22),$A22,$A23))</f>
        <v>0</v>
      </c>
      <c r="I22" s="0" t="n">
        <f aca="false">IF(IF((I$3*10^12-$A23)*(I$3*10^12-$A22)*-1&lt;0,0,1)*IF(ABS(I$3*10^12-$A23)&gt;(I$3*10^12-$A22),$A22,$A23)=I23,0,IF((I$3*10^12-$A23)*(I$3*10^12-$A22)*-1&lt;0,0,1)*IF(ABS(I$3*10^12-$A23)&gt;(I$3*10^12-$A22),$A22,$A23))</f>
        <v>0</v>
      </c>
      <c r="J22" s="0" t="n">
        <f aca="false">IF(IF((J$3*10^12-$A23)*(J$3*10^12-$A22)*-1&lt;0,0,1)*IF(ABS(J$3*10^12-$A23)&gt;(J$3*10^12-$A22),$A22,$A23)=J23,0,IF((J$3*10^12-$A23)*(J$3*10^12-$A22)*-1&lt;0,0,1)*IF(ABS(J$3*10^12-$A23)&gt;(J$3*10^12-$A22),$A22,$A23))</f>
        <v>0</v>
      </c>
    </row>
    <row r="23" customFormat="false" ht="12.75" hidden="false" customHeight="false" outlineLevel="0" collapsed="false">
      <c r="A23" s="0" t="n">
        <v>12</v>
      </c>
      <c r="B23" s="0" t="n">
        <f aca="false">IF(IF((B$3*10^12-$A24)*(B$3*10^12-$A23)*-1&lt;0,0,1)*IF(ABS(B$3*10^12-$A24)&gt;(B$3*10^12-$A23),$A23,$A24)=B24,0,IF((B$3*10^12-$A24)*(B$3*10^12-$A23)*-1&lt;0,0,1)*IF(ABS(B$3*10^12-$A24)&gt;(B$3*10^12-$A23),$A23,$A24))</f>
        <v>0</v>
      </c>
      <c r="C23" s="0" t="n">
        <f aca="false">IF(IF((C$3*10^12-$A24)*(C$3*10^12-$A23)*-1&lt;0,0,1)*IF(ABS(C$3*10^12-$A24)&gt;(C$3*10^12-$A23),$A23,$A24)=C24,0,IF((C$3*10^12-$A24)*(C$3*10^12-$A23)*-1&lt;0,0,1)*IF(ABS(C$3*10^12-$A24)&gt;(C$3*10^12-$A23),$A23,$A24))</f>
        <v>0</v>
      </c>
      <c r="D23" s="0" t="n">
        <f aca="false">IF(IF((D$3*10^12-$A24)*(D$3*10^12-$A23)*-1&lt;0,0,1)*IF(ABS(D$3*10^12-$A24)&gt;(D$3*10^12-$A23),$A23,$A24)=D24,0,IF((D$3*10^12-$A24)*(D$3*10^12-$A23)*-1&lt;0,0,1)*IF(ABS(D$3*10^12-$A24)&gt;(D$3*10^12-$A23),$A23,$A24))</f>
        <v>0</v>
      </c>
      <c r="E23" s="0" t="n">
        <f aca="false">IF(IF((E$3*10^12-$A24)*(E$3*10^12-$A23)*-1&lt;0,0,1)*IF(ABS(E$3*10^12-$A24)&gt;(E$3*10^12-$A23),$A23,$A24)=E24,0,IF((E$3*10^12-$A24)*(E$3*10^12-$A23)*-1&lt;0,0,1)*IF(ABS(E$3*10^12-$A24)&gt;(E$3*10^12-$A23),$A23,$A24))</f>
        <v>0</v>
      </c>
      <c r="F23" s="0" t="n">
        <f aca="false">IF(IF((F$3*10^12-$A24)*(F$3*10^12-$A23)*-1&lt;0,0,1)*IF(ABS(F$3*10^12-$A24)&gt;(F$3*10^12-$A23),$A23,$A24)=F24,0,IF((F$3*10^12-$A24)*(F$3*10^12-$A23)*-1&lt;0,0,1)*IF(ABS(F$3*10^12-$A24)&gt;(F$3*10^12-$A23),$A23,$A24))</f>
        <v>0</v>
      </c>
      <c r="G23" s="0" t="n">
        <f aca="false">IF(IF((G$3*10^12-$A24)*(G$3*10^12-$A23)*-1&lt;0,0,1)*IF(ABS(G$3*10^12-$A24)&gt;(G$3*10^12-$A23),$A23,$A24)=G24,0,IF((G$3*10^12-$A24)*(G$3*10^12-$A23)*-1&lt;0,0,1)*IF(ABS(G$3*10^12-$A24)&gt;(G$3*10^12-$A23),$A23,$A24))</f>
        <v>0</v>
      </c>
      <c r="H23" s="0" t="n">
        <f aca="false">IF(IF((H$3*10^12-$A24)*(H$3*10^12-$A23)*-1&lt;0,0,1)*IF(ABS(H$3*10^12-$A24)&gt;(H$3*10^12-$A23),$A23,$A24)=H24,0,IF((H$3*10^12-$A24)*(H$3*10^12-$A23)*-1&lt;0,0,1)*IF(ABS(H$3*10^12-$A24)&gt;(H$3*10^12-$A23),$A23,$A24))</f>
        <v>0</v>
      </c>
      <c r="I23" s="0" t="n">
        <f aca="false">IF(IF((I$3*10^12-$A24)*(I$3*10^12-$A23)*-1&lt;0,0,1)*IF(ABS(I$3*10^12-$A24)&gt;(I$3*10^12-$A23),$A23,$A24)=I24,0,IF((I$3*10^12-$A24)*(I$3*10^12-$A23)*-1&lt;0,0,1)*IF(ABS(I$3*10^12-$A24)&gt;(I$3*10^12-$A23),$A23,$A24))</f>
        <v>0</v>
      </c>
      <c r="J23" s="0" t="n">
        <f aca="false">IF(IF((J$3*10^12-$A24)*(J$3*10^12-$A23)*-1&lt;0,0,1)*IF(ABS(J$3*10^12-$A24)&gt;(J$3*10^12-$A23),$A23,$A24)=J24,0,IF((J$3*10^12-$A24)*(J$3*10^12-$A23)*-1&lt;0,0,1)*IF(ABS(J$3*10^12-$A24)&gt;(J$3*10^12-$A23),$A23,$A24))</f>
        <v>0</v>
      </c>
      <c r="O23" s="292"/>
    </row>
    <row r="24" customFormat="false" ht="12.75" hidden="false" customHeight="false" outlineLevel="0" collapsed="false">
      <c r="A24" s="0" t="n">
        <v>15</v>
      </c>
      <c r="B24" s="0" t="n">
        <f aca="false">IF(IF((B$3*10^12-$A25)*(B$3*10^12-$A24)*-1&lt;0,0,1)*IF(ABS(B$3*10^12-$A25)&gt;(B$3*10^12-$A24),$A24,$A25)=B25,0,IF((B$3*10^12-$A25)*(B$3*10^12-$A24)*-1&lt;0,0,1)*IF(ABS(B$3*10^12-$A25)&gt;(B$3*10^12-$A24),$A24,$A25))</f>
        <v>0</v>
      </c>
      <c r="C24" s="0" t="n">
        <f aca="false">IF(IF((C$3*10^12-$A25)*(C$3*10^12-$A24)*-1&lt;0,0,1)*IF(ABS(C$3*10^12-$A25)&gt;(C$3*10^12-$A24),$A24,$A25)=C25,0,IF((C$3*10^12-$A25)*(C$3*10^12-$A24)*-1&lt;0,0,1)*IF(ABS(C$3*10^12-$A25)&gt;(C$3*10^12-$A24),$A24,$A25))</f>
        <v>0</v>
      </c>
      <c r="D24" s="0" t="n">
        <f aca="false">IF(IF((D$3*10^12-$A25)*(D$3*10^12-$A24)*-1&lt;0,0,1)*IF(ABS(D$3*10^12-$A25)&gt;(D$3*10^12-$A24),$A24,$A25)=D25,0,IF((D$3*10^12-$A25)*(D$3*10^12-$A24)*-1&lt;0,0,1)*IF(ABS(D$3*10^12-$A25)&gt;(D$3*10^12-$A24),$A24,$A25))</f>
        <v>0</v>
      </c>
      <c r="E24" s="0" t="n">
        <f aca="false">IF(IF((E$3*10^12-$A25)*(E$3*10^12-$A24)*-1&lt;0,0,1)*IF(ABS(E$3*10^12-$A25)&gt;(E$3*10^12-$A24),$A24,$A25)=E25,0,IF((E$3*10^12-$A25)*(E$3*10^12-$A24)*-1&lt;0,0,1)*IF(ABS(E$3*10^12-$A25)&gt;(E$3*10^12-$A24),$A24,$A25))</f>
        <v>0</v>
      </c>
      <c r="F24" s="0" t="n">
        <f aca="false">IF(IF((F$3*10^12-$A25)*(F$3*10^12-$A24)*-1&lt;0,0,1)*IF(ABS(F$3*10^12-$A25)&gt;(F$3*10^12-$A24),$A24,$A25)=F25,0,IF((F$3*10^12-$A25)*(F$3*10^12-$A24)*-1&lt;0,0,1)*IF(ABS(F$3*10^12-$A25)&gt;(F$3*10^12-$A24),$A24,$A25))</f>
        <v>0</v>
      </c>
      <c r="G24" s="0" t="n">
        <f aca="false">IF(IF((G$3*10^12-$A25)*(G$3*10^12-$A24)*-1&lt;0,0,1)*IF(ABS(G$3*10^12-$A25)&gt;(G$3*10^12-$A24),$A24,$A25)=G25,0,IF((G$3*10^12-$A25)*(G$3*10^12-$A24)*-1&lt;0,0,1)*IF(ABS(G$3*10^12-$A25)&gt;(G$3*10^12-$A24),$A24,$A25))</f>
        <v>0</v>
      </c>
      <c r="H24" s="0" t="n">
        <f aca="false">IF(IF((H$3*10^12-$A25)*(H$3*10^12-$A24)*-1&lt;0,0,1)*IF(ABS(H$3*10^12-$A25)&gt;(H$3*10^12-$A24),$A24,$A25)=H25,0,IF((H$3*10^12-$A25)*(H$3*10^12-$A24)*-1&lt;0,0,1)*IF(ABS(H$3*10^12-$A25)&gt;(H$3*10^12-$A24),$A24,$A25))</f>
        <v>0</v>
      </c>
      <c r="I24" s="0" t="n">
        <f aca="false">IF(IF((I$3*10^12-$A25)*(I$3*10^12-$A24)*-1&lt;0,0,1)*IF(ABS(I$3*10^12-$A25)&gt;(I$3*10^12-$A24),$A24,$A25)=I25,0,IF((I$3*10^12-$A25)*(I$3*10^12-$A24)*-1&lt;0,0,1)*IF(ABS(I$3*10^12-$A25)&gt;(I$3*10^12-$A24),$A24,$A25))</f>
        <v>0</v>
      </c>
      <c r="J24" s="0" t="n">
        <f aca="false">IF(IF((J$3*10^12-$A25)*(J$3*10^12-$A24)*-1&lt;0,0,1)*IF(ABS(J$3*10^12-$A25)&gt;(J$3*10^12-$A24),$A24,$A25)=J25,0,IF((J$3*10^12-$A25)*(J$3*10^12-$A24)*-1&lt;0,0,1)*IF(ABS(J$3*10^12-$A25)&gt;(J$3*10^12-$A24),$A24,$A25))</f>
        <v>0</v>
      </c>
      <c r="M24" s="320"/>
      <c r="O24" s="292"/>
      <c r="P24" s="402"/>
    </row>
    <row r="25" customFormat="false" ht="12.75" hidden="false" customHeight="false" outlineLevel="0" collapsed="false">
      <c r="A25" s="0" t="n">
        <v>18</v>
      </c>
      <c r="B25" s="0" t="n">
        <f aca="false">IF(IF((B$3*10^12-$A26)*(B$3*10^12-$A25)*-1&lt;0,0,1)*IF(ABS(B$3*10^12-$A26)&gt;(B$3*10^12-$A25),$A25,$A26)=B26,0,IF((B$3*10^12-$A26)*(B$3*10^12-$A25)*-1&lt;0,0,1)*IF(ABS(B$3*10^12-$A26)&gt;(B$3*10^12-$A25),$A25,$A26))</f>
        <v>0</v>
      </c>
      <c r="C25" s="0" t="n">
        <f aca="false">IF(IF((C$3*10^12-$A26)*(C$3*10^12-$A25)*-1&lt;0,0,1)*IF(ABS(C$3*10^12-$A26)&gt;(C$3*10^12-$A25),$A25,$A26)=C26,0,IF((C$3*10^12-$A26)*(C$3*10^12-$A25)*-1&lt;0,0,1)*IF(ABS(C$3*10^12-$A26)&gt;(C$3*10^12-$A25),$A25,$A26))</f>
        <v>0</v>
      </c>
      <c r="D25" s="0" t="n">
        <f aca="false">IF(IF((D$3*10^12-$A26)*(D$3*10^12-$A25)*-1&lt;0,0,1)*IF(ABS(D$3*10^12-$A26)&gt;(D$3*10^12-$A25),$A25,$A26)=D26,0,IF((D$3*10^12-$A26)*(D$3*10^12-$A25)*-1&lt;0,0,1)*IF(ABS(D$3*10^12-$A26)&gt;(D$3*10^12-$A25),$A25,$A26))</f>
        <v>0</v>
      </c>
      <c r="E25" s="0" t="n">
        <f aca="false">IF(IF((E$3*10^12-$A26)*(E$3*10^12-$A25)*-1&lt;0,0,1)*IF(ABS(E$3*10^12-$A26)&gt;(E$3*10^12-$A25),$A25,$A26)=E26,0,IF((E$3*10^12-$A26)*(E$3*10^12-$A25)*-1&lt;0,0,1)*IF(ABS(E$3*10^12-$A26)&gt;(E$3*10^12-$A25),$A25,$A26))</f>
        <v>0</v>
      </c>
      <c r="F25" s="0" t="n">
        <f aca="false">IF(IF((F$3*10^12-$A26)*(F$3*10^12-$A25)*-1&lt;0,0,1)*IF(ABS(F$3*10^12-$A26)&gt;(F$3*10^12-$A25),$A25,$A26)=F26,0,IF((F$3*10^12-$A26)*(F$3*10^12-$A25)*-1&lt;0,0,1)*IF(ABS(F$3*10^12-$A26)&gt;(F$3*10^12-$A25),$A25,$A26))</f>
        <v>0</v>
      </c>
      <c r="G25" s="0" t="n">
        <f aca="false">IF(IF((G$3*10^12-$A26)*(G$3*10^12-$A25)*-1&lt;0,0,1)*IF(ABS(G$3*10^12-$A26)&gt;(G$3*10^12-$A25),$A25,$A26)=G26,0,IF((G$3*10^12-$A26)*(G$3*10^12-$A25)*-1&lt;0,0,1)*IF(ABS(G$3*10^12-$A26)&gt;(G$3*10^12-$A25),$A25,$A26))</f>
        <v>0</v>
      </c>
      <c r="H25" s="0" t="n">
        <f aca="false">IF(IF((H$3*10^12-$A26)*(H$3*10^12-$A25)*-1&lt;0,0,1)*IF(ABS(H$3*10^12-$A26)&gt;(H$3*10^12-$A25),$A25,$A26)=H26,0,IF((H$3*10^12-$A26)*(H$3*10^12-$A25)*-1&lt;0,0,1)*IF(ABS(H$3*10^12-$A26)&gt;(H$3*10^12-$A25),$A25,$A26))</f>
        <v>0</v>
      </c>
      <c r="I25" s="0" t="n">
        <f aca="false">IF(IF((I$3*10^12-$A26)*(I$3*10^12-$A25)*-1&lt;0,0,1)*IF(ABS(I$3*10^12-$A26)&gt;(I$3*10^12-$A25),$A25,$A26)=I26,0,IF((I$3*10^12-$A26)*(I$3*10^12-$A25)*-1&lt;0,0,1)*IF(ABS(I$3*10^12-$A26)&gt;(I$3*10^12-$A25),$A25,$A26))</f>
        <v>0</v>
      </c>
      <c r="J25" s="0" t="n">
        <f aca="false">IF(IF((J$3*10^12-$A26)*(J$3*10^12-$A25)*-1&lt;0,0,1)*IF(ABS(J$3*10^12-$A26)&gt;(J$3*10^12-$A25),$A25,$A26)=J26,0,IF((J$3*10^12-$A26)*(J$3*10^12-$A25)*-1&lt;0,0,1)*IF(ABS(J$3*10^12-$A26)&gt;(J$3*10^12-$A25),$A25,$A26))</f>
        <v>0</v>
      </c>
    </row>
    <row r="26" customFormat="false" ht="12.75" hidden="false" customHeight="false" outlineLevel="0" collapsed="false">
      <c r="A26" s="0" t="n">
        <v>22</v>
      </c>
      <c r="B26" s="0" t="n">
        <f aca="false">IF(IF((B$3*10^12-$A27)*(B$3*10^12-$A26)*-1&lt;0,0,1)*IF(ABS(B$3*10^12-$A27)&gt;(B$3*10^12-$A26),$A26,$A27)=B27,0,IF((B$3*10^12-$A27)*(B$3*10^12-$A26)*-1&lt;0,0,1)*IF(ABS(B$3*10^12-$A27)&gt;(B$3*10^12-$A26),$A26,$A27))</f>
        <v>0</v>
      </c>
      <c r="C26" s="0" t="n">
        <f aca="false">IF(IF((C$3*10^12-$A27)*(C$3*10^12-$A26)*-1&lt;0,0,1)*IF(ABS(C$3*10^12-$A27)&gt;(C$3*10^12-$A26),$A26,$A27)=C27,0,IF((C$3*10^12-$A27)*(C$3*10^12-$A26)*-1&lt;0,0,1)*IF(ABS(C$3*10^12-$A27)&gt;(C$3*10^12-$A26),$A26,$A27))</f>
        <v>0</v>
      </c>
      <c r="D26" s="0" t="n">
        <f aca="false">IF(IF((D$3*10^12-$A27)*(D$3*10^12-$A26)*-1&lt;0,0,1)*IF(ABS(D$3*10^12-$A27)&gt;(D$3*10^12-$A26),$A26,$A27)=D27,0,IF((D$3*10^12-$A27)*(D$3*10^12-$A26)*-1&lt;0,0,1)*IF(ABS(D$3*10^12-$A27)&gt;(D$3*10^12-$A26),$A26,$A27))</f>
        <v>0</v>
      </c>
      <c r="E26" s="0" t="n">
        <f aca="false">IF(IF((E$3*10^12-$A27)*(E$3*10^12-$A26)*-1&lt;0,0,1)*IF(ABS(E$3*10^12-$A27)&gt;(E$3*10^12-$A26),$A26,$A27)=E27,0,IF((E$3*10^12-$A27)*(E$3*10^12-$A26)*-1&lt;0,0,1)*IF(ABS(E$3*10^12-$A27)&gt;(E$3*10^12-$A26),$A26,$A27))</f>
        <v>0</v>
      </c>
      <c r="F26" s="0" t="n">
        <f aca="false">IF(IF((F$3*10^12-$A27)*(F$3*10^12-$A26)*-1&lt;0,0,1)*IF(ABS(F$3*10^12-$A27)&gt;(F$3*10^12-$A26),$A26,$A27)=F27,0,IF((F$3*10^12-$A27)*(F$3*10^12-$A26)*-1&lt;0,0,1)*IF(ABS(F$3*10^12-$A27)&gt;(F$3*10^12-$A26),$A26,$A27))</f>
        <v>0</v>
      </c>
      <c r="G26" s="0" t="n">
        <f aca="false">IF(IF((G$3*10^12-$A27)*(G$3*10^12-$A26)*-1&lt;0,0,1)*IF(ABS(G$3*10^12-$A27)&gt;(G$3*10^12-$A26),$A26,$A27)=G27,0,IF((G$3*10^12-$A27)*(G$3*10^12-$A26)*-1&lt;0,0,1)*IF(ABS(G$3*10^12-$A27)&gt;(G$3*10^12-$A26),$A26,$A27))</f>
        <v>0</v>
      </c>
      <c r="H26" s="0" t="n">
        <f aca="false">IF(IF((H$3*10^12-$A27)*(H$3*10^12-$A26)*-1&lt;0,0,1)*IF(ABS(H$3*10^12-$A27)&gt;(H$3*10^12-$A26),$A26,$A27)=H27,0,IF((H$3*10^12-$A27)*(H$3*10^12-$A26)*-1&lt;0,0,1)*IF(ABS(H$3*10^12-$A27)&gt;(H$3*10^12-$A26),$A26,$A27))</f>
        <v>0</v>
      </c>
      <c r="I26" s="0" t="n">
        <f aca="false">IF(IF((I$3*10^12-$A27)*(I$3*10^12-$A26)*-1&lt;0,0,1)*IF(ABS(I$3*10^12-$A27)&gt;(I$3*10^12-$A26),$A26,$A27)=I27,0,IF((I$3*10^12-$A27)*(I$3*10^12-$A26)*-1&lt;0,0,1)*IF(ABS(I$3*10^12-$A27)&gt;(I$3*10^12-$A26),$A26,$A27))</f>
        <v>0</v>
      </c>
      <c r="J26" s="0" t="n">
        <f aca="false">IF(IF((J$3*10^12-$A27)*(J$3*10^12-$A26)*-1&lt;0,0,1)*IF(ABS(J$3*10^12-$A27)&gt;(J$3*10^12-$A26),$A26,$A27)=J27,0,IF((J$3*10^12-$A27)*(J$3*10^12-$A26)*-1&lt;0,0,1)*IF(ABS(J$3*10^12-$A27)&gt;(J$3*10^12-$A26),$A26,$A27))</f>
        <v>0</v>
      </c>
    </row>
    <row r="27" customFormat="false" ht="12.75" hidden="false" customHeight="false" outlineLevel="0" collapsed="false">
      <c r="A27" s="0" t="n">
        <v>27</v>
      </c>
      <c r="B27" s="0" t="n">
        <f aca="false">IF(IF((B$3*10^12-$A28)*(B$3*10^12-$A27)*-1&lt;0,0,1)*IF(ABS(B$3*10^12-$A28)&gt;(B$3*10^12-$A27),$A27,$A28)=B28,0,IF((B$3*10^12-$A28)*(B$3*10^12-$A27)*-1&lt;0,0,1)*IF(ABS(B$3*10^12-$A28)&gt;(B$3*10^12-$A27),$A27,$A28))</f>
        <v>0</v>
      </c>
      <c r="C27" s="0" t="n">
        <f aca="false">IF(IF((C$3*10^12-$A28)*(C$3*10^12-$A27)*-1&lt;0,0,1)*IF(ABS(C$3*10^12-$A28)&gt;(C$3*10^12-$A27),$A27,$A28)=C28,0,IF((C$3*10^12-$A28)*(C$3*10^12-$A27)*-1&lt;0,0,1)*IF(ABS(C$3*10^12-$A28)&gt;(C$3*10^12-$A27),$A27,$A28))</f>
        <v>0</v>
      </c>
      <c r="D27" s="0" t="n">
        <f aca="false">IF(IF((D$3*10^12-$A28)*(D$3*10^12-$A27)*-1&lt;0,0,1)*IF(ABS(D$3*10^12-$A28)&gt;(D$3*10^12-$A27),$A27,$A28)=D28,0,IF((D$3*10^12-$A28)*(D$3*10^12-$A27)*-1&lt;0,0,1)*IF(ABS(D$3*10^12-$A28)&gt;(D$3*10^12-$A27),$A27,$A28))</f>
        <v>0</v>
      </c>
      <c r="E27" s="0" t="n">
        <f aca="false">IF(IF((E$3*10^12-$A28)*(E$3*10^12-$A27)*-1&lt;0,0,1)*IF(ABS(E$3*10^12-$A28)&gt;(E$3*10^12-$A27),$A27,$A28)=E28,0,IF((E$3*10^12-$A28)*(E$3*10^12-$A27)*-1&lt;0,0,1)*IF(ABS(E$3*10^12-$A28)&gt;(E$3*10^12-$A27),$A27,$A28))</f>
        <v>0</v>
      </c>
      <c r="F27" s="0" t="n">
        <f aca="false">IF(IF((F$3*10^12-$A28)*(F$3*10^12-$A27)*-1&lt;0,0,1)*IF(ABS(F$3*10^12-$A28)&gt;(F$3*10^12-$A27),$A27,$A28)=F28,0,IF((F$3*10^12-$A28)*(F$3*10^12-$A27)*-1&lt;0,0,1)*IF(ABS(F$3*10^12-$A28)&gt;(F$3*10^12-$A27),$A27,$A28))</f>
        <v>0</v>
      </c>
      <c r="G27" s="0" t="n">
        <f aca="false">IF(IF((G$3*10^12-$A28)*(G$3*10^12-$A27)*-1&lt;0,0,1)*IF(ABS(G$3*10^12-$A28)&gt;(G$3*10^12-$A27),$A27,$A28)=G28,0,IF((G$3*10^12-$A28)*(G$3*10^12-$A27)*-1&lt;0,0,1)*IF(ABS(G$3*10^12-$A28)&gt;(G$3*10^12-$A27),$A27,$A28))</f>
        <v>0</v>
      </c>
      <c r="H27" s="0" t="n">
        <f aca="false">IF(IF((H$3*10^12-$A28)*(H$3*10^12-$A27)*-1&lt;0,0,1)*IF(ABS(H$3*10^12-$A28)&gt;(H$3*10^12-$A27),$A27,$A28)=H28,0,IF((H$3*10^12-$A28)*(H$3*10^12-$A27)*-1&lt;0,0,1)*IF(ABS(H$3*10^12-$A28)&gt;(H$3*10^12-$A27),$A27,$A28))</f>
        <v>0</v>
      </c>
      <c r="I27" s="0" t="n">
        <f aca="false">IF(IF((I$3*10^12-$A28)*(I$3*10^12-$A27)*-1&lt;0,0,1)*IF(ABS(I$3*10^12-$A28)&gt;(I$3*10^12-$A27),$A27,$A28)=I28,0,IF((I$3*10^12-$A28)*(I$3*10^12-$A27)*-1&lt;0,0,1)*IF(ABS(I$3*10^12-$A28)&gt;(I$3*10^12-$A27),$A27,$A28))</f>
        <v>0</v>
      </c>
      <c r="J27" s="0" t="n">
        <f aca="false">IF(IF((J$3*10^12-$A28)*(J$3*10^12-$A27)*-1&lt;0,0,1)*IF(ABS(J$3*10^12-$A28)&gt;(J$3*10^12-$A27),$A27,$A28)=J28,0,IF((J$3*10^12-$A28)*(J$3*10^12-$A27)*-1&lt;0,0,1)*IF(ABS(J$3*10^12-$A28)&gt;(J$3*10^12-$A27),$A27,$A28))</f>
        <v>0</v>
      </c>
      <c r="M27" s="320" t="s">
        <v>963</v>
      </c>
      <c r="N27" s="0" t="str">
        <f aca="false">O7/1000&amp;" kΩ"</f>
        <v>4.75 kΩ</v>
      </c>
      <c r="O27" s="0" t="n">
        <f aca="false">O7/1000</f>
        <v>4.75</v>
      </c>
      <c r="P27" s="402" t="s">
        <v>447</v>
      </c>
    </row>
    <row r="28" customFormat="false" ht="12.75" hidden="false" customHeight="false" outlineLevel="0" collapsed="false">
      <c r="A28" s="0" t="n">
        <v>33</v>
      </c>
      <c r="B28" s="0" t="n">
        <f aca="false">IF(IF((B$3*10^12-$A29)*(B$3*10^12-$A28)*-1&lt;0,0,1)*IF(ABS(B$3*10^12-$A29)&gt;(B$3*10^12-$A28),$A28,$A29)=B29,0,IF((B$3*10^12-$A29)*(B$3*10^12-$A28)*-1&lt;0,0,1)*IF(ABS(B$3*10^12-$A29)&gt;(B$3*10^12-$A28),$A28,$A29))</f>
        <v>0</v>
      </c>
      <c r="C28" s="0" t="n">
        <f aca="false">IF(IF((C$3*10^12-$A29)*(C$3*10^12-$A28)*-1&lt;0,0,1)*IF(ABS(C$3*10^12-$A29)&gt;(C$3*10^12-$A28),$A28,$A29)=C29,0,IF((C$3*10^12-$A29)*(C$3*10^12-$A28)*-1&lt;0,0,1)*IF(ABS(C$3*10^12-$A29)&gt;(C$3*10^12-$A28),$A28,$A29))</f>
        <v>0</v>
      </c>
      <c r="D28" s="0" t="n">
        <f aca="false">IF(IF((D$3*10^12-$A29)*(D$3*10^12-$A28)*-1&lt;0,0,1)*IF(ABS(D$3*10^12-$A29)&gt;(D$3*10^12-$A28),$A28,$A29)=D29,0,IF((D$3*10^12-$A29)*(D$3*10^12-$A28)*-1&lt;0,0,1)*IF(ABS(D$3*10^12-$A29)&gt;(D$3*10^12-$A28),$A28,$A29))</f>
        <v>0</v>
      </c>
      <c r="E28" s="0" t="n">
        <f aca="false">IF(IF((E$3*10^12-$A29)*(E$3*10^12-$A28)*-1&lt;0,0,1)*IF(ABS(E$3*10^12-$A29)&gt;(E$3*10^12-$A28),$A28,$A29)=E29,0,IF((E$3*10^12-$A29)*(E$3*10^12-$A28)*-1&lt;0,0,1)*IF(ABS(E$3*10^12-$A29)&gt;(E$3*10^12-$A28),$A28,$A29))</f>
        <v>0</v>
      </c>
      <c r="F28" s="0" t="n">
        <f aca="false">IF(IF((F$3*10^12-$A29)*(F$3*10^12-$A28)*-1&lt;0,0,1)*IF(ABS(F$3*10^12-$A29)&gt;(F$3*10^12-$A28),$A28,$A29)=F29,0,IF((F$3*10^12-$A29)*(F$3*10^12-$A28)*-1&lt;0,0,1)*IF(ABS(F$3*10^12-$A29)&gt;(F$3*10^12-$A28),$A28,$A29))</f>
        <v>0</v>
      </c>
      <c r="G28" s="0" t="n">
        <f aca="false">IF(IF((G$3*10^12-$A29)*(G$3*10^12-$A28)*-1&lt;0,0,1)*IF(ABS(G$3*10^12-$A29)&gt;(G$3*10^12-$A28),$A28,$A29)=G29,0,IF((G$3*10^12-$A29)*(G$3*10^12-$A28)*-1&lt;0,0,1)*IF(ABS(G$3*10^12-$A29)&gt;(G$3*10^12-$A28),$A28,$A29))</f>
        <v>0</v>
      </c>
      <c r="H28" s="0" t="n">
        <f aca="false">IF(IF((H$3*10^12-$A29)*(H$3*10^12-$A28)*-1&lt;0,0,1)*IF(ABS(H$3*10^12-$A29)&gt;(H$3*10^12-$A28),$A28,$A29)=H29,0,IF((H$3*10^12-$A29)*(H$3*10^12-$A28)*-1&lt;0,0,1)*IF(ABS(H$3*10^12-$A29)&gt;(H$3*10^12-$A28),$A28,$A29))</f>
        <v>0</v>
      </c>
      <c r="I28" s="0" t="n">
        <f aca="false">IF(IF((I$3*10^12-$A29)*(I$3*10^12-$A28)*-1&lt;0,0,1)*IF(ABS(I$3*10^12-$A29)&gt;(I$3*10^12-$A28),$A28,$A29)=I29,0,IF((I$3*10^12-$A29)*(I$3*10^12-$A28)*-1&lt;0,0,1)*IF(ABS(I$3*10^12-$A29)&gt;(I$3*10^12-$A28),$A28,$A29))</f>
        <v>0</v>
      </c>
      <c r="J28" s="0" t="n">
        <f aca="false">IF(IF((J$3*10^12-$A29)*(J$3*10^12-$A28)*-1&lt;0,0,1)*IF(ABS(J$3*10^12-$A29)&gt;(J$3*10^12-$A28),$A28,$A29)=J29,0,IF((J$3*10^12-$A29)*(J$3*10^12-$A28)*-1&lt;0,0,1)*IF(ABS(J$3*10^12-$A29)&gt;(J$3*10^12-$A28),$A28,$A29))</f>
        <v>0</v>
      </c>
      <c r="M28" s="320" t="s">
        <v>964</v>
      </c>
      <c r="N28" s="0" t="str">
        <f aca="false">C4*1000000000&amp;" nF"</f>
        <v>0.039 nF</v>
      </c>
      <c r="O28" s="0" t="n">
        <f aca="false">C4*1000000000000</f>
        <v>39</v>
      </c>
      <c r="P28" s="320" t="s">
        <v>75</v>
      </c>
    </row>
    <row r="29" customFormat="false" ht="12.75" hidden="false" customHeight="false" outlineLevel="0" collapsed="false">
      <c r="A29" s="0" t="n">
        <v>39</v>
      </c>
      <c r="B29" s="0" t="n">
        <f aca="false">IF(IF((B$3*10^12-$A30)*(B$3*10^12-$A29)*-1&lt;0,0,1)*IF(ABS(B$3*10^12-$A30)&gt;(B$3*10^12-$A29),$A29,$A30)=B30,0,IF((B$3*10^12-$A30)*(B$3*10^12-$A29)*-1&lt;0,0,1)*IF(ABS(B$3*10^12-$A30)&gt;(B$3*10^12-$A29),$A29,$A30))</f>
        <v>0</v>
      </c>
      <c r="C29" s="0" t="n">
        <f aca="false">IF(IF((C$3*10^12-$A30)*(C$3*10^12-$A29)*-1&lt;0,0,1)*IF(ABS(C$3*10^12-$A30)&gt;(C$3*10^12-$A29),$A29,$A30)=C30,0,IF((C$3*10^12-$A30)*(C$3*10^12-$A29)*-1&lt;0,0,1)*IF(ABS(C$3*10^12-$A30)&gt;(C$3*10^12-$A29),$A29,$A30))</f>
        <v>0</v>
      </c>
      <c r="D29" s="0" t="n">
        <f aca="false">IF(IF((D$3*10^12-$A30)*(D$3*10^12-$A29)*-1&lt;0,0,1)*IF(ABS(D$3*10^12-$A30)&gt;(D$3*10^12-$A29),$A29,$A30)=D30,0,IF((D$3*10^12-$A30)*(D$3*10^12-$A29)*-1&lt;0,0,1)*IF(ABS(D$3*10^12-$A30)&gt;(D$3*10^12-$A29),$A29,$A30))</f>
        <v>0</v>
      </c>
      <c r="E29" s="0" t="n">
        <f aca="false">IF(IF((E$3*10^12-$A30)*(E$3*10^12-$A29)*-1&lt;0,0,1)*IF(ABS(E$3*10^12-$A30)&gt;(E$3*10^12-$A29),$A29,$A30)=E30,0,IF((E$3*10^12-$A30)*(E$3*10^12-$A29)*-1&lt;0,0,1)*IF(ABS(E$3*10^12-$A30)&gt;(E$3*10^12-$A29),$A29,$A30))</f>
        <v>0</v>
      </c>
      <c r="F29" s="0" t="n">
        <f aca="false">IF(IF((F$3*10^12-$A30)*(F$3*10^12-$A29)*-1&lt;0,0,1)*IF(ABS(F$3*10^12-$A30)&gt;(F$3*10^12-$A29),$A29,$A30)=F30,0,IF((F$3*10^12-$A30)*(F$3*10^12-$A29)*-1&lt;0,0,1)*IF(ABS(F$3*10^12-$A30)&gt;(F$3*10^12-$A29),$A29,$A30))</f>
        <v>0</v>
      </c>
      <c r="G29" s="0" t="n">
        <f aca="false">IF(IF((G$3*10^12-$A30)*(G$3*10^12-$A29)*-1&lt;0,0,1)*IF(ABS(G$3*10^12-$A30)&gt;(G$3*10^12-$A29),$A29,$A30)=G30,0,IF((G$3*10^12-$A30)*(G$3*10^12-$A29)*-1&lt;0,0,1)*IF(ABS(G$3*10^12-$A30)&gt;(G$3*10^12-$A29),$A29,$A30))</f>
        <v>0</v>
      </c>
      <c r="H29" s="0" t="n">
        <f aca="false">IF(IF((H$3*10^12-$A30)*(H$3*10^12-$A29)*-1&lt;0,0,1)*IF(ABS(H$3*10^12-$A30)&gt;(H$3*10^12-$A29),$A29,$A30)=H30,0,IF((H$3*10^12-$A30)*(H$3*10^12-$A29)*-1&lt;0,0,1)*IF(ABS(H$3*10^12-$A30)&gt;(H$3*10^12-$A29),$A29,$A30))</f>
        <v>0</v>
      </c>
      <c r="I29" s="0" t="n">
        <f aca="false">IF(IF((I$3*10^12-$A30)*(I$3*10^12-$A29)*-1&lt;0,0,1)*IF(ABS(I$3*10^12-$A30)&gt;(I$3*10^12-$A29),$A29,$A30)=I30,0,IF((I$3*10^12-$A30)*(I$3*10^12-$A29)*-1&lt;0,0,1)*IF(ABS(I$3*10^12-$A30)&gt;(I$3*10^12-$A29),$A29,$A30))</f>
        <v>0</v>
      </c>
      <c r="J29" s="0" t="n">
        <f aca="false">IF(IF((J$3*10^12-$A30)*(J$3*10^12-$A29)*-1&lt;0,0,1)*IF(ABS(J$3*10^12-$A30)&gt;(J$3*10^12-$A29),$A29,$A30)=J30,0,IF((J$3*10^12-$A30)*(J$3*10^12-$A29)*-1&lt;0,0,1)*IF(ABS(J$3*10^12-$A30)&gt;(J$3*10^12-$A29),$A29,$A30))</f>
        <v>0</v>
      </c>
      <c r="M29" s="320" t="s">
        <v>965</v>
      </c>
      <c r="N29" s="0" t="str">
        <f aca="false">D4*1000000000000&amp;" pF"</f>
        <v>1000 pF</v>
      </c>
      <c r="O29" s="0" t="n">
        <f aca="false">D4*1000000000000</f>
        <v>1000</v>
      </c>
      <c r="P29" s="320" t="s">
        <v>42</v>
      </c>
    </row>
    <row r="30" customFormat="false" ht="12.75" hidden="false" customHeight="false" outlineLevel="0" collapsed="false">
      <c r="A30" s="0" t="n">
        <v>47</v>
      </c>
      <c r="B30" s="0" t="n">
        <f aca="false">IF(IF((B$3*10^12-$A31)*(B$3*10^12-$A30)*-1&lt;0,0,1)*IF(ABS(B$3*10^12-$A31)&gt;(B$3*10^12-$A30),$A30,$A31)=B31,0,IF((B$3*10^12-$A31)*(B$3*10^12-$A30)*-1&lt;0,0,1)*IF(ABS(B$3*10^12-$A31)&gt;(B$3*10^12-$A30),$A30,$A31))</f>
        <v>0</v>
      </c>
      <c r="C30" s="0" t="n">
        <f aca="false">IF(IF((C$3*10^12-$A31)*(C$3*10^12-$A30)*-1&lt;0,0,1)*IF(ABS(C$3*10^12-$A31)&gt;(C$3*10^12-$A30),$A30,$A31)=C31,0,IF((C$3*10^12-$A31)*(C$3*10^12-$A30)*-1&lt;0,0,1)*IF(ABS(C$3*10^12-$A31)&gt;(C$3*10^12-$A30),$A30,$A31))</f>
        <v>0</v>
      </c>
      <c r="D30" s="0" t="n">
        <f aca="false">IF(IF((D$3*10^12-$A31)*(D$3*10^12-$A30)*-1&lt;0,0,1)*IF(ABS(D$3*10^12-$A31)&gt;(D$3*10^12-$A30),$A30,$A31)=D31,0,IF((D$3*10^12-$A31)*(D$3*10^12-$A30)*-1&lt;0,0,1)*IF(ABS(D$3*10^12-$A31)&gt;(D$3*10^12-$A30),$A30,$A31))</f>
        <v>0</v>
      </c>
      <c r="E30" s="0" t="n">
        <f aca="false">IF(IF((E$3*10^12-$A31)*(E$3*10^12-$A30)*-1&lt;0,0,1)*IF(ABS(E$3*10^12-$A31)&gt;(E$3*10^12-$A30),$A30,$A31)=E31,0,IF((E$3*10^12-$A31)*(E$3*10^12-$A30)*-1&lt;0,0,1)*IF(ABS(E$3*10^12-$A31)&gt;(E$3*10^12-$A30),$A30,$A31))</f>
        <v>0</v>
      </c>
      <c r="F30" s="0" t="n">
        <f aca="false">IF(IF((F$3*10^12-$A31)*(F$3*10^12-$A30)*-1&lt;0,0,1)*IF(ABS(F$3*10^12-$A31)&gt;(F$3*10^12-$A30),$A30,$A31)=F31,0,IF((F$3*10^12-$A31)*(F$3*10^12-$A30)*-1&lt;0,0,1)*IF(ABS(F$3*10^12-$A31)&gt;(F$3*10^12-$A30),$A30,$A31))</f>
        <v>0</v>
      </c>
      <c r="G30" s="0" t="n">
        <f aca="false">IF(IF((G$3*10^12-$A31)*(G$3*10^12-$A30)*-1&lt;0,0,1)*IF(ABS(G$3*10^12-$A31)&gt;(G$3*10^12-$A30),$A30,$A31)=G31,0,IF((G$3*10^12-$A31)*(G$3*10^12-$A30)*-1&lt;0,0,1)*IF(ABS(G$3*10^12-$A31)&gt;(G$3*10^12-$A30),$A30,$A31))</f>
        <v>0</v>
      </c>
      <c r="H30" s="0" t="n">
        <f aca="false">IF(IF((H$3*10^12-$A31)*(H$3*10^12-$A30)*-1&lt;0,0,1)*IF(ABS(H$3*10^12-$A31)&gt;(H$3*10^12-$A30),$A30,$A31)=H31,0,IF((H$3*10^12-$A31)*(H$3*10^12-$A30)*-1&lt;0,0,1)*IF(ABS(H$3*10^12-$A31)&gt;(H$3*10^12-$A30),$A30,$A31))</f>
        <v>0</v>
      </c>
      <c r="I30" s="0" t="n">
        <f aca="false">IF(IF((I$3*10^12-$A31)*(I$3*10^12-$A30)*-1&lt;0,0,1)*IF(ABS(I$3*10^12-$A31)&gt;(I$3*10^12-$A30),$A30,$A31)=I31,0,IF((I$3*10^12-$A31)*(I$3*10^12-$A30)*-1&lt;0,0,1)*IF(ABS(I$3*10^12-$A31)&gt;(I$3*10^12-$A30),$A30,$A31))</f>
        <v>0</v>
      </c>
      <c r="J30" s="0" t="n">
        <f aca="false">IF(IF((J$3*10^12-$A31)*(J$3*10^12-$A30)*-1&lt;0,0,1)*IF(ABS(J$3*10^12-$A31)&gt;(J$3*10^12-$A30),$A30,$A31)=J31,0,IF((J$3*10^12-$A31)*(J$3*10^12-$A30)*-1&lt;0,0,1)*IF(ABS(J$3*10^12-$A31)&gt;(J$3*10^12-$A30),$A30,$A31))</f>
        <v>0</v>
      </c>
      <c r="M30" s="320"/>
      <c r="P30" s="402"/>
    </row>
    <row r="31" customFormat="false" ht="12.75" hidden="false" customHeight="false" outlineLevel="0" collapsed="false">
      <c r="A31" s="0" t="n">
        <v>56</v>
      </c>
      <c r="B31" s="0" t="n">
        <f aca="false">IF(IF((B$3*10^12-$A32)*(B$3*10^12-$A31)*-1&lt;0,0,1)*IF(ABS(B$3*10^12-$A32)&gt;(B$3*10^12-$A31),$A31,$A32)=B32,0,IF((B$3*10^12-$A32)*(B$3*10^12-$A31)*-1&lt;0,0,1)*IF(ABS(B$3*10^12-$A32)&gt;(B$3*10^12-$A31),$A31,$A32))</f>
        <v>0</v>
      </c>
      <c r="C31" s="0" t="n">
        <f aca="false">IF(IF((C$3*10^12-$A32)*(C$3*10^12-$A31)*-1&lt;0,0,1)*IF(ABS(C$3*10^12-$A32)&gt;(C$3*10^12-$A31),$A31,$A32)=C32,0,IF((C$3*10^12-$A32)*(C$3*10^12-$A31)*-1&lt;0,0,1)*IF(ABS(C$3*10^12-$A32)&gt;(C$3*10^12-$A31),$A31,$A32))</f>
        <v>0</v>
      </c>
      <c r="D31" s="0" t="n">
        <f aca="false">IF(IF((D$3*10^12-$A32)*(D$3*10^12-$A31)*-1&lt;0,0,1)*IF(ABS(D$3*10^12-$A32)&gt;(D$3*10^12-$A31),$A31,$A32)=D32,0,IF((D$3*10^12-$A32)*(D$3*10^12-$A31)*-1&lt;0,0,1)*IF(ABS(D$3*10^12-$A32)&gt;(D$3*10^12-$A31),$A31,$A32))</f>
        <v>0</v>
      </c>
      <c r="E31" s="0" t="n">
        <f aca="false">IF(IF((E$3*10^12-$A32)*(E$3*10^12-$A31)*-1&lt;0,0,1)*IF(ABS(E$3*10^12-$A32)&gt;(E$3*10^12-$A31),$A31,$A32)=E32,0,IF((E$3*10^12-$A32)*(E$3*10^12-$A31)*-1&lt;0,0,1)*IF(ABS(E$3*10^12-$A32)&gt;(E$3*10^12-$A31),$A31,$A32))</f>
        <v>0</v>
      </c>
      <c r="F31" s="0" t="n">
        <f aca="false">IF(IF((F$3*10^12-$A32)*(F$3*10^12-$A31)*-1&lt;0,0,1)*IF(ABS(F$3*10^12-$A32)&gt;(F$3*10^12-$A31),$A31,$A32)=F32,0,IF((F$3*10^12-$A32)*(F$3*10^12-$A31)*-1&lt;0,0,1)*IF(ABS(F$3*10^12-$A32)&gt;(F$3*10^12-$A31),$A31,$A32))</f>
        <v>0</v>
      </c>
      <c r="G31" s="0" t="n">
        <f aca="false">IF(IF((G$3*10^12-$A32)*(G$3*10^12-$A31)*-1&lt;0,0,1)*IF(ABS(G$3*10^12-$A32)&gt;(G$3*10^12-$A31),$A31,$A32)=G32,0,IF((G$3*10^12-$A32)*(G$3*10^12-$A31)*-1&lt;0,0,1)*IF(ABS(G$3*10^12-$A32)&gt;(G$3*10^12-$A31),$A31,$A32))</f>
        <v>0</v>
      </c>
      <c r="H31" s="0" t="n">
        <f aca="false">IF(IF((H$3*10^12-$A32)*(H$3*10^12-$A31)*-1&lt;0,0,1)*IF(ABS(H$3*10^12-$A32)&gt;(H$3*10^12-$A31),$A31,$A32)=H32,0,IF((H$3*10^12-$A32)*(H$3*10^12-$A31)*-1&lt;0,0,1)*IF(ABS(H$3*10^12-$A32)&gt;(H$3*10^12-$A31),$A31,$A32))</f>
        <v>0</v>
      </c>
      <c r="I31" s="0" t="n">
        <f aca="false">IF(IF((I$3*10^12-$A32)*(I$3*10^12-$A31)*-1&lt;0,0,1)*IF(ABS(I$3*10^12-$A32)&gt;(I$3*10^12-$A31),$A31,$A32)=I32,0,IF((I$3*10^12-$A32)*(I$3*10^12-$A31)*-1&lt;0,0,1)*IF(ABS(I$3*10^12-$A32)&gt;(I$3*10^12-$A31),$A31,$A32))</f>
        <v>0</v>
      </c>
      <c r="J31" s="0" t="n">
        <f aca="false">IF(IF((J$3*10^12-$A32)*(J$3*10^12-$A31)*-1&lt;0,0,1)*IF(ABS(J$3*10^12-$A32)&gt;(J$3*10^12-$A31),$A31,$A32)=J32,0,IF((J$3*10^12-$A32)*(J$3*10^12-$A31)*-1&lt;0,0,1)*IF(ABS(J$3*10^12-$A32)&gt;(J$3*10^12-$A31),$A31,$A32))</f>
        <v>0</v>
      </c>
      <c r="M31" s="320"/>
      <c r="P31" s="320"/>
    </row>
    <row r="32" customFormat="false" ht="12.75" hidden="false" customHeight="false" outlineLevel="0" collapsed="false">
      <c r="A32" s="0" t="n">
        <v>68</v>
      </c>
      <c r="B32" s="0" t="n">
        <f aca="false">IF(IF((B$3*10^12-$A33)*(B$3*10^12-$A32)*-1&lt;0,0,1)*IF(ABS(B$3*10^12-$A33)&gt;(B$3*10^12-$A32),$A32,$A33)=B33,0,IF((B$3*10^12-$A33)*(B$3*10^12-$A32)*-1&lt;0,0,1)*IF(ABS(B$3*10^12-$A33)&gt;(B$3*10^12-$A32),$A32,$A33))</f>
        <v>0</v>
      </c>
      <c r="C32" s="0" t="n">
        <f aca="false">IF(IF((C$3*10^12-$A33)*(C$3*10^12-$A32)*-1&lt;0,0,1)*IF(ABS(C$3*10^12-$A33)&gt;(C$3*10^12-$A32),$A32,$A33)=C33,0,IF((C$3*10^12-$A33)*(C$3*10^12-$A32)*-1&lt;0,0,1)*IF(ABS(C$3*10^12-$A33)&gt;(C$3*10^12-$A32),$A32,$A33))</f>
        <v>0</v>
      </c>
      <c r="D32" s="0" t="n">
        <f aca="false">IF(IF((D$3*10^12-$A33)*(D$3*10^12-$A32)*-1&lt;0,0,1)*IF(ABS(D$3*10^12-$A33)&gt;(D$3*10^12-$A32),$A32,$A33)=D33,0,IF((D$3*10^12-$A33)*(D$3*10^12-$A32)*-1&lt;0,0,1)*IF(ABS(D$3*10^12-$A33)&gt;(D$3*10^12-$A32),$A32,$A33))</f>
        <v>0</v>
      </c>
      <c r="E32" s="0" t="n">
        <f aca="false">IF(IF((E$3*10^12-$A33)*(E$3*10^12-$A32)*-1&lt;0,0,1)*IF(ABS(E$3*10^12-$A33)&gt;(E$3*10^12-$A32),$A32,$A33)=E33,0,IF((E$3*10^12-$A33)*(E$3*10^12-$A32)*-1&lt;0,0,1)*IF(ABS(E$3*10^12-$A33)&gt;(E$3*10^12-$A32),$A32,$A33))</f>
        <v>0</v>
      </c>
      <c r="F32" s="0" t="n">
        <f aca="false">IF(IF((F$3*10^12-$A33)*(F$3*10^12-$A32)*-1&lt;0,0,1)*IF(ABS(F$3*10^12-$A33)&gt;(F$3*10^12-$A32),$A32,$A33)=F33,0,IF((F$3*10^12-$A33)*(F$3*10^12-$A32)*-1&lt;0,0,1)*IF(ABS(F$3*10^12-$A33)&gt;(F$3*10^12-$A32),$A32,$A33))</f>
        <v>0</v>
      </c>
      <c r="G32" s="0" t="n">
        <f aca="false">IF(IF((G$3*10^12-$A33)*(G$3*10^12-$A32)*-1&lt;0,0,1)*IF(ABS(G$3*10^12-$A33)&gt;(G$3*10^12-$A32),$A32,$A33)=G33,0,IF((G$3*10^12-$A33)*(G$3*10^12-$A32)*-1&lt;0,0,1)*IF(ABS(G$3*10^12-$A33)&gt;(G$3*10^12-$A32),$A32,$A33))</f>
        <v>0</v>
      </c>
      <c r="H32" s="0" t="n">
        <f aca="false">IF(IF((H$3*10^12-$A33)*(H$3*10^12-$A32)*-1&lt;0,0,1)*IF(ABS(H$3*10^12-$A33)&gt;(H$3*10^12-$A32),$A32,$A33)=H33,0,IF((H$3*10^12-$A33)*(H$3*10^12-$A32)*-1&lt;0,0,1)*IF(ABS(H$3*10^12-$A33)&gt;(H$3*10^12-$A32),$A32,$A33))</f>
        <v>0</v>
      </c>
      <c r="I32" s="0" t="n">
        <f aca="false">IF(IF((I$3*10^12-$A33)*(I$3*10^12-$A32)*-1&lt;0,0,1)*IF(ABS(I$3*10^12-$A33)&gt;(I$3*10^12-$A32),$A32,$A33)=I33,0,IF((I$3*10^12-$A33)*(I$3*10^12-$A32)*-1&lt;0,0,1)*IF(ABS(I$3*10^12-$A33)&gt;(I$3*10^12-$A32),$A32,$A33))</f>
        <v>0</v>
      </c>
      <c r="J32" s="0" t="n">
        <f aca="false">IF(IF((J$3*10^12-$A33)*(J$3*10^12-$A32)*-1&lt;0,0,1)*IF(ABS(J$3*10^12-$A33)&gt;(J$3*10^12-$A32),$A32,$A33)=J33,0,IF((J$3*10^12-$A33)*(J$3*10^12-$A32)*-1&lt;0,0,1)*IF(ABS(J$3*10^12-$A33)&gt;(J$3*10^12-$A32),$A32,$A33))</f>
        <v>0</v>
      </c>
    </row>
    <row r="33" customFormat="false" ht="12.75" hidden="false" customHeight="false" outlineLevel="0" collapsed="false">
      <c r="A33" s="0" t="n">
        <v>82</v>
      </c>
      <c r="B33" s="0" t="n">
        <f aca="false">IF(IF((B$3*10^12-$A34)*(B$3*10^12-$A33)*-1&lt;0,0,1)*IF(ABS(B$3*10^12-$A34)&gt;(B$3*10^12-$A33),$A33,$A34)=B34,0,IF((B$3*10^12-$A34)*(B$3*10^12-$A33)*-1&lt;0,0,1)*IF(ABS(B$3*10^12-$A34)&gt;(B$3*10^12-$A33),$A33,$A34))</f>
        <v>0</v>
      </c>
      <c r="C33" s="0" t="n">
        <f aca="false">IF(IF((C$3*10^12-$A34)*(C$3*10^12-$A33)*-1&lt;0,0,1)*IF(ABS(C$3*10^12-$A34)&gt;(C$3*10^12-$A33),$A33,$A34)=C34,0,IF((C$3*10^12-$A34)*(C$3*10^12-$A33)*-1&lt;0,0,1)*IF(ABS(C$3*10^12-$A34)&gt;(C$3*10^12-$A33),$A33,$A34))</f>
        <v>0</v>
      </c>
      <c r="D33" s="0" t="n">
        <f aca="false">IF(IF((D$3*10^12-$A34)*(D$3*10^12-$A33)*-1&lt;0,0,1)*IF(ABS(D$3*10^12-$A34)&gt;(D$3*10^12-$A33),$A33,$A34)=D34,0,IF((D$3*10^12-$A34)*(D$3*10^12-$A33)*-1&lt;0,0,1)*IF(ABS(D$3*10^12-$A34)&gt;(D$3*10^12-$A33),$A33,$A34))</f>
        <v>0</v>
      </c>
      <c r="E33" s="0" t="n">
        <f aca="false">IF(IF((E$3*10^12-$A34)*(E$3*10^12-$A33)*-1&lt;0,0,1)*IF(ABS(E$3*10^12-$A34)&gt;(E$3*10^12-$A33),$A33,$A34)=E34,0,IF((E$3*10^12-$A34)*(E$3*10^12-$A33)*-1&lt;0,0,1)*IF(ABS(E$3*10^12-$A34)&gt;(E$3*10^12-$A33),$A33,$A34))</f>
        <v>0</v>
      </c>
      <c r="F33" s="0" t="n">
        <f aca="false">IF(IF((F$3*10^12-$A34)*(F$3*10^12-$A33)*-1&lt;0,0,1)*IF(ABS(F$3*10^12-$A34)&gt;(F$3*10^12-$A33),$A33,$A34)=F34,0,IF((F$3*10^12-$A34)*(F$3*10^12-$A33)*-1&lt;0,0,1)*IF(ABS(F$3*10^12-$A34)&gt;(F$3*10^12-$A33),$A33,$A34))</f>
        <v>0</v>
      </c>
      <c r="G33" s="0" t="n">
        <f aca="false">IF(IF((G$3*10^12-$A34)*(G$3*10^12-$A33)*-1&lt;0,0,1)*IF(ABS(G$3*10^12-$A34)&gt;(G$3*10^12-$A33),$A33,$A34)=G34,0,IF((G$3*10^12-$A34)*(G$3*10^12-$A33)*-1&lt;0,0,1)*IF(ABS(G$3*10^12-$A34)&gt;(G$3*10^12-$A33),$A33,$A34))</f>
        <v>0</v>
      </c>
      <c r="H33" s="0" t="n">
        <f aca="false">IF(IF((H$3*10^12-$A34)*(H$3*10^12-$A33)*-1&lt;0,0,1)*IF(ABS(H$3*10^12-$A34)&gt;(H$3*10^12-$A33),$A33,$A34)=H34,0,IF((H$3*10^12-$A34)*(H$3*10^12-$A33)*-1&lt;0,0,1)*IF(ABS(H$3*10^12-$A34)&gt;(H$3*10^12-$A33),$A33,$A34))</f>
        <v>0</v>
      </c>
      <c r="I33" s="0" t="n">
        <f aca="false">IF(IF((I$3*10^12-$A34)*(I$3*10^12-$A33)*-1&lt;0,0,1)*IF(ABS(I$3*10^12-$A34)&gt;(I$3*10^12-$A33),$A33,$A34)=I34,0,IF((I$3*10^12-$A34)*(I$3*10^12-$A33)*-1&lt;0,0,1)*IF(ABS(I$3*10^12-$A34)&gt;(I$3*10^12-$A33),$A33,$A34))</f>
        <v>0</v>
      </c>
      <c r="J33" s="0" t="n">
        <f aca="false">IF(IF((J$3*10^12-$A34)*(J$3*10^12-$A33)*-1&lt;0,0,1)*IF(ABS(J$3*10^12-$A34)&gt;(J$3*10^12-$A33),$A33,$A34)=J34,0,IF((J$3*10^12-$A34)*(J$3*10^12-$A33)*-1&lt;0,0,1)*IF(ABS(J$3*10^12-$A34)&gt;(J$3*10^12-$A33),$A33,$A34))</f>
        <v>0</v>
      </c>
    </row>
    <row r="34" customFormat="false" ht="12.75" hidden="false" customHeight="false" outlineLevel="0" collapsed="false">
      <c r="A34" s="0" t="n">
        <f aca="false">A22*10</f>
        <v>100</v>
      </c>
      <c r="B34" s="0" t="n">
        <f aca="false">IF(IF((B$3*10^12-$A35)*(B$3*10^12-$A34)*-1&lt;0,0,1)*IF(ABS(B$3*10^12-$A35)&gt;(B$3*10^12-$A34),$A34,$A35)=B35,0,IF((B$3*10^12-$A35)*(B$3*10^12-$A34)*-1&lt;0,0,1)*IF(ABS(B$3*10^12-$A35)&gt;(B$3*10^12-$A34),$A34,$A35))</f>
        <v>0</v>
      </c>
      <c r="C34" s="0" t="n">
        <f aca="false">IF(IF((C$3*10^12-$A35)*(C$3*10^12-$A34)*-1&lt;0,0,1)*IF(ABS(C$3*10^12-$A35)&gt;(C$3*10^12-$A34),$A34,$A35)=C35,0,IF((C$3*10^12-$A35)*(C$3*10^12-$A34)*-1&lt;0,0,1)*IF(ABS(C$3*10^12-$A35)&gt;(C$3*10^12-$A34),$A34,$A35))</f>
        <v>0</v>
      </c>
      <c r="D34" s="0" t="n">
        <f aca="false">IF(IF((D$3*10^12-$A35)*(D$3*10^12-$A34)*-1&lt;0,0,1)*IF(ABS(D$3*10^12-$A35)&gt;(D$3*10^12-$A34),$A34,$A35)=D35,0,IF((D$3*10^12-$A35)*(D$3*10^12-$A34)*-1&lt;0,0,1)*IF(ABS(D$3*10^12-$A35)&gt;(D$3*10^12-$A34),$A34,$A35))</f>
        <v>0</v>
      </c>
      <c r="E34" s="0" t="n">
        <f aca="false">IF(IF((E$3*10^12-$A35)*(E$3*10^12-$A34)*-1&lt;0,0,1)*IF(ABS(E$3*10^12-$A35)&gt;(E$3*10^12-$A34),$A34,$A35)=E35,0,IF((E$3*10^12-$A35)*(E$3*10^12-$A34)*-1&lt;0,0,1)*IF(ABS(E$3*10^12-$A35)&gt;(E$3*10^12-$A34),$A34,$A35))</f>
        <v>0</v>
      </c>
      <c r="F34" s="0" t="n">
        <f aca="false">IF(IF((F$3*10^12-$A35)*(F$3*10^12-$A34)*-1&lt;0,0,1)*IF(ABS(F$3*10^12-$A35)&gt;(F$3*10^12-$A34),$A34,$A35)=F35,0,IF((F$3*10^12-$A35)*(F$3*10^12-$A34)*-1&lt;0,0,1)*IF(ABS(F$3*10^12-$A35)&gt;(F$3*10^12-$A34),$A34,$A35))</f>
        <v>0</v>
      </c>
      <c r="G34" s="0" t="n">
        <f aca="false">IF(IF((G$3*10^12-$A35)*(G$3*10^12-$A34)*-1&lt;0,0,1)*IF(ABS(G$3*10^12-$A35)&gt;(G$3*10^12-$A34),$A34,$A35)=G35,0,IF((G$3*10^12-$A35)*(G$3*10^12-$A34)*-1&lt;0,0,1)*IF(ABS(G$3*10^12-$A35)&gt;(G$3*10^12-$A34),$A34,$A35))</f>
        <v>0</v>
      </c>
      <c r="H34" s="0" t="n">
        <f aca="false">IF(IF((H$3*10^12-$A35)*(H$3*10^12-$A34)*-1&lt;0,0,1)*IF(ABS(H$3*10^12-$A35)&gt;(H$3*10^12-$A34),$A34,$A35)=H35,0,IF((H$3*10^12-$A35)*(H$3*10^12-$A34)*-1&lt;0,0,1)*IF(ABS(H$3*10^12-$A35)&gt;(H$3*10^12-$A34),$A34,$A35))</f>
        <v>0</v>
      </c>
      <c r="I34" s="0" t="n">
        <f aca="false">IF(IF((I$3*10^12-$A35)*(I$3*10^12-$A34)*-1&lt;0,0,1)*IF(ABS(I$3*10^12-$A35)&gt;(I$3*10^12-$A34),$A34,$A35)=I35,0,IF((I$3*10^12-$A35)*(I$3*10^12-$A34)*-1&lt;0,0,1)*IF(ABS(I$3*10^12-$A35)&gt;(I$3*10^12-$A34),$A34,$A35))</f>
        <v>0</v>
      </c>
      <c r="J34" s="0" t="n">
        <f aca="false">IF(IF((J$3*10^12-$A35)*(J$3*10^12-$A34)*-1&lt;0,0,1)*IF(ABS(J$3*10^12-$A35)&gt;(J$3*10^12-$A34),$A34,$A35)=J35,0,IF((J$3*10^12-$A35)*(J$3*10^12-$A34)*-1&lt;0,0,1)*IF(ABS(J$3*10^12-$A35)&gt;(J$3*10^12-$A34),$A34,$A35))</f>
        <v>0</v>
      </c>
      <c r="M34" s="320"/>
    </row>
    <row r="35" customFormat="false" ht="12.75" hidden="false" customHeight="false" outlineLevel="0" collapsed="false">
      <c r="A35" s="0" t="n">
        <f aca="false">A23*10</f>
        <v>120</v>
      </c>
      <c r="B35" s="0" t="n">
        <f aca="false">IF(IF((B$3*10^12-$A36)*(B$3*10^12-$A35)*-1&lt;0,0,1)*IF(ABS(B$3*10^12-$A36)&gt;(B$3*10^12-$A35),$A35,$A36)=B36,0,IF((B$3*10^12-$A36)*(B$3*10^12-$A35)*-1&lt;0,0,1)*IF(ABS(B$3*10^12-$A36)&gt;(B$3*10^12-$A35),$A35,$A36))</f>
        <v>0</v>
      </c>
      <c r="C35" s="0" t="n">
        <f aca="false">IF(IF((C$3*10^12-$A36)*(C$3*10^12-$A35)*-1&lt;0,0,1)*IF(ABS(C$3*10^12-$A36)&gt;(C$3*10^12-$A35),$A35,$A36)=C36,0,IF((C$3*10^12-$A36)*(C$3*10^12-$A35)*-1&lt;0,0,1)*IF(ABS(C$3*10^12-$A36)&gt;(C$3*10^12-$A35),$A35,$A36))</f>
        <v>0</v>
      </c>
      <c r="D35" s="0" t="n">
        <f aca="false">IF(IF((D$3*10^12-$A36)*(D$3*10^12-$A35)*-1&lt;0,0,1)*IF(ABS(D$3*10^12-$A36)&gt;(D$3*10^12-$A35),$A35,$A36)=D36,0,IF((D$3*10^12-$A36)*(D$3*10^12-$A35)*-1&lt;0,0,1)*IF(ABS(D$3*10^12-$A36)&gt;(D$3*10^12-$A35),$A35,$A36))</f>
        <v>0</v>
      </c>
      <c r="E35" s="0" t="n">
        <f aca="false">IF(IF((E$3*10^12-$A36)*(E$3*10^12-$A35)*-1&lt;0,0,1)*IF(ABS(E$3*10^12-$A36)&gt;(E$3*10^12-$A35),$A35,$A36)=E36,0,IF((E$3*10^12-$A36)*(E$3*10^12-$A35)*-1&lt;0,0,1)*IF(ABS(E$3*10^12-$A36)&gt;(E$3*10^12-$A35),$A35,$A36))</f>
        <v>0</v>
      </c>
      <c r="F35" s="0" t="n">
        <f aca="false">IF(IF((F$3*10^12-$A36)*(F$3*10^12-$A35)*-1&lt;0,0,1)*IF(ABS(F$3*10^12-$A36)&gt;(F$3*10^12-$A35),$A35,$A36)=F36,0,IF((F$3*10^12-$A36)*(F$3*10^12-$A35)*-1&lt;0,0,1)*IF(ABS(F$3*10^12-$A36)&gt;(F$3*10^12-$A35),$A35,$A36))</f>
        <v>0</v>
      </c>
      <c r="G35" s="0" t="n">
        <f aca="false">IF(IF((G$3*10^12-$A36)*(G$3*10^12-$A35)*-1&lt;0,0,1)*IF(ABS(G$3*10^12-$A36)&gt;(G$3*10^12-$A35),$A35,$A36)=G36,0,IF((G$3*10^12-$A36)*(G$3*10^12-$A35)*-1&lt;0,0,1)*IF(ABS(G$3*10^12-$A36)&gt;(G$3*10^12-$A35),$A35,$A36))</f>
        <v>0</v>
      </c>
      <c r="H35" s="0" t="n">
        <f aca="false">IF(IF((H$3*10^12-$A36)*(H$3*10^12-$A35)*-1&lt;0,0,1)*IF(ABS(H$3*10^12-$A36)&gt;(H$3*10^12-$A35),$A35,$A36)=H36,0,IF((H$3*10^12-$A36)*(H$3*10^12-$A35)*-1&lt;0,0,1)*IF(ABS(H$3*10^12-$A36)&gt;(H$3*10^12-$A35),$A35,$A36))</f>
        <v>0</v>
      </c>
      <c r="I35" s="0" t="n">
        <f aca="false">IF(IF((I$3*10^12-$A36)*(I$3*10^12-$A35)*-1&lt;0,0,1)*IF(ABS(I$3*10^12-$A36)&gt;(I$3*10^12-$A35),$A35,$A36)=I36,0,IF((I$3*10^12-$A36)*(I$3*10^12-$A35)*-1&lt;0,0,1)*IF(ABS(I$3*10^12-$A36)&gt;(I$3*10^12-$A35),$A35,$A36))</f>
        <v>0</v>
      </c>
      <c r="J35" s="0" t="n">
        <f aca="false">IF(IF((J$3*10^12-$A36)*(J$3*10^12-$A35)*-1&lt;0,0,1)*IF(ABS(J$3*10^12-$A36)&gt;(J$3*10^12-$A35),$A35,$A36)=J36,0,IF((J$3*10^12-$A36)*(J$3*10^12-$A35)*-1&lt;0,0,1)*IF(ABS(J$3*10^12-$A36)&gt;(J$3*10^12-$A35),$A35,$A36))</f>
        <v>0</v>
      </c>
      <c r="M35" s="320"/>
    </row>
    <row r="36" customFormat="false" ht="12.75" hidden="false" customHeight="false" outlineLevel="0" collapsed="false">
      <c r="A36" s="0" t="n">
        <f aca="false">A24*10</f>
        <v>150</v>
      </c>
      <c r="B36" s="0" t="n">
        <f aca="false">IF(IF((B$3*10^12-$A37)*(B$3*10^12-$A36)*-1&lt;0,0,1)*IF(ABS(B$3*10^12-$A37)&gt;(B$3*10^12-$A36),$A36,$A37)=B37,0,IF((B$3*10^12-$A37)*(B$3*10^12-$A36)*-1&lt;0,0,1)*IF(ABS(B$3*10^12-$A37)&gt;(B$3*10^12-$A36),$A36,$A37))</f>
        <v>0</v>
      </c>
      <c r="C36" s="0" t="n">
        <f aca="false">IF(IF((C$3*10^12-$A37)*(C$3*10^12-$A36)*-1&lt;0,0,1)*IF(ABS(C$3*10^12-$A37)&gt;(C$3*10^12-$A36),$A36,$A37)=C37,0,IF((C$3*10^12-$A37)*(C$3*10^12-$A36)*-1&lt;0,0,1)*IF(ABS(C$3*10^12-$A37)&gt;(C$3*10^12-$A36),$A36,$A37))</f>
        <v>0</v>
      </c>
      <c r="D36" s="0" t="n">
        <f aca="false">IF(IF((D$3*10^12-$A37)*(D$3*10^12-$A36)*-1&lt;0,0,1)*IF(ABS(D$3*10^12-$A37)&gt;(D$3*10^12-$A36),$A36,$A37)=D37,0,IF((D$3*10^12-$A37)*(D$3*10^12-$A36)*-1&lt;0,0,1)*IF(ABS(D$3*10^12-$A37)&gt;(D$3*10^12-$A36),$A36,$A37))</f>
        <v>0</v>
      </c>
      <c r="E36" s="0" t="n">
        <f aca="false">IF(IF((E$3*10^12-$A37)*(E$3*10^12-$A36)*-1&lt;0,0,1)*IF(ABS(E$3*10^12-$A37)&gt;(E$3*10^12-$A36),$A36,$A37)=E37,0,IF((E$3*10^12-$A37)*(E$3*10^12-$A36)*-1&lt;0,0,1)*IF(ABS(E$3*10^12-$A37)&gt;(E$3*10^12-$A36),$A36,$A37))</f>
        <v>0</v>
      </c>
      <c r="F36" s="0" t="n">
        <f aca="false">IF(IF((F$3*10^12-$A37)*(F$3*10^12-$A36)*-1&lt;0,0,1)*IF(ABS(F$3*10^12-$A37)&gt;(F$3*10^12-$A36),$A36,$A37)=F37,0,IF((F$3*10^12-$A37)*(F$3*10^12-$A36)*-1&lt;0,0,1)*IF(ABS(F$3*10^12-$A37)&gt;(F$3*10^12-$A36),$A36,$A37))</f>
        <v>0</v>
      </c>
      <c r="G36" s="0" t="n">
        <f aca="false">IF(IF((G$3*10^12-$A37)*(G$3*10^12-$A36)*-1&lt;0,0,1)*IF(ABS(G$3*10^12-$A37)&gt;(G$3*10^12-$A36),$A36,$A37)=G37,0,IF((G$3*10^12-$A37)*(G$3*10^12-$A36)*-1&lt;0,0,1)*IF(ABS(G$3*10^12-$A37)&gt;(G$3*10^12-$A36),$A36,$A37))</f>
        <v>0</v>
      </c>
      <c r="H36" s="0" t="n">
        <f aca="false">IF(IF((H$3*10^12-$A37)*(H$3*10^12-$A36)*-1&lt;0,0,1)*IF(ABS(H$3*10^12-$A37)&gt;(H$3*10^12-$A36),$A36,$A37)=H37,0,IF((H$3*10^12-$A37)*(H$3*10^12-$A36)*-1&lt;0,0,1)*IF(ABS(H$3*10^12-$A37)&gt;(H$3*10^12-$A36),$A36,$A37))</f>
        <v>0</v>
      </c>
      <c r="I36" s="0" t="n">
        <f aca="false">IF(IF((I$3*10^12-$A37)*(I$3*10^12-$A36)*-1&lt;0,0,1)*IF(ABS(I$3*10^12-$A37)&gt;(I$3*10^12-$A36),$A36,$A37)=I37,0,IF((I$3*10^12-$A37)*(I$3*10^12-$A36)*-1&lt;0,0,1)*IF(ABS(I$3*10^12-$A37)&gt;(I$3*10^12-$A36),$A36,$A37))</f>
        <v>0</v>
      </c>
      <c r="J36" s="0" t="n">
        <f aca="false">IF(IF((J$3*10^12-$A37)*(J$3*10^12-$A36)*-1&lt;0,0,1)*IF(ABS(J$3*10^12-$A37)&gt;(J$3*10^12-$A36),$A36,$A37)=J37,0,IF((J$3*10^12-$A37)*(J$3*10^12-$A36)*-1&lt;0,0,1)*IF(ABS(J$3*10^12-$A37)&gt;(J$3*10^12-$A36),$A36,$A37))</f>
        <v>0</v>
      </c>
    </row>
    <row r="37" customFormat="false" ht="12.75" hidden="false" customHeight="false" outlineLevel="0" collapsed="false">
      <c r="A37" s="0" t="n">
        <f aca="false">A25*10</f>
        <v>180</v>
      </c>
      <c r="B37" s="0" t="n">
        <f aca="false">IF(IF((B$3*10^12-$A38)*(B$3*10^12-$A37)*-1&lt;0,0,1)*IF(ABS(B$3*10^12-$A38)&gt;(B$3*10^12-$A37),$A37,$A38)=B38,0,IF((B$3*10^12-$A38)*(B$3*10^12-$A37)*-1&lt;0,0,1)*IF(ABS(B$3*10^12-$A38)&gt;(B$3*10^12-$A37),$A37,$A38))</f>
        <v>0</v>
      </c>
      <c r="C37" s="0" t="n">
        <f aca="false">IF(IF((C$3*10^12-$A38)*(C$3*10^12-$A37)*-1&lt;0,0,1)*IF(ABS(C$3*10^12-$A38)&gt;(C$3*10^12-$A37),$A37,$A38)=C38,0,IF((C$3*10^12-$A38)*(C$3*10^12-$A37)*-1&lt;0,0,1)*IF(ABS(C$3*10^12-$A38)&gt;(C$3*10^12-$A37),$A37,$A38))</f>
        <v>0</v>
      </c>
      <c r="D37" s="0" t="n">
        <f aca="false">IF(IF((D$3*10^12-$A38)*(D$3*10^12-$A37)*-1&lt;0,0,1)*IF(ABS(D$3*10^12-$A38)&gt;(D$3*10^12-$A37),$A37,$A38)=D38,0,IF((D$3*10^12-$A38)*(D$3*10^12-$A37)*-1&lt;0,0,1)*IF(ABS(D$3*10^12-$A38)&gt;(D$3*10^12-$A37),$A37,$A38))</f>
        <v>0</v>
      </c>
      <c r="E37" s="0" t="n">
        <f aca="false">IF(IF((E$3*10^12-$A38)*(E$3*10^12-$A37)*-1&lt;0,0,1)*IF(ABS(E$3*10^12-$A38)&gt;(E$3*10^12-$A37),$A37,$A38)=E38,0,IF((E$3*10^12-$A38)*(E$3*10^12-$A37)*-1&lt;0,0,1)*IF(ABS(E$3*10^12-$A38)&gt;(E$3*10^12-$A37),$A37,$A38))</f>
        <v>0</v>
      </c>
      <c r="F37" s="0" t="n">
        <f aca="false">IF(IF((F$3*10^12-$A38)*(F$3*10^12-$A37)*-1&lt;0,0,1)*IF(ABS(F$3*10^12-$A38)&gt;(F$3*10^12-$A37),$A37,$A38)=F38,0,IF((F$3*10^12-$A38)*(F$3*10^12-$A37)*-1&lt;0,0,1)*IF(ABS(F$3*10^12-$A38)&gt;(F$3*10^12-$A37),$A37,$A38))</f>
        <v>0</v>
      </c>
      <c r="G37" s="0" t="n">
        <f aca="false">IF(IF((G$3*10^12-$A38)*(G$3*10^12-$A37)*-1&lt;0,0,1)*IF(ABS(G$3*10^12-$A38)&gt;(G$3*10^12-$A37),$A37,$A38)=G38,0,IF((G$3*10^12-$A38)*(G$3*10^12-$A37)*-1&lt;0,0,1)*IF(ABS(G$3*10^12-$A38)&gt;(G$3*10^12-$A37),$A37,$A38))</f>
        <v>0</v>
      </c>
      <c r="H37" s="0" t="n">
        <f aca="false">IF(IF((H$3*10^12-$A38)*(H$3*10^12-$A37)*-1&lt;0,0,1)*IF(ABS(H$3*10^12-$A38)&gt;(H$3*10^12-$A37),$A37,$A38)=H38,0,IF((H$3*10^12-$A38)*(H$3*10^12-$A37)*-1&lt;0,0,1)*IF(ABS(H$3*10^12-$A38)&gt;(H$3*10^12-$A37),$A37,$A38))</f>
        <v>0</v>
      </c>
      <c r="I37" s="0" t="n">
        <f aca="false">IF(IF((I$3*10^12-$A38)*(I$3*10^12-$A37)*-1&lt;0,0,1)*IF(ABS(I$3*10^12-$A38)&gt;(I$3*10^12-$A37),$A37,$A38)=I38,0,IF((I$3*10^12-$A38)*(I$3*10^12-$A37)*-1&lt;0,0,1)*IF(ABS(I$3*10^12-$A38)&gt;(I$3*10^12-$A37),$A37,$A38))</f>
        <v>0</v>
      </c>
      <c r="J37" s="0" t="n">
        <f aca="false">IF(IF((J$3*10^12-$A38)*(J$3*10^12-$A37)*-1&lt;0,0,1)*IF(ABS(J$3*10^12-$A38)&gt;(J$3*10^12-$A37),$A37,$A38)=J38,0,IF((J$3*10^12-$A38)*(J$3*10^12-$A37)*-1&lt;0,0,1)*IF(ABS(J$3*10^12-$A38)&gt;(J$3*10^12-$A37),$A37,$A38))</f>
        <v>0</v>
      </c>
    </row>
    <row r="38" customFormat="false" ht="12.75" hidden="false" customHeight="false" outlineLevel="0" collapsed="false">
      <c r="A38" s="0" t="n">
        <f aca="false">A26*10</f>
        <v>220</v>
      </c>
      <c r="B38" s="0" t="n">
        <f aca="false">IF(IF((B$3*10^12-$A39)*(B$3*10^12-$A38)*-1&lt;0,0,1)*IF(ABS(B$3*10^12-$A39)&gt;(B$3*10^12-$A38),$A38,$A39)=B39,0,IF((B$3*10^12-$A39)*(B$3*10^12-$A38)*-1&lt;0,0,1)*IF(ABS(B$3*10^12-$A39)&gt;(B$3*10^12-$A38),$A38,$A39))</f>
        <v>0</v>
      </c>
      <c r="C38" s="0" t="n">
        <f aca="false">IF(IF((C$3*10^12-$A39)*(C$3*10^12-$A38)*-1&lt;0,0,1)*IF(ABS(C$3*10^12-$A39)&gt;(C$3*10^12-$A38),$A38,$A39)=C39,0,IF((C$3*10^12-$A39)*(C$3*10^12-$A38)*-1&lt;0,0,1)*IF(ABS(C$3*10^12-$A39)&gt;(C$3*10^12-$A38),$A38,$A39))</f>
        <v>0</v>
      </c>
      <c r="D38" s="0" t="n">
        <f aca="false">IF(IF((D$3*10^12-$A39)*(D$3*10^12-$A38)*-1&lt;0,0,1)*IF(ABS(D$3*10^12-$A39)&gt;(D$3*10^12-$A38),$A38,$A39)=D39,0,IF((D$3*10^12-$A39)*(D$3*10^12-$A38)*-1&lt;0,0,1)*IF(ABS(D$3*10^12-$A39)&gt;(D$3*10^12-$A38),$A38,$A39))</f>
        <v>0</v>
      </c>
      <c r="E38" s="0" t="n">
        <f aca="false">IF(IF((E$3*10^12-$A39)*(E$3*10^12-$A38)*-1&lt;0,0,1)*IF(ABS(E$3*10^12-$A39)&gt;(E$3*10^12-$A38),$A38,$A39)=E39,0,IF((E$3*10^12-$A39)*(E$3*10^12-$A38)*-1&lt;0,0,1)*IF(ABS(E$3*10^12-$A39)&gt;(E$3*10^12-$A38),$A38,$A39))</f>
        <v>0</v>
      </c>
      <c r="F38" s="0" t="n">
        <f aca="false">IF(IF((F$3*10^12-$A39)*(F$3*10^12-$A38)*-1&lt;0,0,1)*IF(ABS(F$3*10^12-$A39)&gt;(F$3*10^12-$A38),$A38,$A39)=F39,0,IF((F$3*10^12-$A39)*(F$3*10^12-$A38)*-1&lt;0,0,1)*IF(ABS(F$3*10^12-$A39)&gt;(F$3*10^12-$A38),$A38,$A39))</f>
        <v>0</v>
      </c>
      <c r="G38" s="0" t="n">
        <f aca="false">IF(IF((G$3*10^12-$A39)*(G$3*10^12-$A38)*-1&lt;0,0,1)*IF(ABS(G$3*10^12-$A39)&gt;(G$3*10^12-$A38),$A38,$A39)=G39,0,IF((G$3*10^12-$A39)*(G$3*10^12-$A38)*-1&lt;0,0,1)*IF(ABS(G$3*10^12-$A39)&gt;(G$3*10^12-$A38),$A38,$A39))</f>
        <v>220</v>
      </c>
      <c r="H38" s="0" t="n">
        <f aca="false">IF(IF((H$3*10^12-$A39)*(H$3*10^12-$A38)*-1&lt;0,0,1)*IF(ABS(H$3*10^12-$A39)&gt;(H$3*10^12-$A38),$A38,$A39)=H39,0,IF((H$3*10^12-$A39)*(H$3*10^12-$A38)*-1&lt;0,0,1)*IF(ABS(H$3*10^12-$A39)&gt;(H$3*10^12-$A38),$A38,$A39))</f>
        <v>0</v>
      </c>
      <c r="I38" s="0" t="n">
        <f aca="false">IF(IF((I$3*10^12-$A39)*(I$3*10^12-$A38)*-1&lt;0,0,1)*IF(ABS(I$3*10^12-$A39)&gt;(I$3*10^12-$A38),$A38,$A39)=I39,0,IF((I$3*10^12-$A39)*(I$3*10^12-$A38)*-1&lt;0,0,1)*IF(ABS(I$3*10^12-$A39)&gt;(I$3*10^12-$A38),$A38,$A39))</f>
        <v>0</v>
      </c>
      <c r="J38" s="0" t="n">
        <f aca="false">IF(IF((J$3*10^12-$A39)*(J$3*10^12-$A38)*-1&lt;0,0,1)*IF(ABS(J$3*10^12-$A39)&gt;(J$3*10^12-$A38),$A38,$A39)=J39,0,IF((J$3*10^12-$A39)*(J$3*10^12-$A38)*-1&lt;0,0,1)*IF(ABS(J$3*10^12-$A39)&gt;(J$3*10^12-$A38),$A38,$A39))</f>
        <v>0</v>
      </c>
    </row>
    <row r="39" customFormat="false" ht="12.75" hidden="false" customHeight="false" outlineLevel="0" collapsed="false">
      <c r="A39" s="0" t="n">
        <f aca="false">A27*10</f>
        <v>270</v>
      </c>
      <c r="B39" s="0" t="n">
        <f aca="false">IF(IF((B$3*10^12-$A40)*(B$3*10^12-$A39)*-1&lt;0,0,1)*IF(ABS(B$3*10^12-$A40)&gt;(B$3*10^12-$A39),$A39,$A40)=B40,0,IF((B$3*10^12-$A40)*(B$3*10^12-$A39)*-1&lt;0,0,1)*IF(ABS(B$3*10^12-$A40)&gt;(B$3*10^12-$A39),$A39,$A40))</f>
        <v>0</v>
      </c>
      <c r="C39" s="0" t="n">
        <f aca="false">IF(IF((C$3*10^12-$A40)*(C$3*10^12-$A39)*-1&lt;0,0,1)*IF(ABS(C$3*10^12-$A40)&gt;(C$3*10^12-$A39),$A39,$A40)=C40,0,IF((C$3*10^12-$A40)*(C$3*10^12-$A39)*-1&lt;0,0,1)*IF(ABS(C$3*10^12-$A40)&gt;(C$3*10^12-$A39),$A39,$A40))</f>
        <v>0</v>
      </c>
      <c r="D39" s="0" t="n">
        <f aca="false">IF(IF((D$3*10^12-$A40)*(D$3*10^12-$A39)*-1&lt;0,0,1)*IF(ABS(D$3*10^12-$A40)&gt;(D$3*10^12-$A39),$A39,$A40)=D40,0,IF((D$3*10^12-$A40)*(D$3*10^12-$A39)*-1&lt;0,0,1)*IF(ABS(D$3*10^12-$A40)&gt;(D$3*10^12-$A39),$A39,$A40))</f>
        <v>0</v>
      </c>
      <c r="E39" s="0" t="n">
        <f aca="false">IF(IF((E$3*10^12-$A40)*(E$3*10^12-$A39)*-1&lt;0,0,1)*IF(ABS(E$3*10^12-$A40)&gt;(E$3*10^12-$A39),$A39,$A40)=E40,0,IF((E$3*10^12-$A40)*(E$3*10^12-$A39)*-1&lt;0,0,1)*IF(ABS(E$3*10^12-$A40)&gt;(E$3*10^12-$A39),$A39,$A40))</f>
        <v>0</v>
      </c>
      <c r="F39" s="0" t="n">
        <f aca="false">IF(IF((F$3*10^12-$A40)*(F$3*10^12-$A39)*-1&lt;0,0,1)*IF(ABS(F$3*10^12-$A40)&gt;(F$3*10^12-$A39),$A39,$A40)=F40,0,IF((F$3*10^12-$A40)*(F$3*10^12-$A39)*-1&lt;0,0,1)*IF(ABS(F$3*10^12-$A40)&gt;(F$3*10^12-$A39),$A39,$A40))</f>
        <v>0</v>
      </c>
      <c r="G39" s="0" t="n">
        <f aca="false">IF(IF((G$3*10^12-$A40)*(G$3*10^12-$A39)*-1&lt;0,0,1)*IF(ABS(G$3*10^12-$A40)&gt;(G$3*10^12-$A39),$A39,$A40)=G40,0,IF((G$3*10^12-$A40)*(G$3*10^12-$A39)*-1&lt;0,0,1)*IF(ABS(G$3*10^12-$A40)&gt;(G$3*10^12-$A39),$A39,$A40))</f>
        <v>0</v>
      </c>
      <c r="H39" s="0" t="n">
        <f aca="false">IF(IF((H$3*10^12-$A40)*(H$3*10^12-$A39)*-1&lt;0,0,1)*IF(ABS(H$3*10^12-$A40)&gt;(H$3*10^12-$A39),$A39,$A40)=H40,0,IF((H$3*10^12-$A40)*(H$3*10^12-$A39)*-1&lt;0,0,1)*IF(ABS(H$3*10^12-$A40)&gt;(H$3*10^12-$A39),$A39,$A40))</f>
        <v>0</v>
      </c>
      <c r="I39" s="0" t="n">
        <f aca="false">IF(IF((I$3*10^12-$A40)*(I$3*10^12-$A39)*-1&lt;0,0,1)*IF(ABS(I$3*10^12-$A40)&gt;(I$3*10^12-$A39),$A39,$A40)=I40,0,IF((I$3*10^12-$A40)*(I$3*10^12-$A39)*-1&lt;0,0,1)*IF(ABS(I$3*10^12-$A40)&gt;(I$3*10^12-$A39),$A39,$A40))</f>
        <v>0</v>
      </c>
      <c r="J39" s="0" t="n">
        <f aca="false">IF(IF((J$3*10^12-$A40)*(J$3*10^12-$A39)*-1&lt;0,0,1)*IF(ABS(J$3*10^12-$A40)&gt;(J$3*10^12-$A39),$A39,$A40)=J40,0,IF((J$3*10^12-$A40)*(J$3*10^12-$A39)*-1&lt;0,0,1)*IF(ABS(J$3*10^12-$A40)&gt;(J$3*10^12-$A39),$A39,$A40))</f>
        <v>0</v>
      </c>
    </row>
    <row r="40" customFormat="false" ht="12.75" hidden="false" customHeight="false" outlineLevel="0" collapsed="false">
      <c r="A40" s="0" t="n">
        <f aca="false">A28*10</f>
        <v>330</v>
      </c>
      <c r="B40" s="0" t="n">
        <f aca="false">IF(IF((B$3*10^12-$A41)*(B$3*10^12-$A40)*-1&lt;0,0,1)*IF(ABS(B$3*10^12-$A41)&gt;(B$3*10^12-$A40),$A40,$A41)=B41,0,IF((B$3*10^12-$A41)*(B$3*10^12-$A40)*-1&lt;0,0,1)*IF(ABS(B$3*10^12-$A41)&gt;(B$3*10^12-$A40),$A40,$A41))</f>
        <v>0</v>
      </c>
      <c r="C40" s="0" t="n">
        <f aca="false">IF(IF((C$3*10^12-$A41)*(C$3*10^12-$A40)*-1&lt;0,0,1)*IF(ABS(C$3*10^12-$A41)&gt;(C$3*10^12-$A40),$A40,$A41)=C41,0,IF((C$3*10^12-$A41)*(C$3*10^12-$A40)*-1&lt;0,0,1)*IF(ABS(C$3*10^12-$A41)&gt;(C$3*10^12-$A40),$A40,$A41))</f>
        <v>0</v>
      </c>
      <c r="D40" s="0" t="n">
        <f aca="false">IF(IF((D$3*10^12-$A41)*(D$3*10^12-$A40)*-1&lt;0,0,1)*IF(ABS(D$3*10^12-$A41)&gt;(D$3*10^12-$A40),$A40,$A41)=D41,0,IF((D$3*10^12-$A41)*(D$3*10^12-$A40)*-1&lt;0,0,1)*IF(ABS(D$3*10^12-$A41)&gt;(D$3*10^12-$A40),$A40,$A41))</f>
        <v>0</v>
      </c>
      <c r="E40" s="0" t="n">
        <f aca="false">IF(IF((E$3*10^12-$A41)*(E$3*10^12-$A40)*-1&lt;0,0,1)*IF(ABS(E$3*10^12-$A41)&gt;(E$3*10^12-$A40),$A40,$A41)=E41,0,IF((E$3*10^12-$A41)*(E$3*10^12-$A40)*-1&lt;0,0,1)*IF(ABS(E$3*10^12-$A41)&gt;(E$3*10^12-$A40),$A40,$A41))</f>
        <v>0</v>
      </c>
      <c r="F40" s="0" t="n">
        <f aca="false">IF(IF((F$3*10^12-$A41)*(F$3*10^12-$A40)*-1&lt;0,0,1)*IF(ABS(F$3*10^12-$A41)&gt;(F$3*10^12-$A40),$A40,$A41)=F41,0,IF((F$3*10^12-$A41)*(F$3*10^12-$A40)*-1&lt;0,0,1)*IF(ABS(F$3*10^12-$A41)&gt;(F$3*10^12-$A40),$A40,$A41))</f>
        <v>0</v>
      </c>
      <c r="G40" s="0" t="n">
        <f aca="false">IF(IF((G$3*10^12-$A41)*(G$3*10^12-$A40)*-1&lt;0,0,1)*IF(ABS(G$3*10^12-$A41)&gt;(G$3*10^12-$A40),$A40,$A41)=G41,0,IF((G$3*10^12-$A41)*(G$3*10^12-$A40)*-1&lt;0,0,1)*IF(ABS(G$3*10^12-$A41)&gt;(G$3*10^12-$A40),$A40,$A41))</f>
        <v>0</v>
      </c>
      <c r="H40" s="0" t="n">
        <f aca="false">IF(IF((H$3*10^12-$A41)*(H$3*10^12-$A40)*-1&lt;0,0,1)*IF(ABS(H$3*10^12-$A41)&gt;(H$3*10^12-$A40),$A40,$A41)=H41,0,IF((H$3*10^12-$A41)*(H$3*10^12-$A40)*-1&lt;0,0,1)*IF(ABS(H$3*10^12-$A41)&gt;(H$3*10^12-$A40),$A40,$A41))</f>
        <v>0</v>
      </c>
      <c r="I40" s="0" t="n">
        <f aca="false">IF(IF((I$3*10^12-$A41)*(I$3*10^12-$A40)*-1&lt;0,0,1)*IF(ABS(I$3*10^12-$A41)&gt;(I$3*10^12-$A40),$A40,$A41)=I41,0,IF((I$3*10^12-$A41)*(I$3*10^12-$A40)*-1&lt;0,0,1)*IF(ABS(I$3*10^12-$A41)&gt;(I$3*10^12-$A40),$A40,$A41))</f>
        <v>0</v>
      </c>
      <c r="J40" s="0" t="n">
        <f aca="false">IF(IF((J$3*10^12-$A41)*(J$3*10^12-$A40)*-1&lt;0,0,1)*IF(ABS(J$3*10^12-$A41)&gt;(J$3*10^12-$A40),$A40,$A41)=J41,0,IF((J$3*10^12-$A41)*(J$3*10^12-$A40)*-1&lt;0,0,1)*IF(ABS(J$3*10^12-$A41)&gt;(J$3*10^12-$A40),$A40,$A41))</f>
        <v>0</v>
      </c>
    </row>
    <row r="41" customFormat="false" ht="12.75" hidden="false" customHeight="false" outlineLevel="0" collapsed="false">
      <c r="A41" s="0" t="n">
        <f aca="false">A29*10</f>
        <v>390</v>
      </c>
      <c r="B41" s="0" t="n">
        <f aca="false">IF(IF((B$3*10^12-$A42)*(B$3*10^12-$A41)*-1&lt;0,0,1)*IF(ABS(B$3*10^12-$A42)&gt;(B$3*10^12-$A41),$A41,$A42)=B42,0,IF((B$3*10^12-$A42)*(B$3*10^12-$A41)*-1&lt;0,0,1)*IF(ABS(B$3*10^12-$A42)&gt;(B$3*10^12-$A41),$A41,$A42))</f>
        <v>0</v>
      </c>
      <c r="C41" s="0" t="n">
        <f aca="false">IF(IF((C$3*10^12-$A42)*(C$3*10^12-$A41)*-1&lt;0,0,1)*IF(ABS(C$3*10^12-$A42)&gt;(C$3*10^12-$A41),$A41,$A42)=C42,0,IF((C$3*10^12-$A42)*(C$3*10^12-$A41)*-1&lt;0,0,1)*IF(ABS(C$3*10^12-$A42)&gt;(C$3*10^12-$A41),$A41,$A42))</f>
        <v>0</v>
      </c>
      <c r="D41" s="0" t="n">
        <f aca="false">IF(IF((D$3*10^12-$A42)*(D$3*10^12-$A41)*-1&lt;0,0,1)*IF(ABS(D$3*10^12-$A42)&gt;(D$3*10^12-$A41),$A41,$A42)=D42,0,IF((D$3*10^12-$A42)*(D$3*10^12-$A41)*-1&lt;0,0,1)*IF(ABS(D$3*10^12-$A42)&gt;(D$3*10^12-$A41),$A41,$A42))</f>
        <v>0</v>
      </c>
      <c r="E41" s="0" t="n">
        <f aca="false">IF(IF((E$3*10^12-$A42)*(E$3*10^12-$A41)*-1&lt;0,0,1)*IF(ABS(E$3*10^12-$A42)&gt;(E$3*10^12-$A41),$A41,$A42)=E42,0,IF((E$3*10^12-$A42)*(E$3*10^12-$A41)*-1&lt;0,0,1)*IF(ABS(E$3*10^12-$A42)&gt;(E$3*10^12-$A41),$A41,$A42))</f>
        <v>0</v>
      </c>
      <c r="F41" s="0" t="n">
        <f aca="false">IF(IF((F$3*10^12-$A42)*(F$3*10^12-$A41)*-1&lt;0,0,1)*IF(ABS(F$3*10^12-$A42)&gt;(F$3*10^12-$A41),$A41,$A42)=F42,0,IF((F$3*10^12-$A42)*(F$3*10^12-$A41)*-1&lt;0,0,1)*IF(ABS(F$3*10^12-$A42)&gt;(F$3*10^12-$A41),$A41,$A42))</f>
        <v>0</v>
      </c>
      <c r="G41" s="0" t="n">
        <f aca="false">IF(IF((G$3*10^12-$A42)*(G$3*10^12-$A41)*-1&lt;0,0,1)*IF(ABS(G$3*10^12-$A42)&gt;(G$3*10^12-$A41),$A41,$A42)=G42,0,IF((G$3*10^12-$A42)*(G$3*10^12-$A41)*-1&lt;0,0,1)*IF(ABS(G$3*10^12-$A42)&gt;(G$3*10^12-$A41),$A41,$A42))</f>
        <v>0</v>
      </c>
      <c r="H41" s="0" t="n">
        <f aca="false">IF(IF((H$3*10^12-$A42)*(H$3*10^12-$A41)*-1&lt;0,0,1)*IF(ABS(H$3*10^12-$A42)&gt;(H$3*10^12-$A41),$A41,$A42)=H42,0,IF((H$3*10^12-$A42)*(H$3*10^12-$A41)*-1&lt;0,0,1)*IF(ABS(H$3*10^12-$A42)&gt;(H$3*10^12-$A41),$A41,$A42))</f>
        <v>0</v>
      </c>
      <c r="I41" s="0" t="n">
        <f aca="false">IF(IF((I$3*10^12-$A42)*(I$3*10^12-$A41)*-1&lt;0,0,1)*IF(ABS(I$3*10^12-$A42)&gt;(I$3*10^12-$A41),$A41,$A42)=I42,0,IF((I$3*10^12-$A42)*(I$3*10^12-$A41)*-1&lt;0,0,1)*IF(ABS(I$3*10^12-$A42)&gt;(I$3*10^12-$A41),$A41,$A42))</f>
        <v>0</v>
      </c>
      <c r="J41" s="0" t="n">
        <f aca="false">IF(IF((J$3*10^12-$A42)*(J$3*10^12-$A41)*-1&lt;0,0,1)*IF(ABS(J$3*10^12-$A42)&gt;(J$3*10^12-$A41),$A41,$A42)=J42,0,IF((J$3*10^12-$A42)*(J$3*10^12-$A41)*-1&lt;0,0,1)*IF(ABS(J$3*10^12-$A42)&gt;(J$3*10^12-$A41),$A41,$A42))</f>
        <v>0</v>
      </c>
    </row>
    <row r="42" customFormat="false" ht="12.75" hidden="false" customHeight="false" outlineLevel="0" collapsed="false">
      <c r="A42" s="0" t="n">
        <f aca="false">A30*10</f>
        <v>470</v>
      </c>
      <c r="B42" s="0" t="n">
        <f aca="false">IF(IF((B$3*10^12-$A43)*(B$3*10^12-$A42)*-1&lt;0,0,1)*IF(ABS(B$3*10^12-$A43)&gt;(B$3*10^12-$A42),$A42,$A43)=B43,0,IF((B$3*10^12-$A43)*(B$3*10^12-$A42)*-1&lt;0,0,1)*IF(ABS(B$3*10^12-$A43)&gt;(B$3*10^12-$A42),$A42,$A43))</f>
        <v>0</v>
      </c>
      <c r="C42" s="0" t="n">
        <f aca="false">IF(IF((C$3*10^12-$A43)*(C$3*10^12-$A42)*-1&lt;0,0,1)*IF(ABS(C$3*10^12-$A43)&gt;(C$3*10^12-$A42),$A42,$A43)=C43,0,IF((C$3*10^12-$A43)*(C$3*10^12-$A42)*-1&lt;0,0,1)*IF(ABS(C$3*10^12-$A43)&gt;(C$3*10^12-$A42),$A42,$A43))</f>
        <v>0</v>
      </c>
      <c r="D42" s="0" t="n">
        <f aca="false">IF(IF((D$3*10^12-$A43)*(D$3*10^12-$A42)*-1&lt;0,0,1)*IF(ABS(D$3*10^12-$A43)&gt;(D$3*10^12-$A42),$A42,$A43)=D43,0,IF((D$3*10^12-$A43)*(D$3*10^12-$A42)*-1&lt;0,0,1)*IF(ABS(D$3*10^12-$A43)&gt;(D$3*10^12-$A42),$A42,$A43))</f>
        <v>0</v>
      </c>
      <c r="E42" s="0" t="n">
        <f aca="false">IF(IF((E$3*10^12-$A43)*(E$3*10^12-$A42)*-1&lt;0,0,1)*IF(ABS(E$3*10^12-$A43)&gt;(E$3*10^12-$A42),$A42,$A43)=E43,0,IF((E$3*10^12-$A43)*(E$3*10^12-$A42)*-1&lt;0,0,1)*IF(ABS(E$3*10^12-$A43)&gt;(E$3*10^12-$A42),$A42,$A43))</f>
        <v>0</v>
      </c>
      <c r="F42" s="0" t="n">
        <f aca="false">IF(IF((F$3*10^12-$A43)*(F$3*10^12-$A42)*-1&lt;0,0,1)*IF(ABS(F$3*10^12-$A43)&gt;(F$3*10^12-$A42),$A42,$A43)=F43,0,IF((F$3*10^12-$A43)*(F$3*10^12-$A42)*-1&lt;0,0,1)*IF(ABS(F$3*10^12-$A43)&gt;(F$3*10^12-$A42),$A42,$A43))</f>
        <v>0</v>
      </c>
      <c r="G42" s="0" t="n">
        <f aca="false">IF(IF((G$3*10^12-$A43)*(G$3*10^12-$A42)*-1&lt;0,0,1)*IF(ABS(G$3*10^12-$A43)&gt;(G$3*10^12-$A42),$A42,$A43)=G43,0,IF((G$3*10^12-$A43)*(G$3*10^12-$A42)*-1&lt;0,0,1)*IF(ABS(G$3*10^12-$A43)&gt;(G$3*10^12-$A42),$A42,$A43))</f>
        <v>0</v>
      </c>
      <c r="H42" s="0" t="n">
        <f aca="false">IF(IF((H$3*10^12-$A43)*(H$3*10^12-$A42)*-1&lt;0,0,1)*IF(ABS(H$3*10^12-$A43)&gt;(H$3*10^12-$A42),$A42,$A43)=H43,0,IF((H$3*10^12-$A43)*(H$3*10^12-$A42)*-1&lt;0,0,1)*IF(ABS(H$3*10^12-$A43)&gt;(H$3*10^12-$A42),$A42,$A43))</f>
        <v>0</v>
      </c>
      <c r="I42" s="0" t="n">
        <f aca="false">IF(IF((I$3*10^12-$A43)*(I$3*10^12-$A42)*-1&lt;0,0,1)*IF(ABS(I$3*10^12-$A43)&gt;(I$3*10^12-$A42),$A42,$A43)=I43,0,IF((I$3*10^12-$A43)*(I$3*10^12-$A42)*-1&lt;0,0,1)*IF(ABS(I$3*10^12-$A43)&gt;(I$3*10^12-$A42),$A42,$A43))</f>
        <v>0</v>
      </c>
      <c r="J42" s="0" t="n">
        <f aca="false">IF(IF((J$3*10^12-$A43)*(J$3*10^12-$A42)*-1&lt;0,0,1)*IF(ABS(J$3*10^12-$A43)&gt;(J$3*10^12-$A42),$A42,$A43)=J43,0,IF((J$3*10^12-$A43)*(J$3*10^12-$A42)*-1&lt;0,0,1)*IF(ABS(J$3*10^12-$A43)&gt;(J$3*10^12-$A42),$A42,$A43))</f>
        <v>0</v>
      </c>
    </row>
    <row r="43" customFormat="false" ht="12.75" hidden="false" customHeight="false" outlineLevel="0" collapsed="false">
      <c r="A43" s="0" t="n">
        <f aca="false">A31*10</f>
        <v>560</v>
      </c>
      <c r="B43" s="0" t="n">
        <f aca="false">IF(IF((B$3*10^12-$A44)*(B$3*10^12-$A43)*-1&lt;0,0,1)*IF(ABS(B$3*10^12-$A44)&gt;(B$3*10^12-$A43),$A43,$A44)=B44,0,IF((B$3*10^12-$A44)*(B$3*10^12-$A43)*-1&lt;0,0,1)*IF(ABS(B$3*10^12-$A44)&gt;(B$3*10^12-$A43),$A43,$A44))</f>
        <v>0</v>
      </c>
      <c r="C43" s="0" t="n">
        <f aca="false">IF(IF((C$3*10^12-$A44)*(C$3*10^12-$A43)*-1&lt;0,0,1)*IF(ABS(C$3*10^12-$A44)&gt;(C$3*10^12-$A43),$A43,$A44)=C44,0,IF((C$3*10^12-$A44)*(C$3*10^12-$A43)*-1&lt;0,0,1)*IF(ABS(C$3*10^12-$A44)&gt;(C$3*10^12-$A43),$A43,$A44))</f>
        <v>0</v>
      </c>
      <c r="D43" s="0" t="n">
        <f aca="false">IF(IF((D$3*10^12-$A44)*(D$3*10^12-$A43)*-1&lt;0,0,1)*IF(ABS(D$3*10^12-$A44)&gt;(D$3*10^12-$A43),$A43,$A44)=D44,0,IF((D$3*10^12-$A44)*(D$3*10^12-$A43)*-1&lt;0,0,1)*IF(ABS(D$3*10^12-$A44)&gt;(D$3*10^12-$A43),$A43,$A44))</f>
        <v>0</v>
      </c>
      <c r="E43" s="0" t="n">
        <f aca="false">IF(IF((E$3*10^12-$A44)*(E$3*10^12-$A43)*-1&lt;0,0,1)*IF(ABS(E$3*10^12-$A44)&gt;(E$3*10^12-$A43),$A43,$A44)=E44,0,IF((E$3*10^12-$A44)*(E$3*10^12-$A43)*-1&lt;0,0,1)*IF(ABS(E$3*10^12-$A44)&gt;(E$3*10^12-$A43),$A43,$A44))</f>
        <v>0</v>
      </c>
      <c r="F43" s="0" t="n">
        <f aca="false">IF(IF((F$3*10^12-$A44)*(F$3*10^12-$A43)*-1&lt;0,0,1)*IF(ABS(F$3*10^12-$A44)&gt;(F$3*10^12-$A43),$A43,$A44)=F44,0,IF((F$3*10^12-$A44)*(F$3*10^12-$A43)*-1&lt;0,0,1)*IF(ABS(F$3*10^12-$A44)&gt;(F$3*10^12-$A43),$A43,$A44))</f>
        <v>0</v>
      </c>
      <c r="G43" s="0" t="n">
        <f aca="false">IF(IF((G$3*10^12-$A44)*(G$3*10^12-$A43)*-1&lt;0,0,1)*IF(ABS(G$3*10^12-$A44)&gt;(G$3*10^12-$A43),$A43,$A44)=G44,0,IF((G$3*10^12-$A44)*(G$3*10^12-$A43)*-1&lt;0,0,1)*IF(ABS(G$3*10^12-$A44)&gt;(G$3*10^12-$A43),$A43,$A44))</f>
        <v>0</v>
      </c>
      <c r="H43" s="0" t="n">
        <f aca="false">IF(IF((H$3*10^12-$A44)*(H$3*10^12-$A43)*-1&lt;0,0,1)*IF(ABS(H$3*10^12-$A44)&gt;(H$3*10^12-$A43),$A43,$A44)=H44,0,IF((H$3*10^12-$A44)*(H$3*10^12-$A43)*-1&lt;0,0,1)*IF(ABS(H$3*10^12-$A44)&gt;(H$3*10^12-$A43),$A43,$A44))</f>
        <v>0</v>
      </c>
      <c r="I43" s="0" t="n">
        <f aca="false">IF(IF((I$3*10^12-$A44)*(I$3*10^12-$A43)*-1&lt;0,0,1)*IF(ABS(I$3*10^12-$A44)&gt;(I$3*10^12-$A43),$A43,$A44)=I44,0,IF((I$3*10^12-$A44)*(I$3*10^12-$A43)*-1&lt;0,0,1)*IF(ABS(I$3*10^12-$A44)&gt;(I$3*10^12-$A43),$A43,$A44))</f>
        <v>0</v>
      </c>
      <c r="J43" s="0" t="n">
        <f aca="false">IF(IF((J$3*10^12-$A44)*(J$3*10^12-$A43)*-1&lt;0,0,1)*IF(ABS(J$3*10^12-$A44)&gt;(J$3*10^12-$A43),$A43,$A44)=J44,0,IF((J$3*10^12-$A44)*(J$3*10^12-$A43)*-1&lt;0,0,1)*IF(ABS(J$3*10^12-$A44)&gt;(J$3*10^12-$A43),$A43,$A44))</f>
        <v>0</v>
      </c>
    </row>
    <row r="44" customFormat="false" ht="12.75" hidden="false" customHeight="false" outlineLevel="0" collapsed="false">
      <c r="A44" s="0" t="n">
        <f aca="false">A32*10</f>
        <v>680</v>
      </c>
      <c r="B44" s="0" t="n">
        <f aca="false">IF(IF((B$3*10^12-$A45)*(B$3*10^12-$A44)*-1&lt;0,0,1)*IF(ABS(B$3*10^12-$A45)&gt;(B$3*10^12-$A44),$A44,$A45)=B45,0,IF((B$3*10^12-$A45)*(B$3*10^12-$A44)*-1&lt;0,0,1)*IF(ABS(B$3*10^12-$A45)&gt;(B$3*10^12-$A44),$A44,$A45))</f>
        <v>0</v>
      </c>
      <c r="C44" s="0" t="n">
        <f aca="false">IF(IF((C$3*10^12-$A45)*(C$3*10^12-$A44)*-1&lt;0,0,1)*IF(ABS(C$3*10^12-$A45)&gt;(C$3*10^12-$A44),$A44,$A45)=C45,0,IF((C$3*10^12-$A45)*(C$3*10^12-$A44)*-1&lt;0,0,1)*IF(ABS(C$3*10^12-$A45)&gt;(C$3*10^12-$A44),$A44,$A45))</f>
        <v>0</v>
      </c>
      <c r="D44" s="0" t="n">
        <f aca="false">IF(IF((D$3*10^12-$A45)*(D$3*10^12-$A44)*-1&lt;0,0,1)*IF(ABS(D$3*10^12-$A45)&gt;(D$3*10^12-$A44),$A44,$A45)=D45,0,IF((D$3*10^12-$A45)*(D$3*10^12-$A44)*-1&lt;0,0,1)*IF(ABS(D$3*10^12-$A45)&gt;(D$3*10^12-$A44),$A44,$A45))</f>
        <v>0</v>
      </c>
      <c r="E44" s="0" t="n">
        <f aca="false">IF(IF((E$3*10^12-$A45)*(E$3*10^12-$A44)*-1&lt;0,0,1)*IF(ABS(E$3*10^12-$A45)&gt;(E$3*10^12-$A44),$A44,$A45)=E45,0,IF((E$3*10^12-$A45)*(E$3*10^12-$A44)*-1&lt;0,0,1)*IF(ABS(E$3*10^12-$A45)&gt;(E$3*10^12-$A44),$A44,$A45))</f>
        <v>0</v>
      </c>
      <c r="F44" s="0" t="n">
        <f aca="false">IF(IF((F$3*10^12-$A45)*(F$3*10^12-$A44)*-1&lt;0,0,1)*IF(ABS(F$3*10^12-$A45)&gt;(F$3*10^12-$A44),$A44,$A45)=F45,0,IF((F$3*10^12-$A45)*(F$3*10^12-$A44)*-1&lt;0,0,1)*IF(ABS(F$3*10^12-$A45)&gt;(F$3*10^12-$A44),$A44,$A45))</f>
        <v>0</v>
      </c>
      <c r="G44" s="0" t="n">
        <f aca="false">IF(IF((G$3*10^12-$A45)*(G$3*10^12-$A44)*-1&lt;0,0,1)*IF(ABS(G$3*10^12-$A45)&gt;(G$3*10^12-$A44),$A44,$A45)=G45,0,IF((G$3*10^12-$A45)*(G$3*10^12-$A44)*-1&lt;0,0,1)*IF(ABS(G$3*10^12-$A45)&gt;(G$3*10^12-$A44),$A44,$A45))</f>
        <v>0</v>
      </c>
      <c r="H44" s="0" t="n">
        <f aca="false">IF(IF((H$3*10^12-$A45)*(H$3*10^12-$A44)*-1&lt;0,0,1)*IF(ABS(H$3*10^12-$A45)&gt;(H$3*10^12-$A44),$A44,$A45)=H45,0,IF((H$3*10^12-$A45)*(H$3*10^12-$A44)*-1&lt;0,0,1)*IF(ABS(H$3*10^12-$A45)&gt;(H$3*10^12-$A44),$A44,$A45))</f>
        <v>0</v>
      </c>
      <c r="I44" s="0" t="n">
        <f aca="false">IF(IF((I$3*10^12-$A45)*(I$3*10^12-$A44)*-1&lt;0,0,1)*IF(ABS(I$3*10^12-$A45)&gt;(I$3*10^12-$A44),$A44,$A45)=I45,0,IF((I$3*10^12-$A45)*(I$3*10^12-$A44)*-1&lt;0,0,1)*IF(ABS(I$3*10^12-$A45)&gt;(I$3*10^12-$A44),$A44,$A45))</f>
        <v>0</v>
      </c>
      <c r="J44" s="0" t="n">
        <f aca="false">IF(IF((J$3*10^12-$A45)*(J$3*10^12-$A44)*-1&lt;0,0,1)*IF(ABS(J$3*10^12-$A45)&gt;(J$3*10^12-$A44),$A44,$A45)=J45,0,IF((J$3*10^12-$A45)*(J$3*10^12-$A44)*-1&lt;0,0,1)*IF(ABS(J$3*10^12-$A45)&gt;(J$3*10^12-$A44),$A44,$A45))</f>
        <v>0</v>
      </c>
    </row>
    <row r="45" customFormat="false" ht="12.75" hidden="false" customHeight="false" outlineLevel="0" collapsed="false">
      <c r="A45" s="0" t="n">
        <f aca="false">A33*10</f>
        <v>820</v>
      </c>
      <c r="B45" s="0" t="n">
        <f aca="false">IF(IF((B$3*10^12-$A46)*(B$3*10^12-$A45)*-1&lt;0,0,1)*IF(ABS(B$3*10^12-$A46)&gt;(B$3*10^12-$A45),$A45,$A46)=B46,0,IF((B$3*10^12-$A46)*(B$3*10^12-$A45)*-1&lt;0,0,1)*IF(ABS(B$3*10^12-$A46)&gt;(B$3*10^12-$A45),$A45,$A46))</f>
        <v>0</v>
      </c>
      <c r="C45" s="0" t="n">
        <f aca="false">IF(IF((C$3*10^12-$A46)*(C$3*10^12-$A45)*-1&lt;0,0,1)*IF(ABS(C$3*10^12-$A46)&gt;(C$3*10^12-$A45),$A45,$A46)=C46,0,IF((C$3*10^12-$A46)*(C$3*10^12-$A45)*-1&lt;0,0,1)*IF(ABS(C$3*10^12-$A46)&gt;(C$3*10^12-$A45),$A45,$A46))</f>
        <v>0</v>
      </c>
      <c r="D45" s="0" t="n">
        <f aca="false">IF(IF((D$3*10^12-$A46)*(D$3*10^12-$A45)*-1&lt;0,0,1)*IF(ABS(D$3*10^12-$A46)&gt;(D$3*10^12-$A45),$A45,$A46)=D46,0,IF((D$3*10^12-$A46)*(D$3*10^12-$A45)*-1&lt;0,0,1)*IF(ABS(D$3*10^12-$A46)&gt;(D$3*10^12-$A45),$A45,$A46))</f>
        <v>0</v>
      </c>
      <c r="E45" s="0" t="n">
        <f aca="false">IF(IF((E$3*10^12-$A46)*(E$3*10^12-$A45)*-1&lt;0,0,1)*IF(ABS(E$3*10^12-$A46)&gt;(E$3*10^12-$A45),$A45,$A46)=E46,0,IF((E$3*10^12-$A46)*(E$3*10^12-$A45)*-1&lt;0,0,1)*IF(ABS(E$3*10^12-$A46)&gt;(E$3*10^12-$A45),$A45,$A46))</f>
        <v>0</v>
      </c>
      <c r="F45" s="0" t="n">
        <f aca="false">IF(IF((F$3*10^12-$A46)*(F$3*10^12-$A45)*-1&lt;0,0,1)*IF(ABS(F$3*10^12-$A46)&gt;(F$3*10^12-$A45),$A45,$A46)=F46,0,IF((F$3*10^12-$A46)*(F$3*10^12-$A45)*-1&lt;0,0,1)*IF(ABS(F$3*10^12-$A46)&gt;(F$3*10^12-$A45),$A45,$A46))</f>
        <v>0</v>
      </c>
      <c r="G45" s="0" t="n">
        <f aca="false">IF(IF((G$3*10^12-$A46)*(G$3*10^12-$A45)*-1&lt;0,0,1)*IF(ABS(G$3*10^12-$A46)&gt;(G$3*10^12-$A45),$A45,$A46)=G46,0,IF((G$3*10^12-$A46)*(G$3*10^12-$A45)*-1&lt;0,0,1)*IF(ABS(G$3*10^12-$A46)&gt;(G$3*10^12-$A45),$A45,$A46))</f>
        <v>0</v>
      </c>
      <c r="H45" s="0" t="n">
        <f aca="false">IF(IF((H$3*10^12-$A46)*(H$3*10^12-$A45)*-1&lt;0,0,1)*IF(ABS(H$3*10^12-$A46)&gt;(H$3*10^12-$A45),$A45,$A46)=H46,0,IF((H$3*10^12-$A46)*(H$3*10^12-$A45)*-1&lt;0,0,1)*IF(ABS(H$3*10^12-$A46)&gt;(H$3*10^12-$A45),$A45,$A46))</f>
        <v>0</v>
      </c>
      <c r="I45" s="0" t="n">
        <f aca="false">IF(IF((I$3*10^12-$A46)*(I$3*10^12-$A45)*-1&lt;0,0,1)*IF(ABS(I$3*10^12-$A46)&gt;(I$3*10^12-$A45),$A45,$A46)=I46,0,IF((I$3*10^12-$A46)*(I$3*10^12-$A45)*-1&lt;0,0,1)*IF(ABS(I$3*10^12-$A46)&gt;(I$3*10^12-$A45),$A45,$A46))</f>
        <v>0</v>
      </c>
      <c r="J45" s="0" t="n">
        <f aca="false">IF(IF((J$3*10^12-$A46)*(J$3*10^12-$A45)*-1&lt;0,0,1)*IF(ABS(J$3*10^12-$A46)&gt;(J$3*10^12-$A45),$A45,$A46)=J46,0,IF((J$3*10^12-$A46)*(J$3*10^12-$A45)*-1&lt;0,0,1)*IF(ABS(J$3*10^12-$A46)&gt;(J$3*10^12-$A45),$A45,$A46))</f>
        <v>0</v>
      </c>
    </row>
    <row r="46" customFormat="false" ht="12.75" hidden="false" customHeight="false" outlineLevel="0" collapsed="false">
      <c r="A46" s="0" t="n">
        <f aca="false">A34*10</f>
        <v>1000</v>
      </c>
      <c r="B46" s="0" t="n">
        <f aca="false">IF(IF((B$3*10^12-$A47)*(B$3*10^12-$A46)*-1&lt;0,0,1)*IF(ABS(B$3*10^12-$A47)&gt;(B$3*10^12-$A46),$A46,$A47)=B47,0,IF((B$3*10^12-$A47)*(B$3*10^12-$A46)*-1&lt;0,0,1)*IF(ABS(B$3*10^12-$A47)&gt;(B$3*10^12-$A46),$A46,$A47))</f>
        <v>0</v>
      </c>
      <c r="C46" s="0" t="n">
        <f aca="false">IF(IF((C$3*10^12-$A47)*(C$3*10^12-$A46)*-1&lt;0,0,1)*IF(ABS(C$3*10^12-$A47)&gt;(C$3*10^12-$A46),$A46,$A47)=C47,0,IF((C$3*10^12-$A47)*(C$3*10^12-$A46)*-1&lt;0,0,1)*IF(ABS(C$3*10^12-$A47)&gt;(C$3*10^12-$A46),$A46,$A47))</f>
        <v>0</v>
      </c>
      <c r="D46" s="0" t="n">
        <f aca="false">IF(IF((D$3*10^12-$A47)*(D$3*10^12-$A46)*-1&lt;0,0,1)*IF(ABS(D$3*10^12-$A47)&gt;(D$3*10^12-$A46),$A46,$A47)=D47,0,IF((D$3*10^12-$A47)*(D$3*10^12-$A46)*-1&lt;0,0,1)*IF(ABS(D$3*10^12-$A47)&gt;(D$3*10^12-$A46),$A46,$A47))</f>
        <v>1000</v>
      </c>
      <c r="E46" s="0" t="n">
        <f aca="false">IF(IF((E$3*10^12-$A47)*(E$3*10^12-$A46)*-1&lt;0,0,1)*IF(ABS(E$3*10^12-$A47)&gt;(E$3*10^12-$A46),$A46,$A47)=E47,0,IF((E$3*10^12-$A47)*(E$3*10^12-$A46)*-1&lt;0,0,1)*IF(ABS(E$3*10^12-$A47)&gt;(E$3*10^12-$A46),$A46,$A47))</f>
        <v>0</v>
      </c>
      <c r="F46" s="0" t="n">
        <f aca="false">IF(IF((F$3*10^12-$A47)*(F$3*10^12-$A46)*-1&lt;0,0,1)*IF(ABS(F$3*10^12-$A47)&gt;(F$3*10^12-$A46),$A46,$A47)=F47,0,IF((F$3*10^12-$A47)*(F$3*10^12-$A46)*-1&lt;0,0,1)*IF(ABS(F$3*10^12-$A47)&gt;(F$3*10^12-$A46),$A46,$A47))</f>
        <v>0</v>
      </c>
      <c r="G46" s="0" t="n">
        <f aca="false">IF(IF((G$3*10^12-$A47)*(G$3*10^12-$A46)*-1&lt;0,0,1)*IF(ABS(G$3*10^12-$A47)&gt;(G$3*10^12-$A46),$A46,$A47)=G47,0,IF((G$3*10^12-$A47)*(G$3*10^12-$A46)*-1&lt;0,0,1)*IF(ABS(G$3*10^12-$A47)&gt;(G$3*10^12-$A46),$A46,$A47))</f>
        <v>0</v>
      </c>
      <c r="H46" s="0" t="n">
        <f aca="false">IF(IF((H$3*10^12-$A47)*(H$3*10^12-$A46)*-1&lt;0,0,1)*IF(ABS(H$3*10^12-$A47)&gt;(H$3*10^12-$A46),$A46,$A47)=H47,0,IF((H$3*10^12-$A47)*(H$3*10^12-$A46)*-1&lt;0,0,1)*IF(ABS(H$3*10^12-$A47)&gt;(H$3*10^12-$A46),$A46,$A47))</f>
        <v>0</v>
      </c>
      <c r="I46" s="0" t="n">
        <f aca="false">IF(IF((I$3*10^12-$A47)*(I$3*10^12-$A46)*-1&lt;0,0,1)*IF(ABS(I$3*10^12-$A47)&gt;(I$3*10^12-$A46),$A46,$A47)=I47,0,IF((I$3*10^12-$A47)*(I$3*10^12-$A46)*-1&lt;0,0,1)*IF(ABS(I$3*10^12-$A47)&gt;(I$3*10^12-$A46),$A46,$A47))</f>
        <v>0</v>
      </c>
      <c r="J46" s="0" t="n">
        <f aca="false">IF(IF((J$3*10^12-$A47)*(J$3*10^12-$A46)*-1&lt;0,0,1)*IF(ABS(J$3*10^12-$A47)&gt;(J$3*10^12-$A46),$A46,$A47)=J47,0,IF((J$3*10^12-$A47)*(J$3*10^12-$A46)*-1&lt;0,0,1)*IF(ABS(J$3*10^12-$A47)&gt;(J$3*10^12-$A46),$A46,$A47))</f>
        <v>0</v>
      </c>
    </row>
    <row r="47" customFormat="false" ht="12.75" hidden="false" customHeight="false" outlineLevel="0" collapsed="false">
      <c r="A47" s="0" t="n">
        <f aca="false">A35*10</f>
        <v>1200</v>
      </c>
      <c r="B47" s="0" t="n">
        <f aca="false">IF(IF((B$3*10^12-$A48)*(B$3*10^12-$A47)*-1&lt;0,0,1)*IF(ABS(B$3*10^12-$A48)&gt;(B$3*10^12-$A47),$A47,$A48)=B48,0,IF((B$3*10^12-$A48)*(B$3*10^12-$A47)*-1&lt;0,0,1)*IF(ABS(B$3*10^12-$A48)&gt;(B$3*10^12-$A47),$A47,$A48))</f>
        <v>0</v>
      </c>
      <c r="C47" s="0" t="n">
        <f aca="false">IF(IF((C$3*10^12-$A48)*(C$3*10^12-$A47)*-1&lt;0,0,1)*IF(ABS(C$3*10^12-$A48)&gt;(C$3*10^12-$A47),$A47,$A48)=C48,0,IF((C$3*10^12-$A48)*(C$3*10^12-$A47)*-1&lt;0,0,1)*IF(ABS(C$3*10^12-$A48)&gt;(C$3*10^12-$A47),$A47,$A48))</f>
        <v>0</v>
      </c>
      <c r="D47" s="0" t="n">
        <f aca="false">IF(IF((D$3*10^12-$A48)*(D$3*10^12-$A47)*-1&lt;0,0,1)*IF(ABS(D$3*10^12-$A48)&gt;(D$3*10^12-$A47),$A47,$A48)=D48,0,IF((D$3*10^12-$A48)*(D$3*10^12-$A47)*-1&lt;0,0,1)*IF(ABS(D$3*10^12-$A48)&gt;(D$3*10^12-$A47),$A47,$A48))</f>
        <v>0</v>
      </c>
      <c r="E47" s="0" t="n">
        <f aca="false">IF(IF((E$3*10^12-$A48)*(E$3*10^12-$A47)*-1&lt;0,0,1)*IF(ABS(E$3*10^12-$A48)&gt;(E$3*10^12-$A47),$A47,$A48)=E48,0,IF((E$3*10^12-$A48)*(E$3*10^12-$A47)*-1&lt;0,0,1)*IF(ABS(E$3*10^12-$A48)&gt;(E$3*10^12-$A47),$A47,$A48))</f>
        <v>0</v>
      </c>
      <c r="F47" s="0" t="n">
        <f aca="false">IF(IF((F$3*10^12-$A48)*(F$3*10^12-$A47)*-1&lt;0,0,1)*IF(ABS(F$3*10^12-$A48)&gt;(F$3*10^12-$A47),$A47,$A48)=F48,0,IF((F$3*10^12-$A48)*(F$3*10^12-$A47)*-1&lt;0,0,1)*IF(ABS(F$3*10^12-$A48)&gt;(F$3*10^12-$A47),$A47,$A48))</f>
        <v>0</v>
      </c>
      <c r="G47" s="0" t="n">
        <f aca="false">IF(IF((G$3*10^12-$A48)*(G$3*10^12-$A47)*-1&lt;0,0,1)*IF(ABS(G$3*10^12-$A48)&gt;(G$3*10^12-$A47),$A47,$A48)=G48,0,IF((G$3*10^12-$A48)*(G$3*10^12-$A47)*-1&lt;0,0,1)*IF(ABS(G$3*10^12-$A48)&gt;(G$3*10^12-$A47),$A47,$A48))</f>
        <v>0</v>
      </c>
      <c r="H47" s="0" t="n">
        <f aca="false">IF(IF((H$3*10^12-$A48)*(H$3*10^12-$A47)*-1&lt;0,0,1)*IF(ABS(H$3*10^12-$A48)&gt;(H$3*10^12-$A47),$A47,$A48)=H48,0,IF((H$3*10^12-$A48)*(H$3*10^12-$A47)*-1&lt;0,0,1)*IF(ABS(H$3*10^12-$A48)&gt;(H$3*10^12-$A47),$A47,$A48))</f>
        <v>0</v>
      </c>
      <c r="I47" s="0" t="n">
        <f aca="false">IF(IF((I$3*10^12-$A48)*(I$3*10^12-$A47)*-1&lt;0,0,1)*IF(ABS(I$3*10^12-$A48)&gt;(I$3*10^12-$A47),$A47,$A48)=I48,0,IF((I$3*10^12-$A48)*(I$3*10^12-$A47)*-1&lt;0,0,1)*IF(ABS(I$3*10^12-$A48)&gt;(I$3*10^12-$A47),$A47,$A48))</f>
        <v>0</v>
      </c>
      <c r="J47" s="0" t="n">
        <f aca="false">IF(IF((J$3*10^12-$A48)*(J$3*10^12-$A47)*-1&lt;0,0,1)*IF(ABS(J$3*10^12-$A48)&gt;(J$3*10^12-$A47),$A47,$A48)=J48,0,IF((J$3*10^12-$A48)*(J$3*10^12-$A47)*-1&lt;0,0,1)*IF(ABS(J$3*10^12-$A48)&gt;(J$3*10^12-$A47),$A47,$A48))</f>
        <v>0</v>
      </c>
    </row>
    <row r="48" customFormat="false" ht="12.75" hidden="false" customHeight="false" outlineLevel="0" collapsed="false">
      <c r="A48" s="0" t="n">
        <f aca="false">A36*10</f>
        <v>1500</v>
      </c>
      <c r="B48" s="0" t="n">
        <f aca="false">IF(IF((B$3*10^12-$A49)*(B$3*10^12-$A48)*-1&lt;0,0,1)*IF(ABS(B$3*10^12-$A49)&gt;(B$3*10^12-$A48),$A48,$A49)=B49,0,IF((B$3*10^12-$A49)*(B$3*10^12-$A48)*-1&lt;0,0,1)*IF(ABS(B$3*10^12-$A49)&gt;(B$3*10^12-$A48),$A48,$A49))</f>
        <v>0</v>
      </c>
      <c r="C48" s="0" t="n">
        <f aca="false">IF(IF((C$3*10^12-$A49)*(C$3*10^12-$A48)*-1&lt;0,0,1)*IF(ABS(C$3*10^12-$A49)&gt;(C$3*10^12-$A48),$A48,$A49)=C49,0,IF((C$3*10^12-$A49)*(C$3*10^12-$A48)*-1&lt;0,0,1)*IF(ABS(C$3*10^12-$A49)&gt;(C$3*10^12-$A48),$A48,$A49))</f>
        <v>0</v>
      </c>
      <c r="D48" s="0" t="n">
        <f aca="false">IF(IF((D$3*10^12-$A49)*(D$3*10^12-$A48)*-1&lt;0,0,1)*IF(ABS(D$3*10^12-$A49)&gt;(D$3*10^12-$A48),$A48,$A49)=D49,0,IF((D$3*10^12-$A49)*(D$3*10^12-$A48)*-1&lt;0,0,1)*IF(ABS(D$3*10^12-$A49)&gt;(D$3*10^12-$A48),$A48,$A49))</f>
        <v>0</v>
      </c>
      <c r="E48" s="0" t="n">
        <f aca="false">IF(IF((E$3*10^12-$A49)*(E$3*10^12-$A48)*-1&lt;0,0,1)*IF(ABS(E$3*10^12-$A49)&gt;(E$3*10^12-$A48),$A48,$A49)=E49,0,IF((E$3*10^12-$A49)*(E$3*10^12-$A48)*-1&lt;0,0,1)*IF(ABS(E$3*10^12-$A49)&gt;(E$3*10^12-$A48),$A48,$A49))</f>
        <v>0</v>
      </c>
      <c r="F48" s="0" t="n">
        <f aca="false">IF(IF((F$3*10^12-$A49)*(F$3*10^12-$A48)*-1&lt;0,0,1)*IF(ABS(F$3*10^12-$A49)&gt;(F$3*10^12-$A48),$A48,$A49)=F49,0,IF((F$3*10^12-$A49)*(F$3*10^12-$A48)*-1&lt;0,0,1)*IF(ABS(F$3*10^12-$A49)&gt;(F$3*10^12-$A48),$A48,$A49))</f>
        <v>0</v>
      </c>
      <c r="G48" s="0" t="n">
        <f aca="false">IF(IF((G$3*10^12-$A49)*(G$3*10^12-$A48)*-1&lt;0,0,1)*IF(ABS(G$3*10^12-$A49)&gt;(G$3*10^12-$A48),$A48,$A49)=G49,0,IF((G$3*10^12-$A49)*(G$3*10^12-$A48)*-1&lt;0,0,1)*IF(ABS(G$3*10^12-$A49)&gt;(G$3*10^12-$A48),$A48,$A49))</f>
        <v>0</v>
      </c>
      <c r="H48" s="0" t="n">
        <f aca="false">IF(IF((H$3*10^12-$A49)*(H$3*10^12-$A48)*-1&lt;0,0,1)*IF(ABS(H$3*10^12-$A49)&gt;(H$3*10^12-$A48),$A48,$A49)=H49,0,IF((H$3*10^12-$A49)*(H$3*10^12-$A48)*-1&lt;0,0,1)*IF(ABS(H$3*10^12-$A49)&gt;(H$3*10^12-$A48),$A48,$A49))</f>
        <v>0</v>
      </c>
      <c r="I48" s="0" t="n">
        <f aca="false">IF(IF((I$3*10^12-$A49)*(I$3*10^12-$A48)*-1&lt;0,0,1)*IF(ABS(I$3*10^12-$A49)&gt;(I$3*10^12-$A48),$A48,$A49)=I49,0,IF((I$3*10^12-$A49)*(I$3*10^12-$A48)*-1&lt;0,0,1)*IF(ABS(I$3*10^12-$A49)&gt;(I$3*10^12-$A48),$A48,$A49))</f>
        <v>0</v>
      </c>
      <c r="J48" s="0" t="n">
        <f aca="false">IF(IF((J$3*10^12-$A49)*(J$3*10^12-$A48)*-1&lt;0,0,1)*IF(ABS(J$3*10^12-$A49)&gt;(J$3*10^12-$A48),$A48,$A49)=J49,0,IF((J$3*10^12-$A49)*(J$3*10^12-$A48)*-1&lt;0,0,1)*IF(ABS(J$3*10^12-$A49)&gt;(J$3*10^12-$A48),$A48,$A49))</f>
        <v>0</v>
      </c>
    </row>
    <row r="49" customFormat="false" ht="12.75" hidden="false" customHeight="false" outlineLevel="0" collapsed="false">
      <c r="A49" s="0" t="n">
        <f aca="false">A37*10</f>
        <v>1800</v>
      </c>
      <c r="B49" s="0" t="n">
        <f aca="false">IF(IF((B$3*10^12-$A50)*(B$3*10^12-$A49)*-1&lt;0,0,1)*IF(ABS(B$3*10^12-$A50)&gt;(B$3*10^12-$A49),$A49,$A50)=B50,0,IF((B$3*10^12-$A50)*(B$3*10^12-$A49)*-1&lt;0,0,1)*IF(ABS(B$3*10^12-$A50)&gt;(B$3*10^12-$A49),$A49,$A50))</f>
        <v>0</v>
      </c>
      <c r="C49" s="0" t="n">
        <f aca="false">IF(IF((C$3*10^12-$A50)*(C$3*10^12-$A49)*-1&lt;0,0,1)*IF(ABS(C$3*10^12-$A50)&gt;(C$3*10^12-$A49),$A49,$A50)=C50,0,IF((C$3*10^12-$A50)*(C$3*10^12-$A49)*-1&lt;0,0,1)*IF(ABS(C$3*10^12-$A50)&gt;(C$3*10^12-$A49),$A49,$A50))</f>
        <v>0</v>
      </c>
      <c r="D49" s="0" t="n">
        <f aca="false">IF(IF((D$3*10^12-$A50)*(D$3*10^12-$A49)*-1&lt;0,0,1)*IF(ABS(D$3*10^12-$A50)&gt;(D$3*10^12-$A49),$A49,$A50)=D50,0,IF((D$3*10^12-$A50)*(D$3*10^12-$A49)*-1&lt;0,0,1)*IF(ABS(D$3*10^12-$A50)&gt;(D$3*10^12-$A49),$A49,$A50))</f>
        <v>0</v>
      </c>
      <c r="E49" s="0" t="n">
        <f aca="false">IF(IF((E$3*10^12-$A50)*(E$3*10^12-$A49)*-1&lt;0,0,1)*IF(ABS(E$3*10^12-$A50)&gt;(E$3*10^12-$A49),$A49,$A50)=E50,0,IF((E$3*10^12-$A50)*(E$3*10^12-$A49)*-1&lt;0,0,1)*IF(ABS(E$3*10^12-$A50)&gt;(E$3*10^12-$A49),$A49,$A50))</f>
        <v>0</v>
      </c>
      <c r="F49" s="0" t="n">
        <f aca="false">IF(IF((F$3*10^12-$A50)*(F$3*10^12-$A49)*-1&lt;0,0,1)*IF(ABS(F$3*10^12-$A50)&gt;(F$3*10^12-$A49),$A49,$A50)=F50,0,IF((F$3*10^12-$A50)*(F$3*10^12-$A49)*-1&lt;0,0,1)*IF(ABS(F$3*10^12-$A50)&gt;(F$3*10^12-$A49),$A49,$A50))</f>
        <v>0</v>
      </c>
      <c r="G49" s="0" t="n">
        <f aca="false">IF(IF((G$3*10^12-$A50)*(G$3*10^12-$A49)*-1&lt;0,0,1)*IF(ABS(G$3*10^12-$A50)&gt;(G$3*10^12-$A49),$A49,$A50)=G50,0,IF((G$3*10^12-$A50)*(G$3*10^12-$A49)*-1&lt;0,0,1)*IF(ABS(G$3*10^12-$A50)&gt;(G$3*10^12-$A49),$A49,$A50))</f>
        <v>0</v>
      </c>
      <c r="H49" s="0" t="n">
        <f aca="false">IF(IF((H$3*10^12-$A50)*(H$3*10^12-$A49)*-1&lt;0,0,1)*IF(ABS(H$3*10^12-$A50)&gt;(H$3*10^12-$A49),$A49,$A50)=H50,0,IF((H$3*10^12-$A50)*(H$3*10^12-$A49)*-1&lt;0,0,1)*IF(ABS(H$3*10^12-$A50)&gt;(H$3*10^12-$A49),$A49,$A50))</f>
        <v>0</v>
      </c>
      <c r="I49" s="0" t="n">
        <f aca="false">IF(IF((I$3*10^12-$A50)*(I$3*10^12-$A49)*-1&lt;0,0,1)*IF(ABS(I$3*10^12-$A50)&gt;(I$3*10^12-$A49),$A49,$A50)=I50,0,IF((I$3*10^12-$A50)*(I$3*10^12-$A49)*-1&lt;0,0,1)*IF(ABS(I$3*10^12-$A50)&gt;(I$3*10^12-$A49),$A49,$A50))</f>
        <v>0</v>
      </c>
      <c r="J49" s="0" t="n">
        <f aca="false">IF(IF((J$3*10^12-$A50)*(J$3*10^12-$A49)*-1&lt;0,0,1)*IF(ABS(J$3*10^12-$A50)&gt;(J$3*10^12-$A49),$A49,$A50)=J50,0,IF((J$3*10^12-$A50)*(J$3*10^12-$A49)*-1&lt;0,0,1)*IF(ABS(J$3*10^12-$A50)&gt;(J$3*10^12-$A49),$A49,$A50))</f>
        <v>0</v>
      </c>
    </row>
    <row r="50" customFormat="false" ht="12.75" hidden="false" customHeight="false" outlineLevel="0" collapsed="false">
      <c r="A50" s="0" t="n">
        <f aca="false">A38*10</f>
        <v>2200</v>
      </c>
      <c r="B50" s="0" t="n">
        <f aca="false">IF(IF((B$3*10^12-$A51)*(B$3*10^12-$A50)*-1&lt;0,0,1)*IF(ABS(B$3*10^12-$A51)&gt;(B$3*10^12-$A50),$A50,$A51)=B51,0,IF((B$3*10^12-$A51)*(B$3*10^12-$A50)*-1&lt;0,0,1)*IF(ABS(B$3*10^12-$A51)&gt;(B$3*10^12-$A50),$A50,$A51))</f>
        <v>0</v>
      </c>
      <c r="C50" s="0" t="n">
        <f aca="false">IF(IF((C$3*10^12-$A51)*(C$3*10^12-$A50)*-1&lt;0,0,1)*IF(ABS(C$3*10^12-$A51)&gt;(C$3*10^12-$A50),$A50,$A51)=C51,0,IF((C$3*10^12-$A51)*(C$3*10^12-$A50)*-1&lt;0,0,1)*IF(ABS(C$3*10^12-$A51)&gt;(C$3*10^12-$A50),$A50,$A51))</f>
        <v>0</v>
      </c>
      <c r="D50" s="0" t="n">
        <f aca="false">IF(IF((D$3*10^12-$A51)*(D$3*10^12-$A50)*-1&lt;0,0,1)*IF(ABS(D$3*10^12-$A51)&gt;(D$3*10^12-$A50),$A50,$A51)=D51,0,IF((D$3*10^12-$A51)*(D$3*10^12-$A50)*-1&lt;0,0,1)*IF(ABS(D$3*10^12-$A51)&gt;(D$3*10^12-$A50),$A50,$A51))</f>
        <v>0</v>
      </c>
      <c r="E50" s="0" t="n">
        <f aca="false">IF(IF((E$3*10^12-$A51)*(E$3*10^12-$A50)*-1&lt;0,0,1)*IF(ABS(E$3*10^12-$A51)&gt;(E$3*10^12-$A50),$A50,$A51)=E51,0,IF((E$3*10^12-$A51)*(E$3*10^12-$A50)*-1&lt;0,0,1)*IF(ABS(E$3*10^12-$A51)&gt;(E$3*10^12-$A50),$A50,$A51))</f>
        <v>0</v>
      </c>
      <c r="F50" s="0" t="n">
        <f aca="false">IF(IF((F$3*10^12-$A51)*(F$3*10^12-$A50)*-1&lt;0,0,1)*IF(ABS(F$3*10^12-$A51)&gt;(F$3*10^12-$A50),$A50,$A51)=F51,0,IF((F$3*10^12-$A51)*(F$3*10^12-$A50)*-1&lt;0,0,1)*IF(ABS(F$3*10^12-$A51)&gt;(F$3*10^12-$A50),$A50,$A51))</f>
        <v>0</v>
      </c>
      <c r="G50" s="0" t="n">
        <f aca="false">IF(IF((G$3*10^12-$A51)*(G$3*10^12-$A50)*-1&lt;0,0,1)*IF(ABS(G$3*10^12-$A51)&gt;(G$3*10^12-$A50),$A50,$A51)=G51,0,IF((G$3*10^12-$A51)*(G$3*10^12-$A50)*-1&lt;0,0,1)*IF(ABS(G$3*10^12-$A51)&gt;(G$3*10^12-$A50),$A50,$A51))</f>
        <v>0</v>
      </c>
      <c r="H50" s="0" t="n">
        <f aca="false">IF(IF((H$3*10^12-$A51)*(H$3*10^12-$A50)*-1&lt;0,0,1)*IF(ABS(H$3*10^12-$A51)&gt;(H$3*10^12-$A50),$A50,$A51)=H51,0,IF((H$3*10^12-$A51)*(H$3*10^12-$A50)*-1&lt;0,0,1)*IF(ABS(H$3*10^12-$A51)&gt;(H$3*10^12-$A50),$A50,$A51))</f>
        <v>0</v>
      </c>
      <c r="I50" s="0" t="n">
        <f aca="false">IF(IF((I$3*10^12-$A51)*(I$3*10^12-$A50)*-1&lt;0,0,1)*IF(ABS(I$3*10^12-$A51)&gt;(I$3*10^12-$A50),$A50,$A51)=I51,0,IF((I$3*10^12-$A51)*(I$3*10^12-$A50)*-1&lt;0,0,1)*IF(ABS(I$3*10^12-$A51)&gt;(I$3*10^12-$A50),$A50,$A51))</f>
        <v>0</v>
      </c>
      <c r="J50" s="0" t="n">
        <f aca="false">IF(IF((J$3*10^12-$A51)*(J$3*10^12-$A50)*-1&lt;0,0,1)*IF(ABS(J$3*10^12-$A51)&gt;(J$3*10^12-$A50),$A50,$A51)=J51,0,IF((J$3*10^12-$A51)*(J$3*10^12-$A50)*-1&lt;0,0,1)*IF(ABS(J$3*10^12-$A51)&gt;(J$3*10^12-$A50),$A50,$A51))</f>
        <v>0</v>
      </c>
    </row>
    <row r="51" customFormat="false" ht="12.75" hidden="false" customHeight="false" outlineLevel="0" collapsed="false">
      <c r="A51" s="0" t="n">
        <f aca="false">A39*10</f>
        <v>2700</v>
      </c>
      <c r="B51" s="0" t="n">
        <f aca="false">IF(IF((B$3*10^12-$A52)*(B$3*10^12-$A51)*-1&lt;0,0,1)*IF(ABS(B$3*10^12-$A52)&gt;(B$3*10^12-$A51),$A51,$A52)=B52,0,IF((B$3*10^12-$A52)*(B$3*10^12-$A51)*-1&lt;0,0,1)*IF(ABS(B$3*10^12-$A52)&gt;(B$3*10^12-$A51),$A51,$A52))</f>
        <v>0</v>
      </c>
      <c r="C51" s="0" t="n">
        <f aca="false">IF(IF((C$3*10^12-$A52)*(C$3*10^12-$A51)*-1&lt;0,0,1)*IF(ABS(C$3*10^12-$A52)&gt;(C$3*10^12-$A51),$A51,$A52)=C52,0,IF((C$3*10^12-$A52)*(C$3*10^12-$A51)*-1&lt;0,0,1)*IF(ABS(C$3*10^12-$A52)&gt;(C$3*10^12-$A51),$A51,$A52))</f>
        <v>0</v>
      </c>
      <c r="D51" s="0" t="n">
        <f aca="false">IF(IF((D$3*10^12-$A52)*(D$3*10^12-$A51)*-1&lt;0,0,1)*IF(ABS(D$3*10^12-$A52)&gt;(D$3*10^12-$A51),$A51,$A52)=D52,0,IF((D$3*10^12-$A52)*(D$3*10^12-$A51)*-1&lt;0,0,1)*IF(ABS(D$3*10^12-$A52)&gt;(D$3*10^12-$A51),$A51,$A52))</f>
        <v>0</v>
      </c>
      <c r="E51" s="0" t="n">
        <f aca="false">IF(IF((E$3*10^12-$A52)*(E$3*10^12-$A51)*-1&lt;0,0,1)*IF(ABS(E$3*10^12-$A52)&gt;(E$3*10^12-$A51),$A51,$A52)=E52,0,IF((E$3*10^12-$A52)*(E$3*10^12-$A51)*-1&lt;0,0,1)*IF(ABS(E$3*10^12-$A52)&gt;(E$3*10^12-$A51),$A51,$A52))</f>
        <v>0</v>
      </c>
      <c r="F51" s="0" t="n">
        <f aca="false">IF(IF((F$3*10^12-$A52)*(F$3*10^12-$A51)*-1&lt;0,0,1)*IF(ABS(F$3*10^12-$A52)&gt;(F$3*10^12-$A51),$A51,$A52)=F52,0,IF((F$3*10^12-$A52)*(F$3*10^12-$A51)*-1&lt;0,0,1)*IF(ABS(F$3*10^12-$A52)&gt;(F$3*10^12-$A51),$A51,$A52))</f>
        <v>0</v>
      </c>
      <c r="G51" s="0" t="n">
        <f aca="false">IF(IF((G$3*10^12-$A52)*(G$3*10^12-$A51)*-1&lt;0,0,1)*IF(ABS(G$3*10^12-$A52)&gt;(G$3*10^12-$A51),$A51,$A52)=G52,0,IF((G$3*10^12-$A52)*(G$3*10^12-$A51)*-1&lt;0,0,1)*IF(ABS(G$3*10^12-$A52)&gt;(G$3*10^12-$A51),$A51,$A52))</f>
        <v>0</v>
      </c>
      <c r="H51" s="0" t="n">
        <f aca="false">IF(IF((H$3*10^12-$A52)*(H$3*10^12-$A51)*-1&lt;0,0,1)*IF(ABS(H$3*10^12-$A52)&gt;(H$3*10^12-$A51),$A51,$A52)=H52,0,IF((H$3*10^12-$A52)*(H$3*10^12-$A51)*-1&lt;0,0,1)*IF(ABS(H$3*10^12-$A52)&gt;(H$3*10^12-$A51),$A51,$A52))</f>
        <v>0</v>
      </c>
      <c r="I51" s="0" t="n">
        <f aca="false">IF(IF((I$3*10^12-$A52)*(I$3*10^12-$A51)*-1&lt;0,0,1)*IF(ABS(I$3*10^12-$A52)&gt;(I$3*10^12-$A51),$A51,$A52)=I52,0,IF((I$3*10^12-$A52)*(I$3*10^12-$A51)*-1&lt;0,0,1)*IF(ABS(I$3*10^12-$A52)&gt;(I$3*10^12-$A51),$A51,$A52))</f>
        <v>0</v>
      </c>
      <c r="J51" s="0" t="n">
        <f aca="false">IF(IF((J$3*10^12-$A52)*(J$3*10^12-$A51)*-1&lt;0,0,1)*IF(ABS(J$3*10^12-$A52)&gt;(J$3*10^12-$A51),$A51,$A52)=J52,0,IF((J$3*10^12-$A52)*(J$3*10^12-$A51)*-1&lt;0,0,1)*IF(ABS(J$3*10^12-$A52)&gt;(J$3*10^12-$A51),$A51,$A52))</f>
        <v>0</v>
      </c>
    </row>
    <row r="52" customFormat="false" ht="12.75" hidden="false" customHeight="false" outlineLevel="0" collapsed="false">
      <c r="A52" s="0" t="n">
        <f aca="false">A40*10</f>
        <v>3300</v>
      </c>
      <c r="B52" s="0" t="n">
        <f aca="false">IF(IF((B$3*10^12-$A53)*(B$3*10^12-$A52)*-1&lt;0,0,1)*IF(ABS(B$3*10^12-$A53)&gt;(B$3*10^12-$A52),$A52,$A53)=B53,0,IF((B$3*10^12-$A53)*(B$3*10^12-$A52)*-1&lt;0,0,1)*IF(ABS(B$3*10^12-$A53)&gt;(B$3*10^12-$A52),$A52,$A53))</f>
        <v>0</v>
      </c>
      <c r="C52" s="0" t="n">
        <f aca="false">IF(IF((C$3*10^12-$A53)*(C$3*10^12-$A52)*-1&lt;0,0,1)*IF(ABS(C$3*10^12-$A53)&gt;(C$3*10^12-$A52),$A52,$A53)=C53,0,IF((C$3*10^12-$A53)*(C$3*10^12-$A52)*-1&lt;0,0,1)*IF(ABS(C$3*10^12-$A53)&gt;(C$3*10^12-$A52),$A52,$A53))</f>
        <v>0</v>
      </c>
      <c r="D52" s="0" t="n">
        <f aca="false">IF(IF((D$3*10^12-$A53)*(D$3*10^12-$A52)*-1&lt;0,0,1)*IF(ABS(D$3*10^12-$A53)&gt;(D$3*10^12-$A52),$A52,$A53)=D53,0,IF((D$3*10^12-$A53)*(D$3*10^12-$A52)*-1&lt;0,0,1)*IF(ABS(D$3*10^12-$A53)&gt;(D$3*10^12-$A52),$A52,$A53))</f>
        <v>0</v>
      </c>
      <c r="E52" s="0" t="n">
        <f aca="false">IF(IF((E$3*10^12-$A53)*(E$3*10^12-$A52)*-1&lt;0,0,1)*IF(ABS(E$3*10^12-$A53)&gt;(E$3*10^12-$A52),$A52,$A53)=E53,0,IF((E$3*10^12-$A53)*(E$3*10^12-$A52)*-1&lt;0,0,1)*IF(ABS(E$3*10^12-$A53)&gt;(E$3*10^12-$A52),$A52,$A53))</f>
        <v>0</v>
      </c>
      <c r="F52" s="0" t="n">
        <f aca="false">IF(IF((F$3*10^12-$A53)*(F$3*10^12-$A52)*-1&lt;0,0,1)*IF(ABS(F$3*10^12-$A53)&gt;(F$3*10^12-$A52),$A52,$A53)=F53,0,IF((F$3*10^12-$A53)*(F$3*10^12-$A52)*-1&lt;0,0,1)*IF(ABS(F$3*10^12-$A53)&gt;(F$3*10^12-$A52),$A52,$A53))</f>
        <v>0</v>
      </c>
      <c r="G52" s="0" t="n">
        <f aca="false">IF(IF((G$3*10^12-$A53)*(G$3*10^12-$A52)*-1&lt;0,0,1)*IF(ABS(G$3*10^12-$A53)&gt;(G$3*10^12-$A52),$A52,$A53)=G53,0,IF((G$3*10^12-$A53)*(G$3*10^12-$A52)*-1&lt;0,0,1)*IF(ABS(G$3*10^12-$A53)&gt;(G$3*10^12-$A52),$A52,$A53))</f>
        <v>0</v>
      </c>
      <c r="H52" s="0" t="n">
        <f aca="false">IF(IF((H$3*10^12-$A53)*(H$3*10^12-$A52)*-1&lt;0,0,1)*IF(ABS(H$3*10^12-$A53)&gt;(H$3*10^12-$A52),$A52,$A53)=H53,0,IF((H$3*10^12-$A53)*(H$3*10^12-$A52)*-1&lt;0,0,1)*IF(ABS(H$3*10^12-$A53)&gt;(H$3*10^12-$A52),$A52,$A53))</f>
        <v>0</v>
      </c>
      <c r="I52" s="0" t="n">
        <f aca="false">IF(IF((I$3*10^12-$A53)*(I$3*10^12-$A52)*-1&lt;0,0,1)*IF(ABS(I$3*10^12-$A53)&gt;(I$3*10^12-$A52),$A52,$A53)=I53,0,IF((I$3*10^12-$A53)*(I$3*10^12-$A52)*-1&lt;0,0,1)*IF(ABS(I$3*10^12-$A53)&gt;(I$3*10^12-$A52),$A52,$A53))</f>
        <v>0</v>
      </c>
      <c r="J52" s="0" t="n">
        <f aca="false">IF(IF((J$3*10^12-$A53)*(J$3*10^12-$A52)*-1&lt;0,0,1)*IF(ABS(J$3*10^12-$A53)&gt;(J$3*10^12-$A52),$A52,$A53)=J53,0,IF((J$3*10^12-$A53)*(J$3*10^12-$A52)*-1&lt;0,0,1)*IF(ABS(J$3*10^12-$A53)&gt;(J$3*10^12-$A52),$A52,$A53))</f>
        <v>0</v>
      </c>
    </row>
    <row r="53" customFormat="false" ht="12.75" hidden="false" customHeight="false" outlineLevel="0" collapsed="false">
      <c r="A53" s="0" t="n">
        <f aca="false">A41*10</f>
        <v>3900</v>
      </c>
      <c r="B53" s="0" t="n">
        <f aca="false">IF(IF((B$3*10^12-$A54)*(B$3*10^12-$A53)*-1&lt;0,0,1)*IF(ABS(B$3*10^12-$A54)&gt;(B$3*10^12-$A53),$A53,$A54)=B54,0,IF((B$3*10^12-$A54)*(B$3*10^12-$A53)*-1&lt;0,0,1)*IF(ABS(B$3*10^12-$A54)&gt;(B$3*10^12-$A53),$A53,$A54))</f>
        <v>0</v>
      </c>
      <c r="C53" s="0" t="n">
        <f aca="false">IF(IF((C$3*10^12-$A54)*(C$3*10^12-$A53)*-1&lt;0,0,1)*IF(ABS(C$3*10^12-$A54)&gt;(C$3*10^12-$A53),$A53,$A54)=C54,0,IF((C$3*10^12-$A54)*(C$3*10^12-$A53)*-1&lt;0,0,1)*IF(ABS(C$3*10^12-$A54)&gt;(C$3*10^12-$A53),$A53,$A54))</f>
        <v>0</v>
      </c>
      <c r="D53" s="0" t="n">
        <f aca="false">IF(IF((D$3*10^12-$A54)*(D$3*10^12-$A53)*-1&lt;0,0,1)*IF(ABS(D$3*10^12-$A54)&gt;(D$3*10^12-$A53),$A53,$A54)=D54,0,IF((D$3*10^12-$A54)*(D$3*10^12-$A53)*-1&lt;0,0,1)*IF(ABS(D$3*10^12-$A54)&gt;(D$3*10^12-$A53),$A53,$A54))</f>
        <v>0</v>
      </c>
      <c r="E53" s="0" t="n">
        <f aca="false">IF(IF((E$3*10^12-$A54)*(E$3*10^12-$A53)*-1&lt;0,0,1)*IF(ABS(E$3*10^12-$A54)&gt;(E$3*10^12-$A53),$A53,$A54)=E54,0,IF((E$3*10^12-$A54)*(E$3*10^12-$A53)*-1&lt;0,0,1)*IF(ABS(E$3*10^12-$A54)&gt;(E$3*10^12-$A53),$A53,$A54))</f>
        <v>0</v>
      </c>
      <c r="F53" s="0" t="n">
        <f aca="false">IF(IF((F$3*10^12-$A54)*(F$3*10^12-$A53)*-1&lt;0,0,1)*IF(ABS(F$3*10^12-$A54)&gt;(F$3*10^12-$A53),$A53,$A54)=F54,0,IF((F$3*10^12-$A54)*(F$3*10^12-$A53)*-1&lt;0,0,1)*IF(ABS(F$3*10^12-$A54)&gt;(F$3*10^12-$A53),$A53,$A54))</f>
        <v>0</v>
      </c>
      <c r="G53" s="0" t="n">
        <f aca="false">IF(IF((G$3*10^12-$A54)*(G$3*10^12-$A53)*-1&lt;0,0,1)*IF(ABS(G$3*10^12-$A54)&gt;(G$3*10^12-$A53),$A53,$A54)=G54,0,IF((G$3*10^12-$A54)*(G$3*10^12-$A53)*-1&lt;0,0,1)*IF(ABS(G$3*10^12-$A54)&gt;(G$3*10^12-$A53),$A53,$A54))</f>
        <v>0</v>
      </c>
      <c r="H53" s="0" t="n">
        <f aca="false">IF(IF((H$3*10^12-$A54)*(H$3*10^12-$A53)*-1&lt;0,0,1)*IF(ABS(H$3*10^12-$A54)&gt;(H$3*10^12-$A53),$A53,$A54)=H54,0,IF((H$3*10^12-$A54)*(H$3*10^12-$A53)*-1&lt;0,0,1)*IF(ABS(H$3*10^12-$A54)&gt;(H$3*10^12-$A53),$A53,$A54))</f>
        <v>0</v>
      </c>
      <c r="I53" s="0" t="n">
        <f aca="false">IF(IF((I$3*10^12-$A54)*(I$3*10^12-$A53)*-1&lt;0,0,1)*IF(ABS(I$3*10^12-$A54)&gt;(I$3*10^12-$A53),$A53,$A54)=I54,0,IF((I$3*10^12-$A54)*(I$3*10^12-$A53)*-1&lt;0,0,1)*IF(ABS(I$3*10^12-$A54)&gt;(I$3*10^12-$A53),$A53,$A54))</f>
        <v>0</v>
      </c>
      <c r="J53" s="0" t="n">
        <f aca="false">IF(IF((J$3*10^12-$A54)*(J$3*10^12-$A53)*-1&lt;0,0,1)*IF(ABS(J$3*10^12-$A54)&gt;(J$3*10^12-$A53),$A53,$A54)=J54,0,IF((J$3*10^12-$A54)*(J$3*10^12-$A53)*-1&lt;0,0,1)*IF(ABS(J$3*10^12-$A54)&gt;(J$3*10^12-$A53),$A53,$A54))</f>
        <v>0</v>
      </c>
    </row>
    <row r="54" customFormat="false" ht="12.75" hidden="false" customHeight="false" outlineLevel="0" collapsed="false">
      <c r="A54" s="0" t="n">
        <f aca="false">A42*10</f>
        <v>4700</v>
      </c>
      <c r="B54" s="0" t="n">
        <f aca="false">IF(IF((B$3*10^12-$A55)*(B$3*10^12-$A54)*-1&lt;0,0,1)*IF(ABS(B$3*10^12-$A55)&gt;(B$3*10^12-$A54),$A54,$A55)=B55,0,IF((B$3*10^12-$A55)*(B$3*10^12-$A54)*-1&lt;0,0,1)*IF(ABS(B$3*10^12-$A55)&gt;(B$3*10^12-$A54),$A54,$A55))</f>
        <v>0</v>
      </c>
      <c r="C54" s="0" t="n">
        <f aca="false">IF(IF((C$3*10^12-$A55)*(C$3*10^12-$A54)*-1&lt;0,0,1)*IF(ABS(C$3*10^12-$A55)&gt;(C$3*10^12-$A54),$A54,$A55)=C55,0,IF((C$3*10^12-$A55)*(C$3*10^12-$A54)*-1&lt;0,0,1)*IF(ABS(C$3*10^12-$A55)&gt;(C$3*10^12-$A54),$A54,$A55))</f>
        <v>0</v>
      </c>
      <c r="D54" s="0" t="n">
        <f aca="false">IF(IF((D$3*10^12-$A55)*(D$3*10^12-$A54)*-1&lt;0,0,1)*IF(ABS(D$3*10^12-$A55)&gt;(D$3*10^12-$A54),$A54,$A55)=D55,0,IF((D$3*10^12-$A55)*(D$3*10^12-$A54)*-1&lt;0,0,1)*IF(ABS(D$3*10^12-$A55)&gt;(D$3*10^12-$A54),$A54,$A55))</f>
        <v>0</v>
      </c>
      <c r="E54" s="0" t="n">
        <f aca="false">IF(IF((E$3*10^12-$A55)*(E$3*10^12-$A54)*-1&lt;0,0,1)*IF(ABS(E$3*10^12-$A55)&gt;(E$3*10^12-$A54),$A54,$A55)=E55,0,IF((E$3*10^12-$A55)*(E$3*10^12-$A54)*-1&lt;0,0,1)*IF(ABS(E$3*10^12-$A55)&gt;(E$3*10^12-$A54),$A54,$A55))</f>
        <v>0</v>
      </c>
      <c r="F54" s="0" t="n">
        <f aca="false">IF(IF((F$3*10^12-$A55)*(F$3*10^12-$A54)*-1&lt;0,0,1)*IF(ABS(F$3*10^12-$A55)&gt;(F$3*10^12-$A54),$A54,$A55)=F55,0,IF((F$3*10^12-$A55)*(F$3*10^12-$A54)*-1&lt;0,0,1)*IF(ABS(F$3*10^12-$A55)&gt;(F$3*10^12-$A54),$A54,$A55))</f>
        <v>0</v>
      </c>
      <c r="G54" s="0" t="n">
        <f aca="false">IF(IF((G$3*10^12-$A55)*(G$3*10^12-$A54)*-1&lt;0,0,1)*IF(ABS(G$3*10^12-$A55)&gt;(G$3*10^12-$A54),$A54,$A55)=G55,0,IF((G$3*10^12-$A55)*(G$3*10^12-$A54)*-1&lt;0,0,1)*IF(ABS(G$3*10^12-$A55)&gt;(G$3*10^12-$A54),$A54,$A55))</f>
        <v>0</v>
      </c>
      <c r="H54" s="0" t="n">
        <f aca="false">IF(IF((H$3*10^12-$A55)*(H$3*10^12-$A54)*-1&lt;0,0,1)*IF(ABS(H$3*10^12-$A55)&gt;(H$3*10^12-$A54),$A54,$A55)=H55,0,IF((H$3*10^12-$A55)*(H$3*10^12-$A54)*-1&lt;0,0,1)*IF(ABS(H$3*10^12-$A55)&gt;(H$3*10^12-$A54),$A54,$A55))</f>
        <v>0</v>
      </c>
      <c r="I54" s="0" t="n">
        <f aca="false">IF(IF((I$3*10^12-$A55)*(I$3*10^12-$A54)*-1&lt;0,0,1)*IF(ABS(I$3*10^12-$A55)&gt;(I$3*10^12-$A54),$A54,$A55)=I55,0,IF((I$3*10^12-$A55)*(I$3*10^12-$A54)*-1&lt;0,0,1)*IF(ABS(I$3*10^12-$A55)&gt;(I$3*10^12-$A54),$A54,$A55))</f>
        <v>0</v>
      </c>
      <c r="J54" s="0" t="n">
        <f aca="false">IF(IF((J$3*10^12-$A55)*(J$3*10^12-$A54)*-1&lt;0,0,1)*IF(ABS(J$3*10^12-$A55)&gt;(J$3*10^12-$A54),$A54,$A55)=J55,0,IF((J$3*10^12-$A55)*(J$3*10^12-$A54)*-1&lt;0,0,1)*IF(ABS(J$3*10^12-$A55)&gt;(J$3*10^12-$A54),$A54,$A55))</f>
        <v>0</v>
      </c>
    </row>
    <row r="55" customFormat="false" ht="12.75" hidden="false" customHeight="false" outlineLevel="0" collapsed="false">
      <c r="A55" s="0" t="n">
        <f aca="false">A43*10</f>
        <v>5600</v>
      </c>
      <c r="B55" s="0" t="n">
        <f aca="false">IF(IF((B$3*10^12-$A56)*(B$3*10^12-$A55)*-1&lt;0,0,1)*IF(ABS(B$3*10^12-$A56)&gt;(B$3*10^12-$A55),$A55,$A56)=B56,0,IF((B$3*10^12-$A56)*(B$3*10^12-$A55)*-1&lt;0,0,1)*IF(ABS(B$3*10^12-$A56)&gt;(B$3*10^12-$A55),$A55,$A56))</f>
        <v>0</v>
      </c>
      <c r="C55" s="0" t="n">
        <f aca="false">IF(IF((C$3*10^12-$A56)*(C$3*10^12-$A55)*-1&lt;0,0,1)*IF(ABS(C$3*10^12-$A56)&gt;(C$3*10^12-$A55),$A55,$A56)=C56,0,IF((C$3*10^12-$A56)*(C$3*10^12-$A55)*-1&lt;0,0,1)*IF(ABS(C$3*10^12-$A56)&gt;(C$3*10^12-$A55),$A55,$A56))</f>
        <v>0</v>
      </c>
      <c r="D55" s="0" t="n">
        <f aca="false">IF(IF((D$3*10^12-$A56)*(D$3*10^12-$A55)*-1&lt;0,0,1)*IF(ABS(D$3*10^12-$A56)&gt;(D$3*10^12-$A55),$A55,$A56)=D56,0,IF((D$3*10^12-$A56)*(D$3*10^12-$A55)*-1&lt;0,0,1)*IF(ABS(D$3*10^12-$A56)&gt;(D$3*10^12-$A55),$A55,$A56))</f>
        <v>0</v>
      </c>
      <c r="E55" s="0" t="n">
        <f aca="false">IF(IF((E$3*10^12-$A56)*(E$3*10^12-$A55)*-1&lt;0,0,1)*IF(ABS(E$3*10^12-$A56)&gt;(E$3*10^12-$A55),$A55,$A56)=E56,0,IF((E$3*10^12-$A56)*(E$3*10^12-$A55)*-1&lt;0,0,1)*IF(ABS(E$3*10^12-$A56)&gt;(E$3*10^12-$A55),$A55,$A56))</f>
        <v>0</v>
      </c>
      <c r="F55" s="0" t="n">
        <f aca="false">IF(IF((F$3*10^12-$A56)*(F$3*10^12-$A55)*-1&lt;0,0,1)*IF(ABS(F$3*10^12-$A56)&gt;(F$3*10^12-$A55),$A55,$A56)=F56,0,IF((F$3*10^12-$A56)*(F$3*10^12-$A55)*-1&lt;0,0,1)*IF(ABS(F$3*10^12-$A56)&gt;(F$3*10^12-$A55),$A55,$A56))</f>
        <v>0</v>
      </c>
      <c r="G55" s="0" t="n">
        <f aca="false">IF(IF((G$3*10^12-$A56)*(G$3*10^12-$A55)*-1&lt;0,0,1)*IF(ABS(G$3*10^12-$A56)&gt;(G$3*10^12-$A55),$A55,$A56)=G56,0,IF((G$3*10^12-$A56)*(G$3*10^12-$A55)*-1&lt;0,0,1)*IF(ABS(G$3*10^12-$A56)&gt;(G$3*10^12-$A55),$A55,$A56))</f>
        <v>0</v>
      </c>
      <c r="H55" s="0" t="n">
        <f aca="false">IF(IF((H$3*10^12-$A56)*(H$3*10^12-$A55)*-1&lt;0,0,1)*IF(ABS(H$3*10^12-$A56)&gt;(H$3*10^12-$A55),$A55,$A56)=H56,0,IF((H$3*10^12-$A56)*(H$3*10^12-$A55)*-1&lt;0,0,1)*IF(ABS(H$3*10^12-$A56)&gt;(H$3*10^12-$A55),$A55,$A56))</f>
        <v>0</v>
      </c>
      <c r="I55" s="0" t="n">
        <f aca="false">IF(IF((I$3*10^12-$A56)*(I$3*10^12-$A55)*-1&lt;0,0,1)*IF(ABS(I$3*10^12-$A56)&gt;(I$3*10^12-$A55),$A55,$A56)=I56,0,IF((I$3*10^12-$A56)*(I$3*10^12-$A55)*-1&lt;0,0,1)*IF(ABS(I$3*10^12-$A56)&gt;(I$3*10^12-$A55),$A55,$A56))</f>
        <v>0</v>
      </c>
      <c r="J55" s="0" t="n">
        <f aca="false">IF(IF((J$3*10^12-$A56)*(J$3*10^12-$A55)*-1&lt;0,0,1)*IF(ABS(J$3*10^12-$A56)&gt;(J$3*10^12-$A55),$A55,$A56)=J56,0,IF((J$3*10^12-$A56)*(J$3*10^12-$A55)*-1&lt;0,0,1)*IF(ABS(J$3*10^12-$A56)&gt;(J$3*10^12-$A55),$A55,$A56))</f>
        <v>0</v>
      </c>
    </row>
    <row r="56" customFormat="false" ht="12.75" hidden="false" customHeight="false" outlineLevel="0" collapsed="false">
      <c r="A56" s="0" t="n">
        <f aca="false">A44*10</f>
        <v>6800</v>
      </c>
      <c r="B56" s="0" t="n">
        <f aca="false">IF(IF((B$3*10^12-$A57)*(B$3*10^12-$A56)*-1&lt;0,0,1)*IF(ABS(B$3*10^12-$A57)&gt;(B$3*10^12-$A56),$A56,$A57)=B57,0,IF((B$3*10^12-$A57)*(B$3*10^12-$A56)*-1&lt;0,0,1)*IF(ABS(B$3*10^12-$A57)&gt;(B$3*10^12-$A56),$A56,$A57))</f>
        <v>0</v>
      </c>
      <c r="C56" s="0" t="n">
        <f aca="false">IF(IF((C$3*10^12-$A57)*(C$3*10^12-$A56)*-1&lt;0,0,1)*IF(ABS(C$3*10^12-$A57)&gt;(C$3*10^12-$A56),$A56,$A57)=C57,0,IF((C$3*10^12-$A57)*(C$3*10^12-$A56)*-1&lt;0,0,1)*IF(ABS(C$3*10^12-$A57)&gt;(C$3*10^12-$A56),$A56,$A57))</f>
        <v>0</v>
      </c>
      <c r="D56" s="0" t="n">
        <f aca="false">IF(IF((D$3*10^12-$A57)*(D$3*10^12-$A56)*-1&lt;0,0,1)*IF(ABS(D$3*10^12-$A57)&gt;(D$3*10^12-$A56),$A56,$A57)=D57,0,IF((D$3*10^12-$A57)*(D$3*10^12-$A56)*-1&lt;0,0,1)*IF(ABS(D$3*10^12-$A57)&gt;(D$3*10^12-$A56),$A56,$A57))</f>
        <v>0</v>
      </c>
      <c r="E56" s="0" t="n">
        <f aca="false">IF(IF((E$3*10^12-$A57)*(E$3*10^12-$A56)*-1&lt;0,0,1)*IF(ABS(E$3*10^12-$A57)&gt;(E$3*10^12-$A56),$A56,$A57)=E57,0,IF((E$3*10^12-$A57)*(E$3*10^12-$A56)*-1&lt;0,0,1)*IF(ABS(E$3*10^12-$A57)&gt;(E$3*10^12-$A56),$A56,$A57))</f>
        <v>0</v>
      </c>
      <c r="F56" s="0" t="n">
        <f aca="false">IF(IF((F$3*10^12-$A57)*(F$3*10^12-$A56)*-1&lt;0,0,1)*IF(ABS(F$3*10^12-$A57)&gt;(F$3*10^12-$A56),$A56,$A57)=F57,0,IF((F$3*10^12-$A57)*(F$3*10^12-$A56)*-1&lt;0,0,1)*IF(ABS(F$3*10^12-$A57)&gt;(F$3*10^12-$A56),$A56,$A57))</f>
        <v>0</v>
      </c>
      <c r="G56" s="0" t="n">
        <f aca="false">IF(IF((G$3*10^12-$A57)*(G$3*10^12-$A56)*-1&lt;0,0,1)*IF(ABS(G$3*10^12-$A57)&gt;(G$3*10^12-$A56),$A56,$A57)=G57,0,IF((G$3*10^12-$A57)*(G$3*10^12-$A56)*-1&lt;0,0,1)*IF(ABS(G$3*10^12-$A57)&gt;(G$3*10^12-$A56),$A56,$A57))</f>
        <v>0</v>
      </c>
      <c r="H56" s="0" t="n">
        <f aca="false">IF(IF((H$3*10^12-$A57)*(H$3*10^12-$A56)*-1&lt;0,0,1)*IF(ABS(H$3*10^12-$A57)&gt;(H$3*10^12-$A56),$A56,$A57)=H57,0,IF((H$3*10^12-$A57)*(H$3*10^12-$A56)*-1&lt;0,0,1)*IF(ABS(H$3*10^12-$A57)&gt;(H$3*10^12-$A56),$A56,$A57))</f>
        <v>0</v>
      </c>
      <c r="I56" s="0" t="n">
        <f aca="false">IF(IF((I$3*10^12-$A57)*(I$3*10^12-$A56)*-1&lt;0,0,1)*IF(ABS(I$3*10^12-$A57)&gt;(I$3*10^12-$A56),$A56,$A57)=I57,0,IF((I$3*10^12-$A57)*(I$3*10^12-$A56)*-1&lt;0,0,1)*IF(ABS(I$3*10^12-$A57)&gt;(I$3*10^12-$A56),$A56,$A57))</f>
        <v>0</v>
      </c>
      <c r="J56" s="0" t="n">
        <f aca="false">IF(IF((J$3*10^12-$A57)*(J$3*10^12-$A56)*-1&lt;0,0,1)*IF(ABS(J$3*10^12-$A57)&gt;(J$3*10^12-$A56),$A56,$A57)=J57,0,IF((J$3*10^12-$A57)*(J$3*10^12-$A56)*-1&lt;0,0,1)*IF(ABS(J$3*10^12-$A57)&gt;(J$3*10^12-$A56),$A56,$A57))</f>
        <v>0</v>
      </c>
    </row>
    <row r="57" customFormat="false" ht="12.75" hidden="false" customHeight="false" outlineLevel="0" collapsed="false">
      <c r="A57" s="0" t="n">
        <f aca="false">A45*10</f>
        <v>8200</v>
      </c>
      <c r="B57" s="0" t="n">
        <f aca="false">IF(IF((B$3*10^12-$A58)*(B$3*10^12-$A57)*-1&lt;0,0,1)*IF(ABS(B$3*10^12-$A58)&gt;(B$3*10^12-$A57),$A57,$A58)=B58,0,IF((B$3*10^12-$A58)*(B$3*10^12-$A57)*-1&lt;0,0,1)*IF(ABS(B$3*10^12-$A58)&gt;(B$3*10^12-$A57),$A57,$A58))</f>
        <v>0</v>
      </c>
      <c r="C57" s="0" t="n">
        <f aca="false">IF(IF((C$3*10^12-$A58)*(C$3*10^12-$A57)*-1&lt;0,0,1)*IF(ABS(C$3*10^12-$A58)&gt;(C$3*10^12-$A57),$A57,$A58)=C58,0,IF((C$3*10^12-$A58)*(C$3*10^12-$A57)*-1&lt;0,0,1)*IF(ABS(C$3*10^12-$A58)&gt;(C$3*10^12-$A57),$A57,$A58))</f>
        <v>0</v>
      </c>
      <c r="D57" s="0" t="n">
        <f aca="false">IF(IF((D$3*10^12-$A58)*(D$3*10^12-$A57)*-1&lt;0,0,1)*IF(ABS(D$3*10^12-$A58)&gt;(D$3*10^12-$A57),$A57,$A58)=D58,0,IF((D$3*10^12-$A58)*(D$3*10^12-$A57)*-1&lt;0,0,1)*IF(ABS(D$3*10^12-$A58)&gt;(D$3*10^12-$A57),$A57,$A58))</f>
        <v>0</v>
      </c>
      <c r="E57" s="0" t="n">
        <f aca="false">IF(IF((E$3*10^12-$A58)*(E$3*10^12-$A57)*-1&lt;0,0,1)*IF(ABS(E$3*10^12-$A58)&gt;(E$3*10^12-$A57),$A57,$A58)=E58,0,IF((E$3*10^12-$A58)*(E$3*10^12-$A57)*-1&lt;0,0,1)*IF(ABS(E$3*10^12-$A58)&gt;(E$3*10^12-$A57),$A57,$A58))</f>
        <v>0</v>
      </c>
      <c r="F57" s="0" t="n">
        <f aca="false">IF(IF((F$3*10^12-$A58)*(F$3*10^12-$A57)*-1&lt;0,0,1)*IF(ABS(F$3*10^12-$A58)&gt;(F$3*10^12-$A57),$A57,$A58)=F58,0,IF((F$3*10^12-$A58)*(F$3*10^12-$A57)*-1&lt;0,0,1)*IF(ABS(F$3*10^12-$A58)&gt;(F$3*10^12-$A57),$A57,$A58))</f>
        <v>0</v>
      </c>
      <c r="G57" s="0" t="n">
        <f aca="false">IF(IF((G$3*10^12-$A58)*(G$3*10^12-$A57)*-1&lt;0,0,1)*IF(ABS(G$3*10^12-$A58)&gt;(G$3*10^12-$A57),$A57,$A58)=G58,0,IF((G$3*10^12-$A58)*(G$3*10^12-$A57)*-1&lt;0,0,1)*IF(ABS(G$3*10^12-$A58)&gt;(G$3*10^12-$A57),$A57,$A58))</f>
        <v>0</v>
      </c>
      <c r="H57" s="0" t="n">
        <f aca="false">IF(IF((H$3*10^12-$A58)*(H$3*10^12-$A57)*-1&lt;0,0,1)*IF(ABS(H$3*10^12-$A58)&gt;(H$3*10^12-$A57),$A57,$A58)=H58,0,IF((H$3*10^12-$A58)*(H$3*10^12-$A57)*-1&lt;0,0,1)*IF(ABS(H$3*10^12-$A58)&gt;(H$3*10^12-$A57),$A57,$A58))</f>
        <v>0</v>
      </c>
      <c r="I57" s="0" t="n">
        <f aca="false">IF(IF((I$3*10^12-$A58)*(I$3*10^12-$A57)*-1&lt;0,0,1)*IF(ABS(I$3*10^12-$A58)&gt;(I$3*10^12-$A57),$A57,$A58)=I58,0,IF((I$3*10^12-$A58)*(I$3*10^12-$A57)*-1&lt;0,0,1)*IF(ABS(I$3*10^12-$A58)&gt;(I$3*10^12-$A57),$A57,$A58))</f>
        <v>0</v>
      </c>
      <c r="J57" s="0" t="n">
        <f aca="false">IF(IF((J$3*10^12-$A58)*(J$3*10^12-$A57)*-1&lt;0,0,1)*IF(ABS(J$3*10^12-$A58)&gt;(J$3*10^12-$A57),$A57,$A58)=J58,0,IF((J$3*10^12-$A58)*(J$3*10^12-$A57)*-1&lt;0,0,1)*IF(ABS(J$3*10^12-$A58)&gt;(J$3*10^12-$A57),$A57,$A58))</f>
        <v>0</v>
      </c>
    </row>
    <row r="58" customFormat="false" ht="12.75" hidden="false" customHeight="false" outlineLevel="0" collapsed="false">
      <c r="A58" s="0" t="n">
        <f aca="false">A46*10</f>
        <v>10000</v>
      </c>
      <c r="B58" s="0" t="n">
        <f aca="false">IF(IF((B$3*10^12-$A59)*(B$3*10^12-$A58)*-1&lt;0,0,1)*IF(ABS(B$3*10^12-$A59)&gt;(B$3*10^12-$A58),$A58,$A59)=B59,0,IF((B$3*10^12-$A59)*(B$3*10^12-$A58)*-1&lt;0,0,1)*IF(ABS(B$3*10^12-$A59)&gt;(B$3*10^12-$A58),$A58,$A59))</f>
        <v>0</v>
      </c>
      <c r="C58" s="0" t="n">
        <f aca="false">IF(IF((C$3*10^12-$A59)*(C$3*10^12-$A58)*-1&lt;0,0,1)*IF(ABS(C$3*10^12-$A59)&gt;(C$3*10^12-$A58),$A58,$A59)=C59,0,IF((C$3*10^12-$A59)*(C$3*10^12-$A58)*-1&lt;0,0,1)*IF(ABS(C$3*10^12-$A59)&gt;(C$3*10^12-$A58),$A58,$A59))</f>
        <v>0</v>
      </c>
      <c r="D58" s="0" t="n">
        <f aca="false">IF(IF((D$3*10^12-$A59)*(D$3*10^12-$A58)*-1&lt;0,0,1)*IF(ABS(D$3*10^12-$A59)&gt;(D$3*10^12-$A58),$A58,$A59)=D59,0,IF((D$3*10^12-$A59)*(D$3*10^12-$A58)*-1&lt;0,0,1)*IF(ABS(D$3*10^12-$A59)&gt;(D$3*10^12-$A58),$A58,$A59))</f>
        <v>0</v>
      </c>
      <c r="E58" s="0" t="n">
        <f aca="false">IF(IF((E$3*10^12-$A59)*(E$3*10^12-$A58)*-1&lt;0,0,1)*IF(ABS(E$3*10^12-$A59)&gt;(E$3*10^12-$A58),$A58,$A59)=E59,0,IF((E$3*10^12-$A59)*(E$3*10^12-$A58)*-1&lt;0,0,1)*IF(ABS(E$3*10^12-$A59)&gt;(E$3*10^12-$A58),$A58,$A59))</f>
        <v>0</v>
      </c>
      <c r="F58" s="0" t="n">
        <f aca="false">IF(IF((F$3*10^12-$A59)*(F$3*10^12-$A58)*-1&lt;0,0,1)*IF(ABS(F$3*10^12-$A59)&gt;(F$3*10^12-$A58),$A58,$A59)=F59,0,IF((F$3*10^12-$A59)*(F$3*10^12-$A58)*-1&lt;0,0,1)*IF(ABS(F$3*10^12-$A59)&gt;(F$3*10^12-$A58),$A58,$A59))</f>
        <v>0</v>
      </c>
      <c r="G58" s="0" t="n">
        <f aca="false">IF(IF((G$3*10^12-$A59)*(G$3*10^12-$A58)*-1&lt;0,0,1)*IF(ABS(G$3*10^12-$A59)&gt;(G$3*10^12-$A58),$A58,$A59)=G59,0,IF((G$3*10^12-$A59)*(G$3*10^12-$A58)*-1&lt;0,0,1)*IF(ABS(G$3*10^12-$A59)&gt;(G$3*10^12-$A58),$A58,$A59))</f>
        <v>0</v>
      </c>
      <c r="H58" s="0" t="n">
        <f aca="false">IF(IF((H$3*10^12-$A59)*(H$3*10^12-$A58)*-1&lt;0,0,1)*IF(ABS(H$3*10^12-$A59)&gt;(H$3*10^12-$A58),$A58,$A59)=H59,0,IF((H$3*10^12-$A59)*(H$3*10^12-$A58)*-1&lt;0,0,1)*IF(ABS(H$3*10^12-$A59)&gt;(H$3*10^12-$A58),$A58,$A59))</f>
        <v>0</v>
      </c>
      <c r="I58" s="0" t="n">
        <f aca="false">IF(IF((I$3*10^12-$A59)*(I$3*10^12-$A58)*-1&lt;0,0,1)*IF(ABS(I$3*10^12-$A59)&gt;(I$3*10^12-$A58),$A58,$A59)=I59,0,IF((I$3*10^12-$A59)*(I$3*10^12-$A58)*-1&lt;0,0,1)*IF(ABS(I$3*10^12-$A59)&gt;(I$3*10^12-$A58),$A58,$A59))</f>
        <v>0</v>
      </c>
      <c r="J58" s="0" t="n">
        <f aca="false">IF(IF((J$3*10^12-$A59)*(J$3*10^12-$A58)*-1&lt;0,0,1)*IF(ABS(J$3*10^12-$A59)&gt;(J$3*10^12-$A58),$A58,$A59)=J59,0,IF((J$3*10^12-$A59)*(J$3*10^12-$A58)*-1&lt;0,0,1)*IF(ABS(J$3*10^12-$A59)&gt;(J$3*10^12-$A58),$A58,$A59))</f>
        <v>0</v>
      </c>
    </row>
    <row r="59" customFormat="false" ht="12.75" hidden="false" customHeight="false" outlineLevel="0" collapsed="false">
      <c r="A59" s="0" t="n">
        <f aca="false">A47*10</f>
        <v>12000</v>
      </c>
      <c r="B59" s="0" t="n">
        <f aca="false">IF(IF((B$3*10^12-$A60)*(B$3*10^12-$A59)*-1&lt;0,0,1)*IF(ABS(B$3*10^12-$A60)&gt;(B$3*10^12-$A59),$A59,$A60)=B60,0,IF((B$3*10^12-$A60)*(B$3*10^12-$A59)*-1&lt;0,0,1)*IF(ABS(B$3*10^12-$A60)&gt;(B$3*10^12-$A59),$A59,$A60))</f>
        <v>0</v>
      </c>
      <c r="C59" s="0" t="n">
        <f aca="false">IF(IF((C$3*10^12-$A60)*(C$3*10^12-$A59)*-1&lt;0,0,1)*IF(ABS(C$3*10^12-$A60)&gt;(C$3*10^12-$A59),$A59,$A60)=C60,0,IF((C$3*10^12-$A60)*(C$3*10^12-$A59)*-1&lt;0,0,1)*IF(ABS(C$3*10^12-$A60)&gt;(C$3*10^12-$A59),$A59,$A60))</f>
        <v>0</v>
      </c>
      <c r="D59" s="0" t="n">
        <f aca="false">IF(IF((D$3*10^12-$A60)*(D$3*10^12-$A59)*-1&lt;0,0,1)*IF(ABS(D$3*10^12-$A60)&gt;(D$3*10^12-$A59),$A59,$A60)=D60,0,IF((D$3*10^12-$A60)*(D$3*10^12-$A59)*-1&lt;0,0,1)*IF(ABS(D$3*10^12-$A60)&gt;(D$3*10^12-$A59),$A59,$A60))</f>
        <v>0</v>
      </c>
      <c r="E59" s="0" t="n">
        <f aca="false">IF(IF((E$3*10^12-$A60)*(E$3*10^12-$A59)*-1&lt;0,0,1)*IF(ABS(E$3*10^12-$A60)&gt;(E$3*10^12-$A59),$A59,$A60)=E60,0,IF((E$3*10^12-$A60)*(E$3*10^12-$A59)*-1&lt;0,0,1)*IF(ABS(E$3*10^12-$A60)&gt;(E$3*10^12-$A59),$A59,$A60))</f>
        <v>0</v>
      </c>
      <c r="F59" s="0" t="n">
        <f aca="false">IF(IF((F$3*10^12-$A60)*(F$3*10^12-$A59)*-1&lt;0,0,1)*IF(ABS(F$3*10^12-$A60)&gt;(F$3*10^12-$A59),$A59,$A60)=F60,0,IF((F$3*10^12-$A60)*(F$3*10^12-$A59)*-1&lt;0,0,1)*IF(ABS(F$3*10^12-$A60)&gt;(F$3*10^12-$A59),$A59,$A60))</f>
        <v>0</v>
      </c>
      <c r="G59" s="0" t="n">
        <f aca="false">IF(IF((G$3*10^12-$A60)*(G$3*10^12-$A59)*-1&lt;0,0,1)*IF(ABS(G$3*10^12-$A60)&gt;(G$3*10^12-$A59),$A59,$A60)=G60,0,IF((G$3*10^12-$A60)*(G$3*10^12-$A59)*-1&lt;0,0,1)*IF(ABS(G$3*10^12-$A60)&gt;(G$3*10^12-$A59),$A59,$A60))</f>
        <v>0</v>
      </c>
      <c r="H59" s="0" t="n">
        <f aca="false">IF(IF((H$3*10^12-$A60)*(H$3*10^12-$A59)*-1&lt;0,0,1)*IF(ABS(H$3*10^12-$A60)&gt;(H$3*10^12-$A59),$A59,$A60)=H60,0,IF((H$3*10^12-$A60)*(H$3*10^12-$A59)*-1&lt;0,0,1)*IF(ABS(H$3*10^12-$A60)&gt;(H$3*10^12-$A59),$A59,$A60))</f>
        <v>0</v>
      </c>
      <c r="I59" s="0" t="n">
        <f aca="false">IF(IF((I$3*10^12-$A60)*(I$3*10^12-$A59)*-1&lt;0,0,1)*IF(ABS(I$3*10^12-$A60)&gt;(I$3*10^12-$A59),$A59,$A60)=I60,0,IF((I$3*10^12-$A60)*(I$3*10^12-$A59)*-1&lt;0,0,1)*IF(ABS(I$3*10^12-$A60)&gt;(I$3*10^12-$A59),$A59,$A60))</f>
        <v>0</v>
      </c>
      <c r="J59" s="0" t="n">
        <f aca="false">IF(IF((J$3*10^12-$A60)*(J$3*10^12-$A59)*-1&lt;0,0,1)*IF(ABS(J$3*10^12-$A60)&gt;(J$3*10^12-$A59),$A59,$A60)=J60,0,IF((J$3*10^12-$A60)*(J$3*10^12-$A59)*-1&lt;0,0,1)*IF(ABS(J$3*10^12-$A60)&gt;(J$3*10^12-$A59),$A59,$A60))</f>
        <v>0</v>
      </c>
    </row>
    <row r="60" customFormat="false" ht="12.75" hidden="false" customHeight="false" outlineLevel="0" collapsed="false">
      <c r="A60" s="0" t="n">
        <f aca="false">A48*10</f>
        <v>15000</v>
      </c>
      <c r="B60" s="0" t="n">
        <f aca="false">IF(IF((B$3*10^12-$A61)*(B$3*10^12-$A60)*-1&lt;0,0,1)*IF(ABS(B$3*10^12-$A61)&gt;(B$3*10^12-$A60),$A60,$A61)=B61,0,IF((B$3*10^12-$A61)*(B$3*10^12-$A60)*-1&lt;0,0,1)*IF(ABS(B$3*10^12-$A61)&gt;(B$3*10^12-$A60),$A60,$A61))</f>
        <v>0</v>
      </c>
      <c r="C60" s="0" t="n">
        <f aca="false">IF(IF((C$3*10^12-$A61)*(C$3*10^12-$A60)*-1&lt;0,0,1)*IF(ABS(C$3*10^12-$A61)&gt;(C$3*10^12-$A60),$A60,$A61)=C61,0,IF((C$3*10^12-$A61)*(C$3*10^12-$A60)*-1&lt;0,0,1)*IF(ABS(C$3*10^12-$A61)&gt;(C$3*10^12-$A60),$A60,$A61))</f>
        <v>0</v>
      </c>
      <c r="D60" s="0" t="n">
        <f aca="false">IF(IF((D$3*10^12-$A61)*(D$3*10^12-$A60)*-1&lt;0,0,1)*IF(ABS(D$3*10^12-$A61)&gt;(D$3*10^12-$A60),$A60,$A61)=D61,0,IF((D$3*10^12-$A61)*(D$3*10^12-$A60)*-1&lt;0,0,1)*IF(ABS(D$3*10^12-$A61)&gt;(D$3*10^12-$A60),$A60,$A61))</f>
        <v>0</v>
      </c>
      <c r="E60" s="0" t="n">
        <f aca="false">IF(IF((E$3*10^12-$A61)*(E$3*10^12-$A60)*-1&lt;0,0,1)*IF(ABS(E$3*10^12-$A61)&gt;(E$3*10^12-$A60),$A60,$A61)=E61,0,IF((E$3*10^12-$A61)*(E$3*10^12-$A60)*-1&lt;0,0,1)*IF(ABS(E$3*10^12-$A61)&gt;(E$3*10^12-$A60),$A60,$A61))</f>
        <v>0</v>
      </c>
      <c r="F60" s="0" t="n">
        <f aca="false">IF(IF((F$3*10^12-$A61)*(F$3*10^12-$A60)*-1&lt;0,0,1)*IF(ABS(F$3*10^12-$A61)&gt;(F$3*10^12-$A60),$A60,$A61)=F61,0,IF((F$3*10^12-$A61)*(F$3*10^12-$A60)*-1&lt;0,0,1)*IF(ABS(F$3*10^12-$A61)&gt;(F$3*10^12-$A60),$A60,$A61))</f>
        <v>0</v>
      </c>
      <c r="G60" s="0" t="n">
        <f aca="false">IF(IF((G$3*10^12-$A61)*(G$3*10^12-$A60)*-1&lt;0,0,1)*IF(ABS(G$3*10^12-$A61)&gt;(G$3*10^12-$A60),$A60,$A61)=G61,0,IF((G$3*10^12-$A61)*(G$3*10^12-$A60)*-1&lt;0,0,1)*IF(ABS(G$3*10^12-$A61)&gt;(G$3*10^12-$A60),$A60,$A61))</f>
        <v>0</v>
      </c>
      <c r="H60" s="0" t="n">
        <f aca="false">IF(IF((H$3*10^12-$A61)*(H$3*10^12-$A60)*-1&lt;0,0,1)*IF(ABS(H$3*10^12-$A61)&gt;(H$3*10^12-$A60),$A60,$A61)=H61,0,IF((H$3*10^12-$A61)*(H$3*10^12-$A60)*-1&lt;0,0,1)*IF(ABS(H$3*10^12-$A61)&gt;(H$3*10^12-$A60),$A60,$A61))</f>
        <v>0</v>
      </c>
      <c r="I60" s="0" t="n">
        <f aca="false">IF(IF((I$3*10^12-$A61)*(I$3*10^12-$A60)*-1&lt;0,0,1)*IF(ABS(I$3*10^12-$A61)&gt;(I$3*10^12-$A60),$A60,$A61)=I61,0,IF((I$3*10^12-$A61)*(I$3*10^12-$A60)*-1&lt;0,0,1)*IF(ABS(I$3*10^12-$A61)&gt;(I$3*10^12-$A60),$A60,$A61))</f>
        <v>0</v>
      </c>
      <c r="J60" s="0" t="n">
        <f aca="false">IF(IF((J$3*10^12-$A61)*(J$3*10^12-$A60)*-1&lt;0,0,1)*IF(ABS(J$3*10^12-$A61)&gt;(J$3*10^12-$A60),$A60,$A61)=J61,0,IF((J$3*10^12-$A61)*(J$3*10^12-$A60)*-1&lt;0,0,1)*IF(ABS(J$3*10^12-$A61)&gt;(J$3*10^12-$A60),$A60,$A61))</f>
        <v>0</v>
      </c>
    </row>
    <row r="61" customFormat="false" ht="12.75" hidden="false" customHeight="false" outlineLevel="0" collapsed="false">
      <c r="A61" s="0" t="n">
        <f aca="false">A49*10</f>
        <v>18000</v>
      </c>
      <c r="B61" s="0" t="n">
        <f aca="false">IF(IF((B$3*10^12-$A62)*(B$3*10^12-$A61)*-1&lt;0,0,1)*IF(ABS(B$3*10^12-$A62)&gt;(B$3*10^12-$A61),$A61,$A62)=B62,0,IF((B$3*10^12-$A62)*(B$3*10^12-$A61)*-1&lt;0,0,1)*IF(ABS(B$3*10^12-$A62)&gt;(B$3*10^12-$A61),$A61,$A62))</f>
        <v>0</v>
      </c>
      <c r="C61" s="0" t="n">
        <f aca="false">IF(IF((C$3*10^12-$A62)*(C$3*10^12-$A61)*-1&lt;0,0,1)*IF(ABS(C$3*10^12-$A62)&gt;(C$3*10^12-$A61),$A61,$A62)=C62,0,IF((C$3*10^12-$A62)*(C$3*10^12-$A61)*-1&lt;0,0,1)*IF(ABS(C$3*10^12-$A62)&gt;(C$3*10^12-$A61),$A61,$A62))</f>
        <v>0</v>
      </c>
      <c r="D61" s="0" t="n">
        <f aca="false">IF(IF((D$3*10^12-$A62)*(D$3*10^12-$A61)*-1&lt;0,0,1)*IF(ABS(D$3*10^12-$A62)&gt;(D$3*10^12-$A61),$A61,$A62)=D62,0,IF((D$3*10^12-$A62)*(D$3*10^12-$A61)*-1&lt;0,0,1)*IF(ABS(D$3*10^12-$A62)&gt;(D$3*10^12-$A61),$A61,$A62))</f>
        <v>0</v>
      </c>
      <c r="E61" s="0" t="n">
        <f aca="false">IF(IF((E$3*10^12-$A62)*(E$3*10^12-$A61)*-1&lt;0,0,1)*IF(ABS(E$3*10^12-$A62)&gt;(E$3*10^12-$A61),$A61,$A62)=E62,0,IF((E$3*10^12-$A62)*(E$3*10^12-$A61)*-1&lt;0,0,1)*IF(ABS(E$3*10^12-$A62)&gt;(E$3*10^12-$A61),$A61,$A62))</f>
        <v>0</v>
      </c>
      <c r="F61" s="0" t="n">
        <f aca="false">IF(IF((F$3*10^12-$A62)*(F$3*10^12-$A61)*-1&lt;0,0,1)*IF(ABS(F$3*10^12-$A62)&gt;(F$3*10^12-$A61),$A61,$A62)=F62,0,IF((F$3*10^12-$A62)*(F$3*10^12-$A61)*-1&lt;0,0,1)*IF(ABS(F$3*10^12-$A62)&gt;(F$3*10^12-$A61),$A61,$A62))</f>
        <v>0</v>
      </c>
      <c r="G61" s="0" t="n">
        <f aca="false">IF(IF((G$3*10^12-$A62)*(G$3*10^12-$A61)*-1&lt;0,0,1)*IF(ABS(G$3*10^12-$A62)&gt;(G$3*10^12-$A61),$A61,$A62)=G62,0,IF((G$3*10^12-$A62)*(G$3*10^12-$A61)*-1&lt;0,0,1)*IF(ABS(G$3*10^12-$A62)&gt;(G$3*10^12-$A61),$A61,$A62))</f>
        <v>0</v>
      </c>
      <c r="H61" s="0" t="n">
        <f aca="false">IF(IF((H$3*10^12-$A62)*(H$3*10^12-$A61)*-1&lt;0,0,1)*IF(ABS(H$3*10^12-$A62)&gt;(H$3*10^12-$A61),$A61,$A62)=H62,0,IF((H$3*10^12-$A62)*(H$3*10^12-$A61)*-1&lt;0,0,1)*IF(ABS(H$3*10^12-$A62)&gt;(H$3*10^12-$A61),$A61,$A62))</f>
        <v>0</v>
      </c>
      <c r="I61" s="0" t="n">
        <f aca="false">IF(IF((I$3*10^12-$A62)*(I$3*10^12-$A61)*-1&lt;0,0,1)*IF(ABS(I$3*10^12-$A62)&gt;(I$3*10^12-$A61),$A61,$A62)=I62,0,IF((I$3*10^12-$A62)*(I$3*10^12-$A61)*-1&lt;0,0,1)*IF(ABS(I$3*10^12-$A62)&gt;(I$3*10^12-$A61),$A61,$A62))</f>
        <v>0</v>
      </c>
      <c r="J61" s="0" t="n">
        <f aca="false">IF(IF((J$3*10^12-$A62)*(J$3*10^12-$A61)*-1&lt;0,0,1)*IF(ABS(J$3*10^12-$A62)&gt;(J$3*10^12-$A61),$A61,$A62)=J62,0,IF((J$3*10^12-$A62)*(J$3*10^12-$A61)*-1&lt;0,0,1)*IF(ABS(J$3*10^12-$A62)&gt;(J$3*10^12-$A61),$A61,$A62))</f>
        <v>0</v>
      </c>
    </row>
    <row r="62" customFormat="false" ht="12.75" hidden="false" customHeight="false" outlineLevel="0" collapsed="false">
      <c r="A62" s="0" t="n">
        <f aca="false">A50*10</f>
        <v>22000</v>
      </c>
      <c r="B62" s="0" t="n">
        <f aca="false">IF(IF((B$3*10^12-$A63)*(B$3*10^12-$A62)*-1&lt;0,0,1)*IF(ABS(B$3*10^12-$A63)&gt;(B$3*10^12-$A62),$A62,$A63)=B63,0,IF((B$3*10^12-$A63)*(B$3*10^12-$A62)*-1&lt;0,0,1)*IF(ABS(B$3*10^12-$A63)&gt;(B$3*10^12-$A62),$A62,$A63))</f>
        <v>0</v>
      </c>
      <c r="C62" s="0" t="n">
        <f aca="false">IF(IF((C$3*10^12-$A63)*(C$3*10^12-$A62)*-1&lt;0,0,1)*IF(ABS(C$3*10^12-$A63)&gt;(C$3*10^12-$A62),$A62,$A63)=C63,0,IF((C$3*10^12-$A63)*(C$3*10^12-$A62)*-1&lt;0,0,1)*IF(ABS(C$3*10^12-$A63)&gt;(C$3*10^12-$A62),$A62,$A63))</f>
        <v>0</v>
      </c>
      <c r="D62" s="0" t="n">
        <f aca="false">IF(IF((D$3*10^12-$A63)*(D$3*10^12-$A62)*-1&lt;0,0,1)*IF(ABS(D$3*10^12-$A63)&gt;(D$3*10^12-$A62),$A62,$A63)=D63,0,IF((D$3*10^12-$A63)*(D$3*10^12-$A62)*-1&lt;0,0,1)*IF(ABS(D$3*10^12-$A63)&gt;(D$3*10^12-$A62),$A62,$A63))</f>
        <v>0</v>
      </c>
      <c r="E62" s="0" t="n">
        <f aca="false">IF(IF((E$3*10^12-$A63)*(E$3*10^12-$A62)*-1&lt;0,0,1)*IF(ABS(E$3*10^12-$A63)&gt;(E$3*10^12-$A62),$A62,$A63)=E63,0,IF((E$3*10^12-$A63)*(E$3*10^12-$A62)*-1&lt;0,0,1)*IF(ABS(E$3*10^12-$A63)&gt;(E$3*10^12-$A62),$A62,$A63))</f>
        <v>0</v>
      </c>
      <c r="F62" s="0" t="n">
        <f aca="false">IF(IF((F$3*10^12-$A63)*(F$3*10^12-$A62)*-1&lt;0,0,1)*IF(ABS(F$3*10^12-$A63)&gt;(F$3*10^12-$A62),$A62,$A63)=F63,0,IF((F$3*10^12-$A63)*(F$3*10^12-$A62)*-1&lt;0,0,1)*IF(ABS(F$3*10^12-$A63)&gt;(F$3*10^12-$A62),$A62,$A63))</f>
        <v>0</v>
      </c>
      <c r="G62" s="0" t="n">
        <f aca="false">IF(IF((G$3*10^12-$A63)*(G$3*10^12-$A62)*-1&lt;0,0,1)*IF(ABS(G$3*10^12-$A63)&gt;(G$3*10^12-$A62),$A62,$A63)=G63,0,IF((G$3*10^12-$A63)*(G$3*10^12-$A62)*-1&lt;0,0,1)*IF(ABS(G$3*10^12-$A63)&gt;(G$3*10^12-$A62),$A62,$A63))</f>
        <v>0</v>
      </c>
      <c r="H62" s="0" t="n">
        <f aca="false">IF(IF((H$3*10^12-$A63)*(H$3*10^12-$A62)*-1&lt;0,0,1)*IF(ABS(H$3*10^12-$A63)&gt;(H$3*10^12-$A62),$A62,$A63)=H63,0,IF((H$3*10^12-$A63)*(H$3*10^12-$A62)*-1&lt;0,0,1)*IF(ABS(H$3*10^12-$A63)&gt;(H$3*10^12-$A62),$A62,$A63))</f>
        <v>0</v>
      </c>
      <c r="I62" s="0" t="n">
        <f aca="false">IF(IF((I$3*10^12-$A63)*(I$3*10^12-$A62)*-1&lt;0,0,1)*IF(ABS(I$3*10^12-$A63)&gt;(I$3*10^12-$A62),$A62,$A63)=I63,0,IF((I$3*10^12-$A63)*(I$3*10^12-$A62)*-1&lt;0,0,1)*IF(ABS(I$3*10^12-$A63)&gt;(I$3*10^12-$A62),$A62,$A63))</f>
        <v>0</v>
      </c>
      <c r="J62" s="0" t="n">
        <f aca="false">IF(IF((J$3*10^12-$A63)*(J$3*10^12-$A62)*-1&lt;0,0,1)*IF(ABS(J$3*10^12-$A63)&gt;(J$3*10^12-$A62),$A62,$A63)=J63,0,IF((J$3*10^12-$A63)*(J$3*10^12-$A62)*-1&lt;0,0,1)*IF(ABS(J$3*10^12-$A63)&gt;(J$3*10^12-$A62),$A62,$A63))</f>
        <v>0</v>
      </c>
    </row>
    <row r="63" customFormat="false" ht="12.75" hidden="false" customHeight="false" outlineLevel="0" collapsed="false">
      <c r="A63" s="0" t="n">
        <f aca="false">A51*10</f>
        <v>27000</v>
      </c>
      <c r="B63" s="0" t="n">
        <f aca="false">IF(IF((B$3*10^12-$A64)*(B$3*10^12-$A63)*-1&lt;0,0,1)*IF(ABS(B$3*10^12-$A64)&gt;(B$3*10^12-$A63),$A63,$A64)=B64,0,IF((B$3*10^12-$A64)*(B$3*10^12-$A63)*-1&lt;0,0,1)*IF(ABS(B$3*10^12-$A64)&gt;(B$3*10^12-$A63),$A63,$A64))</f>
        <v>0</v>
      </c>
      <c r="C63" s="0" t="n">
        <f aca="false">IF(IF((C$3*10^12-$A64)*(C$3*10^12-$A63)*-1&lt;0,0,1)*IF(ABS(C$3*10^12-$A64)&gt;(C$3*10^12-$A63),$A63,$A64)=C64,0,IF((C$3*10^12-$A64)*(C$3*10^12-$A63)*-1&lt;0,0,1)*IF(ABS(C$3*10^12-$A64)&gt;(C$3*10^12-$A63),$A63,$A64))</f>
        <v>0</v>
      </c>
      <c r="D63" s="0" t="n">
        <f aca="false">IF(IF((D$3*10^12-$A64)*(D$3*10^12-$A63)*-1&lt;0,0,1)*IF(ABS(D$3*10^12-$A64)&gt;(D$3*10^12-$A63),$A63,$A64)=D64,0,IF((D$3*10^12-$A64)*(D$3*10^12-$A63)*-1&lt;0,0,1)*IF(ABS(D$3*10^12-$A64)&gt;(D$3*10^12-$A63),$A63,$A64))</f>
        <v>0</v>
      </c>
      <c r="E63" s="0" t="n">
        <f aca="false">IF(IF((E$3*10^12-$A64)*(E$3*10^12-$A63)*-1&lt;0,0,1)*IF(ABS(E$3*10^12-$A64)&gt;(E$3*10^12-$A63),$A63,$A64)=E64,0,IF((E$3*10^12-$A64)*(E$3*10^12-$A63)*-1&lt;0,0,1)*IF(ABS(E$3*10^12-$A64)&gt;(E$3*10^12-$A63),$A63,$A64))</f>
        <v>0</v>
      </c>
      <c r="F63" s="0" t="n">
        <f aca="false">IF(IF((F$3*10^12-$A64)*(F$3*10^12-$A63)*-1&lt;0,0,1)*IF(ABS(F$3*10^12-$A64)&gt;(F$3*10^12-$A63),$A63,$A64)=F64,0,IF((F$3*10^12-$A64)*(F$3*10^12-$A63)*-1&lt;0,0,1)*IF(ABS(F$3*10^12-$A64)&gt;(F$3*10^12-$A63),$A63,$A64))</f>
        <v>0</v>
      </c>
      <c r="G63" s="0" t="n">
        <f aca="false">IF(IF((G$3*10^12-$A64)*(G$3*10^12-$A63)*-1&lt;0,0,1)*IF(ABS(G$3*10^12-$A64)&gt;(G$3*10^12-$A63),$A63,$A64)=G64,0,IF((G$3*10^12-$A64)*(G$3*10^12-$A63)*-1&lt;0,0,1)*IF(ABS(G$3*10^12-$A64)&gt;(G$3*10^12-$A63),$A63,$A64))</f>
        <v>0</v>
      </c>
      <c r="H63" s="0" t="n">
        <f aca="false">IF(IF((H$3*10^12-$A64)*(H$3*10^12-$A63)*-1&lt;0,0,1)*IF(ABS(H$3*10^12-$A64)&gt;(H$3*10^12-$A63),$A63,$A64)=H64,0,IF((H$3*10^12-$A64)*(H$3*10^12-$A63)*-1&lt;0,0,1)*IF(ABS(H$3*10^12-$A64)&gt;(H$3*10^12-$A63),$A63,$A64))</f>
        <v>0</v>
      </c>
      <c r="I63" s="0" t="n">
        <f aca="false">IF(IF((I$3*10^12-$A64)*(I$3*10^12-$A63)*-1&lt;0,0,1)*IF(ABS(I$3*10^12-$A64)&gt;(I$3*10^12-$A63),$A63,$A64)=I64,0,IF((I$3*10^12-$A64)*(I$3*10^12-$A63)*-1&lt;0,0,1)*IF(ABS(I$3*10^12-$A64)&gt;(I$3*10^12-$A63),$A63,$A64))</f>
        <v>0</v>
      </c>
      <c r="J63" s="0" t="n">
        <f aca="false">IF(IF((J$3*10^12-$A64)*(J$3*10^12-$A63)*-1&lt;0,0,1)*IF(ABS(J$3*10^12-$A64)&gt;(J$3*10^12-$A63),$A63,$A64)=J64,0,IF((J$3*10^12-$A64)*(J$3*10^12-$A63)*-1&lt;0,0,1)*IF(ABS(J$3*10^12-$A64)&gt;(J$3*10^12-$A63),$A63,$A64))</f>
        <v>0</v>
      </c>
    </row>
    <row r="64" customFormat="false" ht="12.75" hidden="false" customHeight="false" outlineLevel="0" collapsed="false">
      <c r="A64" s="0" t="n">
        <f aca="false">A52*10</f>
        <v>33000</v>
      </c>
      <c r="B64" s="0" t="n">
        <f aca="false">IF(IF((B$3*10^12-$A65)*(B$3*10^12-$A64)*-1&lt;0,0,1)*IF(ABS(B$3*10^12-$A65)&gt;(B$3*10^12-$A64),$A64,$A65)=B65,0,IF((B$3*10^12-$A65)*(B$3*10^12-$A64)*-1&lt;0,0,1)*IF(ABS(B$3*10^12-$A65)&gt;(B$3*10^12-$A64),$A64,$A65))</f>
        <v>0</v>
      </c>
      <c r="C64" s="0" t="n">
        <f aca="false">IF(IF((C$3*10^12-$A65)*(C$3*10^12-$A64)*-1&lt;0,0,1)*IF(ABS(C$3*10^12-$A65)&gt;(C$3*10^12-$A64),$A64,$A65)=C65,0,IF((C$3*10^12-$A65)*(C$3*10^12-$A64)*-1&lt;0,0,1)*IF(ABS(C$3*10^12-$A65)&gt;(C$3*10^12-$A64),$A64,$A65))</f>
        <v>39000</v>
      </c>
      <c r="D64" s="0" t="n">
        <f aca="false">IF(IF((D$3*10^12-$A65)*(D$3*10^12-$A64)*-1&lt;0,0,1)*IF(ABS(D$3*10^12-$A65)&gt;(D$3*10^12-$A64),$A64,$A65)=D65,0,IF((D$3*10^12-$A65)*(D$3*10^12-$A64)*-1&lt;0,0,1)*IF(ABS(D$3*10^12-$A65)&gt;(D$3*10^12-$A64),$A64,$A65))</f>
        <v>0</v>
      </c>
      <c r="E64" s="0" t="n">
        <f aca="false">IF(IF((E$3*10^12-$A65)*(E$3*10^12-$A64)*-1&lt;0,0,1)*IF(ABS(E$3*10^12-$A65)&gt;(E$3*10^12-$A64),$A64,$A65)=E65,0,IF((E$3*10^12-$A65)*(E$3*10^12-$A64)*-1&lt;0,0,1)*IF(ABS(E$3*10^12-$A65)&gt;(E$3*10^12-$A64),$A64,$A65))</f>
        <v>0</v>
      </c>
      <c r="F64" s="0" t="n">
        <f aca="false">IF(IF((F$3*10^12-$A65)*(F$3*10^12-$A64)*-1&lt;0,0,1)*IF(ABS(F$3*10^12-$A65)&gt;(F$3*10^12-$A64),$A64,$A65)=F65,0,IF((F$3*10^12-$A65)*(F$3*10^12-$A64)*-1&lt;0,0,1)*IF(ABS(F$3*10^12-$A65)&gt;(F$3*10^12-$A64),$A64,$A65))</f>
        <v>0</v>
      </c>
      <c r="G64" s="0" t="n">
        <f aca="false">IF(IF((G$3*10^12-$A65)*(G$3*10^12-$A64)*-1&lt;0,0,1)*IF(ABS(G$3*10^12-$A65)&gt;(G$3*10^12-$A64),$A64,$A65)=G65,0,IF((G$3*10^12-$A65)*(G$3*10^12-$A64)*-1&lt;0,0,1)*IF(ABS(G$3*10^12-$A65)&gt;(G$3*10^12-$A64),$A64,$A65))</f>
        <v>0</v>
      </c>
      <c r="H64" s="0" t="n">
        <f aca="false">IF(IF((H$3*10^12-$A65)*(H$3*10^12-$A64)*-1&lt;0,0,1)*IF(ABS(H$3*10^12-$A65)&gt;(H$3*10^12-$A64),$A64,$A65)=H65,0,IF((H$3*10^12-$A65)*(H$3*10^12-$A64)*-1&lt;0,0,1)*IF(ABS(H$3*10^12-$A65)&gt;(H$3*10^12-$A64),$A64,$A65))</f>
        <v>0</v>
      </c>
      <c r="I64" s="0" t="n">
        <f aca="false">IF(IF((I$3*10^12-$A65)*(I$3*10^12-$A64)*-1&lt;0,0,1)*IF(ABS(I$3*10^12-$A65)&gt;(I$3*10^12-$A64),$A64,$A65)=I65,0,IF((I$3*10^12-$A65)*(I$3*10^12-$A64)*-1&lt;0,0,1)*IF(ABS(I$3*10^12-$A65)&gt;(I$3*10^12-$A64),$A64,$A65))</f>
        <v>0</v>
      </c>
      <c r="J64" s="0" t="n">
        <f aca="false">IF(IF((J$3*10^12-$A65)*(J$3*10^12-$A64)*-1&lt;0,0,1)*IF(ABS(J$3*10^12-$A65)&gt;(J$3*10^12-$A64),$A64,$A65)=J65,0,IF((J$3*10^12-$A65)*(J$3*10^12-$A64)*-1&lt;0,0,1)*IF(ABS(J$3*10^12-$A65)&gt;(J$3*10^12-$A64),$A64,$A65))</f>
        <v>0</v>
      </c>
    </row>
    <row r="65" customFormat="false" ht="12.75" hidden="false" customHeight="false" outlineLevel="0" collapsed="false">
      <c r="A65" s="0" t="n">
        <f aca="false">A53*10</f>
        <v>39000</v>
      </c>
      <c r="B65" s="0" t="n">
        <f aca="false">IF(IF((B$3*10^12-$A66)*(B$3*10^12-$A65)*-1&lt;0,0,1)*IF(ABS(B$3*10^12-$A66)&gt;(B$3*10^12-$A65),$A65,$A66)=B66,0,IF((B$3*10^12-$A66)*(B$3*10^12-$A65)*-1&lt;0,0,1)*IF(ABS(B$3*10^12-$A66)&gt;(B$3*10^12-$A65),$A65,$A66))</f>
        <v>0</v>
      </c>
      <c r="C65" s="0" t="n">
        <f aca="false">IF(IF((C$3*10^12-$A66)*(C$3*10^12-$A65)*-1&lt;0,0,1)*IF(ABS(C$3*10^12-$A66)&gt;(C$3*10^12-$A65),$A65,$A66)=C66,0,IF((C$3*10^12-$A66)*(C$3*10^12-$A65)*-1&lt;0,0,1)*IF(ABS(C$3*10^12-$A66)&gt;(C$3*10^12-$A65),$A65,$A66))</f>
        <v>0</v>
      </c>
      <c r="D65" s="0" t="n">
        <f aca="false">IF(IF((D$3*10^12-$A66)*(D$3*10^12-$A65)*-1&lt;0,0,1)*IF(ABS(D$3*10^12-$A66)&gt;(D$3*10^12-$A65),$A65,$A66)=D66,0,IF((D$3*10^12-$A66)*(D$3*10^12-$A65)*-1&lt;0,0,1)*IF(ABS(D$3*10^12-$A66)&gt;(D$3*10^12-$A65),$A65,$A66))</f>
        <v>0</v>
      </c>
      <c r="E65" s="0" t="n">
        <f aca="false">IF(IF((E$3*10^12-$A66)*(E$3*10^12-$A65)*-1&lt;0,0,1)*IF(ABS(E$3*10^12-$A66)&gt;(E$3*10^12-$A65),$A65,$A66)=E66,0,IF((E$3*10^12-$A66)*(E$3*10^12-$A65)*-1&lt;0,0,1)*IF(ABS(E$3*10^12-$A66)&gt;(E$3*10^12-$A65),$A65,$A66))</f>
        <v>0</v>
      </c>
      <c r="F65" s="0" t="n">
        <f aca="false">IF(IF((F$3*10^12-$A66)*(F$3*10^12-$A65)*-1&lt;0,0,1)*IF(ABS(F$3*10^12-$A66)&gt;(F$3*10^12-$A65),$A65,$A66)=F66,0,IF((F$3*10^12-$A66)*(F$3*10^12-$A65)*-1&lt;0,0,1)*IF(ABS(F$3*10^12-$A66)&gt;(F$3*10^12-$A65),$A65,$A66))</f>
        <v>0</v>
      </c>
      <c r="G65" s="0" t="n">
        <f aca="false">IF(IF((G$3*10^12-$A66)*(G$3*10^12-$A65)*-1&lt;0,0,1)*IF(ABS(G$3*10^12-$A66)&gt;(G$3*10^12-$A65),$A65,$A66)=G66,0,IF((G$3*10^12-$A66)*(G$3*10^12-$A65)*-1&lt;0,0,1)*IF(ABS(G$3*10^12-$A66)&gt;(G$3*10^12-$A65),$A65,$A66))</f>
        <v>0</v>
      </c>
      <c r="H65" s="0" t="n">
        <f aca="false">IF(IF((H$3*10^12-$A66)*(H$3*10^12-$A65)*-1&lt;0,0,1)*IF(ABS(H$3*10^12-$A66)&gt;(H$3*10^12-$A65),$A65,$A66)=H66,0,IF((H$3*10^12-$A66)*(H$3*10^12-$A65)*-1&lt;0,0,1)*IF(ABS(H$3*10^12-$A66)&gt;(H$3*10^12-$A65),$A65,$A66))</f>
        <v>39000</v>
      </c>
      <c r="I65" s="0" t="n">
        <f aca="false">IF(IF((I$3*10^12-$A66)*(I$3*10^12-$A65)*-1&lt;0,0,1)*IF(ABS(I$3*10^12-$A66)&gt;(I$3*10^12-$A65),$A65,$A66)=I66,0,IF((I$3*10^12-$A66)*(I$3*10^12-$A65)*-1&lt;0,0,1)*IF(ABS(I$3*10^12-$A66)&gt;(I$3*10^12-$A65),$A65,$A66))</f>
        <v>0</v>
      </c>
      <c r="J65" s="0" t="n">
        <f aca="false">IF(IF((J$3*10^12-$A66)*(J$3*10^12-$A65)*-1&lt;0,0,1)*IF(ABS(J$3*10^12-$A66)&gt;(J$3*10^12-$A65),$A65,$A66)=J66,0,IF((J$3*10^12-$A66)*(J$3*10^12-$A65)*-1&lt;0,0,1)*IF(ABS(J$3*10^12-$A66)&gt;(J$3*10^12-$A65),$A65,$A66))</f>
        <v>39000</v>
      </c>
    </row>
    <row r="66" customFormat="false" ht="12.75" hidden="false" customHeight="false" outlineLevel="0" collapsed="false">
      <c r="A66" s="0" t="n">
        <f aca="false">A54*10</f>
        <v>47000</v>
      </c>
      <c r="B66" s="0" t="n">
        <f aca="false">IF(IF((B$3*10^12-$A67)*(B$3*10^12-$A66)*-1&lt;0,0,1)*IF(ABS(B$3*10^12-$A67)&gt;(B$3*10^12-$A66),$A66,$A67)=B67,0,IF((B$3*10^12-$A67)*(B$3*10^12-$A66)*-1&lt;0,0,1)*IF(ABS(B$3*10^12-$A67)&gt;(B$3*10^12-$A66),$A66,$A67))</f>
        <v>0</v>
      </c>
      <c r="C66" s="0" t="n">
        <f aca="false">IF(IF((C$3*10^12-$A67)*(C$3*10^12-$A66)*-1&lt;0,0,1)*IF(ABS(C$3*10^12-$A67)&gt;(C$3*10^12-$A66),$A66,$A67)=C67,0,IF((C$3*10^12-$A67)*(C$3*10^12-$A66)*-1&lt;0,0,1)*IF(ABS(C$3*10^12-$A67)&gt;(C$3*10^12-$A66),$A66,$A67))</f>
        <v>0</v>
      </c>
      <c r="D66" s="0" t="n">
        <f aca="false">IF(IF((D$3*10^12-$A67)*(D$3*10^12-$A66)*-1&lt;0,0,1)*IF(ABS(D$3*10^12-$A67)&gt;(D$3*10^12-$A66),$A66,$A67)=D67,0,IF((D$3*10^12-$A67)*(D$3*10^12-$A66)*-1&lt;0,0,1)*IF(ABS(D$3*10^12-$A67)&gt;(D$3*10^12-$A66),$A66,$A67))</f>
        <v>0</v>
      </c>
      <c r="E66" s="0" t="n">
        <f aca="false">IF(IF((E$3*10^12-$A67)*(E$3*10^12-$A66)*-1&lt;0,0,1)*IF(ABS(E$3*10^12-$A67)&gt;(E$3*10^12-$A66),$A66,$A67)=E67,0,IF((E$3*10^12-$A67)*(E$3*10^12-$A66)*-1&lt;0,0,1)*IF(ABS(E$3*10^12-$A67)&gt;(E$3*10^12-$A66),$A66,$A67))</f>
        <v>0</v>
      </c>
      <c r="F66" s="0" t="n">
        <f aca="false">IF(IF((F$3*10^12-$A67)*(F$3*10^12-$A66)*-1&lt;0,0,1)*IF(ABS(F$3*10^12-$A67)&gt;(F$3*10^12-$A66),$A66,$A67)=F67,0,IF((F$3*10^12-$A67)*(F$3*10^12-$A66)*-1&lt;0,0,1)*IF(ABS(F$3*10^12-$A67)&gt;(F$3*10^12-$A66),$A66,$A67))</f>
        <v>0</v>
      </c>
      <c r="G66" s="0" t="n">
        <f aca="false">IF(IF((G$3*10^12-$A67)*(G$3*10^12-$A66)*-1&lt;0,0,1)*IF(ABS(G$3*10^12-$A67)&gt;(G$3*10^12-$A66),$A66,$A67)=G67,0,IF((G$3*10^12-$A67)*(G$3*10^12-$A66)*-1&lt;0,0,1)*IF(ABS(G$3*10^12-$A67)&gt;(G$3*10^12-$A66),$A66,$A67))</f>
        <v>0</v>
      </c>
      <c r="H66" s="0" t="n">
        <f aca="false">IF(IF((H$3*10^12-$A67)*(H$3*10^12-$A66)*-1&lt;0,0,1)*IF(ABS(H$3*10^12-$A67)&gt;(H$3*10^12-$A66),$A66,$A67)=H67,0,IF((H$3*10^12-$A67)*(H$3*10^12-$A66)*-1&lt;0,0,1)*IF(ABS(H$3*10^12-$A67)&gt;(H$3*10^12-$A66),$A66,$A67))</f>
        <v>0</v>
      </c>
      <c r="I66" s="0" t="n">
        <f aca="false">IF(IF((I$3*10^12-$A67)*(I$3*10^12-$A66)*-1&lt;0,0,1)*IF(ABS(I$3*10^12-$A67)&gt;(I$3*10^12-$A66),$A66,$A67)=I67,0,IF((I$3*10^12-$A67)*(I$3*10^12-$A66)*-1&lt;0,0,1)*IF(ABS(I$3*10^12-$A67)&gt;(I$3*10^12-$A66),$A66,$A67))</f>
        <v>0</v>
      </c>
      <c r="J66" s="0" t="n">
        <f aca="false">IF(IF((J$3*10^12-$A67)*(J$3*10^12-$A66)*-1&lt;0,0,1)*IF(ABS(J$3*10^12-$A67)&gt;(J$3*10^12-$A66),$A66,$A67)=J67,0,IF((J$3*10^12-$A67)*(J$3*10^12-$A66)*-1&lt;0,0,1)*IF(ABS(J$3*10^12-$A67)&gt;(J$3*10^12-$A66),$A66,$A67))</f>
        <v>0</v>
      </c>
    </row>
    <row r="67" customFormat="false" ht="12.75" hidden="false" customHeight="false" outlineLevel="0" collapsed="false">
      <c r="A67" s="0" t="n">
        <f aca="false">A55*10</f>
        <v>56000</v>
      </c>
      <c r="B67" s="0" t="n">
        <f aca="false">IF(IF((B$3*10^12-$A68)*(B$3*10^12-$A67)*-1&lt;0,0,1)*IF(ABS(B$3*10^12-$A68)&gt;(B$3*10^12-$A67),$A67,$A68)=B68,0,IF((B$3*10^12-$A68)*(B$3*10^12-$A67)*-1&lt;0,0,1)*IF(ABS(B$3*10^12-$A68)&gt;(B$3*10^12-$A67),$A67,$A68))</f>
        <v>0</v>
      </c>
      <c r="C67" s="0" t="n">
        <f aca="false">IF(IF((C$3*10^12-$A68)*(C$3*10^12-$A67)*-1&lt;0,0,1)*IF(ABS(C$3*10^12-$A68)&gt;(C$3*10^12-$A67),$A67,$A68)=C68,0,IF((C$3*10^12-$A68)*(C$3*10^12-$A67)*-1&lt;0,0,1)*IF(ABS(C$3*10^12-$A68)&gt;(C$3*10^12-$A67),$A67,$A68))</f>
        <v>0</v>
      </c>
      <c r="D67" s="0" t="n">
        <f aca="false">IF(IF((D$3*10^12-$A68)*(D$3*10^12-$A67)*-1&lt;0,0,1)*IF(ABS(D$3*10^12-$A68)&gt;(D$3*10^12-$A67),$A67,$A68)=D68,0,IF((D$3*10^12-$A68)*(D$3*10^12-$A67)*-1&lt;0,0,1)*IF(ABS(D$3*10^12-$A68)&gt;(D$3*10^12-$A67),$A67,$A68))</f>
        <v>0</v>
      </c>
      <c r="E67" s="0" t="n">
        <f aca="false">IF(IF((E$3*10^12-$A68)*(E$3*10^12-$A67)*-1&lt;0,0,1)*IF(ABS(E$3*10^12-$A68)&gt;(E$3*10^12-$A67),$A67,$A68)=E68,0,IF((E$3*10^12-$A68)*(E$3*10^12-$A67)*-1&lt;0,0,1)*IF(ABS(E$3*10^12-$A68)&gt;(E$3*10^12-$A67),$A67,$A68))</f>
        <v>0</v>
      </c>
      <c r="F67" s="0" t="n">
        <f aca="false">IF(IF((F$3*10^12-$A68)*(F$3*10^12-$A67)*-1&lt;0,0,1)*IF(ABS(F$3*10^12-$A68)&gt;(F$3*10^12-$A67),$A67,$A68)=F68,0,IF((F$3*10^12-$A68)*(F$3*10^12-$A67)*-1&lt;0,0,1)*IF(ABS(F$3*10^12-$A68)&gt;(F$3*10^12-$A67),$A67,$A68))</f>
        <v>0</v>
      </c>
      <c r="G67" s="0" t="n">
        <f aca="false">IF(IF((G$3*10^12-$A68)*(G$3*10^12-$A67)*-1&lt;0,0,1)*IF(ABS(G$3*10^12-$A68)&gt;(G$3*10^12-$A67),$A67,$A68)=G68,0,IF((G$3*10^12-$A68)*(G$3*10^12-$A67)*-1&lt;0,0,1)*IF(ABS(G$3*10^12-$A68)&gt;(G$3*10^12-$A67),$A67,$A68))</f>
        <v>0</v>
      </c>
      <c r="H67" s="0" t="n">
        <f aca="false">IF(IF((H$3*10^12-$A68)*(H$3*10^12-$A67)*-1&lt;0,0,1)*IF(ABS(H$3*10^12-$A68)&gt;(H$3*10^12-$A67),$A67,$A68)=H68,0,IF((H$3*10^12-$A68)*(H$3*10^12-$A67)*-1&lt;0,0,1)*IF(ABS(H$3*10^12-$A68)&gt;(H$3*10^12-$A67),$A67,$A68))</f>
        <v>0</v>
      </c>
      <c r="I67" s="0" t="n">
        <f aca="false">IF(IF((I$3*10^12-$A68)*(I$3*10^12-$A67)*-1&lt;0,0,1)*IF(ABS(I$3*10^12-$A68)&gt;(I$3*10^12-$A67),$A67,$A68)=I68,0,IF((I$3*10^12-$A68)*(I$3*10^12-$A67)*-1&lt;0,0,1)*IF(ABS(I$3*10^12-$A68)&gt;(I$3*10^12-$A67),$A67,$A68))</f>
        <v>0</v>
      </c>
      <c r="J67" s="0" t="n">
        <f aca="false">IF(IF((J$3*10^12-$A68)*(J$3*10^12-$A67)*-1&lt;0,0,1)*IF(ABS(J$3*10^12-$A68)&gt;(J$3*10^12-$A67),$A67,$A68)=J68,0,IF((J$3*10^12-$A68)*(J$3*10^12-$A67)*-1&lt;0,0,1)*IF(ABS(J$3*10^12-$A68)&gt;(J$3*10^12-$A67),$A67,$A68))</f>
        <v>0</v>
      </c>
    </row>
    <row r="68" customFormat="false" ht="12.75" hidden="false" customHeight="false" outlineLevel="0" collapsed="false">
      <c r="A68" s="0" t="n">
        <f aca="false">A56*10</f>
        <v>68000</v>
      </c>
      <c r="B68" s="0" t="n">
        <f aca="false">IF(IF((B$3*10^12-$A69)*(B$3*10^12-$A68)*-1&lt;0,0,1)*IF(ABS(B$3*10^12-$A69)&gt;(B$3*10^12-$A68),$A68,$A69)=B69,0,IF((B$3*10^12-$A69)*(B$3*10^12-$A68)*-1&lt;0,0,1)*IF(ABS(B$3*10^12-$A69)&gt;(B$3*10^12-$A68),$A68,$A69))</f>
        <v>0</v>
      </c>
      <c r="C68" s="0" t="n">
        <f aca="false">IF(IF((C$3*10^12-$A69)*(C$3*10^12-$A68)*-1&lt;0,0,1)*IF(ABS(C$3*10^12-$A69)&gt;(C$3*10^12-$A68),$A68,$A69)=C69,0,IF((C$3*10^12-$A69)*(C$3*10^12-$A68)*-1&lt;0,0,1)*IF(ABS(C$3*10^12-$A69)&gt;(C$3*10^12-$A68),$A68,$A69))</f>
        <v>0</v>
      </c>
      <c r="D68" s="0" t="n">
        <f aca="false">IF(IF((D$3*10^12-$A69)*(D$3*10^12-$A68)*-1&lt;0,0,1)*IF(ABS(D$3*10^12-$A69)&gt;(D$3*10^12-$A68),$A68,$A69)=D69,0,IF((D$3*10^12-$A69)*(D$3*10^12-$A68)*-1&lt;0,0,1)*IF(ABS(D$3*10^12-$A69)&gt;(D$3*10^12-$A68),$A68,$A69))</f>
        <v>0</v>
      </c>
      <c r="E68" s="0" t="n">
        <f aca="false">IF(IF((E$3*10^12-$A69)*(E$3*10^12-$A68)*-1&lt;0,0,1)*IF(ABS(E$3*10^12-$A69)&gt;(E$3*10^12-$A68),$A68,$A69)=E69,0,IF((E$3*10^12-$A69)*(E$3*10^12-$A68)*-1&lt;0,0,1)*IF(ABS(E$3*10^12-$A69)&gt;(E$3*10^12-$A68),$A68,$A69))</f>
        <v>0</v>
      </c>
      <c r="F68" s="0" t="n">
        <f aca="false">IF(IF((F$3*10^12-$A69)*(F$3*10^12-$A68)*-1&lt;0,0,1)*IF(ABS(F$3*10^12-$A69)&gt;(F$3*10^12-$A68),$A68,$A69)=F69,0,IF((F$3*10^12-$A69)*(F$3*10^12-$A68)*-1&lt;0,0,1)*IF(ABS(F$3*10^12-$A69)&gt;(F$3*10^12-$A68),$A68,$A69))</f>
        <v>0</v>
      </c>
      <c r="G68" s="0" t="n">
        <f aca="false">IF(IF((G$3*10^12-$A69)*(G$3*10^12-$A68)*-1&lt;0,0,1)*IF(ABS(G$3*10^12-$A69)&gt;(G$3*10^12-$A68),$A68,$A69)=G69,0,IF((G$3*10^12-$A69)*(G$3*10^12-$A68)*-1&lt;0,0,1)*IF(ABS(G$3*10^12-$A69)&gt;(G$3*10^12-$A68),$A68,$A69))</f>
        <v>0</v>
      </c>
      <c r="H68" s="0" t="n">
        <f aca="false">IF(IF((H$3*10^12-$A69)*(H$3*10^12-$A68)*-1&lt;0,0,1)*IF(ABS(H$3*10^12-$A69)&gt;(H$3*10^12-$A68),$A68,$A69)=H69,0,IF((H$3*10^12-$A69)*(H$3*10^12-$A68)*-1&lt;0,0,1)*IF(ABS(H$3*10^12-$A69)&gt;(H$3*10^12-$A68),$A68,$A69))</f>
        <v>0</v>
      </c>
      <c r="I68" s="0" t="n">
        <f aca="false">IF(IF((I$3*10^12-$A69)*(I$3*10^12-$A68)*-1&lt;0,0,1)*IF(ABS(I$3*10^12-$A69)&gt;(I$3*10^12-$A68),$A68,$A69)=I69,0,IF((I$3*10^12-$A69)*(I$3*10^12-$A68)*-1&lt;0,0,1)*IF(ABS(I$3*10^12-$A69)&gt;(I$3*10^12-$A68),$A68,$A69))</f>
        <v>0</v>
      </c>
      <c r="J68" s="0" t="n">
        <f aca="false">IF(IF((J$3*10^12-$A69)*(J$3*10^12-$A68)*-1&lt;0,0,1)*IF(ABS(J$3*10^12-$A69)&gt;(J$3*10^12-$A68),$A68,$A69)=J69,0,IF((J$3*10^12-$A69)*(J$3*10^12-$A68)*-1&lt;0,0,1)*IF(ABS(J$3*10^12-$A69)&gt;(J$3*10^12-$A68),$A68,$A69))</f>
        <v>0</v>
      </c>
    </row>
    <row r="69" customFormat="false" ht="12.75" hidden="false" customHeight="false" outlineLevel="0" collapsed="false">
      <c r="A69" s="0" t="n">
        <f aca="false">A57*10</f>
        <v>82000</v>
      </c>
      <c r="B69" s="0" t="n">
        <f aca="false">IF(IF((B$3*10^12-$A70)*(B$3*10^12-$A69)*-1&lt;0,0,1)*IF(ABS(B$3*10^12-$A70)&gt;(B$3*10^12-$A69),$A69,$A70)=B70,0,IF((B$3*10^12-$A70)*(B$3*10^12-$A69)*-1&lt;0,0,1)*IF(ABS(B$3*10^12-$A70)&gt;(B$3*10^12-$A69),$A69,$A70))</f>
        <v>100000</v>
      </c>
      <c r="C69" s="0" t="n">
        <f aca="false">IF(IF((C$3*10^12-$A70)*(C$3*10^12-$A69)*-1&lt;0,0,1)*IF(ABS(C$3*10^12-$A70)&gt;(C$3*10^12-$A69),$A69,$A70)=C70,0,IF((C$3*10^12-$A70)*(C$3*10^12-$A69)*-1&lt;0,0,1)*IF(ABS(C$3*10^12-$A70)&gt;(C$3*10^12-$A69),$A69,$A70))</f>
        <v>0</v>
      </c>
      <c r="D69" s="0" t="n">
        <f aca="false">IF(IF((D$3*10^12-$A70)*(D$3*10^12-$A69)*-1&lt;0,0,1)*IF(ABS(D$3*10^12-$A70)&gt;(D$3*10^12-$A69),$A69,$A70)=D70,0,IF((D$3*10^12-$A70)*(D$3*10^12-$A69)*-1&lt;0,0,1)*IF(ABS(D$3*10^12-$A70)&gt;(D$3*10^12-$A69),$A69,$A70))</f>
        <v>0</v>
      </c>
      <c r="E69" s="0" t="n">
        <f aca="false">IF(IF((E$3*10^12-$A70)*(E$3*10^12-$A69)*-1&lt;0,0,1)*IF(ABS(E$3*10^12-$A70)&gt;(E$3*10^12-$A69),$A69,$A70)=E70,0,IF((E$3*10^12-$A70)*(E$3*10^12-$A69)*-1&lt;0,0,1)*IF(ABS(E$3*10^12-$A70)&gt;(E$3*10^12-$A69),$A69,$A70))</f>
        <v>0</v>
      </c>
      <c r="F69" s="0" t="n">
        <f aca="false">IF(IF((F$3*10^12-$A70)*(F$3*10^12-$A69)*-1&lt;0,0,1)*IF(ABS(F$3*10^12-$A70)&gt;(F$3*10^12-$A69),$A69,$A70)=F70,0,IF((F$3*10^12-$A70)*(F$3*10^12-$A69)*-1&lt;0,0,1)*IF(ABS(F$3*10^12-$A70)&gt;(F$3*10^12-$A69),$A69,$A70))</f>
        <v>0</v>
      </c>
      <c r="G69" s="0" t="n">
        <f aca="false">IF(IF((G$3*10^12-$A70)*(G$3*10^12-$A69)*-1&lt;0,0,1)*IF(ABS(G$3*10^12-$A70)&gt;(G$3*10^12-$A69),$A69,$A70)=G70,0,IF((G$3*10^12-$A70)*(G$3*10^12-$A69)*-1&lt;0,0,1)*IF(ABS(G$3*10^12-$A70)&gt;(G$3*10^12-$A69),$A69,$A70))</f>
        <v>0</v>
      </c>
      <c r="H69" s="0" t="n">
        <f aca="false">IF(IF((H$3*10^12-$A70)*(H$3*10^12-$A69)*-1&lt;0,0,1)*IF(ABS(H$3*10^12-$A70)&gt;(H$3*10^12-$A69),$A69,$A70)=H70,0,IF((H$3*10^12-$A70)*(H$3*10^12-$A69)*-1&lt;0,0,1)*IF(ABS(H$3*10^12-$A70)&gt;(H$3*10^12-$A69),$A69,$A70))</f>
        <v>0</v>
      </c>
      <c r="I69" s="0" t="n">
        <f aca="false">IF(IF((I$3*10^12-$A70)*(I$3*10^12-$A69)*-1&lt;0,0,1)*IF(ABS(I$3*10^12-$A70)&gt;(I$3*10^12-$A69),$A69,$A70)=I70,0,IF((I$3*10^12-$A70)*(I$3*10^12-$A69)*-1&lt;0,0,1)*IF(ABS(I$3*10^12-$A70)&gt;(I$3*10^12-$A69),$A69,$A70))</f>
        <v>0</v>
      </c>
      <c r="J69" s="0" t="n">
        <f aca="false">IF(IF((J$3*10^12-$A70)*(J$3*10^12-$A69)*-1&lt;0,0,1)*IF(ABS(J$3*10^12-$A70)&gt;(J$3*10^12-$A69),$A69,$A70)=J70,0,IF((J$3*10^12-$A70)*(J$3*10^12-$A69)*-1&lt;0,0,1)*IF(ABS(J$3*10^12-$A70)&gt;(J$3*10^12-$A69),$A69,$A70))</f>
        <v>0</v>
      </c>
    </row>
    <row r="70" customFormat="false" ht="12.75" hidden="false" customHeight="false" outlineLevel="0" collapsed="false">
      <c r="A70" s="0" t="n">
        <f aca="false">A58*10</f>
        <v>100000</v>
      </c>
      <c r="B70" s="0" t="n">
        <f aca="false">IF(IF((B$3*10^12-$A71)*(B$3*10^12-$A70)*-1&lt;0,0,1)*IF(ABS(B$3*10^12-$A71)&gt;(B$3*10^12-$A70),$A70,$A71)=B71,0,IF((B$3*10^12-$A71)*(B$3*10^12-$A70)*-1&lt;0,0,1)*IF(ABS(B$3*10^12-$A71)&gt;(B$3*10^12-$A70),$A70,$A71))</f>
        <v>0</v>
      </c>
      <c r="C70" s="0" t="n">
        <f aca="false">IF(IF((C$3*10^12-$A71)*(C$3*10^12-$A70)*-1&lt;0,0,1)*IF(ABS(C$3*10^12-$A71)&gt;(C$3*10^12-$A70),$A70,$A71)=C71,0,IF((C$3*10^12-$A71)*(C$3*10^12-$A70)*-1&lt;0,0,1)*IF(ABS(C$3*10^12-$A71)&gt;(C$3*10^12-$A70),$A70,$A71))</f>
        <v>0</v>
      </c>
      <c r="D70" s="0" t="n">
        <f aca="false">IF(IF((D$3*10^12-$A71)*(D$3*10^12-$A70)*-1&lt;0,0,1)*IF(ABS(D$3*10^12-$A71)&gt;(D$3*10^12-$A70),$A70,$A71)=D71,0,IF((D$3*10^12-$A71)*(D$3*10^12-$A70)*-1&lt;0,0,1)*IF(ABS(D$3*10^12-$A71)&gt;(D$3*10^12-$A70),$A70,$A71))</f>
        <v>0</v>
      </c>
      <c r="E70" s="0" t="n">
        <f aca="false">IF(IF((E$3*10^12-$A71)*(E$3*10^12-$A70)*-1&lt;0,0,1)*IF(ABS(E$3*10^12-$A71)&gt;(E$3*10^12-$A70),$A70,$A71)=E71,0,IF((E$3*10^12-$A71)*(E$3*10^12-$A70)*-1&lt;0,0,1)*IF(ABS(E$3*10^12-$A71)&gt;(E$3*10^12-$A70),$A70,$A71))</f>
        <v>0</v>
      </c>
      <c r="F70" s="0" t="n">
        <f aca="false">IF(IF((F$3*10^12-$A71)*(F$3*10^12-$A70)*-1&lt;0,0,1)*IF(ABS(F$3*10^12-$A71)&gt;(F$3*10^12-$A70),$A70,$A71)=F71,0,IF((F$3*10^12-$A71)*(F$3*10^12-$A70)*-1&lt;0,0,1)*IF(ABS(F$3*10^12-$A71)&gt;(F$3*10^12-$A70),$A70,$A71))</f>
        <v>0</v>
      </c>
      <c r="G70" s="0" t="n">
        <f aca="false">IF(IF((G$3*10^12-$A71)*(G$3*10^12-$A70)*-1&lt;0,0,1)*IF(ABS(G$3*10^12-$A71)&gt;(G$3*10^12-$A70),$A70,$A71)=G71,0,IF((G$3*10^12-$A71)*(G$3*10^12-$A70)*-1&lt;0,0,1)*IF(ABS(G$3*10^12-$A71)&gt;(G$3*10^12-$A70),$A70,$A71))</f>
        <v>0</v>
      </c>
      <c r="H70" s="0" t="n">
        <f aca="false">IF(IF((H$3*10^12-$A71)*(H$3*10^12-$A70)*-1&lt;0,0,1)*IF(ABS(H$3*10^12-$A71)&gt;(H$3*10^12-$A70),$A70,$A71)=H71,0,IF((H$3*10^12-$A71)*(H$3*10^12-$A70)*-1&lt;0,0,1)*IF(ABS(H$3*10^12-$A71)&gt;(H$3*10^12-$A70),$A70,$A71))</f>
        <v>0</v>
      </c>
      <c r="I70" s="0" t="n">
        <f aca="false">IF(IF((I$3*10^12-$A71)*(I$3*10^12-$A70)*-1&lt;0,0,1)*IF(ABS(I$3*10^12-$A71)&gt;(I$3*10^12-$A70),$A70,$A71)=I71,0,IF((I$3*10^12-$A71)*(I$3*10^12-$A70)*-1&lt;0,0,1)*IF(ABS(I$3*10^12-$A71)&gt;(I$3*10^12-$A70),$A70,$A71))</f>
        <v>0</v>
      </c>
      <c r="J70" s="0" t="n">
        <f aca="false">IF(IF((J$3*10^12-$A71)*(J$3*10^12-$A70)*-1&lt;0,0,1)*IF(ABS(J$3*10^12-$A71)&gt;(J$3*10^12-$A70),$A70,$A71)=J71,0,IF((J$3*10^12-$A71)*(J$3*10^12-$A70)*-1&lt;0,0,1)*IF(ABS(J$3*10^12-$A71)&gt;(J$3*10^12-$A70),$A70,$A71))</f>
        <v>0</v>
      </c>
    </row>
    <row r="71" customFormat="false" ht="12.75" hidden="false" customHeight="false" outlineLevel="0" collapsed="false">
      <c r="A71" s="0" t="n">
        <f aca="false">A59*10</f>
        <v>120000</v>
      </c>
      <c r="B71" s="0" t="n">
        <f aca="false">IF(IF((B$3*10^12-$A72)*(B$3*10^12-$A71)*-1&lt;0,0,1)*IF(ABS(B$3*10^12-$A72)&gt;(B$3*10^12-$A71),$A71,$A72)=B72,0,IF((B$3*10^12-$A72)*(B$3*10^12-$A71)*-1&lt;0,0,1)*IF(ABS(B$3*10^12-$A72)&gt;(B$3*10^12-$A71),$A71,$A72))</f>
        <v>0</v>
      </c>
      <c r="C71" s="0" t="n">
        <f aca="false">IF(IF((C$3*10^12-$A72)*(C$3*10^12-$A71)*-1&lt;0,0,1)*IF(ABS(C$3*10^12-$A72)&gt;(C$3*10^12-$A71),$A71,$A72)=C72,0,IF((C$3*10^12-$A72)*(C$3*10^12-$A71)*-1&lt;0,0,1)*IF(ABS(C$3*10^12-$A72)&gt;(C$3*10^12-$A71),$A71,$A72))</f>
        <v>0</v>
      </c>
      <c r="D71" s="0" t="n">
        <f aca="false">IF(IF((D$3*10^12-$A72)*(D$3*10^12-$A71)*-1&lt;0,0,1)*IF(ABS(D$3*10^12-$A72)&gt;(D$3*10^12-$A71),$A71,$A72)=D72,0,IF((D$3*10^12-$A72)*(D$3*10^12-$A71)*-1&lt;0,0,1)*IF(ABS(D$3*10^12-$A72)&gt;(D$3*10^12-$A71),$A71,$A72))</f>
        <v>0</v>
      </c>
      <c r="E71" s="0" t="n">
        <f aca="false">IF(IF((E$3*10^12-$A72)*(E$3*10^12-$A71)*-1&lt;0,0,1)*IF(ABS(E$3*10^12-$A72)&gt;(E$3*10^12-$A71),$A71,$A72)=E72,0,IF((E$3*10^12-$A72)*(E$3*10^12-$A71)*-1&lt;0,0,1)*IF(ABS(E$3*10^12-$A72)&gt;(E$3*10^12-$A71),$A71,$A72))</f>
        <v>0</v>
      </c>
      <c r="F71" s="0" t="n">
        <f aca="false">IF(IF((F$3*10^12-$A72)*(F$3*10^12-$A71)*-1&lt;0,0,1)*IF(ABS(F$3*10^12-$A72)&gt;(F$3*10^12-$A71),$A71,$A72)=F72,0,IF((F$3*10^12-$A72)*(F$3*10^12-$A71)*-1&lt;0,0,1)*IF(ABS(F$3*10^12-$A72)&gt;(F$3*10^12-$A71),$A71,$A72))</f>
        <v>0</v>
      </c>
      <c r="G71" s="0" t="n">
        <f aca="false">IF(IF((G$3*10^12-$A72)*(G$3*10^12-$A71)*-1&lt;0,0,1)*IF(ABS(G$3*10^12-$A72)&gt;(G$3*10^12-$A71),$A71,$A72)=G72,0,IF((G$3*10^12-$A72)*(G$3*10^12-$A71)*-1&lt;0,0,1)*IF(ABS(G$3*10^12-$A72)&gt;(G$3*10^12-$A71),$A71,$A72))</f>
        <v>0</v>
      </c>
      <c r="H71" s="0" t="n">
        <f aca="false">IF(IF((H$3*10^12-$A72)*(H$3*10^12-$A71)*-1&lt;0,0,1)*IF(ABS(H$3*10^12-$A72)&gt;(H$3*10^12-$A71),$A71,$A72)=H72,0,IF((H$3*10^12-$A72)*(H$3*10^12-$A71)*-1&lt;0,0,1)*IF(ABS(H$3*10^12-$A72)&gt;(H$3*10^12-$A71),$A71,$A72))</f>
        <v>0</v>
      </c>
      <c r="I71" s="0" t="n">
        <f aca="false">IF(IF((I$3*10^12-$A72)*(I$3*10^12-$A71)*-1&lt;0,0,1)*IF(ABS(I$3*10^12-$A72)&gt;(I$3*10^12-$A71),$A71,$A72)=I72,0,IF((I$3*10^12-$A72)*(I$3*10^12-$A71)*-1&lt;0,0,1)*IF(ABS(I$3*10^12-$A72)&gt;(I$3*10^12-$A71),$A71,$A72))</f>
        <v>0</v>
      </c>
      <c r="J71" s="0" t="n">
        <f aca="false">IF(IF((J$3*10^12-$A72)*(J$3*10^12-$A71)*-1&lt;0,0,1)*IF(ABS(J$3*10^12-$A72)&gt;(J$3*10^12-$A71),$A71,$A72)=J72,0,IF((J$3*10^12-$A72)*(J$3*10^12-$A71)*-1&lt;0,0,1)*IF(ABS(J$3*10^12-$A72)&gt;(J$3*10^12-$A71),$A71,$A72))</f>
        <v>0</v>
      </c>
    </row>
    <row r="72" customFormat="false" ht="12.75" hidden="false" customHeight="false" outlineLevel="0" collapsed="false">
      <c r="A72" s="0" t="n">
        <f aca="false">A60*10</f>
        <v>150000</v>
      </c>
      <c r="B72" s="0" t="n">
        <f aca="false">IF(IF((B$3*10^12-$A73)*(B$3*10^12-$A72)*-1&lt;0,0,1)*IF(ABS(B$3*10^12-$A73)&gt;(B$3*10^12-$A72),$A72,$A73)=B73,0,IF((B$3*10^12-$A73)*(B$3*10^12-$A72)*-1&lt;0,0,1)*IF(ABS(B$3*10^12-$A73)&gt;(B$3*10^12-$A72),$A72,$A73))</f>
        <v>0</v>
      </c>
      <c r="C72" s="0" t="n">
        <f aca="false">IF(IF((C$3*10^12-$A73)*(C$3*10^12-$A72)*-1&lt;0,0,1)*IF(ABS(C$3*10^12-$A73)&gt;(C$3*10^12-$A72),$A72,$A73)=C73,0,IF((C$3*10^12-$A73)*(C$3*10^12-$A72)*-1&lt;0,0,1)*IF(ABS(C$3*10^12-$A73)&gt;(C$3*10^12-$A72),$A72,$A73))</f>
        <v>0</v>
      </c>
      <c r="D72" s="0" t="n">
        <f aca="false">IF(IF((D$3*10^12-$A73)*(D$3*10^12-$A72)*-1&lt;0,0,1)*IF(ABS(D$3*10^12-$A73)&gt;(D$3*10^12-$A72),$A72,$A73)=D73,0,IF((D$3*10^12-$A73)*(D$3*10^12-$A72)*-1&lt;0,0,1)*IF(ABS(D$3*10^12-$A73)&gt;(D$3*10^12-$A72),$A72,$A73))</f>
        <v>0</v>
      </c>
      <c r="E72" s="0" t="n">
        <f aca="false">IF(IF((E$3*10^12-$A73)*(E$3*10^12-$A72)*-1&lt;0,0,1)*IF(ABS(E$3*10^12-$A73)&gt;(E$3*10^12-$A72),$A72,$A73)=E73,0,IF((E$3*10^12-$A73)*(E$3*10^12-$A72)*-1&lt;0,0,1)*IF(ABS(E$3*10^12-$A73)&gt;(E$3*10^12-$A72),$A72,$A73))</f>
        <v>0</v>
      </c>
      <c r="F72" s="0" t="n">
        <f aca="false">IF(IF((F$3*10^12-$A73)*(F$3*10^12-$A72)*-1&lt;0,0,1)*IF(ABS(F$3*10^12-$A73)&gt;(F$3*10^12-$A72),$A72,$A73)=F73,0,IF((F$3*10^12-$A73)*(F$3*10^12-$A72)*-1&lt;0,0,1)*IF(ABS(F$3*10^12-$A73)&gt;(F$3*10^12-$A72),$A72,$A73))</f>
        <v>0</v>
      </c>
      <c r="G72" s="0" t="n">
        <f aca="false">IF(IF((G$3*10^12-$A73)*(G$3*10^12-$A72)*-1&lt;0,0,1)*IF(ABS(G$3*10^12-$A73)&gt;(G$3*10^12-$A72),$A72,$A73)=G73,0,IF((G$3*10^12-$A73)*(G$3*10^12-$A72)*-1&lt;0,0,1)*IF(ABS(G$3*10^12-$A73)&gt;(G$3*10^12-$A72),$A72,$A73))</f>
        <v>0</v>
      </c>
      <c r="H72" s="0" t="n">
        <f aca="false">IF(IF((H$3*10^12-$A73)*(H$3*10^12-$A72)*-1&lt;0,0,1)*IF(ABS(H$3*10^12-$A73)&gt;(H$3*10^12-$A72),$A72,$A73)=H73,0,IF((H$3*10^12-$A73)*(H$3*10^12-$A72)*-1&lt;0,0,1)*IF(ABS(H$3*10^12-$A73)&gt;(H$3*10^12-$A72),$A72,$A73))</f>
        <v>0</v>
      </c>
      <c r="I72" s="0" t="n">
        <f aca="false">IF(IF((I$3*10^12-$A73)*(I$3*10^12-$A72)*-1&lt;0,0,1)*IF(ABS(I$3*10^12-$A73)&gt;(I$3*10^12-$A72),$A72,$A73)=I73,0,IF((I$3*10^12-$A73)*(I$3*10^12-$A72)*-1&lt;0,0,1)*IF(ABS(I$3*10^12-$A73)&gt;(I$3*10^12-$A72),$A72,$A73))</f>
        <v>0</v>
      </c>
      <c r="J72" s="0" t="n">
        <f aca="false">IF(IF((J$3*10^12-$A73)*(J$3*10^12-$A72)*-1&lt;0,0,1)*IF(ABS(J$3*10^12-$A73)&gt;(J$3*10^12-$A72),$A72,$A73)=J73,0,IF((J$3*10^12-$A73)*(J$3*10^12-$A72)*-1&lt;0,0,1)*IF(ABS(J$3*10^12-$A73)&gt;(J$3*10^12-$A72),$A72,$A73))</f>
        <v>0</v>
      </c>
    </row>
    <row r="73" customFormat="false" ht="12.75" hidden="false" customHeight="false" outlineLevel="0" collapsed="false">
      <c r="A73" s="0" t="n">
        <f aca="false">A61*10</f>
        <v>180000</v>
      </c>
      <c r="B73" s="0" t="n">
        <f aca="false">IF(IF((B$3*10^12-$A74)*(B$3*10^12-$A73)*-1&lt;0,0,1)*IF(ABS(B$3*10^12-$A74)&gt;(B$3*10^12-$A73),$A73,$A74)=B74,0,IF((B$3*10^12-$A74)*(B$3*10^12-$A73)*-1&lt;0,0,1)*IF(ABS(B$3*10^12-$A74)&gt;(B$3*10^12-$A73),$A73,$A74))</f>
        <v>0</v>
      </c>
      <c r="C73" s="0" t="n">
        <f aca="false">IF(IF((C$3*10^12-$A74)*(C$3*10^12-$A73)*-1&lt;0,0,1)*IF(ABS(C$3*10^12-$A74)&gt;(C$3*10^12-$A73),$A73,$A74)=C74,0,IF((C$3*10^12-$A74)*(C$3*10^12-$A73)*-1&lt;0,0,1)*IF(ABS(C$3*10^12-$A74)&gt;(C$3*10^12-$A73),$A73,$A74))</f>
        <v>0</v>
      </c>
      <c r="D73" s="0" t="n">
        <f aca="false">IF(IF((D$3*10^12-$A74)*(D$3*10^12-$A73)*-1&lt;0,0,1)*IF(ABS(D$3*10^12-$A74)&gt;(D$3*10^12-$A73),$A73,$A74)=D74,0,IF((D$3*10^12-$A74)*(D$3*10^12-$A73)*-1&lt;0,0,1)*IF(ABS(D$3*10^12-$A74)&gt;(D$3*10^12-$A73),$A73,$A74))</f>
        <v>0</v>
      </c>
      <c r="E73" s="0" t="n">
        <f aca="false">IF(IF((E$3*10^12-$A74)*(E$3*10^12-$A73)*-1&lt;0,0,1)*IF(ABS(E$3*10^12-$A74)&gt;(E$3*10^12-$A73),$A73,$A74)=E74,0,IF((E$3*10^12-$A74)*(E$3*10^12-$A73)*-1&lt;0,0,1)*IF(ABS(E$3*10^12-$A74)&gt;(E$3*10^12-$A73),$A73,$A74))</f>
        <v>0</v>
      </c>
      <c r="F73" s="0" t="n">
        <f aca="false">IF(IF((F$3*10^12-$A74)*(F$3*10^12-$A73)*-1&lt;0,0,1)*IF(ABS(F$3*10^12-$A74)&gt;(F$3*10^12-$A73),$A73,$A74)=F74,0,IF((F$3*10^12-$A74)*(F$3*10^12-$A73)*-1&lt;0,0,1)*IF(ABS(F$3*10^12-$A74)&gt;(F$3*10^12-$A73),$A73,$A74))</f>
        <v>0</v>
      </c>
      <c r="G73" s="0" t="n">
        <f aca="false">IF(IF((G$3*10^12-$A74)*(G$3*10^12-$A73)*-1&lt;0,0,1)*IF(ABS(G$3*10^12-$A74)&gt;(G$3*10^12-$A73),$A73,$A74)=G74,0,IF((G$3*10^12-$A74)*(G$3*10^12-$A73)*-1&lt;0,0,1)*IF(ABS(G$3*10^12-$A74)&gt;(G$3*10^12-$A73),$A73,$A74))</f>
        <v>0</v>
      </c>
      <c r="H73" s="0" t="n">
        <f aca="false">IF(IF((H$3*10^12-$A74)*(H$3*10^12-$A73)*-1&lt;0,0,1)*IF(ABS(H$3*10^12-$A74)&gt;(H$3*10^12-$A73),$A73,$A74)=H74,0,IF((H$3*10^12-$A74)*(H$3*10^12-$A73)*-1&lt;0,0,1)*IF(ABS(H$3*10^12-$A74)&gt;(H$3*10^12-$A73),$A73,$A74))</f>
        <v>0</v>
      </c>
      <c r="I73" s="0" t="n">
        <f aca="false">IF(IF((I$3*10^12-$A74)*(I$3*10^12-$A73)*-1&lt;0,0,1)*IF(ABS(I$3*10^12-$A74)&gt;(I$3*10^12-$A73),$A73,$A74)=I74,0,IF((I$3*10^12-$A74)*(I$3*10^12-$A73)*-1&lt;0,0,1)*IF(ABS(I$3*10^12-$A74)&gt;(I$3*10^12-$A73),$A73,$A74))</f>
        <v>0</v>
      </c>
      <c r="J73" s="0" t="n">
        <f aca="false">IF(IF((J$3*10^12-$A74)*(J$3*10^12-$A73)*-1&lt;0,0,1)*IF(ABS(J$3*10^12-$A74)&gt;(J$3*10^12-$A73),$A73,$A74)=J74,0,IF((J$3*10^12-$A74)*(J$3*10^12-$A73)*-1&lt;0,0,1)*IF(ABS(J$3*10^12-$A74)&gt;(J$3*10^12-$A73),$A73,$A74))</f>
        <v>0</v>
      </c>
    </row>
    <row r="74" customFormat="false" ht="12.75" hidden="false" customHeight="false" outlineLevel="0" collapsed="false">
      <c r="A74" s="0" t="n">
        <f aca="false">A62*10</f>
        <v>220000</v>
      </c>
      <c r="B74" s="0" t="n">
        <f aca="false">IF(IF((B$3*10^12-$A75)*(B$3*10^12-$A74)*-1&lt;0,0,1)*IF(ABS(B$3*10^12-$A75)&gt;(B$3*10^12-$A74),$A74,$A75)=B75,0,IF((B$3*10^12-$A75)*(B$3*10^12-$A74)*-1&lt;0,0,1)*IF(ABS(B$3*10^12-$A75)&gt;(B$3*10^12-$A74),$A74,$A75))</f>
        <v>0</v>
      </c>
      <c r="C74" s="0" t="n">
        <f aca="false">IF(IF((C$3*10^12-$A75)*(C$3*10^12-$A74)*-1&lt;0,0,1)*IF(ABS(C$3*10^12-$A75)&gt;(C$3*10^12-$A74),$A74,$A75)=C75,0,IF((C$3*10^12-$A75)*(C$3*10^12-$A74)*-1&lt;0,0,1)*IF(ABS(C$3*10^12-$A75)&gt;(C$3*10^12-$A74),$A74,$A75))</f>
        <v>0</v>
      </c>
      <c r="D74" s="0" t="n">
        <f aca="false">IF(IF((D$3*10^12-$A75)*(D$3*10^12-$A74)*-1&lt;0,0,1)*IF(ABS(D$3*10^12-$A75)&gt;(D$3*10^12-$A74),$A74,$A75)=D75,0,IF((D$3*10^12-$A75)*(D$3*10^12-$A74)*-1&lt;0,0,1)*IF(ABS(D$3*10^12-$A75)&gt;(D$3*10^12-$A74),$A74,$A75))</f>
        <v>0</v>
      </c>
      <c r="E74" s="0" t="n">
        <f aca="false">IF(IF((E$3*10^12-$A75)*(E$3*10^12-$A74)*-1&lt;0,0,1)*IF(ABS(E$3*10^12-$A75)&gt;(E$3*10^12-$A74),$A74,$A75)=E75,0,IF((E$3*10^12-$A75)*(E$3*10^12-$A74)*-1&lt;0,0,1)*IF(ABS(E$3*10^12-$A75)&gt;(E$3*10^12-$A74),$A74,$A75))</f>
        <v>0</v>
      </c>
      <c r="F74" s="0" t="n">
        <f aca="false">IF(IF((F$3*10^12-$A75)*(F$3*10^12-$A74)*-1&lt;0,0,1)*IF(ABS(F$3*10^12-$A75)&gt;(F$3*10^12-$A74),$A74,$A75)=F75,0,IF((F$3*10^12-$A75)*(F$3*10^12-$A74)*-1&lt;0,0,1)*IF(ABS(F$3*10^12-$A75)&gt;(F$3*10^12-$A74),$A74,$A75))</f>
        <v>0</v>
      </c>
      <c r="G74" s="0" t="n">
        <f aca="false">IF(IF((G$3*10^12-$A75)*(G$3*10^12-$A74)*-1&lt;0,0,1)*IF(ABS(G$3*10^12-$A75)&gt;(G$3*10^12-$A74),$A74,$A75)=G75,0,IF((G$3*10^12-$A75)*(G$3*10^12-$A74)*-1&lt;0,0,1)*IF(ABS(G$3*10^12-$A75)&gt;(G$3*10^12-$A74),$A74,$A75))</f>
        <v>0</v>
      </c>
      <c r="H74" s="0" t="n">
        <f aca="false">IF(IF((H$3*10^12-$A75)*(H$3*10^12-$A74)*-1&lt;0,0,1)*IF(ABS(H$3*10^12-$A75)&gt;(H$3*10^12-$A74),$A74,$A75)=H75,0,IF((H$3*10^12-$A75)*(H$3*10^12-$A74)*-1&lt;0,0,1)*IF(ABS(H$3*10^12-$A75)&gt;(H$3*10^12-$A74),$A74,$A75))</f>
        <v>0</v>
      </c>
      <c r="I74" s="0" t="n">
        <f aca="false">IF(IF((I$3*10^12-$A75)*(I$3*10^12-$A74)*-1&lt;0,0,1)*IF(ABS(I$3*10^12-$A75)&gt;(I$3*10^12-$A74),$A74,$A75)=I75,0,IF((I$3*10^12-$A75)*(I$3*10^12-$A74)*-1&lt;0,0,1)*IF(ABS(I$3*10^12-$A75)&gt;(I$3*10^12-$A74),$A74,$A75))</f>
        <v>0</v>
      </c>
      <c r="J74" s="0" t="n">
        <f aca="false">IF(IF((J$3*10^12-$A75)*(J$3*10^12-$A74)*-1&lt;0,0,1)*IF(ABS(J$3*10^12-$A75)&gt;(J$3*10^12-$A74),$A74,$A75)=J75,0,IF((J$3*10^12-$A75)*(J$3*10^12-$A74)*-1&lt;0,0,1)*IF(ABS(J$3*10^12-$A75)&gt;(J$3*10^12-$A74),$A74,$A75))</f>
        <v>0</v>
      </c>
    </row>
    <row r="75" customFormat="false" ht="12.75" hidden="false" customHeight="false" outlineLevel="0" collapsed="false">
      <c r="A75" s="0" t="n">
        <f aca="false">A63*10</f>
        <v>270000</v>
      </c>
      <c r="B75" s="0" t="n">
        <f aca="false">IF(IF((B$3*10^12-$A76)*(B$3*10^12-$A75)*-1&lt;0,0,1)*IF(ABS(B$3*10^12-$A76)&gt;(B$3*10^12-$A75),$A75,$A76)=B76,0,IF((B$3*10^12-$A76)*(B$3*10^12-$A75)*-1&lt;0,0,1)*IF(ABS(B$3*10^12-$A76)&gt;(B$3*10^12-$A75),$A75,$A76))</f>
        <v>0</v>
      </c>
      <c r="C75" s="0" t="n">
        <f aca="false">IF(IF((C$3*10^12-$A76)*(C$3*10^12-$A75)*-1&lt;0,0,1)*IF(ABS(C$3*10^12-$A76)&gt;(C$3*10^12-$A75),$A75,$A76)=C76,0,IF((C$3*10^12-$A76)*(C$3*10^12-$A75)*-1&lt;0,0,1)*IF(ABS(C$3*10^12-$A76)&gt;(C$3*10^12-$A75),$A75,$A76))</f>
        <v>0</v>
      </c>
      <c r="D75" s="0" t="n">
        <f aca="false">IF(IF((D$3*10^12-$A76)*(D$3*10^12-$A75)*-1&lt;0,0,1)*IF(ABS(D$3*10^12-$A76)&gt;(D$3*10^12-$A75),$A75,$A76)=D76,0,IF((D$3*10^12-$A76)*(D$3*10^12-$A75)*-1&lt;0,0,1)*IF(ABS(D$3*10^12-$A76)&gt;(D$3*10^12-$A75),$A75,$A76))</f>
        <v>0</v>
      </c>
      <c r="E75" s="0" t="n">
        <f aca="false">IF(IF((E$3*10^12-$A76)*(E$3*10^12-$A75)*-1&lt;0,0,1)*IF(ABS(E$3*10^12-$A76)&gt;(E$3*10^12-$A75),$A75,$A76)=E76,0,IF((E$3*10^12-$A76)*(E$3*10^12-$A75)*-1&lt;0,0,1)*IF(ABS(E$3*10^12-$A76)&gt;(E$3*10^12-$A75),$A75,$A76))</f>
        <v>0</v>
      </c>
      <c r="F75" s="0" t="n">
        <f aca="false">IF(IF((F$3*10^12-$A76)*(F$3*10^12-$A75)*-1&lt;0,0,1)*IF(ABS(F$3*10^12-$A76)&gt;(F$3*10^12-$A75),$A75,$A76)=F76,0,IF((F$3*10^12-$A76)*(F$3*10^12-$A75)*-1&lt;0,0,1)*IF(ABS(F$3*10^12-$A76)&gt;(F$3*10^12-$A75),$A75,$A76))</f>
        <v>0</v>
      </c>
      <c r="G75" s="0" t="n">
        <f aca="false">IF(IF((G$3*10^12-$A76)*(G$3*10^12-$A75)*-1&lt;0,0,1)*IF(ABS(G$3*10^12-$A76)&gt;(G$3*10^12-$A75),$A75,$A76)=G76,0,IF((G$3*10^12-$A76)*(G$3*10^12-$A75)*-1&lt;0,0,1)*IF(ABS(G$3*10^12-$A76)&gt;(G$3*10^12-$A75),$A75,$A76))</f>
        <v>0</v>
      </c>
      <c r="H75" s="0" t="n">
        <f aca="false">IF(IF((H$3*10^12-$A76)*(H$3*10^12-$A75)*-1&lt;0,0,1)*IF(ABS(H$3*10^12-$A76)&gt;(H$3*10^12-$A75),$A75,$A76)=H76,0,IF((H$3*10^12-$A76)*(H$3*10^12-$A75)*-1&lt;0,0,1)*IF(ABS(H$3*10^12-$A76)&gt;(H$3*10^12-$A75),$A75,$A76))</f>
        <v>0</v>
      </c>
      <c r="I75" s="0" t="n">
        <f aca="false">IF(IF((I$3*10^12-$A76)*(I$3*10^12-$A75)*-1&lt;0,0,1)*IF(ABS(I$3*10^12-$A76)&gt;(I$3*10^12-$A75),$A75,$A76)=I76,0,IF((I$3*10^12-$A76)*(I$3*10^12-$A75)*-1&lt;0,0,1)*IF(ABS(I$3*10^12-$A76)&gt;(I$3*10^12-$A75),$A75,$A76))</f>
        <v>0</v>
      </c>
      <c r="J75" s="0" t="n">
        <f aca="false">IF(IF((J$3*10^12-$A76)*(J$3*10^12-$A75)*-1&lt;0,0,1)*IF(ABS(J$3*10^12-$A76)&gt;(J$3*10^12-$A75),$A75,$A76)=J76,0,IF((J$3*10^12-$A76)*(J$3*10^12-$A75)*-1&lt;0,0,1)*IF(ABS(J$3*10^12-$A76)&gt;(J$3*10^12-$A75),$A75,$A76))</f>
        <v>0</v>
      </c>
    </row>
    <row r="76" customFormat="false" ht="12.75" hidden="false" customHeight="false" outlineLevel="0" collapsed="false">
      <c r="A76" s="0" t="n">
        <f aca="false">A64*10</f>
        <v>330000</v>
      </c>
      <c r="B76" s="0" t="n">
        <f aca="false">IF(IF((B$3*10^12-$A77)*(B$3*10^12-$A76)*-1&lt;0,0,1)*IF(ABS(B$3*10^12-$A77)&gt;(B$3*10^12-$A76),$A76,$A77)=B77,0,IF((B$3*10^12-$A77)*(B$3*10^12-$A76)*-1&lt;0,0,1)*IF(ABS(B$3*10^12-$A77)&gt;(B$3*10^12-$A76),$A76,$A77))</f>
        <v>0</v>
      </c>
      <c r="C76" s="0" t="n">
        <f aca="false">IF(IF((C$3*10^12-$A77)*(C$3*10^12-$A76)*-1&lt;0,0,1)*IF(ABS(C$3*10^12-$A77)&gt;(C$3*10^12-$A76),$A76,$A77)=C77,0,IF((C$3*10^12-$A77)*(C$3*10^12-$A76)*-1&lt;0,0,1)*IF(ABS(C$3*10^12-$A77)&gt;(C$3*10^12-$A76),$A76,$A77))</f>
        <v>0</v>
      </c>
      <c r="D76" s="0" t="n">
        <f aca="false">IF(IF((D$3*10^12-$A77)*(D$3*10^12-$A76)*-1&lt;0,0,1)*IF(ABS(D$3*10^12-$A77)&gt;(D$3*10^12-$A76),$A76,$A77)=D77,0,IF((D$3*10^12-$A77)*(D$3*10^12-$A76)*-1&lt;0,0,1)*IF(ABS(D$3*10^12-$A77)&gt;(D$3*10^12-$A76),$A76,$A77))</f>
        <v>0</v>
      </c>
      <c r="E76" s="0" t="n">
        <f aca="false">IF(IF((E$3*10^12-$A77)*(E$3*10^12-$A76)*-1&lt;0,0,1)*IF(ABS(E$3*10^12-$A77)&gt;(E$3*10^12-$A76),$A76,$A77)=E77,0,IF((E$3*10^12-$A77)*(E$3*10^12-$A76)*-1&lt;0,0,1)*IF(ABS(E$3*10^12-$A77)&gt;(E$3*10^12-$A76),$A76,$A77))</f>
        <v>0</v>
      </c>
      <c r="F76" s="0" t="n">
        <f aca="false">IF(IF((F$3*10^12-$A77)*(F$3*10^12-$A76)*-1&lt;0,0,1)*IF(ABS(F$3*10^12-$A77)&gt;(F$3*10^12-$A76),$A76,$A77)=F77,0,IF((F$3*10^12-$A77)*(F$3*10^12-$A76)*-1&lt;0,0,1)*IF(ABS(F$3*10^12-$A77)&gt;(F$3*10^12-$A76),$A76,$A77))</f>
        <v>0</v>
      </c>
      <c r="G76" s="0" t="n">
        <f aca="false">IF(IF((G$3*10^12-$A77)*(G$3*10^12-$A76)*-1&lt;0,0,1)*IF(ABS(G$3*10^12-$A77)&gt;(G$3*10^12-$A76),$A76,$A77)=G77,0,IF((G$3*10^12-$A77)*(G$3*10^12-$A76)*-1&lt;0,0,1)*IF(ABS(G$3*10^12-$A77)&gt;(G$3*10^12-$A76),$A76,$A77))</f>
        <v>0</v>
      </c>
      <c r="H76" s="0" t="n">
        <f aca="false">IF(IF((H$3*10^12-$A77)*(H$3*10^12-$A76)*-1&lt;0,0,1)*IF(ABS(H$3*10^12-$A77)&gt;(H$3*10^12-$A76),$A76,$A77)=H77,0,IF((H$3*10^12-$A77)*(H$3*10^12-$A76)*-1&lt;0,0,1)*IF(ABS(H$3*10^12-$A77)&gt;(H$3*10^12-$A76),$A76,$A77))</f>
        <v>0</v>
      </c>
      <c r="I76" s="0" t="n">
        <f aca="false">IF(IF((I$3*10^12-$A77)*(I$3*10^12-$A76)*-1&lt;0,0,1)*IF(ABS(I$3*10^12-$A77)&gt;(I$3*10^12-$A76),$A76,$A77)=I77,0,IF((I$3*10^12-$A77)*(I$3*10^12-$A76)*-1&lt;0,0,1)*IF(ABS(I$3*10^12-$A77)&gt;(I$3*10^12-$A76),$A76,$A77))</f>
        <v>0</v>
      </c>
      <c r="J76" s="0" t="n">
        <f aca="false">IF(IF((J$3*10^12-$A77)*(J$3*10^12-$A76)*-1&lt;0,0,1)*IF(ABS(J$3*10^12-$A77)&gt;(J$3*10^12-$A76),$A76,$A77)=J77,0,IF((J$3*10^12-$A77)*(J$3*10^12-$A76)*-1&lt;0,0,1)*IF(ABS(J$3*10^12-$A77)&gt;(J$3*10^12-$A76),$A76,$A77))</f>
        <v>0</v>
      </c>
    </row>
    <row r="77" customFormat="false" ht="12.75" hidden="false" customHeight="false" outlineLevel="0" collapsed="false">
      <c r="A77" s="0" t="n">
        <f aca="false">A65*10</f>
        <v>390000</v>
      </c>
      <c r="B77" s="0" t="n">
        <f aca="false">IF(IF((B$3*10^12-$A78)*(B$3*10^12-$A77)*-1&lt;0,0,1)*IF(ABS(B$3*10^12-$A78)&gt;(B$3*10^12-$A77),$A77,$A78)=B78,0,IF((B$3*10^12-$A78)*(B$3*10^12-$A77)*-1&lt;0,0,1)*IF(ABS(B$3*10^12-$A78)&gt;(B$3*10^12-$A77),$A77,$A78))</f>
        <v>0</v>
      </c>
      <c r="C77" s="0" t="n">
        <f aca="false">IF(IF((C$3*10^12-$A78)*(C$3*10^12-$A77)*-1&lt;0,0,1)*IF(ABS(C$3*10^12-$A78)&gt;(C$3*10^12-$A77),$A77,$A78)=C78,0,IF((C$3*10^12-$A78)*(C$3*10^12-$A77)*-1&lt;0,0,1)*IF(ABS(C$3*10^12-$A78)&gt;(C$3*10^12-$A77),$A77,$A78))</f>
        <v>0</v>
      </c>
      <c r="D77" s="0" t="n">
        <f aca="false">IF(IF((D$3*10^12-$A78)*(D$3*10^12-$A77)*-1&lt;0,0,1)*IF(ABS(D$3*10^12-$A78)&gt;(D$3*10^12-$A77),$A77,$A78)=D78,0,IF((D$3*10^12-$A78)*(D$3*10^12-$A77)*-1&lt;0,0,1)*IF(ABS(D$3*10^12-$A78)&gt;(D$3*10^12-$A77),$A77,$A78))</f>
        <v>0</v>
      </c>
      <c r="E77" s="0" t="n">
        <f aca="false">IF(IF((E$3*10^12-$A78)*(E$3*10^12-$A77)*-1&lt;0,0,1)*IF(ABS(E$3*10^12-$A78)&gt;(E$3*10^12-$A77),$A77,$A78)=E78,0,IF((E$3*10^12-$A78)*(E$3*10^12-$A77)*-1&lt;0,0,1)*IF(ABS(E$3*10^12-$A78)&gt;(E$3*10^12-$A77),$A77,$A78))</f>
        <v>0</v>
      </c>
      <c r="F77" s="0" t="n">
        <f aca="false">IF(IF((F$3*10^12-$A78)*(F$3*10^12-$A77)*-1&lt;0,0,1)*IF(ABS(F$3*10^12-$A78)&gt;(F$3*10^12-$A77),$A77,$A78)=F78,0,IF((F$3*10^12-$A78)*(F$3*10^12-$A77)*-1&lt;0,0,1)*IF(ABS(F$3*10^12-$A78)&gt;(F$3*10^12-$A77),$A77,$A78))</f>
        <v>0</v>
      </c>
      <c r="G77" s="0" t="n">
        <f aca="false">IF(IF((G$3*10^12-$A78)*(G$3*10^12-$A77)*-1&lt;0,0,1)*IF(ABS(G$3*10^12-$A78)&gt;(G$3*10^12-$A77),$A77,$A78)=G78,0,IF((G$3*10^12-$A78)*(G$3*10^12-$A77)*-1&lt;0,0,1)*IF(ABS(G$3*10^12-$A78)&gt;(G$3*10^12-$A77),$A77,$A78))</f>
        <v>0</v>
      </c>
      <c r="H77" s="0" t="n">
        <f aca="false">IF(IF((H$3*10^12-$A78)*(H$3*10^12-$A77)*-1&lt;0,0,1)*IF(ABS(H$3*10^12-$A78)&gt;(H$3*10^12-$A77),$A77,$A78)=H78,0,IF((H$3*10^12-$A78)*(H$3*10^12-$A77)*-1&lt;0,0,1)*IF(ABS(H$3*10^12-$A78)&gt;(H$3*10^12-$A77),$A77,$A78))</f>
        <v>0</v>
      </c>
      <c r="I77" s="0" t="n">
        <f aca="false">IF(IF((I$3*10^12-$A78)*(I$3*10^12-$A77)*-1&lt;0,0,1)*IF(ABS(I$3*10^12-$A78)&gt;(I$3*10^12-$A77),$A77,$A78)=I78,0,IF((I$3*10^12-$A78)*(I$3*10^12-$A77)*-1&lt;0,0,1)*IF(ABS(I$3*10^12-$A78)&gt;(I$3*10^12-$A77),$A77,$A78))</f>
        <v>0</v>
      </c>
      <c r="J77" s="0" t="n">
        <f aca="false">IF(IF((J$3*10^12-$A78)*(J$3*10^12-$A77)*-1&lt;0,0,1)*IF(ABS(J$3*10^12-$A78)&gt;(J$3*10^12-$A77),$A77,$A78)=J78,0,IF((J$3*10^12-$A78)*(J$3*10^12-$A77)*-1&lt;0,0,1)*IF(ABS(J$3*10^12-$A78)&gt;(J$3*10^12-$A77),$A77,$A78))</f>
        <v>0</v>
      </c>
    </row>
    <row r="78" customFormat="false" ht="12.75" hidden="false" customHeight="false" outlineLevel="0" collapsed="false">
      <c r="A78" s="0" t="n">
        <f aca="false">A66*10</f>
        <v>470000</v>
      </c>
      <c r="B78" s="0" t="n">
        <f aca="false">IF(IF((B$3*10^12-$A79)*(B$3*10^12-$A78)*-1&lt;0,0,1)*IF(ABS(B$3*10^12-$A79)&gt;(B$3*10^12-$A78),$A78,$A79)=B79,0,IF((B$3*10^12-$A79)*(B$3*10^12-$A78)*-1&lt;0,0,1)*IF(ABS(B$3*10^12-$A79)&gt;(B$3*10^12-$A78),$A78,$A79))</f>
        <v>0</v>
      </c>
      <c r="C78" s="0" t="n">
        <f aca="false">IF(IF((C$3*10^12-$A79)*(C$3*10^12-$A78)*-1&lt;0,0,1)*IF(ABS(C$3*10^12-$A79)&gt;(C$3*10^12-$A78),$A78,$A79)=C79,0,IF((C$3*10^12-$A79)*(C$3*10^12-$A78)*-1&lt;0,0,1)*IF(ABS(C$3*10^12-$A79)&gt;(C$3*10^12-$A78),$A78,$A79))</f>
        <v>0</v>
      </c>
      <c r="D78" s="0" t="n">
        <f aca="false">IF(IF((D$3*10^12-$A79)*(D$3*10^12-$A78)*-1&lt;0,0,1)*IF(ABS(D$3*10^12-$A79)&gt;(D$3*10^12-$A78),$A78,$A79)=D79,0,IF((D$3*10^12-$A79)*(D$3*10^12-$A78)*-1&lt;0,0,1)*IF(ABS(D$3*10^12-$A79)&gt;(D$3*10^12-$A78),$A78,$A79))</f>
        <v>0</v>
      </c>
      <c r="E78" s="0" t="n">
        <f aca="false">IF(IF((E$3*10^12-$A79)*(E$3*10^12-$A78)*-1&lt;0,0,1)*IF(ABS(E$3*10^12-$A79)&gt;(E$3*10^12-$A78),$A78,$A79)=E79,0,IF((E$3*10^12-$A79)*(E$3*10^12-$A78)*-1&lt;0,0,1)*IF(ABS(E$3*10^12-$A79)&gt;(E$3*10^12-$A78),$A78,$A79))</f>
        <v>0</v>
      </c>
      <c r="F78" s="0" t="n">
        <f aca="false">IF(IF((F$3*10^12-$A79)*(F$3*10^12-$A78)*-1&lt;0,0,1)*IF(ABS(F$3*10^12-$A79)&gt;(F$3*10^12-$A78),$A78,$A79)=F79,0,IF((F$3*10^12-$A79)*(F$3*10^12-$A78)*-1&lt;0,0,1)*IF(ABS(F$3*10^12-$A79)&gt;(F$3*10^12-$A78),$A78,$A79))</f>
        <v>0</v>
      </c>
      <c r="G78" s="0" t="n">
        <f aca="false">IF(IF((G$3*10^12-$A79)*(G$3*10^12-$A78)*-1&lt;0,0,1)*IF(ABS(G$3*10^12-$A79)&gt;(G$3*10^12-$A78),$A78,$A79)=G79,0,IF((G$3*10^12-$A79)*(G$3*10^12-$A78)*-1&lt;0,0,1)*IF(ABS(G$3*10^12-$A79)&gt;(G$3*10^12-$A78),$A78,$A79))</f>
        <v>0</v>
      </c>
      <c r="H78" s="0" t="n">
        <f aca="false">IF(IF((H$3*10^12-$A79)*(H$3*10^12-$A78)*-1&lt;0,0,1)*IF(ABS(H$3*10^12-$A79)&gt;(H$3*10^12-$A78),$A78,$A79)=H79,0,IF((H$3*10^12-$A79)*(H$3*10^12-$A78)*-1&lt;0,0,1)*IF(ABS(H$3*10^12-$A79)&gt;(H$3*10^12-$A78),$A78,$A79))</f>
        <v>0</v>
      </c>
      <c r="I78" s="0" t="n">
        <f aca="false">IF(IF((I$3*10^12-$A79)*(I$3*10^12-$A78)*-1&lt;0,0,1)*IF(ABS(I$3*10^12-$A79)&gt;(I$3*10^12-$A78),$A78,$A79)=I79,0,IF((I$3*10^12-$A79)*(I$3*10^12-$A78)*-1&lt;0,0,1)*IF(ABS(I$3*10^12-$A79)&gt;(I$3*10^12-$A78),$A78,$A79))</f>
        <v>0</v>
      </c>
      <c r="J78" s="0" t="n">
        <f aca="false">IF(IF((J$3*10^12-$A79)*(J$3*10^12-$A78)*-1&lt;0,0,1)*IF(ABS(J$3*10^12-$A79)&gt;(J$3*10^12-$A78),$A78,$A79)=J79,0,IF((J$3*10^12-$A79)*(J$3*10^12-$A78)*-1&lt;0,0,1)*IF(ABS(J$3*10^12-$A79)&gt;(J$3*10^12-$A78),$A78,$A79))</f>
        <v>0</v>
      </c>
    </row>
    <row r="79" customFormat="false" ht="12.75" hidden="false" customHeight="false" outlineLevel="0" collapsed="false">
      <c r="A79" s="0" t="n">
        <f aca="false">A67*10</f>
        <v>560000</v>
      </c>
      <c r="B79" s="0" t="n">
        <f aca="false">IF(IF((B$3*10^12-$A80)*(B$3*10^12-$A79)*-1&lt;0,0,1)*IF(ABS(B$3*10^12-$A80)&gt;(B$3*10^12-$A79),$A79,$A80)=B80,0,IF((B$3*10^12-$A80)*(B$3*10^12-$A79)*-1&lt;0,0,1)*IF(ABS(B$3*10^12-$A80)&gt;(B$3*10^12-$A79),$A79,$A80))</f>
        <v>0</v>
      </c>
      <c r="C79" s="0" t="n">
        <f aca="false">IF(IF((C$3*10^12-$A80)*(C$3*10^12-$A79)*-1&lt;0,0,1)*IF(ABS(C$3*10^12-$A80)&gt;(C$3*10^12-$A79),$A79,$A80)=C80,0,IF((C$3*10^12-$A80)*(C$3*10^12-$A79)*-1&lt;0,0,1)*IF(ABS(C$3*10^12-$A80)&gt;(C$3*10^12-$A79),$A79,$A80))</f>
        <v>0</v>
      </c>
      <c r="D79" s="0" t="n">
        <f aca="false">IF(IF((D$3*10^12-$A80)*(D$3*10^12-$A79)*-1&lt;0,0,1)*IF(ABS(D$3*10^12-$A80)&gt;(D$3*10^12-$A79),$A79,$A80)=D80,0,IF((D$3*10^12-$A80)*(D$3*10^12-$A79)*-1&lt;0,0,1)*IF(ABS(D$3*10^12-$A80)&gt;(D$3*10^12-$A79),$A79,$A80))</f>
        <v>0</v>
      </c>
      <c r="E79" s="0" t="n">
        <f aca="false">IF(IF((E$3*10^12-$A80)*(E$3*10^12-$A79)*-1&lt;0,0,1)*IF(ABS(E$3*10^12-$A80)&gt;(E$3*10^12-$A79),$A79,$A80)=E80,0,IF((E$3*10^12-$A80)*(E$3*10^12-$A79)*-1&lt;0,0,1)*IF(ABS(E$3*10^12-$A80)&gt;(E$3*10^12-$A79),$A79,$A80))</f>
        <v>0</v>
      </c>
      <c r="F79" s="0" t="n">
        <f aca="false">IF(IF((F$3*10^12-$A80)*(F$3*10^12-$A79)*-1&lt;0,0,1)*IF(ABS(F$3*10^12-$A80)&gt;(F$3*10^12-$A79),$A79,$A80)=F80,0,IF((F$3*10^12-$A80)*(F$3*10^12-$A79)*-1&lt;0,0,1)*IF(ABS(F$3*10^12-$A80)&gt;(F$3*10^12-$A79),$A79,$A80))</f>
        <v>0</v>
      </c>
      <c r="G79" s="0" t="n">
        <f aca="false">IF(IF((G$3*10^12-$A80)*(G$3*10^12-$A79)*-1&lt;0,0,1)*IF(ABS(G$3*10^12-$A80)&gt;(G$3*10^12-$A79),$A79,$A80)=G80,0,IF((G$3*10^12-$A80)*(G$3*10^12-$A79)*-1&lt;0,0,1)*IF(ABS(G$3*10^12-$A80)&gt;(G$3*10^12-$A79),$A79,$A80))</f>
        <v>0</v>
      </c>
      <c r="H79" s="0" t="n">
        <f aca="false">IF(IF((H$3*10^12-$A80)*(H$3*10^12-$A79)*-1&lt;0,0,1)*IF(ABS(H$3*10^12-$A80)&gt;(H$3*10^12-$A79),$A79,$A80)=H80,0,IF((H$3*10^12-$A80)*(H$3*10^12-$A79)*-1&lt;0,0,1)*IF(ABS(H$3*10^12-$A80)&gt;(H$3*10^12-$A79),$A79,$A80))</f>
        <v>0</v>
      </c>
      <c r="I79" s="0" t="n">
        <f aca="false">IF(IF((I$3*10^12-$A80)*(I$3*10^12-$A79)*-1&lt;0,0,1)*IF(ABS(I$3*10^12-$A80)&gt;(I$3*10^12-$A79),$A79,$A80)=I80,0,IF((I$3*10^12-$A80)*(I$3*10^12-$A79)*-1&lt;0,0,1)*IF(ABS(I$3*10^12-$A80)&gt;(I$3*10^12-$A79),$A79,$A80))</f>
        <v>0</v>
      </c>
      <c r="J79" s="0" t="n">
        <f aca="false">IF(IF((J$3*10^12-$A80)*(J$3*10^12-$A79)*-1&lt;0,0,1)*IF(ABS(J$3*10^12-$A80)&gt;(J$3*10^12-$A79),$A79,$A80)=J80,0,IF((J$3*10^12-$A80)*(J$3*10^12-$A79)*-1&lt;0,0,1)*IF(ABS(J$3*10^12-$A80)&gt;(J$3*10^12-$A79),$A79,$A80))</f>
        <v>0</v>
      </c>
    </row>
    <row r="80" customFormat="false" ht="12.75" hidden="false" customHeight="false" outlineLevel="0" collapsed="false">
      <c r="A80" s="0" t="n">
        <f aca="false">A68*10</f>
        <v>680000</v>
      </c>
      <c r="B80" s="0" t="n">
        <f aca="false">IF(IF((B$3*10^12-$A81)*(B$3*10^12-$A80)*-1&lt;0,0,1)*IF(ABS(B$3*10^12-$A81)&gt;(B$3*10^12-$A80),$A80,$A81)=B81,0,IF((B$3*10^12-$A81)*(B$3*10^12-$A80)*-1&lt;0,0,1)*IF(ABS(B$3*10^12-$A81)&gt;(B$3*10^12-$A80),$A80,$A81))</f>
        <v>0</v>
      </c>
      <c r="C80" s="0" t="n">
        <f aca="false">IF(IF((C$3*10^12-$A81)*(C$3*10^12-$A80)*-1&lt;0,0,1)*IF(ABS(C$3*10^12-$A81)&gt;(C$3*10^12-$A80),$A80,$A81)=C81,0,IF((C$3*10^12-$A81)*(C$3*10^12-$A80)*-1&lt;0,0,1)*IF(ABS(C$3*10^12-$A81)&gt;(C$3*10^12-$A80),$A80,$A81))</f>
        <v>0</v>
      </c>
      <c r="D80" s="0" t="n">
        <f aca="false">IF(IF((D$3*10^12-$A81)*(D$3*10^12-$A80)*-1&lt;0,0,1)*IF(ABS(D$3*10^12-$A81)&gt;(D$3*10^12-$A80),$A80,$A81)=D81,0,IF((D$3*10^12-$A81)*(D$3*10^12-$A80)*-1&lt;0,0,1)*IF(ABS(D$3*10^12-$A81)&gt;(D$3*10^12-$A80),$A80,$A81))</f>
        <v>0</v>
      </c>
      <c r="E80" s="0" t="n">
        <f aca="false">IF(IF((E$3*10^12-$A81)*(E$3*10^12-$A80)*-1&lt;0,0,1)*IF(ABS(E$3*10^12-$A81)&gt;(E$3*10^12-$A80),$A80,$A81)=E81,0,IF((E$3*10^12-$A81)*(E$3*10^12-$A80)*-1&lt;0,0,1)*IF(ABS(E$3*10^12-$A81)&gt;(E$3*10^12-$A80),$A80,$A81))</f>
        <v>0</v>
      </c>
      <c r="F80" s="0" t="n">
        <f aca="false">IF(IF((F$3*10^12-$A81)*(F$3*10^12-$A80)*-1&lt;0,0,1)*IF(ABS(F$3*10^12-$A81)&gt;(F$3*10^12-$A80),$A80,$A81)=F81,0,IF((F$3*10^12-$A81)*(F$3*10^12-$A80)*-1&lt;0,0,1)*IF(ABS(F$3*10^12-$A81)&gt;(F$3*10^12-$A80),$A80,$A81))</f>
        <v>0</v>
      </c>
      <c r="G80" s="0" t="n">
        <f aca="false">IF(IF((G$3*10^12-$A81)*(G$3*10^12-$A80)*-1&lt;0,0,1)*IF(ABS(G$3*10^12-$A81)&gt;(G$3*10^12-$A80),$A80,$A81)=G81,0,IF((G$3*10^12-$A81)*(G$3*10^12-$A80)*-1&lt;0,0,1)*IF(ABS(G$3*10^12-$A81)&gt;(G$3*10^12-$A80),$A80,$A81))</f>
        <v>0</v>
      </c>
      <c r="H80" s="0" t="n">
        <f aca="false">IF(IF((H$3*10^12-$A81)*(H$3*10^12-$A80)*-1&lt;0,0,1)*IF(ABS(H$3*10^12-$A81)&gt;(H$3*10^12-$A80),$A80,$A81)=H81,0,IF((H$3*10^12-$A81)*(H$3*10^12-$A80)*-1&lt;0,0,1)*IF(ABS(H$3*10^12-$A81)&gt;(H$3*10^12-$A80),$A80,$A81))</f>
        <v>0</v>
      </c>
      <c r="I80" s="0" t="n">
        <f aca="false">IF(IF((I$3*10^12-$A81)*(I$3*10^12-$A80)*-1&lt;0,0,1)*IF(ABS(I$3*10^12-$A81)&gt;(I$3*10^12-$A80),$A80,$A81)=I81,0,IF((I$3*10^12-$A81)*(I$3*10^12-$A80)*-1&lt;0,0,1)*IF(ABS(I$3*10^12-$A81)&gt;(I$3*10^12-$A80),$A80,$A81))</f>
        <v>0</v>
      </c>
      <c r="J80" s="0" t="n">
        <f aca="false">IF(IF((J$3*10^12-$A81)*(J$3*10^12-$A80)*-1&lt;0,0,1)*IF(ABS(J$3*10^12-$A81)&gt;(J$3*10^12-$A80),$A80,$A81)=J81,0,IF((J$3*10^12-$A81)*(J$3*10^12-$A80)*-1&lt;0,0,1)*IF(ABS(J$3*10^12-$A81)&gt;(J$3*10^12-$A80),$A80,$A81))</f>
        <v>0</v>
      </c>
    </row>
    <row r="81" customFormat="false" ht="12.75" hidden="false" customHeight="false" outlineLevel="0" collapsed="false">
      <c r="A81" s="0" t="n">
        <f aca="false">A69*10</f>
        <v>820000</v>
      </c>
      <c r="B81" s="0" t="n">
        <f aca="false">IF(IF((B$3*10^12-$A82)*(B$3*10^12-$A81)*-1&lt;0,0,1)*IF(ABS(B$3*10^12-$A82)&gt;(B$3*10^12-$A81),$A81,$A82)=B82,0,IF((B$3*10^12-$A82)*(B$3*10^12-$A81)*-1&lt;0,0,1)*IF(ABS(B$3*10^12-$A82)&gt;(B$3*10^12-$A81),$A81,$A82))</f>
        <v>0</v>
      </c>
      <c r="C81" s="0" t="n">
        <f aca="false">IF(IF((C$3*10^12-$A82)*(C$3*10^12-$A81)*-1&lt;0,0,1)*IF(ABS(C$3*10^12-$A82)&gt;(C$3*10^12-$A81),$A81,$A82)=C82,0,IF((C$3*10^12-$A82)*(C$3*10^12-$A81)*-1&lt;0,0,1)*IF(ABS(C$3*10^12-$A82)&gt;(C$3*10^12-$A81),$A81,$A82))</f>
        <v>0</v>
      </c>
      <c r="D81" s="0" t="n">
        <f aca="false">IF(IF((D$3*10^12-$A82)*(D$3*10^12-$A81)*-1&lt;0,0,1)*IF(ABS(D$3*10^12-$A82)&gt;(D$3*10^12-$A81),$A81,$A82)=D82,0,IF((D$3*10^12-$A82)*(D$3*10^12-$A81)*-1&lt;0,0,1)*IF(ABS(D$3*10^12-$A82)&gt;(D$3*10^12-$A81),$A81,$A82))</f>
        <v>0</v>
      </c>
      <c r="E81" s="0" t="n">
        <f aca="false">IF(IF((E$3*10^12-$A82)*(E$3*10^12-$A81)*-1&lt;0,0,1)*IF(ABS(E$3*10^12-$A82)&gt;(E$3*10^12-$A81),$A81,$A82)=E82,0,IF((E$3*10^12-$A82)*(E$3*10^12-$A81)*-1&lt;0,0,1)*IF(ABS(E$3*10^12-$A82)&gt;(E$3*10^12-$A81),$A81,$A82))</f>
        <v>0</v>
      </c>
      <c r="F81" s="0" t="n">
        <f aca="false">IF(IF((F$3*10^12-$A82)*(F$3*10^12-$A81)*-1&lt;0,0,1)*IF(ABS(F$3*10^12-$A82)&gt;(F$3*10^12-$A81),$A81,$A82)=F82,0,IF((F$3*10^12-$A82)*(F$3*10^12-$A81)*-1&lt;0,0,1)*IF(ABS(F$3*10^12-$A82)&gt;(F$3*10^12-$A81),$A81,$A82))</f>
        <v>0</v>
      </c>
      <c r="G81" s="0" t="n">
        <f aca="false">IF(IF((G$3*10^12-$A82)*(G$3*10^12-$A81)*-1&lt;0,0,1)*IF(ABS(G$3*10^12-$A82)&gt;(G$3*10^12-$A81),$A81,$A82)=G82,0,IF((G$3*10^12-$A82)*(G$3*10^12-$A81)*-1&lt;0,0,1)*IF(ABS(G$3*10^12-$A82)&gt;(G$3*10^12-$A81),$A81,$A82))</f>
        <v>0</v>
      </c>
      <c r="H81" s="0" t="n">
        <f aca="false">IF(IF((H$3*10^12-$A82)*(H$3*10^12-$A81)*-1&lt;0,0,1)*IF(ABS(H$3*10^12-$A82)&gt;(H$3*10^12-$A81),$A81,$A82)=H82,0,IF((H$3*10^12-$A82)*(H$3*10^12-$A81)*-1&lt;0,0,1)*IF(ABS(H$3*10^12-$A82)&gt;(H$3*10^12-$A81),$A81,$A82))</f>
        <v>0</v>
      </c>
      <c r="I81" s="0" t="n">
        <f aca="false">IF(IF((I$3*10^12-$A82)*(I$3*10^12-$A81)*-1&lt;0,0,1)*IF(ABS(I$3*10^12-$A82)&gt;(I$3*10^12-$A81),$A81,$A82)=I82,0,IF((I$3*10^12-$A82)*(I$3*10^12-$A81)*-1&lt;0,0,1)*IF(ABS(I$3*10^12-$A82)&gt;(I$3*10^12-$A81),$A81,$A82))</f>
        <v>0</v>
      </c>
      <c r="J81" s="0" t="n">
        <f aca="false">IF(IF((J$3*10^12-$A82)*(J$3*10^12-$A81)*-1&lt;0,0,1)*IF(ABS(J$3*10^12-$A82)&gt;(J$3*10^12-$A81),$A81,$A82)=J82,0,IF((J$3*10^12-$A82)*(J$3*10^12-$A81)*-1&lt;0,0,1)*IF(ABS(J$3*10^12-$A82)&gt;(J$3*10^12-$A81),$A81,$A82))</f>
        <v>0</v>
      </c>
    </row>
    <row r="82" customFormat="false" ht="12.75" hidden="false" customHeight="false" outlineLevel="0" collapsed="false">
      <c r="A82" s="0" t="n">
        <f aca="false">A70*10</f>
        <v>1000000</v>
      </c>
      <c r="B82" s="0" t="n">
        <f aca="false">IF(IF((B$3*10^12-$A83)*(B$3*10^12-$A82)*-1&lt;0,0,1)*IF(ABS(B$3*10^12-$A83)&gt;(B$3*10^12-$A82),$A82,$A83)=B83,0,IF((B$3*10^12-$A83)*(B$3*10^12-$A82)*-1&lt;0,0,1)*IF(ABS(B$3*10^12-$A83)&gt;(B$3*10^12-$A82),$A82,$A83))</f>
        <v>0</v>
      </c>
      <c r="C82" s="0" t="n">
        <f aca="false">IF(IF((C$3*10^12-$A83)*(C$3*10^12-$A82)*-1&lt;0,0,1)*IF(ABS(C$3*10^12-$A83)&gt;(C$3*10^12-$A82),$A82,$A83)=C83,0,IF((C$3*10^12-$A83)*(C$3*10^12-$A82)*-1&lt;0,0,1)*IF(ABS(C$3*10^12-$A83)&gt;(C$3*10^12-$A82),$A82,$A83))</f>
        <v>0</v>
      </c>
      <c r="D82" s="0" t="n">
        <f aca="false">IF(IF((D$3*10^12-$A83)*(D$3*10^12-$A82)*-1&lt;0,0,1)*IF(ABS(D$3*10^12-$A83)&gt;(D$3*10^12-$A82),$A82,$A83)=D83,0,IF((D$3*10^12-$A83)*(D$3*10^12-$A82)*-1&lt;0,0,1)*IF(ABS(D$3*10^12-$A83)&gt;(D$3*10^12-$A82),$A82,$A83))</f>
        <v>0</v>
      </c>
      <c r="E82" s="0" t="n">
        <f aca="false">IF(IF((E$3*10^12-$A83)*(E$3*10^12-$A82)*-1&lt;0,0,1)*IF(ABS(E$3*10^12-$A83)&gt;(E$3*10^12-$A82),$A82,$A83)=E83,0,IF((E$3*10^12-$A83)*(E$3*10^12-$A82)*-1&lt;0,0,1)*IF(ABS(E$3*10^12-$A83)&gt;(E$3*10^12-$A82),$A82,$A83))</f>
        <v>0</v>
      </c>
      <c r="F82" s="0" t="n">
        <f aca="false">IF(IF((F$3*10^12-$A83)*(F$3*10^12-$A82)*-1&lt;0,0,1)*IF(ABS(F$3*10^12-$A83)&gt;(F$3*10^12-$A82),$A82,$A83)=F83,0,IF((F$3*10^12-$A83)*(F$3*10^12-$A82)*-1&lt;0,0,1)*IF(ABS(F$3*10^12-$A83)&gt;(F$3*10^12-$A82),$A82,$A83))</f>
        <v>0</v>
      </c>
      <c r="G82" s="0" t="n">
        <f aca="false">IF(IF((G$3*10^12-$A83)*(G$3*10^12-$A82)*-1&lt;0,0,1)*IF(ABS(G$3*10^12-$A83)&gt;(G$3*10^12-$A82),$A82,$A83)=G83,0,IF((G$3*10^12-$A83)*(G$3*10^12-$A82)*-1&lt;0,0,1)*IF(ABS(G$3*10^12-$A83)&gt;(G$3*10^12-$A82),$A82,$A83))</f>
        <v>0</v>
      </c>
      <c r="H82" s="0" t="n">
        <f aca="false">IF(IF((H$3*10^12-$A83)*(H$3*10^12-$A82)*-1&lt;0,0,1)*IF(ABS(H$3*10^12-$A83)&gt;(H$3*10^12-$A82),$A82,$A83)=H83,0,IF((H$3*10^12-$A83)*(H$3*10^12-$A82)*-1&lt;0,0,1)*IF(ABS(H$3*10^12-$A83)&gt;(H$3*10^12-$A82),$A82,$A83))</f>
        <v>0</v>
      </c>
      <c r="I82" s="0" t="n">
        <f aca="false">IF(IF((I$3*10^12-$A83)*(I$3*10^12-$A82)*-1&lt;0,0,1)*IF(ABS(I$3*10^12-$A83)&gt;(I$3*10^12-$A82),$A82,$A83)=I83,0,IF((I$3*10^12-$A83)*(I$3*10^12-$A82)*-1&lt;0,0,1)*IF(ABS(I$3*10^12-$A83)&gt;(I$3*10^12-$A82),$A82,$A83))</f>
        <v>0</v>
      </c>
      <c r="J82" s="0" t="n">
        <f aca="false">IF(IF((J$3*10^12-$A83)*(J$3*10^12-$A82)*-1&lt;0,0,1)*IF(ABS(J$3*10^12-$A83)&gt;(J$3*10^12-$A82),$A82,$A83)=J83,0,IF((J$3*10^12-$A83)*(J$3*10^12-$A82)*-1&lt;0,0,1)*IF(ABS(J$3*10^12-$A83)&gt;(J$3*10^12-$A82),$A82,$A83))</f>
        <v>0</v>
      </c>
    </row>
    <row r="83" customFormat="false" ht="12.75" hidden="false" customHeight="false" outlineLevel="0" collapsed="false">
      <c r="A83" s="0" t="n">
        <f aca="false">A71*10</f>
        <v>1200000</v>
      </c>
      <c r="B83" s="0" t="n">
        <f aca="false">IF(IF((B$3*10^12-$A84)*(B$3*10^12-$A83)*-1&lt;0,0,1)*IF(ABS(B$3*10^12-$A84)&gt;(B$3*10^12-$A83),$A83,$A84)=B84,0,IF((B$3*10^12-$A84)*(B$3*10^12-$A83)*-1&lt;0,0,1)*IF(ABS(B$3*10^12-$A84)&gt;(B$3*10^12-$A83),$A83,$A84))</f>
        <v>0</v>
      </c>
      <c r="C83" s="0" t="n">
        <f aca="false">IF(IF((C$3*10^12-$A84)*(C$3*10^12-$A83)*-1&lt;0,0,1)*IF(ABS(C$3*10^12-$A84)&gt;(C$3*10^12-$A83),$A83,$A84)=C84,0,IF((C$3*10^12-$A84)*(C$3*10^12-$A83)*-1&lt;0,0,1)*IF(ABS(C$3*10^12-$A84)&gt;(C$3*10^12-$A83),$A83,$A84))</f>
        <v>0</v>
      </c>
      <c r="D83" s="0" t="n">
        <f aca="false">IF(IF((D$3*10^12-$A84)*(D$3*10^12-$A83)*-1&lt;0,0,1)*IF(ABS(D$3*10^12-$A84)&gt;(D$3*10^12-$A83),$A83,$A84)=D84,0,IF((D$3*10^12-$A84)*(D$3*10^12-$A83)*-1&lt;0,0,1)*IF(ABS(D$3*10^12-$A84)&gt;(D$3*10^12-$A83),$A83,$A84))</f>
        <v>0</v>
      </c>
      <c r="E83" s="0" t="n">
        <f aca="false">IF(IF((E$3*10^12-$A84)*(E$3*10^12-$A83)*-1&lt;0,0,1)*IF(ABS(E$3*10^12-$A84)&gt;(E$3*10^12-$A83),$A83,$A84)=E84,0,IF((E$3*10^12-$A84)*(E$3*10^12-$A83)*-1&lt;0,0,1)*IF(ABS(E$3*10^12-$A84)&gt;(E$3*10^12-$A83),$A83,$A84))</f>
        <v>0</v>
      </c>
      <c r="F83" s="0" t="n">
        <f aca="false">IF(IF((F$3*10^12-$A84)*(F$3*10^12-$A83)*-1&lt;0,0,1)*IF(ABS(F$3*10^12-$A84)&gt;(F$3*10^12-$A83),$A83,$A84)=F84,0,IF((F$3*10^12-$A84)*(F$3*10^12-$A83)*-1&lt;0,0,1)*IF(ABS(F$3*10^12-$A84)&gt;(F$3*10^12-$A83),$A83,$A84))</f>
        <v>0</v>
      </c>
      <c r="G83" s="0" t="n">
        <f aca="false">IF(IF((G$3*10^12-$A84)*(G$3*10^12-$A83)*-1&lt;0,0,1)*IF(ABS(G$3*10^12-$A84)&gt;(G$3*10^12-$A83),$A83,$A84)=G84,0,IF((G$3*10^12-$A84)*(G$3*10^12-$A83)*-1&lt;0,0,1)*IF(ABS(G$3*10^12-$A84)&gt;(G$3*10^12-$A83),$A83,$A84))</f>
        <v>0</v>
      </c>
      <c r="H83" s="0" t="n">
        <f aca="false">IF(IF((H$3*10^12-$A84)*(H$3*10^12-$A83)*-1&lt;0,0,1)*IF(ABS(H$3*10^12-$A84)&gt;(H$3*10^12-$A83),$A83,$A84)=H84,0,IF((H$3*10^12-$A84)*(H$3*10^12-$A83)*-1&lt;0,0,1)*IF(ABS(H$3*10^12-$A84)&gt;(H$3*10^12-$A83),$A83,$A84))</f>
        <v>0</v>
      </c>
      <c r="I83" s="0" t="n">
        <f aca="false">IF(IF((I$3*10^12-$A84)*(I$3*10^12-$A83)*-1&lt;0,0,1)*IF(ABS(I$3*10^12-$A84)&gt;(I$3*10^12-$A83),$A83,$A84)=I84,0,IF((I$3*10^12-$A84)*(I$3*10^12-$A83)*-1&lt;0,0,1)*IF(ABS(I$3*10^12-$A84)&gt;(I$3*10^12-$A83),$A83,$A84))</f>
        <v>0</v>
      </c>
      <c r="J83" s="0" t="n">
        <f aca="false">IF(IF((J$3*10^12-$A84)*(J$3*10^12-$A83)*-1&lt;0,0,1)*IF(ABS(J$3*10^12-$A84)&gt;(J$3*10^12-$A83),$A83,$A84)=J84,0,IF((J$3*10^12-$A84)*(J$3*10^12-$A83)*-1&lt;0,0,1)*IF(ABS(J$3*10^12-$A84)&gt;(J$3*10^12-$A83),$A83,$A84))</f>
        <v>0</v>
      </c>
    </row>
    <row r="84" customFormat="false" ht="12.75" hidden="false" customHeight="false" outlineLevel="0" collapsed="false">
      <c r="A84" s="0" t="n">
        <f aca="false">A72*10</f>
        <v>1500000</v>
      </c>
      <c r="B84" s="0" t="n">
        <f aca="false">IF(IF((B$3*10^12-$A85)*(B$3*10^12-$A84)*-1&lt;0,0,1)*IF(ABS(B$3*10^12-$A85)&gt;(B$3*10^12-$A84),$A84,$A85)=B85,0,IF((B$3*10^12-$A85)*(B$3*10^12-$A84)*-1&lt;0,0,1)*IF(ABS(B$3*10^12-$A85)&gt;(B$3*10^12-$A84),$A84,$A85))</f>
        <v>0</v>
      </c>
      <c r="C84" s="0" t="n">
        <f aca="false">IF(IF((C$3*10^12-$A85)*(C$3*10^12-$A84)*-1&lt;0,0,1)*IF(ABS(C$3*10^12-$A85)&gt;(C$3*10^12-$A84),$A84,$A85)=C85,0,IF((C$3*10^12-$A85)*(C$3*10^12-$A84)*-1&lt;0,0,1)*IF(ABS(C$3*10^12-$A85)&gt;(C$3*10^12-$A84),$A84,$A85))</f>
        <v>0</v>
      </c>
      <c r="D84" s="0" t="n">
        <f aca="false">IF(IF((D$3*10^12-$A85)*(D$3*10^12-$A84)*-1&lt;0,0,1)*IF(ABS(D$3*10^12-$A85)&gt;(D$3*10^12-$A84),$A84,$A85)=D85,0,IF((D$3*10^12-$A85)*(D$3*10^12-$A84)*-1&lt;0,0,1)*IF(ABS(D$3*10^12-$A85)&gt;(D$3*10^12-$A84),$A84,$A85))</f>
        <v>0</v>
      </c>
      <c r="E84" s="0" t="n">
        <f aca="false">IF(IF((E$3*10^12-$A85)*(E$3*10^12-$A84)*-1&lt;0,0,1)*IF(ABS(E$3*10^12-$A85)&gt;(E$3*10^12-$A84),$A84,$A85)=E85,0,IF((E$3*10^12-$A85)*(E$3*10^12-$A84)*-1&lt;0,0,1)*IF(ABS(E$3*10^12-$A85)&gt;(E$3*10^12-$A84),$A84,$A85))</f>
        <v>0</v>
      </c>
      <c r="F84" s="0" t="n">
        <f aca="false">IF(IF((F$3*10^12-$A85)*(F$3*10^12-$A84)*-1&lt;0,0,1)*IF(ABS(F$3*10^12-$A85)&gt;(F$3*10^12-$A84),$A84,$A85)=F85,0,IF((F$3*10^12-$A85)*(F$3*10^12-$A84)*-1&lt;0,0,1)*IF(ABS(F$3*10^12-$A85)&gt;(F$3*10^12-$A84),$A84,$A85))</f>
        <v>0</v>
      </c>
      <c r="G84" s="0" t="n">
        <f aca="false">IF(IF((G$3*10^12-$A85)*(G$3*10^12-$A84)*-1&lt;0,0,1)*IF(ABS(G$3*10^12-$A85)&gt;(G$3*10^12-$A84),$A84,$A85)=G85,0,IF((G$3*10^12-$A85)*(G$3*10^12-$A84)*-1&lt;0,0,1)*IF(ABS(G$3*10^12-$A85)&gt;(G$3*10^12-$A84),$A84,$A85))</f>
        <v>0</v>
      </c>
      <c r="H84" s="0" t="n">
        <f aca="false">IF(IF((H$3*10^12-$A85)*(H$3*10^12-$A84)*-1&lt;0,0,1)*IF(ABS(H$3*10^12-$A85)&gt;(H$3*10^12-$A84),$A84,$A85)=H85,0,IF((H$3*10^12-$A85)*(H$3*10^12-$A84)*-1&lt;0,0,1)*IF(ABS(H$3*10^12-$A85)&gt;(H$3*10^12-$A84),$A84,$A85))</f>
        <v>0</v>
      </c>
      <c r="I84" s="0" t="n">
        <f aca="false">IF(IF((I$3*10^12-$A85)*(I$3*10^12-$A84)*-1&lt;0,0,1)*IF(ABS(I$3*10^12-$A85)&gt;(I$3*10^12-$A84),$A84,$A85)=I85,0,IF((I$3*10^12-$A85)*(I$3*10^12-$A84)*-1&lt;0,0,1)*IF(ABS(I$3*10^12-$A85)&gt;(I$3*10^12-$A84),$A84,$A85))</f>
        <v>0</v>
      </c>
      <c r="J84" s="0" t="n">
        <f aca="false">IF(IF((J$3*10^12-$A85)*(J$3*10^12-$A84)*-1&lt;0,0,1)*IF(ABS(J$3*10^12-$A85)&gt;(J$3*10^12-$A84),$A84,$A85)=J85,0,IF((J$3*10^12-$A85)*(J$3*10^12-$A84)*-1&lt;0,0,1)*IF(ABS(J$3*10^12-$A85)&gt;(J$3*10^12-$A84),$A84,$A85))</f>
        <v>0</v>
      </c>
    </row>
    <row r="85" customFormat="false" ht="12.75" hidden="false" customHeight="false" outlineLevel="0" collapsed="false">
      <c r="A85" s="0" t="n">
        <f aca="false">A73*10</f>
        <v>1800000</v>
      </c>
      <c r="B85" s="0" t="n">
        <f aca="false">IF(IF((B$3*10^12-$A86)*(B$3*10^12-$A85)*-1&lt;0,0,1)*IF(ABS(B$3*10^12-$A86)&gt;(B$3*10^12-$A85),$A85,$A86)=B86,0,IF((B$3*10^12-$A86)*(B$3*10^12-$A85)*-1&lt;0,0,1)*IF(ABS(B$3*10^12-$A86)&gt;(B$3*10^12-$A85),$A85,$A86))</f>
        <v>0</v>
      </c>
      <c r="C85" s="0" t="n">
        <f aca="false">IF(IF((C$3*10^12-$A86)*(C$3*10^12-$A85)*-1&lt;0,0,1)*IF(ABS(C$3*10^12-$A86)&gt;(C$3*10^12-$A85),$A85,$A86)=C86,0,IF((C$3*10^12-$A86)*(C$3*10^12-$A85)*-1&lt;0,0,1)*IF(ABS(C$3*10^12-$A86)&gt;(C$3*10^12-$A85),$A85,$A86))</f>
        <v>0</v>
      </c>
      <c r="D85" s="0" t="n">
        <f aca="false">IF(IF((D$3*10^12-$A86)*(D$3*10^12-$A85)*-1&lt;0,0,1)*IF(ABS(D$3*10^12-$A86)&gt;(D$3*10^12-$A85),$A85,$A86)=D86,0,IF((D$3*10^12-$A86)*(D$3*10^12-$A85)*-1&lt;0,0,1)*IF(ABS(D$3*10^12-$A86)&gt;(D$3*10^12-$A85),$A85,$A86))</f>
        <v>0</v>
      </c>
      <c r="E85" s="0" t="n">
        <f aca="false">IF(IF((E$3*10^12-$A86)*(E$3*10^12-$A85)*-1&lt;0,0,1)*IF(ABS(E$3*10^12-$A86)&gt;(E$3*10^12-$A85),$A85,$A86)=E86,0,IF((E$3*10^12-$A86)*(E$3*10^12-$A85)*-1&lt;0,0,1)*IF(ABS(E$3*10^12-$A86)&gt;(E$3*10^12-$A85),$A85,$A86))</f>
        <v>0</v>
      </c>
      <c r="F85" s="0" t="n">
        <f aca="false">IF(IF((F$3*10^12-$A86)*(F$3*10^12-$A85)*-1&lt;0,0,1)*IF(ABS(F$3*10^12-$A86)&gt;(F$3*10^12-$A85),$A85,$A86)=F86,0,IF((F$3*10^12-$A86)*(F$3*10^12-$A85)*-1&lt;0,0,1)*IF(ABS(F$3*10^12-$A86)&gt;(F$3*10^12-$A85),$A85,$A86))</f>
        <v>0</v>
      </c>
      <c r="G85" s="0" t="n">
        <f aca="false">IF(IF((G$3*10^12-$A86)*(G$3*10^12-$A85)*-1&lt;0,0,1)*IF(ABS(G$3*10^12-$A86)&gt;(G$3*10^12-$A85),$A85,$A86)=G86,0,IF((G$3*10^12-$A86)*(G$3*10^12-$A85)*-1&lt;0,0,1)*IF(ABS(G$3*10^12-$A86)&gt;(G$3*10^12-$A85),$A85,$A86))</f>
        <v>0</v>
      </c>
      <c r="H85" s="0" t="n">
        <f aca="false">IF(IF((H$3*10^12-$A86)*(H$3*10^12-$A85)*-1&lt;0,0,1)*IF(ABS(H$3*10^12-$A86)&gt;(H$3*10^12-$A85),$A85,$A86)=H86,0,IF((H$3*10^12-$A86)*(H$3*10^12-$A85)*-1&lt;0,0,1)*IF(ABS(H$3*10^12-$A86)&gt;(H$3*10^12-$A85),$A85,$A86))</f>
        <v>0</v>
      </c>
      <c r="I85" s="0" t="n">
        <f aca="false">IF(IF((I$3*10^12-$A86)*(I$3*10^12-$A85)*-1&lt;0,0,1)*IF(ABS(I$3*10^12-$A86)&gt;(I$3*10^12-$A85),$A85,$A86)=I86,0,IF((I$3*10^12-$A86)*(I$3*10^12-$A85)*-1&lt;0,0,1)*IF(ABS(I$3*10^12-$A86)&gt;(I$3*10^12-$A85),$A85,$A86))</f>
        <v>0</v>
      </c>
      <c r="J85" s="0" t="n">
        <f aca="false">IF(IF((J$3*10^12-$A86)*(J$3*10^12-$A85)*-1&lt;0,0,1)*IF(ABS(J$3*10^12-$A86)&gt;(J$3*10^12-$A85),$A85,$A86)=J86,0,IF((J$3*10^12-$A86)*(J$3*10^12-$A85)*-1&lt;0,0,1)*IF(ABS(J$3*10^12-$A86)&gt;(J$3*10^12-$A85),$A85,$A86))</f>
        <v>0</v>
      </c>
    </row>
    <row r="86" customFormat="false" ht="12.75" hidden="false" customHeight="false" outlineLevel="0" collapsed="false">
      <c r="A86" s="0" t="n">
        <f aca="false">A74*10</f>
        <v>2200000</v>
      </c>
      <c r="B86" s="0" t="n">
        <f aca="false">IF(IF((B$3*10^12-$A87)*(B$3*10^12-$A86)*-1&lt;0,0,1)*IF(ABS(B$3*10^12-$A87)&gt;(B$3*10^12-$A86),$A86,$A87)=B87,0,IF((B$3*10^12-$A87)*(B$3*10^12-$A86)*-1&lt;0,0,1)*IF(ABS(B$3*10^12-$A87)&gt;(B$3*10^12-$A86),$A86,$A87))</f>
        <v>0</v>
      </c>
      <c r="C86" s="0" t="n">
        <f aca="false">IF(IF((C$3*10^12-$A87)*(C$3*10^12-$A86)*-1&lt;0,0,1)*IF(ABS(C$3*10^12-$A87)&gt;(C$3*10^12-$A86),$A86,$A87)=C87,0,IF((C$3*10^12-$A87)*(C$3*10^12-$A86)*-1&lt;0,0,1)*IF(ABS(C$3*10^12-$A87)&gt;(C$3*10^12-$A86),$A86,$A87))</f>
        <v>0</v>
      </c>
      <c r="D86" s="0" t="n">
        <f aca="false">IF(IF((D$3*10^12-$A87)*(D$3*10^12-$A86)*-1&lt;0,0,1)*IF(ABS(D$3*10^12-$A87)&gt;(D$3*10^12-$A86),$A86,$A87)=D87,0,IF((D$3*10^12-$A87)*(D$3*10^12-$A86)*-1&lt;0,0,1)*IF(ABS(D$3*10^12-$A87)&gt;(D$3*10^12-$A86),$A86,$A87))</f>
        <v>0</v>
      </c>
      <c r="E86" s="0" t="n">
        <f aca="false">IF(IF((E$3*10^12-$A87)*(E$3*10^12-$A86)*-1&lt;0,0,1)*IF(ABS(E$3*10^12-$A87)&gt;(E$3*10^12-$A86),$A86,$A87)=E87,0,IF((E$3*10^12-$A87)*(E$3*10^12-$A86)*-1&lt;0,0,1)*IF(ABS(E$3*10^12-$A87)&gt;(E$3*10^12-$A86),$A86,$A87))</f>
        <v>0</v>
      </c>
      <c r="F86" s="0" t="n">
        <f aca="false">IF(IF((F$3*10^12-$A87)*(F$3*10^12-$A86)*-1&lt;0,0,1)*IF(ABS(F$3*10^12-$A87)&gt;(F$3*10^12-$A86),$A86,$A87)=F87,0,IF((F$3*10^12-$A87)*(F$3*10^12-$A86)*-1&lt;0,0,1)*IF(ABS(F$3*10^12-$A87)&gt;(F$3*10^12-$A86),$A86,$A87))</f>
        <v>0</v>
      </c>
      <c r="G86" s="0" t="n">
        <f aca="false">IF(IF((G$3*10^12-$A87)*(G$3*10^12-$A86)*-1&lt;0,0,1)*IF(ABS(G$3*10^12-$A87)&gt;(G$3*10^12-$A86),$A86,$A87)=G87,0,IF((G$3*10^12-$A87)*(G$3*10^12-$A86)*-1&lt;0,0,1)*IF(ABS(G$3*10^12-$A87)&gt;(G$3*10^12-$A86),$A86,$A87))</f>
        <v>0</v>
      </c>
      <c r="H86" s="0" t="n">
        <f aca="false">IF(IF((H$3*10^12-$A87)*(H$3*10^12-$A86)*-1&lt;0,0,1)*IF(ABS(H$3*10^12-$A87)&gt;(H$3*10^12-$A86),$A86,$A87)=H87,0,IF((H$3*10^12-$A87)*(H$3*10^12-$A86)*-1&lt;0,0,1)*IF(ABS(H$3*10^12-$A87)&gt;(H$3*10^12-$A86),$A86,$A87))</f>
        <v>0</v>
      </c>
      <c r="I86" s="0" t="n">
        <f aca="false">IF(IF((I$3*10^12-$A87)*(I$3*10^12-$A86)*-1&lt;0,0,1)*IF(ABS(I$3*10^12-$A87)&gt;(I$3*10^12-$A86),$A86,$A87)=I87,0,IF((I$3*10^12-$A87)*(I$3*10^12-$A86)*-1&lt;0,0,1)*IF(ABS(I$3*10^12-$A87)&gt;(I$3*10^12-$A86),$A86,$A87))</f>
        <v>0</v>
      </c>
      <c r="J86" s="0" t="n">
        <f aca="false">IF(IF((J$3*10^12-$A87)*(J$3*10^12-$A86)*-1&lt;0,0,1)*IF(ABS(J$3*10^12-$A87)&gt;(J$3*10^12-$A86),$A86,$A87)=J87,0,IF((J$3*10^12-$A87)*(J$3*10^12-$A86)*-1&lt;0,0,1)*IF(ABS(J$3*10^12-$A87)&gt;(J$3*10^12-$A86),$A86,$A87))</f>
        <v>0</v>
      </c>
    </row>
    <row r="87" customFormat="false" ht="12.75" hidden="false" customHeight="false" outlineLevel="0" collapsed="false">
      <c r="A87" s="0" t="n">
        <f aca="false">A75*10</f>
        <v>2700000</v>
      </c>
      <c r="B87" s="0" t="n">
        <f aca="false">IF(IF((B$3*10^12-$A88)*(B$3*10^12-$A87)*-1&lt;0,0,1)*IF(ABS(B$3*10^12-$A88)&gt;(B$3*10^12-$A87),$A87,$A88)=B88,0,IF((B$3*10^12-$A88)*(B$3*10^12-$A87)*-1&lt;0,0,1)*IF(ABS(B$3*10^12-$A88)&gt;(B$3*10^12-$A87),$A87,$A88))</f>
        <v>0</v>
      </c>
      <c r="C87" s="0" t="n">
        <f aca="false">IF(IF((C$3*10^12-$A88)*(C$3*10^12-$A87)*-1&lt;0,0,1)*IF(ABS(C$3*10^12-$A88)&gt;(C$3*10^12-$A87),$A87,$A88)=C88,0,IF((C$3*10^12-$A88)*(C$3*10^12-$A87)*-1&lt;0,0,1)*IF(ABS(C$3*10^12-$A88)&gt;(C$3*10^12-$A87),$A87,$A88))</f>
        <v>0</v>
      </c>
      <c r="D87" s="0" t="n">
        <f aca="false">IF(IF((D$3*10^12-$A88)*(D$3*10^12-$A87)*-1&lt;0,0,1)*IF(ABS(D$3*10^12-$A88)&gt;(D$3*10^12-$A87),$A87,$A88)=D88,0,IF((D$3*10^12-$A88)*(D$3*10^12-$A87)*-1&lt;0,0,1)*IF(ABS(D$3*10^12-$A88)&gt;(D$3*10^12-$A87),$A87,$A88))</f>
        <v>0</v>
      </c>
      <c r="E87" s="0" t="n">
        <f aca="false">IF(IF((E$3*10^12-$A88)*(E$3*10^12-$A87)*-1&lt;0,0,1)*IF(ABS(E$3*10^12-$A88)&gt;(E$3*10^12-$A87),$A87,$A88)=E88,0,IF((E$3*10^12-$A88)*(E$3*10^12-$A87)*-1&lt;0,0,1)*IF(ABS(E$3*10^12-$A88)&gt;(E$3*10^12-$A87),$A87,$A88))</f>
        <v>0</v>
      </c>
      <c r="F87" s="0" t="n">
        <f aca="false">IF(IF((F$3*10^12-$A88)*(F$3*10^12-$A87)*-1&lt;0,0,1)*IF(ABS(F$3*10^12-$A88)&gt;(F$3*10^12-$A87),$A87,$A88)=F88,0,IF((F$3*10^12-$A88)*(F$3*10^12-$A87)*-1&lt;0,0,1)*IF(ABS(F$3*10^12-$A88)&gt;(F$3*10^12-$A87),$A87,$A88))</f>
        <v>0</v>
      </c>
      <c r="G87" s="0" t="n">
        <f aca="false">IF(IF((G$3*10^12-$A88)*(G$3*10^12-$A87)*-1&lt;0,0,1)*IF(ABS(G$3*10^12-$A88)&gt;(G$3*10^12-$A87),$A87,$A88)=G88,0,IF((G$3*10^12-$A88)*(G$3*10^12-$A87)*-1&lt;0,0,1)*IF(ABS(G$3*10^12-$A88)&gt;(G$3*10^12-$A87),$A87,$A88))</f>
        <v>0</v>
      </c>
      <c r="H87" s="0" t="n">
        <f aca="false">IF(IF((H$3*10^12-$A88)*(H$3*10^12-$A87)*-1&lt;0,0,1)*IF(ABS(H$3*10^12-$A88)&gt;(H$3*10^12-$A87),$A87,$A88)=H88,0,IF((H$3*10^12-$A88)*(H$3*10^12-$A87)*-1&lt;0,0,1)*IF(ABS(H$3*10^12-$A88)&gt;(H$3*10^12-$A87),$A87,$A88))</f>
        <v>0</v>
      </c>
      <c r="I87" s="0" t="n">
        <f aca="false">IF(IF((I$3*10^12-$A88)*(I$3*10^12-$A87)*-1&lt;0,0,1)*IF(ABS(I$3*10^12-$A88)&gt;(I$3*10^12-$A87),$A87,$A88)=I88,0,IF((I$3*10^12-$A88)*(I$3*10^12-$A87)*-1&lt;0,0,1)*IF(ABS(I$3*10^12-$A88)&gt;(I$3*10^12-$A87),$A87,$A88))</f>
        <v>0</v>
      </c>
      <c r="J87" s="0" t="n">
        <f aca="false">IF(IF((J$3*10^12-$A88)*(J$3*10^12-$A87)*-1&lt;0,0,1)*IF(ABS(J$3*10^12-$A88)&gt;(J$3*10^12-$A87),$A87,$A88)=J88,0,IF((J$3*10^12-$A88)*(J$3*10^12-$A87)*-1&lt;0,0,1)*IF(ABS(J$3*10^12-$A88)&gt;(J$3*10^12-$A87),$A87,$A88))</f>
        <v>0</v>
      </c>
    </row>
    <row r="88" customFormat="false" ht="12.75" hidden="false" customHeight="false" outlineLevel="0" collapsed="false">
      <c r="A88" s="0" t="n">
        <f aca="false">A76*10</f>
        <v>3300000</v>
      </c>
      <c r="B88" s="0" t="n">
        <f aca="false">IF(IF((B$3*10^12-$A89)*(B$3*10^12-$A88)*-1&lt;0,0,1)*IF(ABS(B$3*10^12-$A89)&gt;(B$3*10^12-$A88),$A88,$A89)=B89,0,IF((B$3*10^12-$A89)*(B$3*10^12-$A88)*-1&lt;0,0,1)*IF(ABS(B$3*10^12-$A89)&gt;(B$3*10^12-$A88),$A88,$A89))</f>
        <v>0</v>
      </c>
      <c r="C88" s="0" t="n">
        <f aca="false">IF(IF((C$3*10^12-$A89)*(C$3*10^12-$A88)*-1&lt;0,0,1)*IF(ABS(C$3*10^12-$A89)&gt;(C$3*10^12-$A88),$A88,$A89)=C89,0,IF((C$3*10^12-$A89)*(C$3*10^12-$A88)*-1&lt;0,0,1)*IF(ABS(C$3*10^12-$A89)&gt;(C$3*10^12-$A88),$A88,$A89))</f>
        <v>0</v>
      </c>
      <c r="D88" s="0" t="n">
        <f aca="false">IF(IF((D$3*10^12-$A89)*(D$3*10^12-$A88)*-1&lt;0,0,1)*IF(ABS(D$3*10^12-$A89)&gt;(D$3*10^12-$A88),$A88,$A89)=D89,0,IF((D$3*10^12-$A89)*(D$3*10^12-$A88)*-1&lt;0,0,1)*IF(ABS(D$3*10^12-$A89)&gt;(D$3*10^12-$A88),$A88,$A89))</f>
        <v>0</v>
      </c>
      <c r="E88" s="0" t="n">
        <f aca="false">IF(IF((E$3*10^12-$A89)*(E$3*10^12-$A88)*-1&lt;0,0,1)*IF(ABS(E$3*10^12-$A89)&gt;(E$3*10^12-$A88),$A88,$A89)=E89,0,IF((E$3*10^12-$A89)*(E$3*10^12-$A88)*-1&lt;0,0,1)*IF(ABS(E$3*10^12-$A89)&gt;(E$3*10^12-$A88),$A88,$A89))</f>
        <v>0</v>
      </c>
      <c r="F88" s="0" t="n">
        <f aca="false">IF(IF((F$3*10^12-$A89)*(F$3*10^12-$A88)*-1&lt;0,0,1)*IF(ABS(F$3*10^12-$A89)&gt;(F$3*10^12-$A88),$A88,$A89)=F89,0,IF((F$3*10^12-$A89)*(F$3*10^12-$A88)*-1&lt;0,0,1)*IF(ABS(F$3*10^12-$A89)&gt;(F$3*10^12-$A88),$A88,$A89))</f>
        <v>0</v>
      </c>
      <c r="G88" s="0" t="n">
        <f aca="false">IF(IF((G$3*10^12-$A89)*(G$3*10^12-$A88)*-1&lt;0,0,1)*IF(ABS(G$3*10^12-$A89)&gt;(G$3*10^12-$A88),$A88,$A89)=G89,0,IF((G$3*10^12-$A89)*(G$3*10^12-$A88)*-1&lt;0,0,1)*IF(ABS(G$3*10^12-$A89)&gt;(G$3*10^12-$A88),$A88,$A89))</f>
        <v>0</v>
      </c>
      <c r="H88" s="0" t="n">
        <f aca="false">IF(IF((H$3*10^12-$A89)*(H$3*10^12-$A88)*-1&lt;0,0,1)*IF(ABS(H$3*10^12-$A89)&gt;(H$3*10^12-$A88),$A88,$A89)=H89,0,IF((H$3*10^12-$A89)*(H$3*10^12-$A88)*-1&lt;0,0,1)*IF(ABS(H$3*10^12-$A89)&gt;(H$3*10^12-$A88),$A88,$A89))</f>
        <v>0</v>
      </c>
      <c r="I88" s="0" t="n">
        <f aca="false">IF(IF((I$3*10^12-$A89)*(I$3*10^12-$A88)*-1&lt;0,0,1)*IF(ABS(I$3*10^12-$A89)&gt;(I$3*10^12-$A88),$A88,$A89)=I89,0,IF((I$3*10^12-$A89)*(I$3*10^12-$A88)*-1&lt;0,0,1)*IF(ABS(I$3*10^12-$A89)&gt;(I$3*10^12-$A88),$A88,$A89))</f>
        <v>0</v>
      </c>
      <c r="J88" s="0" t="n">
        <f aca="false">IF(IF((J$3*10^12-$A89)*(J$3*10^12-$A88)*-1&lt;0,0,1)*IF(ABS(J$3*10^12-$A89)&gt;(J$3*10^12-$A88),$A88,$A89)=J89,0,IF((J$3*10^12-$A89)*(J$3*10^12-$A88)*-1&lt;0,0,1)*IF(ABS(J$3*10^12-$A89)&gt;(J$3*10^12-$A88),$A88,$A89))</f>
        <v>0</v>
      </c>
    </row>
    <row r="89" customFormat="false" ht="12.75" hidden="false" customHeight="false" outlineLevel="0" collapsed="false">
      <c r="A89" s="0" t="n">
        <f aca="false">A77*10</f>
        <v>3900000</v>
      </c>
      <c r="B89" s="0" t="n">
        <f aca="false">IF(IF((B$3*10^12-$A90)*(B$3*10^12-$A89)*-1&lt;0,0,1)*IF(ABS(B$3*10^12-$A90)&gt;(B$3*10^12-$A89),$A89,$A90)=B90,0,IF((B$3*10^12-$A90)*(B$3*10^12-$A89)*-1&lt;0,0,1)*IF(ABS(B$3*10^12-$A90)&gt;(B$3*10^12-$A89),$A89,$A90))</f>
        <v>0</v>
      </c>
      <c r="C89" s="0" t="n">
        <f aca="false">IF(IF((C$3*10^12-$A90)*(C$3*10^12-$A89)*-1&lt;0,0,1)*IF(ABS(C$3*10^12-$A90)&gt;(C$3*10^12-$A89),$A89,$A90)=C90,0,IF((C$3*10^12-$A90)*(C$3*10^12-$A89)*-1&lt;0,0,1)*IF(ABS(C$3*10^12-$A90)&gt;(C$3*10^12-$A89),$A89,$A90))</f>
        <v>0</v>
      </c>
      <c r="D89" s="0" t="n">
        <f aca="false">IF(IF((D$3*10^12-$A90)*(D$3*10^12-$A89)*-1&lt;0,0,1)*IF(ABS(D$3*10^12-$A90)&gt;(D$3*10^12-$A89),$A89,$A90)=D90,0,IF((D$3*10^12-$A90)*(D$3*10^12-$A89)*-1&lt;0,0,1)*IF(ABS(D$3*10^12-$A90)&gt;(D$3*10^12-$A89),$A89,$A90))</f>
        <v>0</v>
      </c>
      <c r="E89" s="0" t="n">
        <f aca="false">IF(IF((E$3*10^12-$A90)*(E$3*10^12-$A89)*-1&lt;0,0,1)*IF(ABS(E$3*10^12-$A90)&gt;(E$3*10^12-$A89),$A89,$A90)=E90,0,IF((E$3*10^12-$A90)*(E$3*10^12-$A89)*-1&lt;0,0,1)*IF(ABS(E$3*10^12-$A90)&gt;(E$3*10^12-$A89),$A89,$A90))</f>
        <v>0</v>
      </c>
      <c r="F89" s="0" t="n">
        <f aca="false">IF(IF((F$3*10^12-$A90)*(F$3*10^12-$A89)*-1&lt;0,0,1)*IF(ABS(F$3*10^12-$A90)&gt;(F$3*10^12-$A89),$A89,$A90)=F90,0,IF((F$3*10^12-$A90)*(F$3*10^12-$A89)*-1&lt;0,0,1)*IF(ABS(F$3*10^12-$A90)&gt;(F$3*10^12-$A89),$A89,$A90))</f>
        <v>0</v>
      </c>
      <c r="G89" s="0" t="n">
        <f aca="false">IF(IF((G$3*10^12-$A90)*(G$3*10^12-$A89)*-1&lt;0,0,1)*IF(ABS(G$3*10^12-$A90)&gt;(G$3*10^12-$A89),$A89,$A90)=G90,0,IF((G$3*10^12-$A90)*(G$3*10^12-$A89)*-1&lt;0,0,1)*IF(ABS(G$3*10^12-$A90)&gt;(G$3*10^12-$A89),$A89,$A90))</f>
        <v>0</v>
      </c>
      <c r="H89" s="0" t="n">
        <f aca="false">IF(IF((H$3*10^12-$A90)*(H$3*10^12-$A89)*-1&lt;0,0,1)*IF(ABS(H$3*10^12-$A90)&gt;(H$3*10^12-$A89),$A89,$A90)=H90,0,IF((H$3*10^12-$A90)*(H$3*10^12-$A89)*-1&lt;0,0,1)*IF(ABS(H$3*10^12-$A90)&gt;(H$3*10^12-$A89),$A89,$A90))</f>
        <v>0</v>
      </c>
      <c r="I89" s="0" t="n">
        <f aca="false">IF(IF((I$3*10^12-$A90)*(I$3*10^12-$A89)*-1&lt;0,0,1)*IF(ABS(I$3*10^12-$A90)&gt;(I$3*10^12-$A89),$A89,$A90)=I90,0,IF((I$3*10^12-$A90)*(I$3*10^12-$A89)*-1&lt;0,0,1)*IF(ABS(I$3*10^12-$A90)&gt;(I$3*10^12-$A89),$A89,$A90))</f>
        <v>0</v>
      </c>
      <c r="J89" s="0" t="n">
        <f aca="false">IF(IF((J$3*10^12-$A90)*(J$3*10^12-$A89)*-1&lt;0,0,1)*IF(ABS(J$3*10^12-$A90)&gt;(J$3*10^12-$A89),$A89,$A90)=J90,0,IF((J$3*10^12-$A90)*(J$3*10^12-$A89)*-1&lt;0,0,1)*IF(ABS(J$3*10^12-$A90)&gt;(J$3*10^12-$A89),$A89,$A90))</f>
        <v>0</v>
      </c>
    </row>
    <row r="90" customFormat="false" ht="12.75" hidden="false" customHeight="false" outlineLevel="0" collapsed="false">
      <c r="A90" s="0" t="n">
        <f aca="false">A78*10</f>
        <v>4700000</v>
      </c>
      <c r="B90" s="0" t="n">
        <f aca="false">IF(IF((B$3*10^12-$A91)*(B$3*10^12-$A90)*-1&lt;0,0,1)*IF(ABS(B$3*10^12-$A91)&gt;(B$3*10^12-$A90),$A90,$A91)=B91,0,IF((B$3*10^12-$A91)*(B$3*10^12-$A90)*-1&lt;0,0,1)*IF(ABS(B$3*10^12-$A91)&gt;(B$3*10^12-$A90),$A90,$A91))</f>
        <v>0</v>
      </c>
      <c r="C90" s="0" t="n">
        <f aca="false">IF(IF((C$3*10^12-$A91)*(C$3*10^12-$A90)*-1&lt;0,0,1)*IF(ABS(C$3*10^12-$A91)&gt;(C$3*10^12-$A90),$A90,$A91)=C91,0,IF((C$3*10^12-$A91)*(C$3*10^12-$A90)*-1&lt;0,0,1)*IF(ABS(C$3*10^12-$A91)&gt;(C$3*10^12-$A90),$A90,$A91))</f>
        <v>0</v>
      </c>
      <c r="D90" s="0" t="n">
        <f aca="false">IF(IF((D$3*10^12-$A91)*(D$3*10^12-$A90)*-1&lt;0,0,1)*IF(ABS(D$3*10^12-$A91)&gt;(D$3*10^12-$A90),$A90,$A91)=D91,0,IF((D$3*10^12-$A91)*(D$3*10^12-$A90)*-1&lt;0,0,1)*IF(ABS(D$3*10^12-$A91)&gt;(D$3*10^12-$A90),$A90,$A91))</f>
        <v>0</v>
      </c>
      <c r="E90" s="0" t="n">
        <f aca="false">IF(IF((E$3*10^12-$A91)*(E$3*10^12-$A90)*-1&lt;0,0,1)*IF(ABS(E$3*10^12-$A91)&gt;(E$3*10^12-$A90),$A90,$A91)=E91,0,IF((E$3*10^12-$A91)*(E$3*10^12-$A90)*-1&lt;0,0,1)*IF(ABS(E$3*10^12-$A91)&gt;(E$3*10^12-$A90),$A90,$A91))</f>
        <v>0</v>
      </c>
      <c r="F90" s="0" t="n">
        <f aca="false">IF(IF((F$3*10^12-$A91)*(F$3*10^12-$A90)*-1&lt;0,0,1)*IF(ABS(F$3*10^12-$A91)&gt;(F$3*10^12-$A90),$A90,$A91)=F91,0,IF((F$3*10^12-$A91)*(F$3*10^12-$A90)*-1&lt;0,0,1)*IF(ABS(F$3*10^12-$A91)&gt;(F$3*10^12-$A90),$A90,$A91))</f>
        <v>0</v>
      </c>
      <c r="G90" s="0" t="n">
        <f aca="false">IF(IF((G$3*10^12-$A91)*(G$3*10^12-$A90)*-1&lt;0,0,1)*IF(ABS(G$3*10^12-$A91)&gt;(G$3*10^12-$A90),$A90,$A91)=G91,0,IF((G$3*10^12-$A91)*(G$3*10^12-$A90)*-1&lt;0,0,1)*IF(ABS(G$3*10^12-$A91)&gt;(G$3*10^12-$A90),$A90,$A91))</f>
        <v>0</v>
      </c>
      <c r="H90" s="0" t="n">
        <f aca="false">IF(IF((H$3*10^12-$A91)*(H$3*10^12-$A90)*-1&lt;0,0,1)*IF(ABS(H$3*10^12-$A91)&gt;(H$3*10^12-$A90),$A90,$A91)=H91,0,IF((H$3*10^12-$A91)*(H$3*10^12-$A90)*-1&lt;0,0,1)*IF(ABS(H$3*10^12-$A91)&gt;(H$3*10^12-$A90),$A90,$A91))</f>
        <v>0</v>
      </c>
      <c r="I90" s="0" t="n">
        <f aca="false">IF(IF((I$3*10^12-$A91)*(I$3*10^12-$A90)*-1&lt;0,0,1)*IF(ABS(I$3*10^12-$A91)&gt;(I$3*10^12-$A90),$A90,$A91)=I91,0,IF((I$3*10^12-$A91)*(I$3*10^12-$A90)*-1&lt;0,0,1)*IF(ABS(I$3*10^12-$A91)&gt;(I$3*10^12-$A90),$A90,$A91))</f>
        <v>0</v>
      </c>
      <c r="J90" s="0" t="n">
        <f aca="false">IF(IF((J$3*10^12-$A91)*(J$3*10^12-$A90)*-1&lt;0,0,1)*IF(ABS(J$3*10^12-$A91)&gt;(J$3*10^12-$A90),$A90,$A91)=J91,0,IF((J$3*10^12-$A91)*(J$3*10^12-$A90)*-1&lt;0,0,1)*IF(ABS(J$3*10^12-$A91)&gt;(J$3*10^12-$A90),$A90,$A91))</f>
        <v>0</v>
      </c>
    </row>
    <row r="91" customFormat="false" ht="12.75" hidden="false" customHeight="false" outlineLevel="0" collapsed="false">
      <c r="A91" s="0" t="n">
        <f aca="false">A79*10</f>
        <v>5600000</v>
      </c>
      <c r="B91" s="0" t="n">
        <f aca="false">IF(IF((B$3*10^12-$A92)*(B$3*10^12-$A91)*-1&lt;0,0,1)*IF(ABS(B$3*10^12-$A92)&gt;(B$3*10^12-$A91),$A91,$A92)=B92,0,IF((B$3*10^12-$A92)*(B$3*10^12-$A91)*-1&lt;0,0,1)*IF(ABS(B$3*10^12-$A92)&gt;(B$3*10^12-$A91),$A91,$A92))</f>
        <v>0</v>
      </c>
      <c r="C91" s="0" t="n">
        <f aca="false">IF(IF((C$3*10^12-$A92)*(C$3*10^12-$A91)*-1&lt;0,0,1)*IF(ABS(C$3*10^12-$A92)&gt;(C$3*10^12-$A91),$A91,$A92)=C92,0,IF((C$3*10^12-$A92)*(C$3*10^12-$A91)*-1&lt;0,0,1)*IF(ABS(C$3*10^12-$A92)&gt;(C$3*10^12-$A91),$A91,$A92))</f>
        <v>0</v>
      </c>
      <c r="D91" s="0" t="n">
        <f aca="false">IF(IF((D$3*10^12-$A92)*(D$3*10^12-$A91)*-1&lt;0,0,1)*IF(ABS(D$3*10^12-$A92)&gt;(D$3*10^12-$A91),$A91,$A92)=D92,0,IF((D$3*10^12-$A92)*(D$3*10^12-$A91)*-1&lt;0,0,1)*IF(ABS(D$3*10^12-$A92)&gt;(D$3*10^12-$A91),$A91,$A92))</f>
        <v>0</v>
      </c>
      <c r="E91" s="0" t="n">
        <f aca="false">IF(IF((E$3*10^12-$A92)*(E$3*10^12-$A91)*-1&lt;0,0,1)*IF(ABS(E$3*10^12-$A92)&gt;(E$3*10^12-$A91),$A91,$A92)=E92,0,IF((E$3*10^12-$A92)*(E$3*10^12-$A91)*-1&lt;0,0,1)*IF(ABS(E$3*10^12-$A92)&gt;(E$3*10^12-$A91),$A91,$A92))</f>
        <v>0</v>
      </c>
      <c r="F91" s="0" t="n">
        <f aca="false">IF(IF((F$3*10^12-$A92)*(F$3*10^12-$A91)*-1&lt;0,0,1)*IF(ABS(F$3*10^12-$A92)&gt;(F$3*10^12-$A91),$A91,$A92)=F92,0,IF((F$3*10^12-$A92)*(F$3*10^12-$A91)*-1&lt;0,0,1)*IF(ABS(F$3*10^12-$A92)&gt;(F$3*10^12-$A91),$A91,$A92))</f>
        <v>0</v>
      </c>
      <c r="G91" s="0" t="n">
        <f aca="false">IF(IF((G$3*10^12-$A92)*(G$3*10^12-$A91)*-1&lt;0,0,1)*IF(ABS(G$3*10^12-$A92)&gt;(G$3*10^12-$A91),$A91,$A92)=G92,0,IF((G$3*10^12-$A92)*(G$3*10^12-$A91)*-1&lt;0,0,1)*IF(ABS(G$3*10^12-$A92)&gt;(G$3*10^12-$A91),$A91,$A92))</f>
        <v>0</v>
      </c>
      <c r="H91" s="0" t="n">
        <f aca="false">IF(IF((H$3*10^12-$A92)*(H$3*10^12-$A91)*-1&lt;0,0,1)*IF(ABS(H$3*10^12-$A92)&gt;(H$3*10^12-$A91),$A91,$A92)=H92,0,IF((H$3*10^12-$A92)*(H$3*10^12-$A91)*-1&lt;0,0,1)*IF(ABS(H$3*10^12-$A92)&gt;(H$3*10^12-$A91),$A91,$A92))</f>
        <v>0</v>
      </c>
      <c r="I91" s="0" t="n">
        <f aca="false">IF(IF((I$3*10^12-$A92)*(I$3*10^12-$A91)*-1&lt;0,0,1)*IF(ABS(I$3*10^12-$A92)&gt;(I$3*10^12-$A91),$A91,$A92)=I92,0,IF((I$3*10^12-$A92)*(I$3*10^12-$A91)*-1&lt;0,0,1)*IF(ABS(I$3*10^12-$A92)&gt;(I$3*10^12-$A91),$A91,$A92))</f>
        <v>0</v>
      </c>
      <c r="J91" s="0" t="n">
        <f aca="false">IF(IF((J$3*10^12-$A92)*(J$3*10^12-$A91)*-1&lt;0,0,1)*IF(ABS(J$3*10^12-$A92)&gt;(J$3*10^12-$A91),$A91,$A92)=J92,0,IF((J$3*10^12-$A92)*(J$3*10^12-$A91)*-1&lt;0,0,1)*IF(ABS(J$3*10^12-$A92)&gt;(J$3*10^12-$A91),$A91,$A92))</f>
        <v>0</v>
      </c>
    </row>
    <row r="92" customFormat="false" ht="12.75" hidden="false" customHeight="false" outlineLevel="0" collapsed="false">
      <c r="A92" s="0" t="n">
        <f aca="false">A80*10</f>
        <v>6800000</v>
      </c>
      <c r="B92" s="0" t="n">
        <f aca="false">IF(IF((B$3*10^12-$A93)*(B$3*10^12-$A92)*-1&lt;0,0,1)*IF(ABS(B$3*10^12-$A93)&gt;(B$3*10^12-$A92),$A92,$A93)=B93,0,IF((B$3*10^12-$A93)*(B$3*10^12-$A92)*-1&lt;0,0,1)*IF(ABS(B$3*10^12-$A93)&gt;(B$3*10^12-$A92),$A92,$A93))</f>
        <v>0</v>
      </c>
      <c r="C92" s="0" t="n">
        <f aca="false">IF(IF((C$3*10^12-$A93)*(C$3*10^12-$A92)*-1&lt;0,0,1)*IF(ABS(C$3*10^12-$A93)&gt;(C$3*10^12-$A92),$A92,$A93)=C93,0,IF((C$3*10^12-$A93)*(C$3*10^12-$A92)*-1&lt;0,0,1)*IF(ABS(C$3*10^12-$A93)&gt;(C$3*10^12-$A92),$A92,$A93))</f>
        <v>0</v>
      </c>
      <c r="D92" s="0" t="n">
        <f aca="false">IF(IF((D$3*10^12-$A93)*(D$3*10^12-$A92)*-1&lt;0,0,1)*IF(ABS(D$3*10^12-$A93)&gt;(D$3*10^12-$A92),$A92,$A93)=D93,0,IF((D$3*10^12-$A93)*(D$3*10^12-$A92)*-1&lt;0,0,1)*IF(ABS(D$3*10^12-$A93)&gt;(D$3*10^12-$A92),$A92,$A93))</f>
        <v>0</v>
      </c>
      <c r="E92" s="0" t="n">
        <f aca="false">IF(IF((E$3*10^12-$A93)*(E$3*10^12-$A92)*-1&lt;0,0,1)*IF(ABS(E$3*10^12-$A93)&gt;(E$3*10^12-$A92),$A92,$A93)=E93,0,IF((E$3*10^12-$A93)*(E$3*10^12-$A92)*-1&lt;0,0,1)*IF(ABS(E$3*10^12-$A93)&gt;(E$3*10^12-$A92),$A92,$A93))</f>
        <v>0</v>
      </c>
      <c r="F92" s="0" t="n">
        <f aca="false">IF(IF((F$3*10^12-$A93)*(F$3*10^12-$A92)*-1&lt;0,0,1)*IF(ABS(F$3*10^12-$A93)&gt;(F$3*10^12-$A92),$A92,$A93)=F93,0,IF((F$3*10^12-$A93)*(F$3*10^12-$A92)*-1&lt;0,0,1)*IF(ABS(F$3*10^12-$A93)&gt;(F$3*10^12-$A92),$A92,$A93))</f>
        <v>0</v>
      </c>
      <c r="G92" s="0" t="n">
        <f aca="false">IF(IF((G$3*10^12-$A93)*(G$3*10^12-$A92)*-1&lt;0,0,1)*IF(ABS(G$3*10^12-$A93)&gt;(G$3*10^12-$A92),$A92,$A93)=G93,0,IF((G$3*10^12-$A93)*(G$3*10^12-$A92)*-1&lt;0,0,1)*IF(ABS(G$3*10^12-$A93)&gt;(G$3*10^12-$A92),$A92,$A93))</f>
        <v>0</v>
      </c>
      <c r="H92" s="0" t="n">
        <f aca="false">IF(IF((H$3*10^12-$A93)*(H$3*10^12-$A92)*-1&lt;0,0,1)*IF(ABS(H$3*10^12-$A93)&gt;(H$3*10^12-$A92),$A92,$A93)=H93,0,IF((H$3*10^12-$A93)*(H$3*10^12-$A92)*-1&lt;0,0,1)*IF(ABS(H$3*10^12-$A93)&gt;(H$3*10^12-$A92),$A92,$A93))</f>
        <v>0</v>
      </c>
      <c r="I92" s="0" t="n">
        <f aca="false">IF(IF((I$3*10^12-$A93)*(I$3*10^12-$A92)*-1&lt;0,0,1)*IF(ABS(I$3*10^12-$A93)&gt;(I$3*10^12-$A92),$A92,$A93)=I93,0,IF((I$3*10^12-$A93)*(I$3*10^12-$A92)*-1&lt;0,0,1)*IF(ABS(I$3*10^12-$A93)&gt;(I$3*10^12-$A92),$A92,$A93))</f>
        <v>0</v>
      </c>
      <c r="J92" s="0" t="n">
        <f aca="false">IF(IF((J$3*10^12-$A93)*(J$3*10^12-$A92)*-1&lt;0,0,1)*IF(ABS(J$3*10^12-$A93)&gt;(J$3*10^12-$A92),$A92,$A93)=J93,0,IF((J$3*10^12-$A93)*(J$3*10^12-$A92)*-1&lt;0,0,1)*IF(ABS(J$3*10^12-$A93)&gt;(J$3*10^12-$A92),$A92,$A93))</f>
        <v>0</v>
      </c>
    </row>
    <row r="93" customFormat="false" ht="12.75" hidden="false" customHeight="false" outlineLevel="0" collapsed="false">
      <c r="A93" s="0" t="n">
        <f aca="false">A81*10</f>
        <v>8200000</v>
      </c>
      <c r="B93" s="0" t="n">
        <f aca="false">IF(IF((B$3*10^12-$A94)*(B$3*10^12-$A93)*-1&lt;0,0,1)*IF(ABS(B$3*10^12-$A94)&gt;(B$3*10^12-$A93),$A93,$A94)=B94,0,IF((B$3*10^12-$A94)*(B$3*10^12-$A93)*-1&lt;0,0,1)*IF(ABS(B$3*10^12-$A94)&gt;(B$3*10^12-$A93),$A93,$A94))</f>
        <v>0</v>
      </c>
      <c r="C93" s="0" t="n">
        <f aca="false">IF(IF((C$3*10^12-$A94)*(C$3*10^12-$A93)*-1&lt;0,0,1)*IF(ABS(C$3*10^12-$A94)&gt;(C$3*10^12-$A93),$A93,$A94)=C94,0,IF((C$3*10^12-$A94)*(C$3*10^12-$A93)*-1&lt;0,0,1)*IF(ABS(C$3*10^12-$A94)&gt;(C$3*10^12-$A93),$A93,$A94))</f>
        <v>0</v>
      </c>
      <c r="D93" s="0" t="n">
        <f aca="false">IF(IF((D$3*10^12-$A94)*(D$3*10^12-$A93)*-1&lt;0,0,1)*IF(ABS(D$3*10^12-$A94)&gt;(D$3*10^12-$A93),$A93,$A94)=D94,0,IF((D$3*10^12-$A94)*(D$3*10^12-$A93)*-1&lt;0,0,1)*IF(ABS(D$3*10^12-$A94)&gt;(D$3*10^12-$A93),$A93,$A94))</f>
        <v>0</v>
      </c>
      <c r="E93" s="0" t="n">
        <f aca="false">IF(IF((E$3*10^12-$A94)*(E$3*10^12-$A93)*-1&lt;0,0,1)*IF(ABS(E$3*10^12-$A94)&gt;(E$3*10^12-$A93),$A93,$A94)=E94,0,IF((E$3*10^12-$A94)*(E$3*10^12-$A93)*-1&lt;0,0,1)*IF(ABS(E$3*10^12-$A94)&gt;(E$3*10^12-$A93),$A93,$A94))</f>
        <v>0</v>
      </c>
      <c r="F93" s="0" t="n">
        <f aca="false">IF(IF((F$3*10^12-$A94)*(F$3*10^12-$A93)*-1&lt;0,0,1)*IF(ABS(F$3*10^12-$A94)&gt;(F$3*10^12-$A93),$A93,$A94)=F94,0,IF((F$3*10^12-$A94)*(F$3*10^12-$A93)*-1&lt;0,0,1)*IF(ABS(F$3*10^12-$A94)&gt;(F$3*10^12-$A93),$A93,$A94))</f>
        <v>0</v>
      </c>
      <c r="G93" s="0" t="n">
        <f aca="false">IF(IF((G$3*10^12-$A94)*(G$3*10^12-$A93)*-1&lt;0,0,1)*IF(ABS(G$3*10^12-$A94)&gt;(G$3*10^12-$A93),$A93,$A94)=G94,0,IF((G$3*10^12-$A94)*(G$3*10^12-$A93)*-1&lt;0,0,1)*IF(ABS(G$3*10^12-$A94)&gt;(G$3*10^12-$A93),$A93,$A94))</f>
        <v>0</v>
      </c>
      <c r="H93" s="0" t="n">
        <f aca="false">IF(IF((H$3*10^12-$A94)*(H$3*10^12-$A93)*-1&lt;0,0,1)*IF(ABS(H$3*10^12-$A94)&gt;(H$3*10^12-$A93),$A93,$A94)=H94,0,IF((H$3*10^12-$A94)*(H$3*10^12-$A93)*-1&lt;0,0,1)*IF(ABS(H$3*10^12-$A94)&gt;(H$3*10^12-$A93),$A93,$A94))</f>
        <v>0</v>
      </c>
      <c r="I93" s="0" t="n">
        <f aca="false">IF(IF((I$3*10^12-$A94)*(I$3*10^12-$A93)*-1&lt;0,0,1)*IF(ABS(I$3*10^12-$A94)&gt;(I$3*10^12-$A93),$A93,$A94)=I94,0,IF((I$3*10^12-$A94)*(I$3*10^12-$A93)*-1&lt;0,0,1)*IF(ABS(I$3*10^12-$A94)&gt;(I$3*10^12-$A93),$A93,$A94))</f>
        <v>0</v>
      </c>
      <c r="J93" s="0" t="n">
        <f aca="false">IF(IF((J$3*10^12-$A94)*(J$3*10^12-$A93)*-1&lt;0,0,1)*IF(ABS(J$3*10^12-$A94)&gt;(J$3*10^12-$A93),$A93,$A94)=J94,0,IF((J$3*10^12-$A94)*(J$3*10^12-$A93)*-1&lt;0,0,1)*IF(ABS(J$3*10^12-$A94)&gt;(J$3*10^12-$A93),$A93,$A94))</f>
        <v>0</v>
      </c>
    </row>
    <row r="94" customFormat="false" ht="12.75" hidden="false" customHeight="false" outlineLevel="0" collapsed="false">
      <c r="A94" s="0" t="n">
        <f aca="false">A82*10</f>
        <v>10000000</v>
      </c>
      <c r="B94" s="0" t="n">
        <f aca="false">IF(IF((B$3*10^12-$A95)*(B$3*10^12-$A94)*-1&lt;0,0,1)*IF(ABS(B$3*10^12-$A95)&gt;(B$3*10^12-$A94),$A94,$A95)=B95,0,IF((B$3*10^12-$A95)*(B$3*10^12-$A94)*-1&lt;0,0,1)*IF(ABS(B$3*10^12-$A95)&gt;(B$3*10^12-$A94),$A94,$A95))</f>
        <v>0</v>
      </c>
      <c r="C94" s="0" t="n">
        <f aca="false">IF(IF((C$3*10^12-$A95)*(C$3*10^12-$A94)*-1&lt;0,0,1)*IF(ABS(C$3*10^12-$A95)&gt;(C$3*10^12-$A94),$A94,$A95)=C95,0,IF((C$3*10^12-$A95)*(C$3*10^12-$A94)*-1&lt;0,0,1)*IF(ABS(C$3*10^12-$A95)&gt;(C$3*10^12-$A94),$A94,$A95))</f>
        <v>0</v>
      </c>
      <c r="D94" s="0" t="n">
        <f aca="false">IF(IF((D$3*10^12-$A95)*(D$3*10^12-$A94)*-1&lt;0,0,1)*IF(ABS(D$3*10^12-$A95)&gt;(D$3*10^12-$A94),$A94,$A95)=D95,0,IF((D$3*10^12-$A95)*(D$3*10^12-$A94)*-1&lt;0,0,1)*IF(ABS(D$3*10^12-$A95)&gt;(D$3*10^12-$A94),$A94,$A95))</f>
        <v>0</v>
      </c>
      <c r="E94" s="0" t="n">
        <f aca="false">IF(IF((E$3*10^12-$A95)*(E$3*10^12-$A94)*-1&lt;0,0,1)*IF(ABS(E$3*10^12-$A95)&gt;(E$3*10^12-$A94),$A94,$A95)=E95,0,IF((E$3*10^12-$A95)*(E$3*10^12-$A94)*-1&lt;0,0,1)*IF(ABS(E$3*10^12-$A95)&gt;(E$3*10^12-$A94),$A94,$A95))</f>
        <v>0</v>
      </c>
      <c r="F94" s="0" t="n">
        <f aca="false">IF(IF((F$3*10^12-$A95)*(F$3*10^12-$A94)*-1&lt;0,0,1)*IF(ABS(F$3*10^12-$A95)&gt;(F$3*10^12-$A94),$A94,$A95)=F95,0,IF((F$3*10^12-$A95)*(F$3*10^12-$A94)*-1&lt;0,0,1)*IF(ABS(F$3*10^12-$A95)&gt;(F$3*10^12-$A94),$A94,$A95))</f>
        <v>0</v>
      </c>
      <c r="G94" s="0" t="n">
        <f aca="false">IF(IF((G$3*10^12-$A95)*(G$3*10^12-$A94)*-1&lt;0,0,1)*IF(ABS(G$3*10^12-$A95)&gt;(G$3*10^12-$A94),$A94,$A95)=G95,0,IF((G$3*10^12-$A95)*(G$3*10^12-$A94)*-1&lt;0,0,1)*IF(ABS(G$3*10^12-$A95)&gt;(G$3*10^12-$A94),$A94,$A95))</f>
        <v>0</v>
      </c>
      <c r="H94" s="0" t="n">
        <f aca="false">IF(IF((H$3*10^12-$A95)*(H$3*10^12-$A94)*-1&lt;0,0,1)*IF(ABS(H$3*10^12-$A95)&gt;(H$3*10^12-$A94),$A94,$A95)=H95,0,IF((H$3*10^12-$A95)*(H$3*10^12-$A94)*-1&lt;0,0,1)*IF(ABS(H$3*10^12-$A95)&gt;(H$3*10^12-$A94),$A94,$A95))</f>
        <v>0</v>
      </c>
      <c r="I94" s="0" t="n">
        <f aca="false">IF(IF((I$3*10^12-$A95)*(I$3*10^12-$A94)*-1&lt;0,0,1)*IF(ABS(I$3*10^12-$A95)&gt;(I$3*10^12-$A94),$A94,$A95)=I95,0,IF((I$3*10^12-$A95)*(I$3*10^12-$A94)*-1&lt;0,0,1)*IF(ABS(I$3*10^12-$A95)&gt;(I$3*10^12-$A94),$A94,$A95))</f>
        <v>0</v>
      </c>
      <c r="J94" s="0" t="n">
        <f aca="false">IF(IF((J$3*10^12-$A95)*(J$3*10^12-$A94)*-1&lt;0,0,1)*IF(ABS(J$3*10^12-$A95)&gt;(J$3*10^12-$A94),$A94,$A95)=J95,0,IF((J$3*10^12-$A95)*(J$3*10^12-$A94)*-1&lt;0,0,1)*IF(ABS(J$3*10^12-$A95)&gt;(J$3*10^12-$A94),$A94,$A95))</f>
        <v>0</v>
      </c>
    </row>
    <row r="95" customFormat="false" ht="12.75" hidden="false" customHeight="false" outlineLevel="0" collapsed="false">
      <c r="A95" s="0" t="n">
        <f aca="false">A83*10</f>
        <v>12000000</v>
      </c>
      <c r="B95" s="0" t="n">
        <f aca="false">IF(IF((B$3*10^12-$A96)*(B$3*10^12-$A95)*-1&lt;0,0,1)*IF(ABS(B$3*10^12-$A96)&gt;(B$3*10^12-$A95),$A95,$A96)=B96,0,IF((B$3*10^12-$A96)*(B$3*10^12-$A95)*-1&lt;0,0,1)*IF(ABS(B$3*10^12-$A96)&gt;(B$3*10^12-$A95),$A95,$A96))</f>
        <v>0</v>
      </c>
      <c r="C95" s="0" t="n">
        <f aca="false">IF(IF((C$3*10^12-$A96)*(C$3*10^12-$A95)*-1&lt;0,0,1)*IF(ABS(C$3*10^12-$A96)&gt;(C$3*10^12-$A95),$A95,$A96)=C96,0,IF((C$3*10^12-$A96)*(C$3*10^12-$A95)*-1&lt;0,0,1)*IF(ABS(C$3*10^12-$A96)&gt;(C$3*10^12-$A95),$A95,$A96))</f>
        <v>0</v>
      </c>
      <c r="D95" s="0" t="n">
        <f aca="false">IF(IF((D$3*10^12-$A96)*(D$3*10^12-$A95)*-1&lt;0,0,1)*IF(ABS(D$3*10^12-$A96)&gt;(D$3*10^12-$A95),$A95,$A96)=D96,0,IF((D$3*10^12-$A96)*(D$3*10^12-$A95)*-1&lt;0,0,1)*IF(ABS(D$3*10^12-$A96)&gt;(D$3*10^12-$A95),$A95,$A96))</f>
        <v>0</v>
      </c>
      <c r="E95" s="0" t="n">
        <f aca="false">IF(IF((E$3*10^12-$A96)*(E$3*10^12-$A95)*-1&lt;0,0,1)*IF(ABS(E$3*10^12-$A96)&gt;(E$3*10^12-$A95),$A95,$A96)=E96,0,IF((E$3*10^12-$A96)*(E$3*10^12-$A95)*-1&lt;0,0,1)*IF(ABS(E$3*10^12-$A96)&gt;(E$3*10^12-$A95),$A95,$A96))</f>
        <v>0</v>
      </c>
      <c r="F95" s="0" t="n">
        <f aca="false">IF(IF((F$3*10^12-$A96)*(F$3*10^12-$A95)*-1&lt;0,0,1)*IF(ABS(F$3*10^12-$A96)&gt;(F$3*10^12-$A95),$A95,$A96)=F96,0,IF((F$3*10^12-$A96)*(F$3*10^12-$A95)*-1&lt;0,0,1)*IF(ABS(F$3*10^12-$A96)&gt;(F$3*10^12-$A95),$A95,$A96))</f>
        <v>0</v>
      </c>
      <c r="G95" s="0" t="n">
        <f aca="false">IF(IF((G$3*10^12-$A96)*(G$3*10^12-$A95)*-1&lt;0,0,1)*IF(ABS(G$3*10^12-$A96)&gt;(G$3*10^12-$A95),$A95,$A96)=G96,0,IF((G$3*10^12-$A96)*(G$3*10^12-$A95)*-1&lt;0,0,1)*IF(ABS(G$3*10^12-$A96)&gt;(G$3*10^12-$A95),$A95,$A96))</f>
        <v>0</v>
      </c>
      <c r="H95" s="0" t="n">
        <f aca="false">IF(IF((H$3*10^12-$A96)*(H$3*10^12-$A95)*-1&lt;0,0,1)*IF(ABS(H$3*10^12-$A96)&gt;(H$3*10^12-$A95),$A95,$A96)=H96,0,IF((H$3*10^12-$A96)*(H$3*10^12-$A95)*-1&lt;0,0,1)*IF(ABS(H$3*10^12-$A96)&gt;(H$3*10^12-$A95),$A95,$A96))</f>
        <v>0</v>
      </c>
      <c r="I95" s="0" t="n">
        <f aca="false">IF(IF((I$3*10^12-$A96)*(I$3*10^12-$A95)*-1&lt;0,0,1)*IF(ABS(I$3*10^12-$A96)&gt;(I$3*10^12-$A95),$A95,$A96)=I96,0,IF((I$3*10^12-$A96)*(I$3*10^12-$A95)*-1&lt;0,0,1)*IF(ABS(I$3*10^12-$A96)&gt;(I$3*10^12-$A95),$A95,$A96))</f>
        <v>0</v>
      </c>
      <c r="J95" s="0" t="n">
        <f aca="false">IF(IF((J$3*10^12-$A96)*(J$3*10^12-$A95)*-1&lt;0,0,1)*IF(ABS(J$3*10^12-$A96)&gt;(J$3*10^12-$A95),$A95,$A96)=J96,0,IF((J$3*10^12-$A96)*(J$3*10^12-$A95)*-1&lt;0,0,1)*IF(ABS(J$3*10^12-$A96)&gt;(J$3*10^12-$A95),$A95,$A96))</f>
        <v>0</v>
      </c>
    </row>
    <row r="96" customFormat="false" ht="12.75" hidden="false" customHeight="false" outlineLevel="0" collapsed="false">
      <c r="A96" s="0" t="n">
        <f aca="false">A84*10</f>
        <v>15000000</v>
      </c>
      <c r="B96" s="0" t="n">
        <f aca="false">IF(IF((B$3*10^12-$A97)*(B$3*10^12-$A96)*-1&lt;0,0,1)*IF(ABS(B$3*10^12-$A97)&gt;(B$3*10^12-$A96),$A96,$A97)=B97,0,IF((B$3*10^12-$A97)*(B$3*10^12-$A96)*-1&lt;0,0,1)*IF(ABS(B$3*10^12-$A97)&gt;(B$3*10^12-$A96),$A96,$A97))</f>
        <v>0</v>
      </c>
      <c r="C96" s="0" t="n">
        <f aca="false">IF(IF((C$3*10^12-$A97)*(C$3*10^12-$A96)*-1&lt;0,0,1)*IF(ABS(C$3*10^12-$A97)&gt;(C$3*10^12-$A96),$A96,$A97)=C97,0,IF((C$3*10^12-$A97)*(C$3*10^12-$A96)*-1&lt;0,0,1)*IF(ABS(C$3*10^12-$A97)&gt;(C$3*10^12-$A96),$A96,$A97))</f>
        <v>0</v>
      </c>
      <c r="D96" s="0" t="n">
        <f aca="false">IF(IF((D$3*10^12-$A97)*(D$3*10^12-$A96)*-1&lt;0,0,1)*IF(ABS(D$3*10^12-$A97)&gt;(D$3*10^12-$A96),$A96,$A97)=D97,0,IF((D$3*10^12-$A97)*(D$3*10^12-$A96)*-1&lt;0,0,1)*IF(ABS(D$3*10^12-$A97)&gt;(D$3*10^12-$A96),$A96,$A97))</f>
        <v>0</v>
      </c>
      <c r="E96" s="0" t="n">
        <f aca="false">IF(IF((E$3*10^12-$A97)*(E$3*10^12-$A96)*-1&lt;0,0,1)*IF(ABS(E$3*10^12-$A97)&gt;(E$3*10^12-$A96),$A96,$A97)=E97,0,IF((E$3*10^12-$A97)*(E$3*10^12-$A96)*-1&lt;0,0,1)*IF(ABS(E$3*10^12-$A97)&gt;(E$3*10^12-$A96),$A96,$A97))</f>
        <v>0</v>
      </c>
      <c r="F96" s="0" t="n">
        <f aca="false">IF(IF((F$3*10^12-$A97)*(F$3*10^12-$A96)*-1&lt;0,0,1)*IF(ABS(F$3*10^12-$A97)&gt;(F$3*10^12-$A96),$A96,$A97)=F97,0,IF((F$3*10^12-$A97)*(F$3*10^12-$A96)*-1&lt;0,0,1)*IF(ABS(F$3*10^12-$A97)&gt;(F$3*10^12-$A96),$A96,$A97))</f>
        <v>0</v>
      </c>
      <c r="G96" s="0" t="n">
        <f aca="false">IF(IF((G$3*10^12-$A97)*(G$3*10^12-$A96)*-1&lt;0,0,1)*IF(ABS(G$3*10^12-$A97)&gt;(G$3*10^12-$A96),$A96,$A97)=G97,0,IF((G$3*10^12-$A97)*(G$3*10^12-$A96)*-1&lt;0,0,1)*IF(ABS(G$3*10^12-$A97)&gt;(G$3*10^12-$A96),$A96,$A97))</f>
        <v>0</v>
      </c>
      <c r="H96" s="0" t="n">
        <f aca="false">IF(IF((H$3*10^12-$A97)*(H$3*10^12-$A96)*-1&lt;0,0,1)*IF(ABS(H$3*10^12-$A97)&gt;(H$3*10^12-$A96),$A96,$A97)=H97,0,IF((H$3*10^12-$A97)*(H$3*10^12-$A96)*-1&lt;0,0,1)*IF(ABS(H$3*10^12-$A97)&gt;(H$3*10^12-$A96),$A96,$A97))</f>
        <v>0</v>
      </c>
      <c r="I96" s="0" t="n">
        <f aca="false">IF(IF((I$3*10^12-$A97)*(I$3*10^12-$A96)*-1&lt;0,0,1)*IF(ABS(I$3*10^12-$A97)&gt;(I$3*10^12-$A96),$A96,$A97)=I97,0,IF((I$3*10^12-$A97)*(I$3*10^12-$A96)*-1&lt;0,0,1)*IF(ABS(I$3*10^12-$A97)&gt;(I$3*10^12-$A96),$A96,$A97))</f>
        <v>0</v>
      </c>
      <c r="J96" s="0" t="n">
        <f aca="false">IF(IF((J$3*10^12-$A97)*(J$3*10^12-$A96)*-1&lt;0,0,1)*IF(ABS(J$3*10^12-$A97)&gt;(J$3*10^12-$A96),$A96,$A97)=J97,0,IF((J$3*10^12-$A97)*(J$3*10^12-$A96)*-1&lt;0,0,1)*IF(ABS(J$3*10^12-$A97)&gt;(J$3*10^12-$A96),$A96,$A97))</f>
        <v>0</v>
      </c>
    </row>
    <row r="97" customFormat="false" ht="12.75" hidden="false" customHeight="false" outlineLevel="0" collapsed="false">
      <c r="A97" s="0" t="n">
        <f aca="false">A85*10</f>
        <v>18000000</v>
      </c>
      <c r="B97" s="0" t="n">
        <f aca="false">IF(IF((B$3*10^12-$A98)*(B$3*10^12-$A97)*-1&lt;0,0,1)*IF(ABS(B$3*10^12-$A98)&gt;(B$3*10^12-$A97),$A97,$A98)=B98,0,IF((B$3*10^12-$A98)*(B$3*10^12-$A97)*-1&lt;0,0,1)*IF(ABS(B$3*10^12-$A98)&gt;(B$3*10^12-$A97),$A97,$A98))</f>
        <v>0</v>
      </c>
      <c r="C97" s="0" t="n">
        <f aca="false">IF(IF((C$3*10^12-$A98)*(C$3*10^12-$A97)*-1&lt;0,0,1)*IF(ABS(C$3*10^12-$A98)&gt;(C$3*10^12-$A97),$A97,$A98)=C98,0,IF((C$3*10^12-$A98)*(C$3*10^12-$A97)*-1&lt;0,0,1)*IF(ABS(C$3*10^12-$A98)&gt;(C$3*10^12-$A97),$A97,$A98))</f>
        <v>0</v>
      </c>
      <c r="D97" s="0" t="n">
        <f aca="false">IF(IF((D$3*10^12-$A98)*(D$3*10^12-$A97)*-1&lt;0,0,1)*IF(ABS(D$3*10^12-$A98)&gt;(D$3*10^12-$A97),$A97,$A98)=D98,0,IF((D$3*10^12-$A98)*(D$3*10^12-$A97)*-1&lt;0,0,1)*IF(ABS(D$3*10^12-$A98)&gt;(D$3*10^12-$A97),$A97,$A98))</f>
        <v>0</v>
      </c>
      <c r="E97" s="0" t="n">
        <f aca="false">IF(IF((E$3*10^12-$A98)*(E$3*10^12-$A97)*-1&lt;0,0,1)*IF(ABS(E$3*10^12-$A98)&gt;(E$3*10^12-$A97),$A97,$A98)=E98,0,IF((E$3*10^12-$A98)*(E$3*10^12-$A97)*-1&lt;0,0,1)*IF(ABS(E$3*10^12-$A98)&gt;(E$3*10^12-$A97),$A97,$A98))</f>
        <v>0</v>
      </c>
      <c r="F97" s="0" t="n">
        <f aca="false">IF(IF((F$3*10^12-$A98)*(F$3*10^12-$A97)*-1&lt;0,0,1)*IF(ABS(F$3*10^12-$A98)&gt;(F$3*10^12-$A97),$A97,$A98)=F98,0,IF((F$3*10^12-$A98)*(F$3*10^12-$A97)*-1&lt;0,0,1)*IF(ABS(F$3*10^12-$A98)&gt;(F$3*10^12-$A97),$A97,$A98))</f>
        <v>0</v>
      </c>
      <c r="G97" s="0" t="n">
        <f aca="false">IF(IF((G$3*10^12-$A98)*(G$3*10^12-$A97)*-1&lt;0,0,1)*IF(ABS(G$3*10^12-$A98)&gt;(G$3*10^12-$A97),$A97,$A98)=G98,0,IF((G$3*10^12-$A98)*(G$3*10^12-$A97)*-1&lt;0,0,1)*IF(ABS(G$3*10^12-$A98)&gt;(G$3*10^12-$A97),$A97,$A98))</f>
        <v>0</v>
      </c>
      <c r="H97" s="0" t="n">
        <f aca="false">IF(IF((H$3*10^12-$A98)*(H$3*10^12-$A97)*-1&lt;0,0,1)*IF(ABS(H$3*10^12-$A98)&gt;(H$3*10^12-$A97),$A97,$A98)=H98,0,IF((H$3*10^12-$A98)*(H$3*10^12-$A97)*-1&lt;0,0,1)*IF(ABS(H$3*10^12-$A98)&gt;(H$3*10^12-$A97),$A97,$A98))</f>
        <v>0</v>
      </c>
      <c r="I97" s="0" t="n">
        <f aca="false">IF(IF((I$3*10^12-$A98)*(I$3*10^12-$A97)*-1&lt;0,0,1)*IF(ABS(I$3*10^12-$A98)&gt;(I$3*10^12-$A97),$A97,$A98)=I98,0,IF((I$3*10^12-$A98)*(I$3*10^12-$A97)*-1&lt;0,0,1)*IF(ABS(I$3*10^12-$A98)&gt;(I$3*10^12-$A97),$A97,$A98))</f>
        <v>0</v>
      </c>
      <c r="J97" s="0" t="n">
        <f aca="false">IF(IF((J$3*10^12-$A98)*(J$3*10^12-$A97)*-1&lt;0,0,1)*IF(ABS(J$3*10^12-$A98)&gt;(J$3*10^12-$A97),$A97,$A98)=J98,0,IF((J$3*10^12-$A98)*(J$3*10^12-$A97)*-1&lt;0,0,1)*IF(ABS(J$3*10^12-$A98)&gt;(J$3*10^12-$A97),$A97,$A98))</f>
        <v>0</v>
      </c>
    </row>
    <row r="98" customFormat="false" ht="12.75" hidden="false" customHeight="false" outlineLevel="0" collapsed="false">
      <c r="A98" s="0" t="n">
        <f aca="false">A86*10</f>
        <v>22000000</v>
      </c>
      <c r="B98" s="0" t="n">
        <f aca="false">IF(IF((B$3*10^12-$A99)*(B$3*10^12-$A98)*-1&lt;0,0,1)*IF(ABS(B$3*10^12-$A99)&gt;(B$3*10^12-$A98),$A98,$A99)=B99,0,IF((B$3*10^12-$A99)*(B$3*10^12-$A98)*-1&lt;0,0,1)*IF(ABS(B$3*10^12-$A99)&gt;(B$3*10^12-$A98),$A98,$A99))</f>
        <v>0</v>
      </c>
      <c r="C98" s="0" t="n">
        <f aca="false">IF(IF((C$3*10^12-$A99)*(C$3*10^12-$A98)*-1&lt;0,0,1)*IF(ABS(C$3*10^12-$A99)&gt;(C$3*10^12-$A98),$A98,$A99)=C99,0,IF((C$3*10^12-$A99)*(C$3*10^12-$A98)*-1&lt;0,0,1)*IF(ABS(C$3*10^12-$A99)&gt;(C$3*10^12-$A98),$A98,$A99))</f>
        <v>0</v>
      </c>
      <c r="D98" s="0" t="n">
        <f aca="false">IF(IF((D$3*10^12-$A99)*(D$3*10^12-$A98)*-1&lt;0,0,1)*IF(ABS(D$3*10^12-$A99)&gt;(D$3*10^12-$A98),$A98,$A99)=D99,0,IF((D$3*10^12-$A99)*(D$3*10^12-$A98)*-1&lt;0,0,1)*IF(ABS(D$3*10^12-$A99)&gt;(D$3*10^12-$A98),$A98,$A99))</f>
        <v>0</v>
      </c>
      <c r="E98" s="0" t="n">
        <f aca="false">IF(IF((E$3*10^12-$A99)*(E$3*10^12-$A98)*-1&lt;0,0,1)*IF(ABS(E$3*10^12-$A99)&gt;(E$3*10^12-$A98),$A98,$A99)=E99,0,IF((E$3*10^12-$A99)*(E$3*10^12-$A98)*-1&lt;0,0,1)*IF(ABS(E$3*10^12-$A99)&gt;(E$3*10^12-$A98),$A98,$A99))</f>
        <v>0</v>
      </c>
      <c r="F98" s="0" t="n">
        <f aca="false">IF(IF((F$3*10^12-$A99)*(F$3*10^12-$A98)*-1&lt;0,0,1)*IF(ABS(F$3*10^12-$A99)&gt;(F$3*10^12-$A98),$A98,$A99)=F99,0,IF((F$3*10^12-$A99)*(F$3*10^12-$A98)*-1&lt;0,0,1)*IF(ABS(F$3*10^12-$A99)&gt;(F$3*10^12-$A98),$A98,$A99))</f>
        <v>0</v>
      </c>
      <c r="G98" s="0" t="n">
        <f aca="false">IF(IF((G$3*10^12-$A99)*(G$3*10^12-$A98)*-1&lt;0,0,1)*IF(ABS(G$3*10^12-$A99)&gt;(G$3*10^12-$A98),$A98,$A99)=G99,0,IF((G$3*10^12-$A99)*(G$3*10^12-$A98)*-1&lt;0,0,1)*IF(ABS(G$3*10^12-$A99)&gt;(G$3*10^12-$A98),$A98,$A99))</f>
        <v>0</v>
      </c>
      <c r="H98" s="0" t="n">
        <f aca="false">IF(IF((H$3*10^12-$A99)*(H$3*10^12-$A98)*-1&lt;0,0,1)*IF(ABS(H$3*10^12-$A99)&gt;(H$3*10^12-$A98),$A98,$A99)=H99,0,IF((H$3*10^12-$A99)*(H$3*10^12-$A98)*-1&lt;0,0,1)*IF(ABS(H$3*10^12-$A99)&gt;(H$3*10^12-$A98),$A98,$A99))</f>
        <v>0</v>
      </c>
      <c r="I98" s="0" t="n">
        <f aca="false">IF(IF((I$3*10^12-$A99)*(I$3*10^12-$A98)*-1&lt;0,0,1)*IF(ABS(I$3*10^12-$A99)&gt;(I$3*10^12-$A98),$A98,$A99)=I99,0,IF((I$3*10^12-$A99)*(I$3*10^12-$A98)*-1&lt;0,0,1)*IF(ABS(I$3*10^12-$A99)&gt;(I$3*10^12-$A98),$A98,$A99))</f>
        <v>0</v>
      </c>
      <c r="J98" s="0" t="n">
        <f aca="false">IF(IF((J$3*10^12-$A99)*(J$3*10^12-$A98)*-1&lt;0,0,1)*IF(ABS(J$3*10^12-$A99)&gt;(J$3*10^12-$A98),$A98,$A99)=J99,0,IF((J$3*10^12-$A99)*(J$3*10^12-$A98)*-1&lt;0,0,1)*IF(ABS(J$3*10^12-$A99)&gt;(J$3*10^12-$A98),$A98,$A99))</f>
        <v>0</v>
      </c>
    </row>
    <row r="99" customFormat="false" ht="12.75" hidden="false" customHeight="false" outlineLevel="0" collapsed="false">
      <c r="A99" s="0" t="n">
        <f aca="false">A87*10</f>
        <v>27000000</v>
      </c>
      <c r="B99" s="0" t="n">
        <f aca="false">IF(IF((B$3*10^12-$A100)*(B$3*10^12-$A99)*-1&lt;0,0,1)*IF(ABS(B$3*10^12-$A100)&gt;(B$3*10^12-$A99),$A99,$A100)=B100,0,IF((B$3*10^12-$A100)*(B$3*10^12-$A99)*-1&lt;0,0,1)*IF(ABS(B$3*10^12-$A100)&gt;(B$3*10^12-$A99),$A99,$A100))</f>
        <v>0</v>
      </c>
      <c r="C99" s="0" t="n">
        <f aca="false">IF(IF((C$3*10^12-$A100)*(C$3*10^12-$A99)*-1&lt;0,0,1)*IF(ABS(C$3*10^12-$A100)&gt;(C$3*10^12-$A99),$A99,$A100)=C100,0,IF((C$3*10^12-$A100)*(C$3*10^12-$A99)*-1&lt;0,0,1)*IF(ABS(C$3*10^12-$A100)&gt;(C$3*10^12-$A99),$A99,$A100))</f>
        <v>0</v>
      </c>
      <c r="D99" s="0" t="n">
        <f aca="false">IF(IF((D$3*10^12-$A100)*(D$3*10^12-$A99)*-1&lt;0,0,1)*IF(ABS(D$3*10^12-$A100)&gt;(D$3*10^12-$A99),$A99,$A100)=D100,0,IF((D$3*10^12-$A100)*(D$3*10^12-$A99)*-1&lt;0,0,1)*IF(ABS(D$3*10^12-$A100)&gt;(D$3*10^12-$A99),$A99,$A100))</f>
        <v>0</v>
      </c>
      <c r="E99" s="0" t="n">
        <f aca="false">IF(IF((E$3*10^12-$A100)*(E$3*10^12-$A99)*-1&lt;0,0,1)*IF(ABS(E$3*10^12-$A100)&gt;(E$3*10^12-$A99),$A99,$A100)=E100,0,IF((E$3*10^12-$A100)*(E$3*10^12-$A99)*-1&lt;0,0,1)*IF(ABS(E$3*10^12-$A100)&gt;(E$3*10^12-$A99),$A99,$A100))</f>
        <v>0</v>
      </c>
      <c r="F99" s="0" t="n">
        <f aca="false">IF(IF((F$3*10^12-$A100)*(F$3*10^12-$A99)*-1&lt;0,0,1)*IF(ABS(F$3*10^12-$A100)&gt;(F$3*10^12-$A99),$A99,$A100)=F100,0,IF((F$3*10^12-$A100)*(F$3*10^12-$A99)*-1&lt;0,0,1)*IF(ABS(F$3*10^12-$A100)&gt;(F$3*10^12-$A99),$A99,$A100))</f>
        <v>0</v>
      </c>
      <c r="G99" s="0" t="n">
        <f aca="false">IF(IF((G$3*10^12-$A100)*(G$3*10^12-$A99)*-1&lt;0,0,1)*IF(ABS(G$3*10^12-$A100)&gt;(G$3*10^12-$A99),$A99,$A100)=G100,0,IF((G$3*10^12-$A100)*(G$3*10^12-$A99)*-1&lt;0,0,1)*IF(ABS(G$3*10^12-$A100)&gt;(G$3*10^12-$A99),$A99,$A100))</f>
        <v>0</v>
      </c>
      <c r="H99" s="0" t="n">
        <f aca="false">IF(IF((H$3*10^12-$A100)*(H$3*10^12-$A99)*-1&lt;0,0,1)*IF(ABS(H$3*10^12-$A100)&gt;(H$3*10^12-$A99),$A99,$A100)=H100,0,IF((H$3*10^12-$A100)*(H$3*10^12-$A99)*-1&lt;0,0,1)*IF(ABS(H$3*10^12-$A100)&gt;(H$3*10^12-$A99),$A99,$A100))</f>
        <v>0</v>
      </c>
      <c r="I99" s="0" t="n">
        <f aca="false">IF(IF((I$3*10^12-$A100)*(I$3*10^12-$A99)*-1&lt;0,0,1)*IF(ABS(I$3*10^12-$A100)&gt;(I$3*10^12-$A99),$A99,$A100)=I100,0,IF((I$3*10^12-$A100)*(I$3*10^12-$A99)*-1&lt;0,0,1)*IF(ABS(I$3*10^12-$A100)&gt;(I$3*10^12-$A99),$A99,$A100))</f>
        <v>0</v>
      </c>
      <c r="J99" s="0" t="n">
        <f aca="false">IF(IF((J$3*10^12-$A100)*(J$3*10^12-$A99)*-1&lt;0,0,1)*IF(ABS(J$3*10^12-$A100)&gt;(J$3*10^12-$A99),$A99,$A100)=J100,0,IF((J$3*10^12-$A100)*(J$3*10^12-$A99)*-1&lt;0,0,1)*IF(ABS(J$3*10^12-$A100)&gt;(J$3*10^12-$A99),$A99,$A100))</f>
        <v>0</v>
      </c>
    </row>
    <row r="100" customFormat="false" ht="12.75" hidden="false" customHeight="false" outlineLevel="0" collapsed="false">
      <c r="A100" s="0" t="n">
        <f aca="false">A88*10</f>
        <v>33000000</v>
      </c>
      <c r="B100" s="0" t="n">
        <f aca="false">IF(IF((B$3*10^12-$A101)*(B$3*10^12-$A100)*-1&lt;0,0,1)*IF(ABS(B$3*10^12-$A101)&gt;(B$3*10^12-$A100),$A100,$A101)=B101,0,IF((B$3*10^12-$A101)*(B$3*10^12-$A100)*-1&lt;0,0,1)*IF(ABS(B$3*10^12-$A101)&gt;(B$3*10^12-$A100),$A100,$A101))</f>
        <v>0</v>
      </c>
      <c r="C100" s="0" t="n">
        <f aca="false">IF(IF((C$3*10^12-$A101)*(C$3*10^12-$A100)*-1&lt;0,0,1)*IF(ABS(C$3*10^12-$A101)&gt;(C$3*10^12-$A100),$A100,$A101)=C101,0,IF((C$3*10^12-$A101)*(C$3*10^12-$A100)*-1&lt;0,0,1)*IF(ABS(C$3*10^12-$A101)&gt;(C$3*10^12-$A100),$A100,$A101))</f>
        <v>0</v>
      </c>
      <c r="D100" s="0" t="n">
        <f aca="false">IF(IF((D$3*10^12-$A101)*(D$3*10^12-$A100)*-1&lt;0,0,1)*IF(ABS(D$3*10^12-$A101)&gt;(D$3*10^12-$A100),$A100,$A101)=D101,0,IF((D$3*10^12-$A101)*(D$3*10^12-$A100)*-1&lt;0,0,1)*IF(ABS(D$3*10^12-$A101)&gt;(D$3*10^12-$A100),$A100,$A101))</f>
        <v>0</v>
      </c>
      <c r="E100" s="0" t="n">
        <f aca="false">IF(IF((E$3*10^12-$A101)*(E$3*10^12-$A100)*-1&lt;0,0,1)*IF(ABS(E$3*10^12-$A101)&gt;(E$3*10^12-$A100),$A100,$A101)=E101,0,IF((E$3*10^12-$A101)*(E$3*10^12-$A100)*-1&lt;0,0,1)*IF(ABS(E$3*10^12-$A101)&gt;(E$3*10^12-$A100),$A100,$A101))</f>
        <v>0</v>
      </c>
      <c r="F100" s="0" t="n">
        <f aca="false">IF(IF((F$3*10^12-$A101)*(F$3*10^12-$A100)*-1&lt;0,0,1)*IF(ABS(F$3*10^12-$A101)&gt;(F$3*10^12-$A100),$A100,$A101)=F101,0,IF((F$3*10^12-$A101)*(F$3*10^12-$A100)*-1&lt;0,0,1)*IF(ABS(F$3*10^12-$A101)&gt;(F$3*10^12-$A100),$A100,$A101))</f>
        <v>0</v>
      </c>
      <c r="G100" s="0" t="n">
        <f aca="false">IF(IF((G$3*10^12-$A101)*(G$3*10^12-$A100)*-1&lt;0,0,1)*IF(ABS(G$3*10^12-$A101)&gt;(G$3*10^12-$A100),$A100,$A101)=G101,0,IF((G$3*10^12-$A101)*(G$3*10^12-$A100)*-1&lt;0,0,1)*IF(ABS(G$3*10^12-$A101)&gt;(G$3*10^12-$A100),$A100,$A101))</f>
        <v>0</v>
      </c>
      <c r="H100" s="0" t="n">
        <f aca="false">IF(IF((H$3*10^12-$A101)*(H$3*10^12-$A100)*-1&lt;0,0,1)*IF(ABS(H$3*10^12-$A101)&gt;(H$3*10^12-$A100),$A100,$A101)=H101,0,IF((H$3*10^12-$A101)*(H$3*10^12-$A100)*-1&lt;0,0,1)*IF(ABS(H$3*10^12-$A101)&gt;(H$3*10^12-$A100),$A100,$A101))</f>
        <v>0</v>
      </c>
      <c r="I100" s="0" t="n">
        <f aca="false">IF(IF((I$3*10^12-$A101)*(I$3*10^12-$A100)*-1&lt;0,0,1)*IF(ABS(I$3*10^12-$A101)&gt;(I$3*10^12-$A100),$A100,$A101)=I101,0,IF((I$3*10^12-$A101)*(I$3*10^12-$A100)*-1&lt;0,0,1)*IF(ABS(I$3*10^12-$A101)&gt;(I$3*10^12-$A100),$A100,$A101))</f>
        <v>0</v>
      </c>
      <c r="J100" s="0" t="n">
        <f aca="false">IF(IF((J$3*10^12-$A101)*(J$3*10^12-$A100)*-1&lt;0,0,1)*IF(ABS(J$3*10^12-$A101)&gt;(J$3*10^12-$A100),$A100,$A101)=J101,0,IF((J$3*10^12-$A101)*(J$3*10^12-$A100)*-1&lt;0,0,1)*IF(ABS(J$3*10^12-$A101)&gt;(J$3*10^12-$A100),$A100,$A101))</f>
        <v>0</v>
      </c>
    </row>
    <row r="101" customFormat="false" ht="12.75" hidden="false" customHeight="false" outlineLevel="0" collapsed="false">
      <c r="A101" s="0" t="n">
        <f aca="false">A89*10</f>
        <v>39000000</v>
      </c>
      <c r="B101" s="0" t="n">
        <f aca="false">IF(IF((B$3*10^12-$A102)*(B$3*10^12-$A101)*-1&lt;0,0,1)*IF(ABS(B$3*10^12-$A102)&gt;(B$3*10^12-$A101),$A101,$A102)=B102,0,IF((B$3*10^12-$A102)*(B$3*10^12-$A101)*-1&lt;0,0,1)*IF(ABS(B$3*10^12-$A102)&gt;(B$3*10^12-$A101),$A101,$A102))</f>
        <v>0</v>
      </c>
      <c r="C101" s="0" t="n">
        <f aca="false">IF(IF((C$3*10^12-$A102)*(C$3*10^12-$A101)*-1&lt;0,0,1)*IF(ABS(C$3*10^12-$A102)&gt;(C$3*10^12-$A101),$A101,$A102)=C102,0,IF((C$3*10^12-$A102)*(C$3*10^12-$A101)*-1&lt;0,0,1)*IF(ABS(C$3*10^12-$A102)&gt;(C$3*10^12-$A101),$A101,$A102))</f>
        <v>0</v>
      </c>
      <c r="D101" s="0" t="n">
        <f aca="false">IF(IF((D$3*10^12-$A102)*(D$3*10^12-$A101)*-1&lt;0,0,1)*IF(ABS(D$3*10^12-$A102)&gt;(D$3*10^12-$A101),$A101,$A102)=D102,0,IF((D$3*10^12-$A102)*(D$3*10^12-$A101)*-1&lt;0,0,1)*IF(ABS(D$3*10^12-$A102)&gt;(D$3*10^12-$A101),$A101,$A102))</f>
        <v>0</v>
      </c>
      <c r="E101" s="0" t="n">
        <f aca="false">IF(IF((E$3*10^12-$A102)*(E$3*10^12-$A101)*-1&lt;0,0,1)*IF(ABS(E$3*10^12-$A102)&gt;(E$3*10^12-$A101),$A101,$A102)=E102,0,IF((E$3*10^12-$A102)*(E$3*10^12-$A101)*-1&lt;0,0,1)*IF(ABS(E$3*10^12-$A102)&gt;(E$3*10^12-$A101),$A101,$A102))</f>
        <v>0</v>
      </c>
      <c r="F101" s="0" t="n">
        <f aca="false">IF(IF((F$3*10^12-$A102)*(F$3*10^12-$A101)*-1&lt;0,0,1)*IF(ABS(F$3*10^12-$A102)&gt;(F$3*10^12-$A101),$A101,$A102)=F102,0,IF((F$3*10^12-$A102)*(F$3*10^12-$A101)*-1&lt;0,0,1)*IF(ABS(F$3*10^12-$A102)&gt;(F$3*10^12-$A101),$A101,$A102))</f>
        <v>0</v>
      </c>
      <c r="G101" s="0" t="n">
        <f aca="false">IF(IF((G$3*10^12-$A102)*(G$3*10^12-$A101)*-1&lt;0,0,1)*IF(ABS(G$3*10^12-$A102)&gt;(G$3*10^12-$A101),$A101,$A102)=G102,0,IF((G$3*10^12-$A102)*(G$3*10^12-$A101)*-1&lt;0,0,1)*IF(ABS(G$3*10^12-$A102)&gt;(G$3*10^12-$A101),$A101,$A102))</f>
        <v>0</v>
      </c>
      <c r="H101" s="0" t="n">
        <f aca="false">IF(IF((H$3*10^12-$A102)*(H$3*10^12-$A101)*-1&lt;0,0,1)*IF(ABS(H$3*10^12-$A102)&gt;(H$3*10^12-$A101),$A101,$A102)=H102,0,IF((H$3*10^12-$A102)*(H$3*10^12-$A101)*-1&lt;0,0,1)*IF(ABS(H$3*10^12-$A102)&gt;(H$3*10^12-$A101),$A101,$A102))</f>
        <v>0</v>
      </c>
      <c r="I101" s="0" t="n">
        <f aca="false">IF(IF((I$3*10^12-$A102)*(I$3*10^12-$A101)*-1&lt;0,0,1)*IF(ABS(I$3*10^12-$A102)&gt;(I$3*10^12-$A101),$A101,$A102)=I102,0,IF((I$3*10^12-$A102)*(I$3*10^12-$A101)*-1&lt;0,0,1)*IF(ABS(I$3*10^12-$A102)&gt;(I$3*10^12-$A101),$A101,$A102))</f>
        <v>0</v>
      </c>
      <c r="J101" s="0" t="n">
        <f aca="false">IF(IF((J$3*10^12-$A102)*(J$3*10^12-$A101)*-1&lt;0,0,1)*IF(ABS(J$3*10^12-$A102)&gt;(J$3*10^12-$A101),$A101,$A102)=J102,0,IF((J$3*10^12-$A102)*(J$3*10^12-$A101)*-1&lt;0,0,1)*IF(ABS(J$3*10^12-$A102)&gt;(J$3*10^12-$A101),$A101,$A102))</f>
        <v>0</v>
      </c>
    </row>
    <row r="102" customFormat="false" ht="12.75" hidden="false" customHeight="false" outlineLevel="0" collapsed="false">
      <c r="A102" s="0" t="n">
        <f aca="false">A90*10</f>
        <v>47000000</v>
      </c>
      <c r="B102" s="0" t="n">
        <f aca="false">IF(IF((B$3*10^12-$A103)*(B$3*10^12-$A102)*-1&lt;0,0,1)*IF(ABS(B$3*10^12-$A103)&gt;(B$3*10^12-$A102),$A102,$A103)=B103,0,IF((B$3*10^12-$A103)*(B$3*10^12-$A102)*-1&lt;0,0,1)*IF(ABS(B$3*10^12-$A103)&gt;(B$3*10^12-$A102),$A102,$A103))</f>
        <v>0</v>
      </c>
      <c r="C102" s="0" t="n">
        <f aca="false">IF(IF((C$3*10^12-$A103)*(C$3*10^12-$A102)*-1&lt;0,0,1)*IF(ABS(C$3*10^12-$A103)&gt;(C$3*10^12-$A102),$A102,$A103)=C103,0,IF((C$3*10^12-$A103)*(C$3*10^12-$A102)*-1&lt;0,0,1)*IF(ABS(C$3*10^12-$A103)&gt;(C$3*10^12-$A102),$A102,$A103))</f>
        <v>0</v>
      </c>
      <c r="D102" s="0" t="n">
        <f aca="false">IF(IF((D$3*10^12-$A103)*(D$3*10^12-$A102)*-1&lt;0,0,1)*IF(ABS(D$3*10^12-$A103)&gt;(D$3*10^12-$A102),$A102,$A103)=D103,0,IF((D$3*10^12-$A103)*(D$3*10^12-$A102)*-1&lt;0,0,1)*IF(ABS(D$3*10^12-$A103)&gt;(D$3*10^12-$A102),$A102,$A103))</f>
        <v>0</v>
      </c>
      <c r="E102" s="0" t="n">
        <f aca="false">IF(IF((E$3*10^12-$A103)*(E$3*10^12-$A102)*-1&lt;0,0,1)*IF(ABS(E$3*10^12-$A103)&gt;(E$3*10^12-$A102),$A102,$A103)=E103,0,IF((E$3*10^12-$A103)*(E$3*10^12-$A102)*-1&lt;0,0,1)*IF(ABS(E$3*10^12-$A103)&gt;(E$3*10^12-$A102),$A102,$A103))</f>
        <v>0</v>
      </c>
      <c r="F102" s="0" t="n">
        <f aca="false">IF(IF((F$3*10^12-$A103)*(F$3*10^12-$A102)*-1&lt;0,0,1)*IF(ABS(F$3*10^12-$A103)&gt;(F$3*10^12-$A102),$A102,$A103)=F103,0,IF((F$3*10^12-$A103)*(F$3*10^12-$A102)*-1&lt;0,0,1)*IF(ABS(F$3*10^12-$A103)&gt;(F$3*10^12-$A102),$A102,$A103))</f>
        <v>0</v>
      </c>
      <c r="G102" s="0" t="n">
        <f aca="false">IF(IF((G$3*10^12-$A103)*(G$3*10^12-$A102)*-1&lt;0,0,1)*IF(ABS(G$3*10^12-$A103)&gt;(G$3*10^12-$A102),$A102,$A103)=G103,0,IF((G$3*10^12-$A103)*(G$3*10^12-$A102)*-1&lt;0,0,1)*IF(ABS(G$3*10^12-$A103)&gt;(G$3*10^12-$A102),$A102,$A103))</f>
        <v>0</v>
      </c>
      <c r="H102" s="0" t="n">
        <f aca="false">IF(IF((H$3*10^12-$A103)*(H$3*10^12-$A102)*-1&lt;0,0,1)*IF(ABS(H$3*10^12-$A103)&gt;(H$3*10^12-$A102),$A102,$A103)=H103,0,IF((H$3*10^12-$A103)*(H$3*10^12-$A102)*-1&lt;0,0,1)*IF(ABS(H$3*10^12-$A103)&gt;(H$3*10^12-$A102),$A102,$A103))</f>
        <v>0</v>
      </c>
      <c r="I102" s="0" t="n">
        <f aca="false">IF(IF((I$3*10^12-$A103)*(I$3*10^12-$A102)*-1&lt;0,0,1)*IF(ABS(I$3*10^12-$A103)&gt;(I$3*10^12-$A102),$A102,$A103)=I103,0,IF((I$3*10^12-$A103)*(I$3*10^12-$A102)*-1&lt;0,0,1)*IF(ABS(I$3*10^12-$A103)&gt;(I$3*10^12-$A102),$A102,$A103))</f>
        <v>0</v>
      </c>
      <c r="J102" s="0" t="n">
        <f aca="false">IF(IF((J$3*10^12-$A103)*(J$3*10^12-$A102)*-1&lt;0,0,1)*IF(ABS(J$3*10^12-$A103)&gt;(J$3*10^12-$A102),$A102,$A103)=J103,0,IF((J$3*10^12-$A103)*(J$3*10^12-$A102)*-1&lt;0,0,1)*IF(ABS(J$3*10^12-$A103)&gt;(J$3*10^12-$A102),$A102,$A103))</f>
        <v>0</v>
      </c>
    </row>
    <row r="103" customFormat="false" ht="12.75" hidden="false" customHeight="false" outlineLevel="0" collapsed="false">
      <c r="A103" s="0" t="n">
        <f aca="false">A91*10</f>
        <v>56000000</v>
      </c>
      <c r="B103" s="0" t="n">
        <f aca="false">IF(IF((B$3*10^12-$A104)*(B$3*10^12-$A103)*-1&lt;0,0,1)*IF(ABS(B$3*10^12-$A104)&gt;(B$3*10^12-$A103),$A103,$A104)=B104,0,IF((B$3*10^12-$A104)*(B$3*10^12-$A103)*-1&lt;0,0,1)*IF(ABS(B$3*10^12-$A104)&gt;(B$3*10^12-$A103),$A103,$A104))</f>
        <v>0</v>
      </c>
      <c r="C103" s="0" t="n">
        <f aca="false">IF(IF((C$3*10^12-$A104)*(C$3*10^12-$A103)*-1&lt;0,0,1)*IF(ABS(C$3*10^12-$A104)&gt;(C$3*10^12-$A103),$A103,$A104)=C104,0,IF((C$3*10^12-$A104)*(C$3*10^12-$A103)*-1&lt;0,0,1)*IF(ABS(C$3*10^12-$A104)&gt;(C$3*10^12-$A103),$A103,$A104))</f>
        <v>0</v>
      </c>
      <c r="D103" s="0" t="n">
        <f aca="false">IF(IF((D$3*10^12-$A104)*(D$3*10^12-$A103)*-1&lt;0,0,1)*IF(ABS(D$3*10^12-$A104)&gt;(D$3*10^12-$A103),$A103,$A104)=D104,0,IF((D$3*10^12-$A104)*(D$3*10^12-$A103)*-1&lt;0,0,1)*IF(ABS(D$3*10^12-$A104)&gt;(D$3*10^12-$A103),$A103,$A104))</f>
        <v>0</v>
      </c>
      <c r="E103" s="0" t="n">
        <f aca="false">IF(IF((E$3*10^12-$A104)*(E$3*10^12-$A103)*-1&lt;0,0,1)*IF(ABS(E$3*10^12-$A104)&gt;(E$3*10^12-$A103),$A103,$A104)=E104,0,IF((E$3*10^12-$A104)*(E$3*10^12-$A103)*-1&lt;0,0,1)*IF(ABS(E$3*10^12-$A104)&gt;(E$3*10^12-$A103),$A103,$A104))</f>
        <v>0</v>
      </c>
      <c r="F103" s="0" t="n">
        <f aca="false">IF(IF((F$3*10^12-$A104)*(F$3*10^12-$A103)*-1&lt;0,0,1)*IF(ABS(F$3*10^12-$A104)&gt;(F$3*10^12-$A103),$A103,$A104)=F104,0,IF((F$3*10^12-$A104)*(F$3*10^12-$A103)*-1&lt;0,0,1)*IF(ABS(F$3*10^12-$A104)&gt;(F$3*10^12-$A103),$A103,$A104))</f>
        <v>0</v>
      </c>
      <c r="G103" s="0" t="n">
        <f aca="false">IF(IF((G$3*10^12-$A104)*(G$3*10^12-$A103)*-1&lt;0,0,1)*IF(ABS(G$3*10^12-$A104)&gt;(G$3*10^12-$A103),$A103,$A104)=G104,0,IF((G$3*10^12-$A104)*(G$3*10^12-$A103)*-1&lt;0,0,1)*IF(ABS(G$3*10^12-$A104)&gt;(G$3*10^12-$A103),$A103,$A104))</f>
        <v>0</v>
      </c>
      <c r="H103" s="0" t="n">
        <f aca="false">IF(IF((H$3*10^12-$A104)*(H$3*10^12-$A103)*-1&lt;0,0,1)*IF(ABS(H$3*10^12-$A104)&gt;(H$3*10^12-$A103),$A103,$A104)=H104,0,IF((H$3*10^12-$A104)*(H$3*10^12-$A103)*-1&lt;0,0,1)*IF(ABS(H$3*10^12-$A104)&gt;(H$3*10^12-$A103),$A103,$A104))</f>
        <v>0</v>
      </c>
      <c r="I103" s="0" t="n">
        <f aca="false">IF(IF((I$3*10^12-$A104)*(I$3*10^12-$A103)*-1&lt;0,0,1)*IF(ABS(I$3*10^12-$A104)&gt;(I$3*10^12-$A103),$A103,$A104)=I104,0,IF((I$3*10^12-$A104)*(I$3*10^12-$A103)*-1&lt;0,0,1)*IF(ABS(I$3*10^12-$A104)&gt;(I$3*10^12-$A103),$A103,$A104))</f>
        <v>0</v>
      </c>
      <c r="J103" s="0" t="n">
        <f aca="false">IF(IF((J$3*10^12-$A104)*(J$3*10^12-$A103)*-1&lt;0,0,1)*IF(ABS(J$3*10^12-$A104)&gt;(J$3*10^12-$A103),$A103,$A104)=J104,0,IF((J$3*10^12-$A104)*(J$3*10^12-$A103)*-1&lt;0,0,1)*IF(ABS(J$3*10^12-$A104)&gt;(J$3*10^12-$A103),$A103,$A104))</f>
        <v>0</v>
      </c>
    </row>
    <row r="104" customFormat="false" ht="12.75" hidden="false" customHeight="false" outlineLevel="0" collapsed="false">
      <c r="A104" s="0" t="n">
        <f aca="false">A92*10</f>
        <v>68000000</v>
      </c>
      <c r="B104" s="0" t="n">
        <f aca="false">IF(IF((B$3*10^12-$A105)*(B$3*10^12-$A104)*-1&lt;0,0,1)*IF(ABS(B$3*10^12-$A105)&gt;(B$3*10^12-$A104),$A104,$A105)=B105,0,IF((B$3*10^12-$A105)*(B$3*10^12-$A104)*-1&lt;0,0,1)*IF(ABS(B$3*10^12-$A105)&gt;(B$3*10^12-$A104),$A104,$A105))</f>
        <v>0</v>
      </c>
      <c r="C104" s="0" t="n">
        <f aca="false">IF(IF((C$3*10^12-$A105)*(C$3*10^12-$A104)*-1&lt;0,0,1)*IF(ABS(C$3*10^12-$A105)&gt;(C$3*10^12-$A104),$A104,$A105)=C105,0,IF((C$3*10^12-$A105)*(C$3*10^12-$A104)*-1&lt;0,0,1)*IF(ABS(C$3*10^12-$A105)&gt;(C$3*10^12-$A104),$A104,$A105))</f>
        <v>0</v>
      </c>
      <c r="D104" s="0" t="n">
        <f aca="false">IF(IF((D$3*10^12-$A105)*(D$3*10^12-$A104)*-1&lt;0,0,1)*IF(ABS(D$3*10^12-$A105)&gt;(D$3*10^12-$A104),$A104,$A105)=D105,0,IF((D$3*10^12-$A105)*(D$3*10^12-$A104)*-1&lt;0,0,1)*IF(ABS(D$3*10^12-$A105)&gt;(D$3*10^12-$A104),$A104,$A105))</f>
        <v>0</v>
      </c>
      <c r="E104" s="0" t="n">
        <f aca="false">IF(IF((E$3*10^12-$A105)*(E$3*10^12-$A104)*-1&lt;0,0,1)*IF(ABS(E$3*10^12-$A105)&gt;(E$3*10^12-$A104),$A104,$A105)=E105,0,IF((E$3*10^12-$A105)*(E$3*10^12-$A104)*-1&lt;0,0,1)*IF(ABS(E$3*10^12-$A105)&gt;(E$3*10^12-$A104),$A104,$A105))</f>
        <v>0</v>
      </c>
      <c r="F104" s="0" t="n">
        <f aca="false">IF(IF((F$3*10^12-$A105)*(F$3*10^12-$A104)*-1&lt;0,0,1)*IF(ABS(F$3*10^12-$A105)&gt;(F$3*10^12-$A104),$A104,$A105)=F105,0,IF((F$3*10^12-$A105)*(F$3*10^12-$A104)*-1&lt;0,0,1)*IF(ABS(F$3*10^12-$A105)&gt;(F$3*10^12-$A104),$A104,$A105))</f>
        <v>68000000</v>
      </c>
      <c r="G104" s="0" t="n">
        <f aca="false">IF(IF((G$3*10^12-$A105)*(G$3*10^12-$A104)*-1&lt;0,0,1)*IF(ABS(G$3*10^12-$A105)&gt;(G$3*10^12-$A104),$A104,$A105)=G105,0,IF((G$3*10^12-$A105)*(G$3*10^12-$A104)*-1&lt;0,0,1)*IF(ABS(G$3*10^12-$A105)&gt;(G$3*10^12-$A104),$A104,$A105))</f>
        <v>0</v>
      </c>
      <c r="H104" s="0" t="n">
        <f aca="false">IF(IF((H$3*10^12-$A105)*(H$3*10^12-$A104)*-1&lt;0,0,1)*IF(ABS(H$3*10^12-$A105)&gt;(H$3*10^12-$A104),$A104,$A105)=H105,0,IF((H$3*10^12-$A105)*(H$3*10^12-$A104)*-1&lt;0,0,1)*IF(ABS(H$3*10^12-$A105)&gt;(H$3*10^12-$A104),$A104,$A105))</f>
        <v>0</v>
      </c>
      <c r="I104" s="0" t="n">
        <f aca="false">IF(IF((I$3*10^12-$A105)*(I$3*10^12-$A104)*-1&lt;0,0,1)*IF(ABS(I$3*10^12-$A105)&gt;(I$3*10^12-$A104),$A104,$A105)=I105,0,IF((I$3*10^12-$A105)*(I$3*10^12-$A104)*-1&lt;0,0,1)*IF(ABS(I$3*10^12-$A105)&gt;(I$3*10^12-$A104),$A104,$A105))</f>
        <v>0</v>
      </c>
      <c r="J104" s="0" t="n">
        <f aca="false">IF(IF((J$3*10^12-$A105)*(J$3*10^12-$A104)*-1&lt;0,0,1)*IF(ABS(J$3*10^12-$A105)&gt;(J$3*10^12-$A104),$A104,$A105)=J105,0,IF((J$3*10^12-$A105)*(J$3*10^12-$A104)*-1&lt;0,0,1)*IF(ABS(J$3*10^12-$A105)&gt;(J$3*10^12-$A104),$A104,$A105))</f>
        <v>0</v>
      </c>
    </row>
    <row r="105" customFormat="false" ht="12.75" hidden="false" customHeight="false" outlineLevel="0" collapsed="false">
      <c r="A105" s="0" t="n">
        <f aca="false">A93*10</f>
        <v>82000000</v>
      </c>
      <c r="B105" s="0" t="n">
        <f aca="false">IF(IF((B$3*10^12-$A106)*(B$3*10^12-$A105)*-1&lt;0,0,1)*IF(ABS(B$3*10^12-$A106)&gt;(B$3*10^12-$A105),$A105,$A106)=B106,0,IF((B$3*10^12-$A106)*(B$3*10^12-$A105)*-1&lt;0,0,1)*IF(ABS(B$3*10^12-$A106)&gt;(B$3*10^12-$A105),$A105,$A106))</f>
        <v>0</v>
      </c>
      <c r="C105" s="0" t="n">
        <f aca="false">IF(IF((C$3*10^12-$A106)*(C$3*10^12-$A105)*-1&lt;0,0,1)*IF(ABS(C$3*10^12-$A106)&gt;(C$3*10^12-$A105),$A105,$A106)=C106,0,IF((C$3*10^12-$A106)*(C$3*10^12-$A105)*-1&lt;0,0,1)*IF(ABS(C$3*10^12-$A106)&gt;(C$3*10^12-$A105),$A105,$A106))</f>
        <v>0</v>
      </c>
      <c r="D105" s="0" t="n">
        <f aca="false">IF(IF((D$3*10^12-$A106)*(D$3*10^12-$A105)*-1&lt;0,0,1)*IF(ABS(D$3*10^12-$A106)&gt;(D$3*10^12-$A105),$A105,$A106)=D106,0,IF((D$3*10^12-$A106)*(D$3*10^12-$A105)*-1&lt;0,0,1)*IF(ABS(D$3*10^12-$A106)&gt;(D$3*10^12-$A105),$A105,$A106))</f>
        <v>0</v>
      </c>
      <c r="E105" s="0" t="n">
        <f aca="false">IF(IF((E$3*10^12-$A106)*(E$3*10^12-$A105)*-1&lt;0,0,1)*IF(ABS(E$3*10^12-$A106)&gt;(E$3*10^12-$A105),$A105,$A106)=E106,0,IF((E$3*10^12-$A106)*(E$3*10^12-$A105)*-1&lt;0,0,1)*IF(ABS(E$3*10^12-$A106)&gt;(E$3*10^12-$A105),$A105,$A106))</f>
        <v>0</v>
      </c>
      <c r="F105" s="0" t="n">
        <f aca="false">IF(IF((F$3*10^12-$A106)*(F$3*10^12-$A105)*-1&lt;0,0,1)*IF(ABS(F$3*10^12-$A106)&gt;(F$3*10^12-$A105),$A105,$A106)=F106,0,IF((F$3*10^12-$A106)*(F$3*10^12-$A105)*-1&lt;0,0,1)*IF(ABS(F$3*10^12-$A106)&gt;(F$3*10^12-$A105),$A105,$A106))</f>
        <v>0</v>
      </c>
      <c r="G105" s="0" t="n">
        <f aca="false">IF(IF((G$3*10^12-$A106)*(G$3*10^12-$A105)*-1&lt;0,0,1)*IF(ABS(G$3*10^12-$A106)&gt;(G$3*10^12-$A105),$A105,$A106)=G106,0,IF((G$3*10^12-$A106)*(G$3*10^12-$A105)*-1&lt;0,0,1)*IF(ABS(G$3*10^12-$A106)&gt;(G$3*10^12-$A105),$A105,$A106))</f>
        <v>0</v>
      </c>
      <c r="H105" s="0" t="n">
        <f aca="false">IF(IF((H$3*10^12-$A106)*(H$3*10^12-$A105)*-1&lt;0,0,1)*IF(ABS(H$3*10^12-$A106)&gt;(H$3*10^12-$A105),$A105,$A106)=H106,0,IF((H$3*10^12-$A106)*(H$3*10^12-$A105)*-1&lt;0,0,1)*IF(ABS(H$3*10^12-$A106)&gt;(H$3*10^12-$A105),$A105,$A106))</f>
        <v>0</v>
      </c>
      <c r="I105" s="0" t="n">
        <f aca="false">IF(IF((I$3*10^12-$A106)*(I$3*10^12-$A105)*-1&lt;0,0,1)*IF(ABS(I$3*10^12-$A106)&gt;(I$3*10^12-$A105),$A105,$A106)=I106,0,IF((I$3*10^12-$A106)*(I$3*10^12-$A105)*-1&lt;0,0,1)*IF(ABS(I$3*10^12-$A106)&gt;(I$3*10^12-$A105),$A105,$A106))</f>
        <v>0</v>
      </c>
      <c r="J105" s="0" t="n">
        <f aca="false">IF(IF((J$3*10^12-$A106)*(J$3*10^12-$A105)*-1&lt;0,0,1)*IF(ABS(J$3*10^12-$A106)&gt;(J$3*10^12-$A105),$A105,$A106)=J106,0,IF((J$3*10^12-$A106)*(J$3*10^12-$A105)*-1&lt;0,0,1)*IF(ABS(J$3*10^12-$A106)&gt;(J$3*10^12-$A105),$A105,$A106))</f>
        <v>0</v>
      </c>
    </row>
    <row r="106" customFormat="false" ht="12.75" hidden="false" customHeight="false" outlineLevel="0" collapsed="false">
      <c r="A106" s="0" t="n">
        <f aca="false">A94*10</f>
        <v>100000000</v>
      </c>
      <c r="B106" s="0" t="n">
        <f aca="false">IF(IF((B$3*10^12-$A107)*(B$3*10^12-$A106)*-1&lt;0,0,1)*IF(ABS(B$3*10^12-$A107)&gt;(B$3*10^12-$A106),$A106,$A107)=B107,0,IF((B$3*10^12-$A107)*(B$3*10^12-$A106)*-1&lt;0,0,1)*IF(ABS(B$3*10^12-$A107)&gt;(B$3*10^12-$A106),$A106,$A107))</f>
        <v>0</v>
      </c>
      <c r="C106" s="0" t="n">
        <f aca="false">IF(IF((C$3*10^12-$A107)*(C$3*10^12-$A106)*-1&lt;0,0,1)*IF(ABS(C$3*10^12-$A107)&gt;(C$3*10^12-$A106),$A106,$A107)=C107,0,IF((C$3*10^12-$A107)*(C$3*10^12-$A106)*-1&lt;0,0,1)*IF(ABS(C$3*10^12-$A107)&gt;(C$3*10^12-$A106),$A106,$A107))</f>
        <v>0</v>
      </c>
      <c r="D106" s="0" t="n">
        <f aca="false">IF(IF((D$3*10^12-$A107)*(D$3*10^12-$A106)*-1&lt;0,0,1)*IF(ABS(D$3*10^12-$A107)&gt;(D$3*10^12-$A106),$A106,$A107)=D107,0,IF((D$3*10^12-$A107)*(D$3*10^12-$A106)*-1&lt;0,0,1)*IF(ABS(D$3*10^12-$A107)&gt;(D$3*10^12-$A106),$A106,$A107))</f>
        <v>0</v>
      </c>
      <c r="E106" s="0" t="n">
        <f aca="false">IF(IF((E$3*10^12-$A107)*(E$3*10^12-$A106)*-1&lt;0,0,1)*IF(ABS(E$3*10^12-$A107)&gt;(E$3*10^12-$A106),$A106,$A107)=E107,0,IF((E$3*10^12-$A107)*(E$3*10^12-$A106)*-1&lt;0,0,1)*IF(ABS(E$3*10^12-$A107)&gt;(E$3*10^12-$A106),$A106,$A107))</f>
        <v>0</v>
      </c>
      <c r="F106" s="0" t="n">
        <f aca="false">IF(IF((F$3*10^12-$A107)*(F$3*10^12-$A106)*-1&lt;0,0,1)*IF(ABS(F$3*10^12-$A107)&gt;(F$3*10^12-$A106),$A106,$A107)=F107,0,IF((F$3*10^12-$A107)*(F$3*10^12-$A106)*-1&lt;0,0,1)*IF(ABS(F$3*10^12-$A107)&gt;(F$3*10^12-$A106),$A106,$A107))</f>
        <v>0</v>
      </c>
      <c r="G106" s="0" t="n">
        <f aca="false">IF(IF((G$3*10^12-$A107)*(G$3*10^12-$A106)*-1&lt;0,0,1)*IF(ABS(G$3*10^12-$A107)&gt;(G$3*10^12-$A106),$A106,$A107)=G107,0,IF((G$3*10^12-$A107)*(G$3*10^12-$A106)*-1&lt;0,0,1)*IF(ABS(G$3*10^12-$A107)&gt;(G$3*10^12-$A106),$A106,$A107))</f>
        <v>0</v>
      </c>
      <c r="H106" s="0" t="n">
        <f aca="false">IF(IF((H$3*10^12-$A107)*(H$3*10^12-$A106)*-1&lt;0,0,1)*IF(ABS(H$3*10^12-$A107)&gt;(H$3*10^12-$A106),$A106,$A107)=H107,0,IF((H$3*10^12-$A107)*(H$3*10^12-$A106)*-1&lt;0,0,1)*IF(ABS(H$3*10^12-$A107)&gt;(H$3*10^12-$A106),$A106,$A107))</f>
        <v>0</v>
      </c>
      <c r="I106" s="0" t="n">
        <f aca="false">IF(IF((I$3*10^12-$A107)*(I$3*10^12-$A106)*-1&lt;0,0,1)*IF(ABS(I$3*10^12-$A107)&gt;(I$3*10^12-$A106),$A106,$A107)=I107,0,IF((I$3*10^12-$A107)*(I$3*10^12-$A106)*-1&lt;0,0,1)*IF(ABS(I$3*10^12-$A107)&gt;(I$3*10^12-$A106),$A106,$A107))</f>
        <v>0</v>
      </c>
      <c r="J106" s="0" t="n">
        <f aca="false">IF(IF((J$3*10^12-$A107)*(J$3*10^12-$A106)*-1&lt;0,0,1)*IF(ABS(J$3*10^12-$A107)&gt;(J$3*10^12-$A106),$A106,$A107)=J107,0,IF((J$3*10^12-$A107)*(J$3*10^12-$A106)*-1&lt;0,0,1)*IF(ABS(J$3*10^12-$A107)&gt;(J$3*10^12-$A106),$A106,$A107))</f>
        <v>0</v>
      </c>
    </row>
    <row r="107" customFormat="false" ht="12.75" hidden="false" customHeight="false" outlineLevel="0" collapsed="false">
      <c r="A107" s="0" t="n">
        <f aca="false">A95*10</f>
        <v>120000000</v>
      </c>
      <c r="B107" s="0" t="n">
        <f aca="false">IF(IF((B$3*10^12-$A108)*(B$3*10^12-$A107)*-1&lt;0,0,1)*IF(ABS(B$3*10^12-$A108)&gt;(B$3*10^12-$A107),$A107,$A108)=B108,0,IF((B$3*10^12-$A108)*(B$3*10^12-$A107)*-1&lt;0,0,1)*IF(ABS(B$3*10^12-$A108)&gt;(B$3*10^12-$A107),$A107,$A108))</f>
        <v>0</v>
      </c>
      <c r="C107" s="0" t="n">
        <f aca="false">IF(IF((C$3*10^12-$A108)*(C$3*10^12-$A107)*-1&lt;0,0,1)*IF(ABS(C$3*10^12-$A108)&gt;(C$3*10^12-$A107),$A107,$A108)=C108,0,IF((C$3*10^12-$A108)*(C$3*10^12-$A107)*-1&lt;0,0,1)*IF(ABS(C$3*10^12-$A108)&gt;(C$3*10^12-$A107),$A107,$A108))</f>
        <v>0</v>
      </c>
      <c r="D107" s="0" t="n">
        <f aca="false">IF(IF((D$3*10^12-$A108)*(D$3*10^12-$A107)*-1&lt;0,0,1)*IF(ABS(D$3*10^12-$A108)&gt;(D$3*10^12-$A107),$A107,$A108)=D108,0,IF((D$3*10^12-$A108)*(D$3*10^12-$A107)*-1&lt;0,0,1)*IF(ABS(D$3*10^12-$A108)&gt;(D$3*10^12-$A107),$A107,$A108))</f>
        <v>0</v>
      </c>
      <c r="E107" s="0" t="n">
        <f aca="false">IF(IF((E$3*10^12-$A108)*(E$3*10^12-$A107)*-1&lt;0,0,1)*IF(ABS(E$3*10^12-$A108)&gt;(E$3*10^12-$A107),$A107,$A108)=E108,0,IF((E$3*10^12-$A108)*(E$3*10^12-$A107)*-1&lt;0,0,1)*IF(ABS(E$3*10^12-$A108)&gt;(E$3*10^12-$A107),$A107,$A108))</f>
        <v>0</v>
      </c>
      <c r="F107" s="0" t="n">
        <f aca="false">IF(IF((F$3*10^12-$A108)*(F$3*10^12-$A107)*-1&lt;0,0,1)*IF(ABS(F$3*10^12-$A108)&gt;(F$3*10^12-$A107),$A107,$A108)=F108,0,IF((F$3*10^12-$A108)*(F$3*10^12-$A107)*-1&lt;0,0,1)*IF(ABS(F$3*10^12-$A108)&gt;(F$3*10^12-$A107),$A107,$A108))</f>
        <v>0</v>
      </c>
      <c r="G107" s="0" t="n">
        <f aca="false">IF(IF((G$3*10^12-$A108)*(G$3*10^12-$A107)*-1&lt;0,0,1)*IF(ABS(G$3*10^12-$A108)&gt;(G$3*10^12-$A107),$A107,$A108)=G108,0,IF((G$3*10^12-$A108)*(G$3*10^12-$A107)*-1&lt;0,0,1)*IF(ABS(G$3*10^12-$A108)&gt;(G$3*10^12-$A107),$A107,$A108))</f>
        <v>0</v>
      </c>
      <c r="H107" s="0" t="n">
        <f aca="false">IF(IF((H$3*10^12-$A108)*(H$3*10^12-$A107)*-1&lt;0,0,1)*IF(ABS(H$3*10^12-$A108)&gt;(H$3*10^12-$A107),$A107,$A108)=H108,0,IF((H$3*10^12-$A108)*(H$3*10^12-$A107)*-1&lt;0,0,1)*IF(ABS(H$3*10^12-$A108)&gt;(H$3*10^12-$A107),$A107,$A108))</f>
        <v>0</v>
      </c>
      <c r="I107" s="0" t="n">
        <f aca="false">IF(IF((I$3*10^12-$A108)*(I$3*10^12-$A107)*-1&lt;0,0,1)*IF(ABS(I$3*10^12-$A108)&gt;(I$3*10^12-$A107),$A107,$A108)=I108,0,IF((I$3*10^12-$A108)*(I$3*10^12-$A107)*-1&lt;0,0,1)*IF(ABS(I$3*10^12-$A108)&gt;(I$3*10^12-$A107),$A107,$A108))</f>
        <v>0</v>
      </c>
      <c r="J107" s="0" t="n">
        <f aca="false">IF(IF((J$3*10^12-$A108)*(J$3*10^12-$A107)*-1&lt;0,0,1)*IF(ABS(J$3*10^12-$A108)&gt;(J$3*10^12-$A107),$A107,$A108)=J108,0,IF((J$3*10^12-$A108)*(J$3*10^12-$A107)*-1&lt;0,0,1)*IF(ABS(J$3*10^12-$A108)&gt;(J$3*10^12-$A107),$A107,$A108))</f>
        <v>0</v>
      </c>
    </row>
    <row r="108" customFormat="false" ht="12.75" hidden="false" customHeight="false" outlineLevel="0" collapsed="false">
      <c r="A108" s="0" t="n">
        <f aca="false">A96*10</f>
        <v>150000000</v>
      </c>
      <c r="B108" s="0" t="n">
        <f aca="false">IF(IF((B$3*10^12-$A109)*(B$3*10^12-$A108)*-1&lt;0,0,1)*IF(ABS(B$3*10^12-$A109)&gt;(B$3*10^12-$A108),$A108,$A109)=B109,0,IF((B$3*10^12-$A109)*(B$3*10^12-$A108)*-1&lt;0,0,1)*IF(ABS(B$3*10^12-$A109)&gt;(B$3*10^12-$A108),$A108,$A109))</f>
        <v>0</v>
      </c>
      <c r="C108" s="0" t="n">
        <f aca="false">IF(IF((C$3*10^12-$A109)*(C$3*10^12-$A108)*-1&lt;0,0,1)*IF(ABS(C$3*10^12-$A109)&gt;(C$3*10^12-$A108),$A108,$A109)=C109,0,IF((C$3*10^12-$A109)*(C$3*10^12-$A108)*-1&lt;0,0,1)*IF(ABS(C$3*10^12-$A109)&gt;(C$3*10^12-$A108),$A108,$A109))</f>
        <v>0</v>
      </c>
      <c r="D108" s="0" t="n">
        <f aca="false">IF(IF((D$3*10^12-$A109)*(D$3*10^12-$A108)*-1&lt;0,0,1)*IF(ABS(D$3*10^12-$A109)&gt;(D$3*10^12-$A108),$A108,$A109)=D109,0,IF((D$3*10^12-$A109)*(D$3*10^12-$A108)*-1&lt;0,0,1)*IF(ABS(D$3*10^12-$A109)&gt;(D$3*10^12-$A108),$A108,$A109))</f>
        <v>0</v>
      </c>
      <c r="E108" s="0" t="n">
        <f aca="false">IF(IF((E$3*10^12-$A109)*(E$3*10^12-$A108)*-1&lt;0,0,1)*IF(ABS(E$3*10^12-$A109)&gt;(E$3*10^12-$A108),$A108,$A109)=E109,0,IF((E$3*10^12-$A109)*(E$3*10^12-$A108)*-1&lt;0,0,1)*IF(ABS(E$3*10^12-$A109)&gt;(E$3*10^12-$A108),$A108,$A109))</f>
        <v>0</v>
      </c>
      <c r="F108" s="0" t="n">
        <f aca="false">IF(IF((F$3*10^12-$A109)*(F$3*10^12-$A108)*-1&lt;0,0,1)*IF(ABS(F$3*10^12-$A109)&gt;(F$3*10^12-$A108),$A108,$A109)=F109,0,IF((F$3*10^12-$A109)*(F$3*10^12-$A108)*-1&lt;0,0,1)*IF(ABS(F$3*10^12-$A109)&gt;(F$3*10^12-$A108),$A108,$A109))</f>
        <v>0</v>
      </c>
      <c r="G108" s="0" t="n">
        <f aca="false">IF(IF((G$3*10^12-$A109)*(G$3*10^12-$A108)*-1&lt;0,0,1)*IF(ABS(G$3*10^12-$A109)&gt;(G$3*10^12-$A108),$A108,$A109)=G109,0,IF((G$3*10^12-$A109)*(G$3*10^12-$A108)*-1&lt;0,0,1)*IF(ABS(G$3*10^12-$A109)&gt;(G$3*10^12-$A108),$A108,$A109))</f>
        <v>0</v>
      </c>
      <c r="H108" s="0" t="n">
        <f aca="false">IF(IF((H$3*10^12-$A109)*(H$3*10^12-$A108)*-1&lt;0,0,1)*IF(ABS(H$3*10^12-$A109)&gt;(H$3*10^12-$A108),$A108,$A109)=H109,0,IF((H$3*10^12-$A109)*(H$3*10^12-$A108)*-1&lt;0,0,1)*IF(ABS(H$3*10^12-$A109)&gt;(H$3*10^12-$A108),$A108,$A109))</f>
        <v>0</v>
      </c>
      <c r="I108" s="0" t="n">
        <f aca="false">IF(IF((I$3*10^12-$A109)*(I$3*10^12-$A108)*-1&lt;0,0,1)*IF(ABS(I$3*10^12-$A109)&gt;(I$3*10^12-$A108),$A108,$A109)=I109,0,IF((I$3*10^12-$A109)*(I$3*10^12-$A108)*-1&lt;0,0,1)*IF(ABS(I$3*10^12-$A109)&gt;(I$3*10^12-$A108),$A108,$A109))</f>
        <v>0</v>
      </c>
      <c r="J108" s="0" t="n">
        <f aca="false">IF(IF((J$3*10^12-$A109)*(J$3*10^12-$A108)*-1&lt;0,0,1)*IF(ABS(J$3*10^12-$A109)&gt;(J$3*10^12-$A108),$A108,$A109)=J109,0,IF((J$3*10^12-$A109)*(J$3*10^12-$A108)*-1&lt;0,0,1)*IF(ABS(J$3*10^12-$A109)&gt;(J$3*10^12-$A108),$A108,$A109))</f>
        <v>0</v>
      </c>
    </row>
    <row r="109" customFormat="false" ht="12.75" hidden="false" customHeight="false" outlineLevel="0" collapsed="false">
      <c r="A109" s="0" t="n">
        <f aca="false">A97*10</f>
        <v>180000000</v>
      </c>
      <c r="B109" s="0" t="n">
        <f aca="false">IF(IF((B$3*10^12-$A110)*(B$3*10^12-$A109)*-1&lt;0,0,1)*IF(ABS(B$3*10^12-$A110)&gt;(B$3*10^12-$A109),$A109,$A110)=B110,0,IF((B$3*10^12-$A110)*(B$3*10^12-$A109)*-1&lt;0,0,1)*IF(ABS(B$3*10^12-$A110)&gt;(B$3*10^12-$A109),$A109,$A110))</f>
        <v>0</v>
      </c>
      <c r="C109" s="0" t="n">
        <f aca="false">IF(IF((C$3*10^12-$A110)*(C$3*10^12-$A109)*-1&lt;0,0,1)*IF(ABS(C$3*10^12-$A110)&gt;(C$3*10^12-$A109),$A109,$A110)=C110,0,IF((C$3*10^12-$A110)*(C$3*10^12-$A109)*-1&lt;0,0,1)*IF(ABS(C$3*10^12-$A110)&gt;(C$3*10^12-$A109),$A109,$A110))</f>
        <v>0</v>
      </c>
      <c r="D109" s="0" t="n">
        <f aca="false">IF(IF((D$3*10^12-$A110)*(D$3*10^12-$A109)*-1&lt;0,0,1)*IF(ABS(D$3*10^12-$A110)&gt;(D$3*10^12-$A109),$A109,$A110)=D110,0,IF((D$3*10^12-$A110)*(D$3*10^12-$A109)*-1&lt;0,0,1)*IF(ABS(D$3*10^12-$A110)&gt;(D$3*10^12-$A109),$A109,$A110))</f>
        <v>0</v>
      </c>
      <c r="E109" s="0" t="n">
        <f aca="false">IF(IF((E$3*10^12-$A110)*(E$3*10^12-$A109)*-1&lt;0,0,1)*IF(ABS(E$3*10^12-$A110)&gt;(E$3*10^12-$A109),$A109,$A110)=E110,0,IF((E$3*10^12-$A110)*(E$3*10^12-$A109)*-1&lt;0,0,1)*IF(ABS(E$3*10^12-$A110)&gt;(E$3*10^12-$A109),$A109,$A110))</f>
        <v>0</v>
      </c>
      <c r="F109" s="0" t="n">
        <f aca="false">IF(IF((F$3*10^12-$A110)*(F$3*10^12-$A109)*-1&lt;0,0,1)*IF(ABS(F$3*10^12-$A110)&gt;(F$3*10^12-$A109),$A109,$A110)=F110,0,IF((F$3*10^12-$A110)*(F$3*10^12-$A109)*-1&lt;0,0,1)*IF(ABS(F$3*10^12-$A110)&gt;(F$3*10^12-$A109),$A109,$A110))</f>
        <v>0</v>
      </c>
      <c r="G109" s="0" t="n">
        <f aca="false">IF(IF((G$3*10^12-$A110)*(G$3*10^12-$A109)*-1&lt;0,0,1)*IF(ABS(G$3*10^12-$A110)&gt;(G$3*10^12-$A109),$A109,$A110)=G110,0,IF((G$3*10^12-$A110)*(G$3*10^12-$A109)*-1&lt;0,0,1)*IF(ABS(G$3*10^12-$A110)&gt;(G$3*10^12-$A109),$A109,$A110))</f>
        <v>0</v>
      </c>
      <c r="H109" s="0" t="n">
        <f aca="false">IF(IF((H$3*10^12-$A110)*(H$3*10^12-$A109)*-1&lt;0,0,1)*IF(ABS(H$3*10^12-$A110)&gt;(H$3*10^12-$A109),$A109,$A110)=H110,0,IF((H$3*10^12-$A110)*(H$3*10^12-$A109)*-1&lt;0,0,1)*IF(ABS(H$3*10^12-$A110)&gt;(H$3*10^12-$A109),$A109,$A110))</f>
        <v>0</v>
      </c>
      <c r="I109" s="0" t="n">
        <f aca="false">IF(IF((I$3*10^12-$A110)*(I$3*10^12-$A109)*-1&lt;0,0,1)*IF(ABS(I$3*10^12-$A110)&gt;(I$3*10^12-$A109),$A109,$A110)=I110,0,IF((I$3*10^12-$A110)*(I$3*10^12-$A109)*-1&lt;0,0,1)*IF(ABS(I$3*10^12-$A110)&gt;(I$3*10^12-$A109),$A109,$A110))</f>
        <v>0</v>
      </c>
      <c r="J109" s="0" t="n">
        <f aca="false">IF(IF((J$3*10^12-$A110)*(J$3*10^12-$A109)*-1&lt;0,0,1)*IF(ABS(J$3*10^12-$A110)&gt;(J$3*10^12-$A109),$A109,$A110)=J110,0,IF((J$3*10^12-$A110)*(J$3*10^12-$A109)*-1&lt;0,0,1)*IF(ABS(J$3*10^12-$A110)&gt;(J$3*10^12-$A109),$A109,$A110))</f>
        <v>0</v>
      </c>
    </row>
    <row r="110" customFormat="false" ht="12.75" hidden="false" customHeight="false" outlineLevel="0" collapsed="false">
      <c r="A110" s="0" t="n">
        <f aca="false">A98*10</f>
        <v>220000000</v>
      </c>
      <c r="B110" s="0" t="n">
        <f aca="false">IF(IF((B$3*10^12-$A111)*(B$3*10^12-$A110)*-1&lt;0,0,1)*IF(ABS(B$3*10^12-$A111)&gt;(B$3*10^12-$A110),$A110,$A111)=B111,0,IF((B$3*10^12-$A111)*(B$3*10^12-$A110)*-1&lt;0,0,1)*IF(ABS(B$3*10^12-$A111)&gt;(B$3*10^12-$A110),$A110,$A111))</f>
        <v>0</v>
      </c>
      <c r="C110" s="0" t="n">
        <f aca="false">IF(IF((C$3*10^12-$A111)*(C$3*10^12-$A110)*-1&lt;0,0,1)*IF(ABS(C$3*10^12-$A111)&gt;(C$3*10^12-$A110),$A110,$A111)=C111,0,IF((C$3*10^12-$A111)*(C$3*10^12-$A110)*-1&lt;0,0,1)*IF(ABS(C$3*10^12-$A111)&gt;(C$3*10^12-$A110),$A110,$A111))</f>
        <v>0</v>
      </c>
      <c r="D110" s="0" t="n">
        <f aca="false">IF(IF((D$3*10^12-$A111)*(D$3*10^12-$A110)*-1&lt;0,0,1)*IF(ABS(D$3*10^12-$A111)&gt;(D$3*10^12-$A110),$A110,$A111)=D111,0,IF((D$3*10^12-$A111)*(D$3*10^12-$A110)*-1&lt;0,0,1)*IF(ABS(D$3*10^12-$A111)&gt;(D$3*10^12-$A110),$A110,$A111))</f>
        <v>0</v>
      </c>
      <c r="E110" s="0" t="n">
        <f aca="false">IF(IF((E$3*10^12-$A111)*(E$3*10^12-$A110)*-1&lt;0,0,1)*IF(ABS(E$3*10^12-$A111)&gt;(E$3*10^12-$A110),$A110,$A111)=E111,0,IF((E$3*10^12-$A111)*(E$3*10^12-$A110)*-1&lt;0,0,1)*IF(ABS(E$3*10^12-$A111)&gt;(E$3*10^12-$A110),$A110,$A111))</f>
        <v>0</v>
      </c>
      <c r="F110" s="0" t="n">
        <f aca="false">IF(IF((F$3*10^12-$A111)*(F$3*10^12-$A110)*-1&lt;0,0,1)*IF(ABS(F$3*10^12-$A111)&gt;(F$3*10^12-$A110),$A110,$A111)=F111,0,IF((F$3*10^12-$A111)*(F$3*10^12-$A110)*-1&lt;0,0,1)*IF(ABS(F$3*10^12-$A111)&gt;(F$3*10^12-$A110),$A110,$A111))</f>
        <v>0</v>
      </c>
      <c r="G110" s="0" t="n">
        <f aca="false">IF(IF((G$3*10^12-$A111)*(G$3*10^12-$A110)*-1&lt;0,0,1)*IF(ABS(G$3*10^12-$A111)&gt;(G$3*10^12-$A110),$A110,$A111)=G111,0,IF((G$3*10^12-$A111)*(G$3*10^12-$A110)*-1&lt;0,0,1)*IF(ABS(G$3*10^12-$A111)&gt;(G$3*10^12-$A110),$A110,$A111))</f>
        <v>0</v>
      </c>
      <c r="H110" s="0" t="n">
        <f aca="false">IF(IF((H$3*10^12-$A111)*(H$3*10^12-$A110)*-1&lt;0,0,1)*IF(ABS(H$3*10^12-$A111)&gt;(H$3*10^12-$A110),$A110,$A111)=H111,0,IF((H$3*10^12-$A111)*(H$3*10^12-$A110)*-1&lt;0,0,1)*IF(ABS(H$3*10^12-$A111)&gt;(H$3*10^12-$A110),$A110,$A111))</f>
        <v>0</v>
      </c>
      <c r="I110" s="0" t="n">
        <f aca="false">IF(IF((I$3*10^12-$A111)*(I$3*10^12-$A110)*-1&lt;0,0,1)*IF(ABS(I$3*10^12-$A111)&gt;(I$3*10^12-$A110),$A110,$A111)=I111,0,IF((I$3*10^12-$A111)*(I$3*10^12-$A110)*-1&lt;0,0,1)*IF(ABS(I$3*10^12-$A111)&gt;(I$3*10^12-$A110),$A110,$A111))</f>
        <v>0</v>
      </c>
      <c r="J110" s="0" t="n">
        <f aca="false">IF(IF((J$3*10^12-$A111)*(J$3*10^12-$A110)*-1&lt;0,0,1)*IF(ABS(J$3*10^12-$A111)&gt;(J$3*10^12-$A110),$A110,$A111)=J111,0,IF((J$3*10^12-$A111)*(J$3*10^12-$A110)*-1&lt;0,0,1)*IF(ABS(J$3*10^12-$A111)&gt;(J$3*10^12-$A110),$A110,$A111))</f>
        <v>0</v>
      </c>
    </row>
    <row r="111" customFormat="false" ht="12.75" hidden="false" customHeight="false" outlineLevel="0" collapsed="false">
      <c r="A111" s="0" t="n">
        <f aca="false">A99*10</f>
        <v>270000000</v>
      </c>
      <c r="B111" s="0" t="n">
        <f aca="false">IF(IF((B$3*10^12-$A112)*(B$3*10^12-$A111)*-1&lt;0,0,1)*IF(ABS(B$3*10^12-$A112)&gt;(B$3*10^12-$A111),$A111,$A112)=B112,0,IF((B$3*10^12-$A112)*(B$3*10^12-$A111)*-1&lt;0,0,1)*IF(ABS(B$3*10^12-$A112)&gt;(B$3*10^12-$A111),$A111,$A112))</f>
        <v>0</v>
      </c>
      <c r="C111" s="0" t="n">
        <f aca="false">IF(IF((C$3*10^12-$A112)*(C$3*10^12-$A111)*-1&lt;0,0,1)*IF(ABS(C$3*10^12-$A112)&gt;(C$3*10^12-$A111),$A111,$A112)=C112,0,IF((C$3*10^12-$A112)*(C$3*10^12-$A111)*-1&lt;0,0,1)*IF(ABS(C$3*10^12-$A112)&gt;(C$3*10^12-$A111),$A111,$A112))</f>
        <v>0</v>
      </c>
      <c r="D111" s="0" t="n">
        <f aca="false">IF(IF((D$3*10^12-$A112)*(D$3*10^12-$A111)*-1&lt;0,0,1)*IF(ABS(D$3*10^12-$A112)&gt;(D$3*10^12-$A111),$A111,$A112)=D112,0,IF((D$3*10^12-$A112)*(D$3*10^12-$A111)*-1&lt;0,0,1)*IF(ABS(D$3*10^12-$A112)&gt;(D$3*10^12-$A111),$A111,$A112))</f>
        <v>0</v>
      </c>
      <c r="E111" s="0" t="n">
        <f aca="false">IF(IF((E$3*10^12-$A112)*(E$3*10^12-$A111)*-1&lt;0,0,1)*IF(ABS(E$3*10^12-$A112)&gt;(E$3*10^12-$A111),$A111,$A112)=E112,0,IF((E$3*10^12-$A112)*(E$3*10^12-$A111)*-1&lt;0,0,1)*IF(ABS(E$3*10^12-$A112)&gt;(E$3*10^12-$A111),$A111,$A112))</f>
        <v>0</v>
      </c>
      <c r="F111" s="0" t="n">
        <f aca="false">IF(IF((F$3*10^12-$A112)*(F$3*10^12-$A111)*-1&lt;0,0,1)*IF(ABS(F$3*10^12-$A112)&gt;(F$3*10^12-$A111),$A111,$A112)=F112,0,IF((F$3*10^12-$A112)*(F$3*10^12-$A111)*-1&lt;0,0,1)*IF(ABS(F$3*10^12-$A112)&gt;(F$3*10^12-$A111),$A111,$A112))</f>
        <v>0</v>
      </c>
      <c r="G111" s="0" t="n">
        <f aca="false">IF(IF((G$3*10^12-$A112)*(G$3*10^12-$A111)*-1&lt;0,0,1)*IF(ABS(G$3*10^12-$A112)&gt;(G$3*10^12-$A111),$A111,$A112)=G112,0,IF((G$3*10^12-$A112)*(G$3*10^12-$A111)*-1&lt;0,0,1)*IF(ABS(G$3*10^12-$A112)&gt;(G$3*10^12-$A111),$A111,$A112))</f>
        <v>0</v>
      </c>
      <c r="H111" s="0" t="n">
        <f aca="false">IF(IF((H$3*10^12-$A112)*(H$3*10^12-$A111)*-1&lt;0,0,1)*IF(ABS(H$3*10^12-$A112)&gt;(H$3*10^12-$A111),$A111,$A112)=H112,0,IF((H$3*10^12-$A112)*(H$3*10^12-$A111)*-1&lt;0,0,1)*IF(ABS(H$3*10^12-$A112)&gt;(H$3*10^12-$A111),$A111,$A112))</f>
        <v>0</v>
      </c>
      <c r="I111" s="0" t="n">
        <f aca="false">IF(IF((I$3*10^12-$A112)*(I$3*10^12-$A111)*-1&lt;0,0,1)*IF(ABS(I$3*10^12-$A112)&gt;(I$3*10^12-$A111),$A111,$A112)=I112,0,IF((I$3*10^12-$A112)*(I$3*10^12-$A111)*-1&lt;0,0,1)*IF(ABS(I$3*10^12-$A112)&gt;(I$3*10^12-$A111),$A111,$A112))</f>
        <v>0</v>
      </c>
      <c r="J111" s="0" t="n">
        <f aca="false">IF(IF((J$3*10^12-$A112)*(J$3*10^12-$A111)*-1&lt;0,0,1)*IF(ABS(J$3*10^12-$A112)&gt;(J$3*10^12-$A111),$A111,$A112)=J112,0,IF((J$3*10^12-$A112)*(J$3*10^12-$A111)*-1&lt;0,0,1)*IF(ABS(J$3*10^12-$A112)&gt;(J$3*10^12-$A111),$A111,$A112))</f>
        <v>0</v>
      </c>
    </row>
    <row r="112" customFormat="false" ht="12.75" hidden="false" customHeight="false" outlineLevel="0" collapsed="false">
      <c r="A112" s="0" t="n">
        <f aca="false">A100*10</f>
        <v>330000000</v>
      </c>
      <c r="B112" s="0" t="n">
        <f aca="false">IF(IF((B$3*10^12-$A113)*(B$3*10^12-$A112)*-1&lt;0,0,1)*IF(ABS(B$3*10^12-$A113)&gt;(B$3*10^12-$A112),$A112,$A113)=B113,0,IF((B$3*10^12-$A113)*(B$3*10^12-$A112)*-1&lt;0,0,1)*IF(ABS(B$3*10^12-$A113)&gt;(B$3*10^12-$A112),$A112,$A113))</f>
        <v>0</v>
      </c>
      <c r="C112" s="0" t="n">
        <f aca="false">IF(IF((C$3*10^12-$A113)*(C$3*10^12-$A112)*-1&lt;0,0,1)*IF(ABS(C$3*10^12-$A113)&gt;(C$3*10^12-$A112),$A112,$A113)=C113,0,IF((C$3*10^12-$A113)*(C$3*10^12-$A112)*-1&lt;0,0,1)*IF(ABS(C$3*10^12-$A113)&gt;(C$3*10^12-$A112),$A112,$A113))</f>
        <v>0</v>
      </c>
      <c r="D112" s="0" t="n">
        <f aca="false">IF(IF((D$3*10^12-$A113)*(D$3*10^12-$A112)*-1&lt;0,0,1)*IF(ABS(D$3*10^12-$A113)&gt;(D$3*10^12-$A112),$A112,$A113)=D113,0,IF((D$3*10^12-$A113)*(D$3*10^12-$A112)*-1&lt;0,0,1)*IF(ABS(D$3*10^12-$A113)&gt;(D$3*10^12-$A112),$A112,$A113))</f>
        <v>0</v>
      </c>
      <c r="E112" s="0" t="n">
        <f aca="false">IF(IF((E$3*10^12-$A113)*(E$3*10^12-$A112)*-1&lt;0,0,1)*IF(ABS(E$3*10^12-$A113)&gt;(E$3*10^12-$A112),$A112,$A113)=E113,0,IF((E$3*10^12-$A113)*(E$3*10^12-$A112)*-1&lt;0,0,1)*IF(ABS(E$3*10^12-$A113)&gt;(E$3*10^12-$A112),$A112,$A113))</f>
        <v>0</v>
      </c>
      <c r="F112" s="0" t="n">
        <f aca="false">IF(IF((F$3*10^12-$A113)*(F$3*10^12-$A112)*-1&lt;0,0,1)*IF(ABS(F$3*10^12-$A113)&gt;(F$3*10^12-$A112),$A112,$A113)=F113,0,IF((F$3*10^12-$A113)*(F$3*10^12-$A112)*-1&lt;0,0,1)*IF(ABS(F$3*10^12-$A113)&gt;(F$3*10^12-$A112),$A112,$A113))</f>
        <v>0</v>
      </c>
      <c r="G112" s="0" t="n">
        <f aca="false">IF(IF((G$3*10^12-$A113)*(G$3*10^12-$A112)*-1&lt;0,0,1)*IF(ABS(G$3*10^12-$A113)&gt;(G$3*10^12-$A112),$A112,$A113)=G113,0,IF((G$3*10^12-$A113)*(G$3*10^12-$A112)*-1&lt;0,0,1)*IF(ABS(G$3*10^12-$A113)&gt;(G$3*10^12-$A112),$A112,$A113))</f>
        <v>0</v>
      </c>
      <c r="H112" s="0" t="n">
        <f aca="false">IF(IF((H$3*10^12-$A113)*(H$3*10^12-$A112)*-1&lt;0,0,1)*IF(ABS(H$3*10^12-$A113)&gt;(H$3*10^12-$A112),$A112,$A113)=H113,0,IF((H$3*10^12-$A113)*(H$3*10^12-$A112)*-1&lt;0,0,1)*IF(ABS(H$3*10^12-$A113)&gt;(H$3*10^12-$A112),$A112,$A113))</f>
        <v>0</v>
      </c>
      <c r="I112" s="0" t="n">
        <f aca="false">IF(IF((I$3*10^12-$A113)*(I$3*10^12-$A112)*-1&lt;0,0,1)*IF(ABS(I$3*10^12-$A113)&gt;(I$3*10^12-$A112),$A112,$A113)=I113,0,IF((I$3*10^12-$A113)*(I$3*10^12-$A112)*-1&lt;0,0,1)*IF(ABS(I$3*10^12-$A113)&gt;(I$3*10^12-$A112),$A112,$A113))</f>
        <v>0</v>
      </c>
      <c r="J112" s="0" t="n">
        <f aca="false">IF(IF((J$3*10^12-$A113)*(J$3*10^12-$A112)*-1&lt;0,0,1)*IF(ABS(J$3*10^12-$A113)&gt;(J$3*10^12-$A112),$A112,$A113)=J113,0,IF((J$3*10^12-$A113)*(J$3*10^12-$A112)*-1&lt;0,0,1)*IF(ABS(J$3*10^12-$A113)&gt;(J$3*10^12-$A112),$A112,$A113))</f>
        <v>0</v>
      </c>
    </row>
    <row r="113" customFormat="false" ht="12.75" hidden="false" customHeight="false" outlineLevel="0" collapsed="false">
      <c r="A113" s="0" t="n">
        <f aca="false">A101*10</f>
        <v>390000000</v>
      </c>
      <c r="B113" s="0" t="n">
        <f aca="false">IF(IF((B$3*10^12-$A114)*(B$3*10^12-$A113)*-1&lt;0,0,1)*IF(ABS(B$3*10^12-$A114)&gt;(B$3*10^12-$A113),$A113,$A114)=B114,0,IF((B$3*10^12-$A114)*(B$3*10^12-$A113)*-1&lt;0,0,1)*IF(ABS(B$3*10^12-$A114)&gt;(B$3*10^12-$A113),$A113,$A114))</f>
        <v>0</v>
      </c>
      <c r="C113" s="0" t="n">
        <f aca="false">IF(IF((C$3*10^12-$A114)*(C$3*10^12-$A113)*-1&lt;0,0,1)*IF(ABS(C$3*10^12-$A114)&gt;(C$3*10^12-$A113),$A113,$A114)=C114,0,IF((C$3*10^12-$A114)*(C$3*10^12-$A113)*-1&lt;0,0,1)*IF(ABS(C$3*10^12-$A114)&gt;(C$3*10^12-$A113),$A113,$A114))</f>
        <v>0</v>
      </c>
      <c r="D113" s="0" t="n">
        <f aca="false">IF(IF((D$3*10^12-$A114)*(D$3*10^12-$A113)*-1&lt;0,0,1)*IF(ABS(D$3*10^12-$A114)&gt;(D$3*10^12-$A113),$A113,$A114)=D114,0,IF((D$3*10^12-$A114)*(D$3*10^12-$A113)*-1&lt;0,0,1)*IF(ABS(D$3*10^12-$A114)&gt;(D$3*10^12-$A113),$A113,$A114))</f>
        <v>0</v>
      </c>
      <c r="E113" s="0" t="n">
        <f aca="false">IF(IF((E$3*10^12-$A114)*(E$3*10^12-$A113)*-1&lt;0,0,1)*IF(ABS(E$3*10^12-$A114)&gt;(E$3*10^12-$A113),$A113,$A114)=E114,0,IF((E$3*10^12-$A114)*(E$3*10^12-$A113)*-1&lt;0,0,1)*IF(ABS(E$3*10^12-$A114)&gt;(E$3*10^12-$A113),$A113,$A114))</f>
        <v>390000000</v>
      </c>
      <c r="F113" s="0" t="n">
        <f aca="false">IF(IF((F$3*10^12-$A114)*(F$3*10^12-$A113)*-1&lt;0,0,1)*IF(ABS(F$3*10^12-$A114)&gt;(F$3*10^12-$A113),$A113,$A114)=F114,0,IF((F$3*10^12-$A114)*(F$3*10^12-$A113)*-1&lt;0,0,1)*IF(ABS(F$3*10^12-$A114)&gt;(F$3*10^12-$A113),$A113,$A114))</f>
        <v>0</v>
      </c>
      <c r="G113" s="0" t="n">
        <f aca="false">IF(IF((G$3*10^12-$A114)*(G$3*10^12-$A113)*-1&lt;0,0,1)*IF(ABS(G$3*10^12-$A114)&gt;(G$3*10^12-$A113),$A113,$A114)=G114,0,IF((G$3*10^12-$A114)*(G$3*10^12-$A113)*-1&lt;0,0,1)*IF(ABS(G$3*10^12-$A114)&gt;(G$3*10^12-$A113),$A113,$A114))</f>
        <v>0</v>
      </c>
      <c r="H113" s="0" t="n">
        <f aca="false">IF(IF((H$3*10^12-$A114)*(H$3*10^12-$A113)*-1&lt;0,0,1)*IF(ABS(H$3*10^12-$A114)&gt;(H$3*10^12-$A113),$A113,$A114)=H114,0,IF((H$3*10^12-$A114)*(H$3*10^12-$A113)*-1&lt;0,0,1)*IF(ABS(H$3*10^12-$A114)&gt;(H$3*10^12-$A113),$A113,$A114))</f>
        <v>0</v>
      </c>
      <c r="I113" s="0" t="n">
        <f aca="false">IF(IF((I$3*10^12-$A114)*(I$3*10^12-$A113)*-1&lt;0,0,1)*IF(ABS(I$3*10^12-$A114)&gt;(I$3*10^12-$A113),$A113,$A114)=I114,0,IF((I$3*10^12-$A114)*(I$3*10^12-$A113)*-1&lt;0,0,1)*IF(ABS(I$3*10^12-$A114)&gt;(I$3*10^12-$A113),$A113,$A114))</f>
        <v>0</v>
      </c>
      <c r="J113" s="0" t="n">
        <f aca="false">IF(IF((J$3*10^12-$A114)*(J$3*10^12-$A113)*-1&lt;0,0,1)*IF(ABS(J$3*10^12-$A114)&gt;(J$3*10^12-$A113),$A113,$A114)=J114,0,IF((J$3*10^12-$A114)*(J$3*10^12-$A113)*-1&lt;0,0,1)*IF(ABS(J$3*10^12-$A114)&gt;(J$3*10^12-$A113),$A113,$A114))</f>
        <v>0</v>
      </c>
    </row>
    <row r="114" customFormat="false" ht="12.75" hidden="false" customHeight="false" outlineLevel="0" collapsed="false">
      <c r="A114" s="0" t="n">
        <f aca="false">A102*10</f>
        <v>470000000</v>
      </c>
      <c r="B114" s="0" t="n">
        <f aca="false">IF(IF((B$3*10^12-$A115)*(B$3*10^12-$A114)*-1&lt;0,0,1)*IF(ABS(B$3*10^12-$A115)&gt;(B$3*10^12-$A114),$A114,$A115)=B115,0,IF((B$3*10^12-$A115)*(B$3*10^12-$A114)*-1&lt;0,0,1)*IF(ABS(B$3*10^12-$A115)&gt;(B$3*10^12-$A114),$A114,$A115))</f>
        <v>0</v>
      </c>
      <c r="C114" s="0" t="n">
        <f aca="false">IF(IF((C$3*10^12-$A115)*(C$3*10^12-$A114)*-1&lt;0,0,1)*IF(ABS(C$3*10^12-$A115)&gt;(C$3*10^12-$A114),$A114,$A115)=C115,0,IF((C$3*10^12-$A115)*(C$3*10^12-$A114)*-1&lt;0,0,1)*IF(ABS(C$3*10^12-$A115)&gt;(C$3*10^12-$A114),$A114,$A115))</f>
        <v>0</v>
      </c>
      <c r="D114" s="0" t="n">
        <f aca="false">IF(IF((D$3*10^12-$A115)*(D$3*10^12-$A114)*-1&lt;0,0,1)*IF(ABS(D$3*10^12-$A115)&gt;(D$3*10^12-$A114),$A114,$A115)=D115,0,IF((D$3*10^12-$A115)*(D$3*10^12-$A114)*-1&lt;0,0,1)*IF(ABS(D$3*10^12-$A115)&gt;(D$3*10^12-$A114),$A114,$A115))</f>
        <v>0</v>
      </c>
      <c r="E114" s="0" t="n">
        <f aca="false">IF(IF((E$3*10^12-$A115)*(E$3*10^12-$A114)*-1&lt;0,0,1)*IF(ABS(E$3*10^12-$A115)&gt;(E$3*10^12-$A114),$A114,$A115)=E115,0,IF((E$3*10^12-$A115)*(E$3*10^12-$A114)*-1&lt;0,0,1)*IF(ABS(E$3*10^12-$A115)&gt;(E$3*10^12-$A114),$A114,$A115))</f>
        <v>0</v>
      </c>
      <c r="F114" s="0" t="n">
        <f aca="false">IF(IF((F$3*10^12-$A115)*(F$3*10^12-$A114)*-1&lt;0,0,1)*IF(ABS(F$3*10^12-$A115)&gt;(F$3*10^12-$A114),$A114,$A115)=F115,0,IF((F$3*10^12-$A115)*(F$3*10^12-$A114)*-1&lt;0,0,1)*IF(ABS(F$3*10^12-$A115)&gt;(F$3*10^12-$A114),$A114,$A115))</f>
        <v>0</v>
      </c>
      <c r="G114" s="0" t="n">
        <f aca="false">IF(IF((G$3*10^12-$A115)*(G$3*10^12-$A114)*-1&lt;0,0,1)*IF(ABS(G$3*10^12-$A115)&gt;(G$3*10^12-$A114),$A114,$A115)=G115,0,IF((G$3*10^12-$A115)*(G$3*10^12-$A114)*-1&lt;0,0,1)*IF(ABS(G$3*10^12-$A115)&gt;(G$3*10^12-$A114),$A114,$A115))</f>
        <v>0</v>
      </c>
      <c r="H114" s="0" t="n">
        <f aca="false">IF(IF((H$3*10^12-$A115)*(H$3*10^12-$A114)*-1&lt;0,0,1)*IF(ABS(H$3*10^12-$A115)&gt;(H$3*10^12-$A114),$A114,$A115)=H115,0,IF((H$3*10^12-$A115)*(H$3*10^12-$A114)*-1&lt;0,0,1)*IF(ABS(H$3*10^12-$A115)&gt;(H$3*10^12-$A114),$A114,$A115))</f>
        <v>0</v>
      </c>
      <c r="I114" s="0" t="n">
        <f aca="false">IF(IF((I$3*10^12-$A115)*(I$3*10^12-$A114)*-1&lt;0,0,1)*IF(ABS(I$3*10^12-$A115)&gt;(I$3*10^12-$A114),$A114,$A115)=I115,0,IF((I$3*10^12-$A115)*(I$3*10^12-$A114)*-1&lt;0,0,1)*IF(ABS(I$3*10^12-$A115)&gt;(I$3*10^12-$A114),$A114,$A115))</f>
        <v>0</v>
      </c>
      <c r="J114" s="0" t="n">
        <f aca="false">IF(IF((J$3*10^12-$A115)*(J$3*10^12-$A114)*-1&lt;0,0,1)*IF(ABS(J$3*10^12-$A115)&gt;(J$3*10^12-$A114),$A114,$A115)=J115,0,IF((J$3*10^12-$A115)*(J$3*10^12-$A114)*-1&lt;0,0,1)*IF(ABS(J$3*10^12-$A115)&gt;(J$3*10^12-$A114),$A114,$A115))</f>
        <v>0</v>
      </c>
    </row>
    <row r="115" customFormat="false" ht="12.75" hidden="false" customHeight="false" outlineLevel="0" collapsed="false">
      <c r="A115" s="0" t="n">
        <f aca="false">A103*10</f>
        <v>560000000</v>
      </c>
      <c r="B115" s="0" t="n">
        <f aca="false">IF(IF((B$3*10^12-$A116)*(B$3*10^12-$A115)*-1&lt;0,0,1)*IF(ABS(B$3*10^12-$A116)&gt;(B$3*10^12-$A115),$A115,$A116)=B116,0,IF((B$3*10^12-$A116)*(B$3*10^12-$A115)*-1&lt;0,0,1)*IF(ABS(B$3*10^12-$A116)&gt;(B$3*10^12-$A115),$A115,$A116))</f>
        <v>0</v>
      </c>
      <c r="C115" s="0" t="n">
        <f aca="false">IF(IF((C$3*10^12-$A116)*(C$3*10^12-$A115)*-1&lt;0,0,1)*IF(ABS(C$3*10^12-$A116)&gt;(C$3*10^12-$A115),$A115,$A116)=C116,0,IF((C$3*10^12-$A116)*(C$3*10^12-$A115)*-1&lt;0,0,1)*IF(ABS(C$3*10^12-$A116)&gt;(C$3*10^12-$A115),$A115,$A116))</f>
        <v>0</v>
      </c>
      <c r="D115" s="0" t="n">
        <f aca="false">IF(IF((D$3*10^12-$A116)*(D$3*10^12-$A115)*-1&lt;0,0,1)*IF(ABS(D$3*10^12-$A116)&gt;(D$3*10^12-$A115),$A115,$A116)=D116,0,IF((D$3*10^12-$A116)*(D$3*10^12-$A115)*-1&lt;0,0,1)*IF(ABS(D$3*10^12-$A116)&gt;(D$3*10^12-$A115),$A115,$A116))</f>
        <v>0</v>
      </c>
      <c r="E115" s="0" t="n">
        <f aca="false">IF(IF((E$3*10^12-$A116)*(E$3*10^12-$A115)*-1&lt;0,0,1)*IF(ABS(E$3*10^12-$A116)&gt;(E$3*10^12-$A115),$A115,$A116)=E116,0,IF((E$3*10^12-$A116)*(E$3*10^12-$A115)*-1&lt;0,0,1)*IF(ABS(E$3*10^12-$A116)&gt;(E$3*10^12-$A115),$A115,$A116))</f>
        <v>0</v>
      </c>
      <c r="F115" s="0" t="n">
        <f aca="false">IF(IF((F$3*10^12-$A116)*(F$3*10^12-$A115)*-1&lt;0,0,1)*IF(ABS(F$3*10^12-$A116)&gt;(F$3*10^12-$A115),$A115,$A116)=F116,0,IF((F$3*10^12-$A116)*(F$3*10^12-$A115)*-1&lt;0,0,1)*IF(ABS(F$3*10^12-$A116)&gt;(F$3*10^12-$A115),$A115,$A116))</f>
        <v>0</v>
      </c>
      <c r="G115" s="0" t="n">
        <f aca="false">IF(IF((G$3*10^12-$A116)*(G$3*10^12-$A115)*-1&lt;0,0,1)*IF(ABS(G$3*10^12-$A116)&gt;(G$3*10^12-$A115),$A115,$A116)=G116,0,IF((G$3*10^12-$A116)*(G$3*10^12-$A115)*-1&lt;0,0,1)*IF(ABS(G$3*10^12-$A116)&gt;(G$3*10^12-$A115),$A115,$A116))</f>
        <v>0</v>
      </c>
      <c r="H115" s="0" t="n">
        <f aca="false">IF(IF((H$3*10^12-$A116)*(H$3*10^12-$A115)*-1&lt;0,0,1)*IF(ABS(H$3*10^12-$A116)&gt;(H$3*10^12-$A115),$A115,$A116)=H116,0,IF((H$3*10^12-$A116)*(H$3*10^12-$A115)*-1&lt;0,0,1)*IF(ABS(H$3*10^12-$A116)&gt;(H$3*10^12-$A115),$A115,$A116))</f>
        <v>0</v>
      </c>
      <c r="I115" s="0" t="n">
        <f aca="false">IF(IF((I$3*10^12-$A116)*(I$3*10^12-$A115)*-1&lt;0,0,1)*IF(ABS(I$3*10^12-$A116)&gt;(I$3*10^12-$A115),$A115,$A116)=I116,0,IF((I$3*10^12-$A116)*(I$3*10^12-$A115)*-1&lt;0,0,1)*IF(ABS(I$3*10^12-$A116)&gt;(I$3*10^12-$A115),$A115,$A116))</f>
        <v>0</v>
      </c>
      <c r="J115" s="0" t="n">
        <f aca="false">IF(IF((J$3*10^12-$A116)*(J$3*10^12-$A115)*-1&lt;0,0,1)*IF(ABS(J$3*10^12-$A116)&gt;(J$3*10^12-$A115),$A115,$A116)=J116,0,IF((J$3*10^12-$A116)*(J$3*10^12-$A115)*-1&lt;0,0,1)*IF(ABS(J$3*10^12-$A116)&gt;(J$3*10^12-$A115),$A115,$A116))</f>
        <v>0</v>
      </c>
    </row>
    <row r="116" customFormat="false" ht="12.75" hidden="false" customHeight="false" outlineLevel="0" collapsed="false">
      <c r="A116" s="0" t="n">
        <f aca="false">A104*10</f>
        <v>680000000</v>
      </c>
      <c r="B116" s="0" t="n">
        <f aca="false">IF(IF((B$3*10^12-$A117)*(B$3*10^12-$A116)*-1&lt;0,0,1)*IF(ABS(B$3*10^12-$A117)&gt;(B$3*10^12-$A116),$A116,$A117)=B117,0,IF((B$3*10^12-$A117)*(B$3*10^12-$A116)*-1&lt;0,0,1)*IF(ABS(B$3*10^12-$A117)&gt;(B$3*10^12-$A116),$A116,$A117))</f>
        <v>0</v>
      </c>
      <c r="C116" s="0" t="n">
        <f aca="false">IF(IF((C$3*10^12-$A117)*(C$3*10^12-$A116)*-1&lt;0,0,1)*IF(ABS(C$3*10^12-$A117)&gt;(C$3*10^12-$A116),$A116,$A117)=C117,0,IF((C$3*10^12-$A117)*(C$3*10^12-$A116)*-1&lt;0,0,1)*IF(ABS(C$3*10^12-$A117)&gt;(C$3*10^12-$A116),$A116,$A117))</f>
        <v>0</v>
      </c>
      <c r="D116" s="0" t="n">
        <f aca="false">IF(IF((D$3*10^12-$A117)*(D$3*10^12-$A116)*-1&lt;0,0,1)*IF(ABS(D$3*10^12-$A117)&gt;(D$3*10^12-$A116),$A116,$A117)=D117,0,IF((D$3*10^12-$A117)*(D$3*10^12-$A116)*-1&lt;0,0,1)*IF(ABS(D$3*10^12-$A117)&gt;(D$3*10^12-$A116),$A116,$A117))</f>
        <v>0</v>
      </c>
      <c r="E116" s="0" t="n">
        <f aca="false">IF(IF((E$3*10^12-$A117)*(E$3*10^12-$A116)*-1&lt;0,0,1)*IF(ABS(E$3*10^12-$A117)&gt;(E$3*10^12-$A116),$A116,$A117)=E117,0,IF((E$3*10^12-$A117)*(E$3*10^12-$A116)*-1&lt;0,0,1)*IF(ABS(E$3*10^12-$A117)&gt;(E$3*10^12-$A116),$A116,$A117))</f>
        <v>0</v>
      </c>
      <c r="F116" s="0" t="n">
        <f aca="false">IF(IF((F$3*10^12-$A117)*(F$3*10^12-$A116)*-1&lt;0,0,1)*IF(ABS(F$3*10^12-$A117)&gt;(F$3*10^12-$A116),$A116,$A117)=F117,0,IF((F$3*10^12-$A117)*(F$3*10^12-$A116)*-1&lt;0,0,1)*IF(ABS(F$3*10^12-$A117)&gt;(F$3*10^12-$A116),$A116,$A117))</f>
        <v>0</v>
      </c>
      <c r="G116" s="0" t="n">
        <f aca="false">IF(IF((G$3*10^12-$A117)*(G$3*10^12-$A116)*-1&lt;0,0,1)*IF(ABS(G$3*10^12-$A117)&gt;(G$3*10^12-$A116),$A116,$A117)=G117,0,IF((G$3*10^12-$A117)*(G$3*10^12-$A116)*-1&lt;0,0,1)*IF(ABS(G$3*10^12-$A117)&gt;(G$3*10^12-$A116),$A116,$A117))</f>
        <v>0</v>
      </c>
      <c r="H116" s="0" t="n">
        <f aca="false">IF(IF((H$3*10^12-$A117)*(H$3*10^12-$A116)*-1&lt;0,0,1)*IF(ABS(H$3*10^12-$A117)&gt;(H$3*10^12-$A116),$A116,$A117)=H117,0,IF((H$3*10^12-$A117)*(H$3*10^12-$A116)*-1&lt;0,0,1)*IF(ABS(H$3*10^12-$A117)&gt;(H$3*10^12-$A116),$A116,$A117))</f>
        <v>0</v>
      </c>
      <c r="I116" s="0" t="n">
        <f aca="false">IF(IF((I$3*10^12-$A117)*(I$3*10^12-$A116)*-1&lt;0,0,1)*IF(ABS(I$3*10^12-$A117)&gt;(I$3*10^12-$A116),$A116,$A117)=I117,0,IF((I$3*10^12-$A117)*(I$3*10^12-$A116)*-1&lt;0,0,1)*IF(ABS(I$3*10^12-$A117)&gt;(I$3*10^12-$A116),$A116,$A117))</f>
        <v>0</v>
      </c>
      <c r="J116" s="0" t="n">
        <f aca="false">IF(IF((J$3*10^12-$A117)*(J$3*10^12-$A116)*-1&lt;0,0,1)*IF(ABS(J$3*10^12-$A117)&gt;(J$3*10^12-$A116),$A116,$A117)=J117,0,IF((J$3*10^12-$A117)*(J$3*10^12-$A116)*-1&lt;0,0,1)*IF(ABS(J$3*10^12-$A117)&gt;(J$3*10^12-$A116),$A116,$A117))</f>
        <v>0</v>
      </c>
    </row>
    <row r="117" customFormat="false" ht="12.75" hidden="false" customHeight="false" outlineLevel="0" collapsed="false">
      <c r="A117" s="0" t="n">
        <f aca="false">A105*10</f>
        <v>820000000</v>
      </c>
      <c r="B117" s="0" t="n">
        <f aca="false">IF(IF((B$3*10^12-$A118)*(B$3*10^12-$A117)*-1&lt;0,0,1)*IF(ABS(B$3*10^12-$A118)&gt;(B$3*10^12-$A117),$A117,$A118)=B118,0,IF((B$3*10^12-$A118)*(B$3*10^12-$A117)*-1&lt;0,0,1)*IF(ABS(B$3*10^12-$A118)&gt;(B$3*10^12-$A117),$A117,$A118))</f>
        <v>0</v>
      </c>
      <c r="C117" s="0" t="n">
        <f aca="false">IF(IF((C$3*10^12-$A118)*(C$3*10^12-$A117)*-1&lt;0,0,1)*IF(ABS(C$3*10^12-$A118)&gt;(C$3*10^12-$A117),$A117,$A118)=C118,0,IF((C$3*10^12-$A118)*(C$3*10^12-$A117)*-1&lt;0,0,1)*IF(ABS(C$3*10^12-$A118)&gt;(C$3*10^12-$A117),$A117,$A118))</f>
        <v>0</v>
      </c>
      <c r="D117" s="0" t="n">
        <f aca="false">IF(IF((D$3*10^12-$A118)*(D$3*10^12-$A117)*-1&lt;0,0,1)*IF(ABS(D$3*10^12-$A118)&gt;(D$3*10^12-$A117),$A117,$A118)=D118,0,IF((D$3*10^12-$A118)*(D$3*10^12-$A117)*-1&lt;0,0,1)*IF(ABS(D$3*10^12-$A118)&gt;(D$3*10^12-$A117),$A117,$A118))</f>
        <v>0</v>
      </c>
      <c r="E117" s="0" t="n">
        <f aca="false">IF(IF((E$3*10^12-$A118)*(E$3*10^12-$A117)*-1&lt;0,0,1)*IF(ABS(E$3*10^12-$A118)&gt;(E$3*10^12-$A117),$A117,$A118)=E118,0,IF((E$3*10^12-$A118)*(E$3*10^12-$A117)*-1&lt;0,0,1)*IF(ABS(E$3*10^12-$A118)&gt;(E$3*10^12-$A117),$A117,$A118))</f>
        <v>0</v>
      </c>
      <c r="F117" s="0" t="n">
        <f aca="false">IF(IF((F$3*10^12-$A118)*(F$3*10^12-$A117)*-1&lt;0,0,1)*IF(ABS(F$3*10^12-$A118)&gt;(F$3*10^12-$A117),$A117,$A118)=F118,0,IF((F$3*10^12-$A118)*(F$3*10^12-$A117)*-1&lt;0,0,1)*IF(ABS(F$3*10^12-$A118)&gt;(F$3*10^12-$A117),$A117,$A118))</f>
        <v>0</v>
      </c>
      <c r="G117" s="0" t="n">
        <f aca="false">IF(IF((G$3*10^12-$A118)*(G$3*10^12-$A117)*-1&lt;0,0,1)*IF(ABS(G$3*10^12-$A118)&gt;(G$3*10^12-$A117),$A117,$A118)=G118,0,IF((G$3*10^12-$A118)*(G$3*10^12-$A117)*-1&lt;0,0,1)*IF(ABS(G$3*10^12-$A118)&gt;(G$3*10^12-$A117),$A117,$A118))</f>
        <v>0</v>
      </c>
      <c r="H117" s="0" t="n">
        <f aca="false">IF(IF((H$3*10^12-$A118)*(H$3*10^12-$A117)*-1&lt;0,0,1)*IF(ABS(H$3*10^12-$A118)&gt;(H$3*10^12-$A117),$A117,$A118)=H118,0,IF((H$3*10^12-$A118)*(H$3*10^12-$A117)*-1&lt;0,0,1)*IF(ABS(H$3*10^12-$A118)&gt;(H$3*10^12-$A117),$A117,$A118))</f>
        <v>0</v>
      </c>
      <c r="I117" s="0" t="n">
        <f aca="false">IF(IF((I$3*10^12-$A118)*(I$3*10^12-$A117)*-1&lt;0,0,1)*IF(ABS(I$3*10^12-$A118)&gt;(I$3*10^12-$A117),$A117,$A118)=I118,0,IF((I$3*10^12-$A118)*(I$3*10^12-$A117)*-1&lt;0,0,1)*IF(ABS(I$3*10^12-$A118)&gt;(I$3*10^12-$A117),$A117,$A118))</f>
        <v>0</v>
      </c>
      <c r="J117" s="0" t="n">
        <f aca="false">IF(IF((J$3*10^12-$A118)*(J$3*10^12-$A117)*-1&lt;0,0,1)*IF(ABS(J$3*10^12-$A118)&gt;(J$3*10^12-$A117),$A117,$A118)=J118,0,IF((J$3*10^12-$A118)*(J$3*10^12-$A117)*-1&lt;0,0,1)*IF(ABS(J$3*10^12-$A118)&gt;(J$3*10^12-$A117),$A117,$A118))</f>
        <v>0</v>
      </c>
    </row>
    <row r="118" customFormat="false" ht="12.75" hidden="false" customHeight="false" outlineLevel="0" collapsed="false">
      <c r="A118" s="0" t="n">
        <f aca="false">A106*10</f>
        <v>1000000000</v>
      </c>
      <c r="B118" s="0" t="n">
        <f aca="false">IF(IF((B$3*10^12-$A119)*(B$3*10^12-$A118)*-1&lt;0,0,1)*IF(ABS(B$3*10^12-$A119)&gt;(B$3*10^12-$A118),$A118,$A119)=B119,0,IF((B$3*10^12-$A119)*(B$3*10^12-$A118)*-1&lt;0,0,1)*IF(ABS(B$3*10^12-$A119)&gt;(B$3*10^12-$A118),$A118,$A119))</f>
        <v>0</v>
      </c>
      <c r="C118" s="0" t="n">
        <f aca="false">IF(IF((C$3*10^12-$A119)*(C$3*10^12-$A118)*-1&lt;0,0,1)*IF(ABS(C$3*10^12-$A119)&gt;(C$3*10^12-$A118),$A118,$A119)=C119,0,IF((C$3*10^12-$A119)*(C$3*10^12-$A118)*-1&lt;0,0,1)*IF(ABS(C$3*10^12-$A119)&gt;(C$3*10^12-$A118),$A118,$A119))</f>
        <v>0</v>
      </c>
      <c r="D118" s="0" t="n">
        <f aca="false">IF(IF((D$3*10^12-$A119)*(D$3*10^12-$A118)*-1&lt;0,0,1)*IF(ABS(D$3*10^12-$A119)&gt;(D$3*10^12-$A118),$A118,$A119)=D119,0,IF((D$3*10^12-$A119)*(D$3*10^12-$A118)*-1&lt;0,0,1)*IF(ABS(D$3*10^12-$A119)&gt;(D$3*10^12-$A118),$A118,$A119))</f>
        <v>0</v>
      </c>
      <c r="E118" s="0" t="n">
        <f aca="false">IF(IF((E$3*10^12-$A119)*(E$3*10^12-$A118)*-1&lt;0,0,1)*IF(ABS(E$3*10^12-$A119)&gt;(E$3*10^12-$A118),$A118,$A119)=E119,0,IF((E$3*10^12-$A119)*(E$3*10^12-$A118)*-1&lt;0,0,1)*IF(ABS(E$3*10^12-$A119)&gt;(E$3*10^12-$A118),$A118,$A119))</f>
        <v>0</v>
      </c>
      <c r="F118" s="0" t="n">
        <f aca="false">IF(IF((F$3*10^12-$A119)*(F$3*10^12-$A118)*-1&lt;0,0,1)*IF(ABS(F$3*10^12-$A119)&gt;(F$3*10^12-$A118),$A118,$A119)=F119,0,IF((F$3*10^12-$A119)*(F$3*10^12-$A118)*-1&lt;0,0,1)*IF(ABS(F$3*10^12-$A119)&gt;(F$3*10^12-$A118),$A118,$A119))</f>
        <v>0</v>
      </c>
      <c r="G118" s="0" t="n">
        <f aca="false">IF(IF((G$3*10^12-$A119)*(G$3*10^12-$A118)*-1&lt;0,0,1)*IF(ABS(G$3*10^12-$A119)&gt;(G$3*10^12-$A118),$A118,$A119)=G119,0,IF((G$3*10^12-$A119)*(G$3*10^12-$A118)*-1&lt;0,0,1)*IF(ABS(G$3*10^12-$A119)&gt;(G$3*10^12-$A118),$A118,$A119))</f>
        <v>0</v>
      </c>
      <c r="H118" s="0" t="n">
        <f aca="false">IF(IF((H$3*10^12-$A119)*(H$3*10^12-$A118)*-1&lt;0,0,1)*IF(ABS(H$3*10^12-$A119)&gt;(H$3*10^12-$A118),$A118,$A119)=H119,0,IF((H$3*10^12-$A119)*(H$3*10^12-$A118)*-1&lt;0,0,1)*IF(ABS(H$3*10^12-$A119)&gt;(H$3*10^12-$A118),$A118,$A119))</f>
        <v>0</v>
      </c>
      <c r="I118" s="0" t="n">
        <f aca="false">IF(IF((I$3*10^12-$A119)*(I$3*10^12-$A118)*-1&lt;0,0,1)*IF(ABS(I$3*10^12-$A119)&gt;(I$3*10^12-$A118),$A118,$A119)=I119,0,IF((I$3*10^12-$A119)*(I$3*10^12-$A118)*-1&lt;0,0,1)*IF(ABS(I$3*10^12-$A119)&gt;(I$3*10^12-$A118),$A118,$A119))</f>
        <v>0</v>
      </c>
      <c r="J118" s="0" t="n">
        <f aca="false">IF(IF((J$3*10^12-$A119)*(J$3*10^12-$A118)*-1&lt;0,0,1)*IF(ABS(J$3*10^12-$A119)&gt;(J$3*10^12-$A118),$A118,$A119)=J119,0,IF((J$3*10^12-$A119)*(J$3*10^12-$A118)*-1&lt;0,0,1)*IF(ABS(J$3*10^12-$A119)&gt;(J$3*10^12-$A118),$A118,$A119))</f>
        <v>0</v>
      </c>
    </row>
    <row r="119" customFormat="false" ht="12.75" hidden="false" customHeight="false" outlineLevel="0" collapsed="false">
      <c r="A119" s="0" t="n">
        <f aca="false">A107*10</f>
        <v>1200000000</v>
      </c>
      <c r="B119" s="0" t="n">
        <f aca="false">IF(IF((B$3*10^12-$A120)*(B$3*10^12-$A119)*-1&lt;0,0,1)*IF(ABS(B$3*10^12-$A120)&gt;(B$3*10^12-$A119),$A119,$A120)=B120,0,IF((B$3*10^12-$A120)*(B$3*10^12-$A119)*-1&lt;0,0,1)*IF(ABS(B$3*10^12-$A120)&gt;(B$3*10^12-$A119),$A119,$A120))</f>
        <v>0</v>
      </c>
      <c r="C119" s="0" t="n">
        <f aca="false">IF(IF((C$3*10^12-$A120)*(C$3*10^12-$A119)*-1&lt;0,0,1)*IF(ABS(C$3*10^12-$A120)&gt;(C$3*10^12-$A119),$A119,$A120)=C120,0,IF((C$3*10^12-$A120)*(C$3*10^12-$A119)*-1&lt;0,0,1)*IF(ABS(C$3*10^12-$A120)&gt;(C$3*10^12-$A119),$A119,$A120))</f>
        <v>0</v>
      </c>
      <c r="D119" s="0" t="n">
        <f aca="false">IF(IF((D$3*10^12-$A120)*(D$3*10^12-$A119)*-1&lt;0,0,1)*IF(ABS(D$3*10^12-$A120)&gt;(D$3*10^12-$A119),$A119,$A120)=D120,0,IF((D$3*10^12-$A120)*(D$3*10^12-$A119)*-1&lt;0,0,1)*IF(ABS(D$3*10^12-$A120)&gt;(D$3*10^12-$A119),$A119,$A120))</f>
        <v>0</v>
      </c>
      <c r="E119" s="0" t="n">
        <f aca="false">IF(IF((E$3*10^12-$A120)*(E$3*10^12-$A119)*-1&lt;0,0,1)*IF(ABS(E$3*10^12-$A120)&gt;(E$3*10^12-$A119),$A119,$A120)=E120,0,IF((E$3*10^12-$A120)*(E$3*10^12-$A119)*-1&lt;0,0,1)*IF(ABS(E$3*10^12-$A120)&gt;(E$3*10^12-$A119),$A119,$A120))</f>
        <v>0</v>
      </c>
      <c r="F119" s="0" t="n">
        <f aca="false">IF(IF((F$3*10^12-$A120)*(F$3*10^12-$A119)*-1&lt;0,0,1)*IF(ABS(F$3*10^12-$A120)&gt;(F$3*10^12-$A119),$A119,$A120)=F120,0,IF((F$3*10^12-$A120)*(F$3*10^12-$A119)*-1&lt;0,0,1)*IF(ABS(F$3*10^12-$A120)&gt;(F$3*10^12-$A119),$A119,$A120))</f>
        <v>0</v>
      </c>
      <c r="G119" s="0" t="n">
        <f aca="false">IF(IF((G$3*10^12-$A120)*(G$3*10^12-$A119)*-1&lt;0,0,1)*IF(ABS(G$3*10^12-$A120)&gt;(G$3*10^12-$A119),$A119,$A120)=G120,0,IF((G$3*10^12-$A120)*(G$3*10^12-$A119)*-1&lt;0,0,1)*IF(ABS(G$3*10^12-$A120)&gt;(G$3*10^12-$A119),$A119,$A120))</f>
        <v>0</v>
      </c>
      <c r="H119" s="0" t="n">
        <f aca="false">IF(IF((H$3*10^12-$A120)*(H$3*10^12-$A119)*-1&lt;0,0,1)*IF(ABS(H$3*10^12-$A120)&gt;(H$3*10^12-$A119),$A119,$A120)=H120,0,IF((H$3*10^12-$A120)*(H$3*10^12-$A119)*-1&lt;0,0,1)*IF(ABS(H$3*10^12-$A120)&gt;(H$3*10^12-$A119),$A119,$A120))</f>
        <v>0</v>
      </c>
      <c r="I119" s="0" t="n">
        <f aca="false">IF(IF((I$3*10^12-$A120)*(I$3*10^12-$A119)*-1&lt;0,0,1)*IF(ABS(I$3*10^12-$A120)&gt;(I$3*10^12-$A119),$A119,$A120)=I120,0,IF((I$3*10^12-$A120)*(I$3*10^12-$A119)*-1&lt;0,0,1)*IF(ABS(I$3*10^12-$A120)&gt;(I$3*10^12-$A119),$A119,$A120))</f>
        <v>0</v>
      </c>
      <c r="J119" s="0" t="n">
        <f aca="false">IF(IF((J$3*10^12-$A120)*(J$3*10^12-$A119)*-1&lt;0,0,1)*IF(ABS(J$3*10^12-$A120)&gt;(J$3*10^12-$A119),$A119,$A120)=J120,0,IF((J$3*10^12-$A120)*(J$3*10^12-$A119)*-1&lt;0,0,1)*IF(ABS(J$3*10^12-$A120)&gt;(J$3*10^12-$A119),$A119,$A120))</f>
        <v>0</v>
      </c>
    </row>
    <row r="120" customFormat="false" ht="12.75" hidden="false" customHeight="false" outlineLevel="0" collapsed="false">
      <c r="A120" s="0" t="n">
        <f aca="false">A108*10</f>
        <v>1500000000</v>
      </c>
      <c r="B120" s="0" t="n">
        <f aca="false">IF(IF((B$3*10^12-$A121)*(B$3*10^12-$A120)*-1&lt;0,0,1)*IF(ABS(B$3*10^12-$A121)&gt;(B$3*10^12-$A120),$A120,$A121)=B121,0,IF((B$3*10^12-$A121)*(B$3*10^12-$A120)*-1&lt;0,0,1)*IF(ABS(B$3*10^12-$A121)&gt;(B$3*10^12-$A120),$A120,$A121))</f>
        <v>0</v>
      </c>
      <c r="C120" s="0" t="n">
        <f aca="false">IF(IF((C$3*10^12-$A121)*(C$3*10^12-$A120)*-1&lt;0,0,1)*IF(ABS(C$3*10^12-$A121)&gt;(C$3*10^12-$A120),$A120,$A121)=C121,0,IF((C$3*10^12-$A121)*(C$3*10^12-$A120)*-1&lt;0,0,1)*IF(ABS(C$3*10^12-$A121)&gt;(C$3*10^12-$A120),$A120,$A121))</f>
        <v>0</v>
      </c>
      <c r="D120" s="0" t="n">
        <f aca="false">IF(IF((D$3*10^12-$A121)*(D$3*10^12-$A120)*-1&lt;0,0,1)*IF(ABS(D$3*10^12-$A121)&gt;(D$3*10^12-$A120),$A120,$A121)=D121,0,IF((D$3*10^12-$A121)*(D$3*10^12-$A120)*-1&lt;0,0,1)*IF(ABS(D$3*10^12-$A121)&gt;(D$3*10^12-$A120),$A120,$A121))</f>
        <v>0</v>
      </c>
      <c r="E120" s="0" t="n">
        <f aca="false">IF(IF((E$3*10^12-$A121)*(E$3*10^12-$A120)*-1&lt;0,0,1)*IF(ABS(E$3*10^12-$A121)&gt;(E$3*10^12-$A120),$A120,$A121)=E121,0,IF((E$3*10^12-$A121)*(E$3*10^12-$A120)*-1&lt;0,0,1)*IF(ABS(E$3*10^12-$A121)&gt;(E$3*10^12-$A120),$A120,$A121))</f>
        <v>0</v>
      </c>
      <c r="F120" s="0" t="n">
        <f aca="false">IF(IF((F$3*10^12-$A121)*(F$3*10^12-$A120)*-1&lt;0,0,1)*IF(ABS(F$3*10^12-$A121)&gt;(F$3*10^12-$A120),$A120,$A121)=F121,0,IF((F$3*10^12-$A121)*(F$3*10^12-$A120)*-1&lt;0,0,1)*IF(ABS(F$3*10^12-$A121)&gt;(F$3*10^12-$A120),$A120,$A121))</f>
        <v>0</v>
      </c>
      <c r="G120" s="0" t="n">
        <f aca="false">IF(IF((G$3*10^12-$A121)*(G$3*10^12-$A120)*-1&lt;0,0,1)*IF(ABS(G$3*10^12-$A121)&gt;(G$3*10^12-$A120),$A120,$A121)=G121,0,IF((G$3*10^12-$A121)*(G$3*10^12-$A120)*-1&lt;0,0,1)*IF(ABS(G$3*10^12-$A121)&gt;(G$3*10^12-$A120),$A120,$A121))</f>
        <v>0</v>
      </c>
      <c r="H120" s="0" t="n">
        <f aca="false">IF(IF((H$3*10^12-$A121)*(H$3*10^12-$A120)*-1&lt;0,0,1)*IF(ABS(H$3*10^12-$A121)&gt;(H$3*10^12-$A120),$A120,$A121)=H121,0,IF((H$3*10^12-$A121)*(H$3*10^12-$A120)*-1&lt;0,0,1)*IF(ABS(H$3*10^12-$A121)&gt;(H$3*10^12-$A120),$A120,$A121))</f>
        <v>0</v>
      </c>
      <c r="I120" s="0" t="n">
        <f aca="false">IF(IF((I$3*10^12-$A121)*(I$3*10^12-$A120)*-1&lt;0,0,1)*IF(ABS(I$3*10^12-$A121)&gt;(I$3*10^12-$A120),$A120,$A121)=I121,0,IF((I$3*10^12-$A121)*(I$3*10^12-$A120)*-1&lt;0,0,1)*IF(ABS(I$3*10^12-$A121)&gt;(I$3*10^12-$A120),$A120,$A121))</f>
        <v>0</v>
      </c>
      <c r="J120" s="0" t="n">
        <f aca="false">IF(IF((J$3*10^12-$A121)*(J$3*10^12-$A120)*-1&lt;0,0,1)*IF(ABS(J$3*10^12-$A121)&gt;(J$3*10^12-$A120),$A120,$A121)=J121,0,IF((J$3*10^12-$A121)*(J$3*10^12-$A120)*-1&lt;0,0,1)*IF(ABS(J$3*10^12-$A121)&gt;(J$3*10^12-$A120),$A120,$A121))</f>
        <v>0</v>
      </c>
    </row>
    <row r="121" customFormat="false" ht="12.75" hidden="false" customHeight="false" outlineLevel="0" collapsed="false">
      <c r="A121" s="0" t="n">
        <f aca="false">A109*10</f>
        <v>1800000000</v>
      </c>
      <c r="B121" s="0" t="n">
        <f aca="false">IF(IF((B$3*10^12-$A122)*(B$3*10^12-$A121)*-1&lt;0,0,1)*IF(ABS(B$3*10^12-$A122)&gt;(B$3*10^12-$A121),$A121,$A122)=B122,0,IF((B$3*10^12-$A122)*(B$3*10^12-$A121)*-1&lt;0,0,1)*IF(ABS(B$3*10^12-$A122)&gt;(B$3*10^12-$A121),$A121,$A122))</f>
        <v>0</v>
      </c>
      <c r="C121" s="0" t="n">
        <f aca="false">IF(IF((C$3*10^12-$A122)*(C$3*10^12-$A121)*-1&lt;0,0,1)*IF(ABS(C$3*10^12-$A122)&gt;(C$3*10^12-$A121),$A121,$A122)=C122,0,IF((C$3*10^12-$A122)*(C$3*10^12-$A121)*-1&lt;0,0,1)*IF(ABS(C$3*10^12-$A122)&gt;(C$3*10^12-$A121),$A121,$A122))</f>
        <v>0</v>
      </c>
      <c r="D121" s="0" t="n">
        <f aca="false">IF(IF((D$3*10^12-$A122)*(D$3*10^12-$A121)*-1&lt;0,0,1)*IF(ABS(D$3*10^12-$A122)&gt;(D$3*10^12-$A121),$A121,$A122)=D122,0,IF((D$3*10^12-$A122)*(D$3*10^12-$A121)*-1&lt;0,0,1)*IF(ABS(D$3*10^12-$A122)&gt;(D$3*10^12-$A121),$A121,$A122))</f>
        <v>0</v>
      </c>
      <c r="E121" s="0" t="n">
        <f aca="false">IF(IF((E$3*10^12-$A122)*(E$3*10^12-$A121)*-1&lt;0,0,1)*IF(ABS(E$3*10^12-$A122)&gt;(E$3*10^12-$A121),$A121,$A122)=E122,0,IF((E$3*10^12-$A122)*(E$3*10^12-$A121)*-1&lt;0,0,1)*IF(ABS(E$3*10^12-$A122)&gt;(E$3*10^12-$A121),$A121,$A122))</f>
        <v>0</v>
      </c>
      <c r="F121" s="0" t="n">
        <f aca="false">IF(IF((F$3*10^12-$A122)*(F$3*10^12-$A121)*-1&lt;0,0,1)*IF(ABS(F$3*10^12-$A122)&gt;(F$3*10^12-$A121),$A121,$A122)=F122,0,IF((F$3*10^12-$A122)*(F$3*10^12-$A121)*-1&lt;0,0,1)*IF(ABS(F$3*10^12-$A122)&gt;(F$3*10^12-$A121),$A121,$A122))</f>
        <v>0</v>
      </c>
      <c r="G121" s="0" t="n">
        <f aca="false">IF(IF((G$3*10^12-$A122)*(G$3*10^12-$A121)*-1&lt;0,0,1)*IF(ABS(G$3*10^12-$A122)&gt;(G$3*10^12-$A121),$A121,$A122)=G122,0,IF((G$3*10^12-$A122)*(G$3*10^12-$A121)*-1&lt;0,0,1)*IF(ABS(G$3*10^12-$A122)&gt;(G$3*10^12-$A121),$A121,$A122))</f>
        <v>0</v>
      </c>
      <c r="H121" s="0" t="n">
        <f aca="false">IF(IF((H$3*10^12-$A122)*(H$3*10^12-$A121)*-1&lt;0,0,1)*IF(ABS(H$3*10^12-$A122)&gt;(H$3*10^12-$A121),$A121,$A122)=H122,0,IF((H$3*10^12-$A122)*(H$3*10^12-$A121)*-1&lt;0,0,1)*IF(ABS(H$3*10^12-$A122)&gt;(H$3*10^12-$A121),$A121,$A122))</f>
        <v>0</v>
      </c>
      <c r="I121" s="0" t="n">
        <f aca="false">IF(IF((I$3*10^12-$A122)*(I$3*10^12-$A121)*-1&lt;0,0,1)*IF(ABS(I$3*10^12-$A122)&gt;(I$3*10^12-$A121),$A121,$A122)=I122,0,IF((I$3*10^12-$A122)*(I$3*10^12-$A121)*-1&lt;0,0,1)*IF(ABS(I$3*10^12-$A122)&gt;(I$3*10^12-$A121),$A121,$A122))</f>
        <v>0</v>
      </c>
      <c r="J121" s="0" t="n">
        <f aca="false">IF(IF((J$3*10^12-$A122)*(J$3*10^12-$A121)*-1&lt;0,0,1)*IF(ABS(J$3*10^12-$A122)&gt;(J$3*10^12-$A121),$A121,$A122)=J122,0,IF((J$3*10^12-$A122)*(J$3*10^12-$A121)*-1&lt;0,0,1)*IF(ABS(J$3*10^12-$A122)&gt;(J$3*10^12-$A121),$A121,$A122))</f>
        <v>0</v>
      </c>
    </row>
    <row r="122" customFormat="false" ht="12.75" hidden="false" customHeight="false" outlineLevel="0" collapsed="false">
      <c r="A122" s="0" t="n">
        <f aca="false">A110*10</f>
        <v>2200000000</v>
      </c>
      <c r="B122" s="0" t="n">
        <f aca="false">IF(IF((B$3*10^12-$A123)*(B$3*10^12-$A122)*-1&lt;0,0,1)*IF(ABS(B$3*10^12-$A123)&gt;(B$3*10^12-$A122),$A122,$A123)=B123,0,IF((B$3*10^12-$A123)*(B$3*10^12-$A122)*-1&lt;0,0,1)*IF(ABS(B$3*10^12-$A123)&gt;(B$3*10^12-$A122),$A122,$A123))</f>
        <v>0</v>
      </c>
      <c r="C122" s="0" t="n">
        <f aca="false">IF(IF((C$3*10^12-$A123)*(C$3*10^12-$A122)*-1&lt;0,0,1)*IF(ABS(C$3*10^12-$A123)&gt;(C$3*10^12-$A122),$A122,$A123)=C123,0,IF((C$3*10^12-$A123)*(C$3*10^12-$A122)*-1&lt;0,0,1)*IF(ABS(C$3*10^12-$A123)&gt;(C$3*10^12-$A122),$A122,$A123))</f>
        <v>0</v>
      </c>
      <c r="D122" s="0" t="n">
        <f aca="false">IF(IF((D$3*10^12-$A123)*(D$3*10^12-$A122)*-1&lt;0,0,1)*IF(ABS(D$3*10^12-$A123)&gt;(D$3*10^12-$A122),$A122,$A123)=D123,0,IF((D$3*10^12-$A123)*(D$3*10^12-$A122)*-1&lt;0,0,1)*IF(ABS(D$3*10^12-$A123)&gt;(D$3*10^12-$A122),$A122,$A123))</f>
        <v>0</v>
      </c>
      <c r="E122" s="0" t="n">
        <f aca="false">IF(IF((E$3*10^12-$A123)*(E$3*10^12-$A122)*-1&lt;0,0,1)*IF(ABS(E$3*10^12-$A123)&gt;(E$3*10^12-$A122),$A122,$A123)=E123,0,IF((E$3*10^12-$A123)*(E$3*10^12-$A122)*-1&lt;0,0,1)*IF(ABS(E$3*10^12-$A123)&gt;(E$3*10^12-$A122),$A122,$A123))</f>
        <v>0</v>
      </c>
      <c r="F122" s="0" t="n">
        <f aca="false">IF(IF((F$3*10^12-$A123)*(F$3*10^12-$A122)*-1&lt;0,0,1)*IF(ABS(F$3*10^12-$A123)&gt;(F$3*10^12-$A122),$A122,$A123)=F123,0,IF((F$3*10^12-$A123)*(F$3*10^12-$A122)*-1&lt;0,0,1)*IF(ABS(F$3*10^12-$A123)&gt;(F$3*10^12-$A122),$A122,$A123))</f>
        <v>0</v>
      </c>
      <c r="G122" s="0" t="n">
        <f aca="false">IF(IF((G$3*10^12-$A123)*(G$3*10^12-$A122)*-1&lt;0,0,1)*IF(ABS(G$3*10^12-$A123)&gt;(G$3*10^12-$A122),$A122,$A123)=G123,0,IF((G$3*10^12-$A123)*(G$3*10^12-$A122)*-1&lt;0,0,1)*IF(ABS(G$3*10^12-$A123)&gt;(G$3*10^12-$A122),$A122,$A123))</f>
        <v>0</v>
      </c>
      <c r="H122" s="0" t="n">
        <f aca="false">IF(IF((H$3*10^12-$A123)*(H$3*10^12-$A122)*-1&lt;0,0,1)*IF(ABS(H$3*10^12-$A123)&gt;(H$3*10^12-$A122),$A122,$A123)=H123,0,IF((H$3*10^12-$A123)*(H$3*10^12-$A122)*-1&lt;0,0,1)*IF(ABS(H$3*10^12-$A123)&gt;(H$3*10^12-$A122),$A122,$A123))</f>
        <v>0</v>
      </c>
      <c r="I122" s="0" t="n">
        <f aca="false">IF(IF((I$3*10^12-$A123)*(I$3*10^12-$A122)*-1&lt;0,0,1)*IF(ABS(I$3*10^12-$A123)&gt;(I$3*10^12-$A122),$A122,$A123)=I123,0,IF((I$3*10^12-$A123)*(I$3*10^12-$A122)*-1&lt;0,0,1)*IF(ABS(I$3*10^12-$A123)&gt;(I$3*10^12-$A122),$A122,$A123))</f>
        <v>0</v>
      </c>
      <c r="J122" s="0" t="n">
        <f aca="false">IF(IF((J$3*10^12-$A123)*(J$3*10^12-$A122)*-1&lt;0,0,1)*IF(ABS(J$3*10^12-$A123)&gt;(J$3*10^12-$A122),$A122,$A123)=J123,0,IF((J$3*10^12-$A123)*(J$3*10^12-$A122)*-1&lt;0,0,1)*IF(ABS(J$3*10^12-$A123)&gt;(J$3*10^12-$A122),$A122,$A123))</f>
        <v>0</v>
      </c>
    </row>
    <row r="123" customFormat="false" ht="12.75" hidden="false" customHeight="false" outlineLevel="0" collapsed="false">
      <c r="A123" s="0" t="n">
        <f aca="false">A111*10</f>
        <v>2700000000</v>
      </c>
      <c r="B123" s="0" t="n">
        <f aca="false">IF(IF((B$3*10^12-$A124)*(B$3*10^12-$A123)*-1&lt;0,0,1)*IF(ABS(B$3*10^12-$A124)&gt;(B$3*10^12-$A123),$A123,$A124)=B124,0,IF((B$3*10^12-$A124)*(B$3*10^12-$A123)*-1&lt;0,0,1)*IF(ABS(B$3*10^12-$A124)&gt;(B$3*10^12-$A123),$A123,$A124))</f>
        <v>0</v>
      </c>
      <c r="C123" s="0" t="n">
        <f aca="false">IF(IF((C$3*10^12-$A124)*(C$3*10^12-$A123)*-1&lt;0,0,1)*IF(ABS(C$3*10^12-$A124)&gt;(C$3*10^12-$A123),$A123,$A124)=C124,0,IF((C$3*10^12-$A124)*(C$3*10^12-$A123)*-1&lt;0,0,1)*IF(ABS(C$3*10^12-$A124)&gt;(C$3*10^12-$A123),$A123,$A124))</f>
        <v>0</v>
      </c>
      <c r="D123" s="0" t="n">
        <f aca="false">IF(IF((D$3*10^12-$A124)*(D$3*10^12-$A123)*-1&lt;0,0,1)*IF(ABS(D$3*10^12-$A124)&gt;(D$3*10^12-$A123),$A123,$A124)=D124,0,IF((D$3*10^12-$A124)*(D$3*10^12-$A123)*-1&lt;0,0,1)*IF(ABS(D$3*10^12-$A124)&gt;(D$3*10^12-$A123),$A123,$A124))</f>
        <v>0</v>
      </c>
      <c r="E123" s="0" t="n">
        <f aca="false">IF(IF((E$3*10^12-$A124)*(E$3*10^12-$A123)*-1&lt;0,0,1)*IF(ABS(E$3*10^12-$A124)&gt;(E$3*10^12-$A123),$A123,$A124)=E124,0,IF((E$3*10^12-$A124)*(E$3*10^12-$A123)*-1&lt;0,0,1)*IF(ABS(E$3*10^12-$A124)&gt;(E$3*10^12-$A123),$A123,$A124))</f>
        <v>0</v>
      </c>
      <c r="F123" s="0" t="n">
        <f aca="false">IF(IF((F$3*10^12-$A124)*(F$3*10^12-$A123)*-1&lt;0,0,1)*IF(ABS(F$3*10^12-$A124)&gt;(F$3*10^12-$A123),$A123,$A124)=F124,0,IF((F$3*10^12-$A124)*(F$3*10^12-$A123)*-1&lt;0,0,1)*IF(ABS(F$3*10^12-$A124)&gt;(F$3*10^12-$A123),$A123,$A124))</f>
        <v>0</v>
      </c>
      <c r="G123" s="0" t="n">
        <f aca="false">IF(IF((G$3*10^12-$A124)*(G$3*10^12-$A123)*-1&lt;0,0,1)*IF(ABS(G$3*10^12-$A124)&gt;(G$3*10^12-$A123),$A123,$A124)=G124,0,IF((G$3*10^12-$A124)*(G$3*10^12-$A123)*-1&lt;0,0,1)*IF(ABS(G$3*10^12-$A124)&gt;(G$3*10^12-$A123),$A123,$A124))</f>
        <v>0</v>
      </c>
      <c r="H123" s="0" t="n">
        <f aca="false">IF(IF((H$3*10^12-$A124)*(H$3*10^12-$A123)*-1&lt;0,0,1)*IF(ABS(H$3*10^12-$A124)&gt;(H$3*10^12-$A123),$A123,$A124)=H124,0,IF((H$3*10^12-$A124)*(H$3*10^12-$A123)*-1&lt;0,0,1)*IF(ABS(H$3*10^12-$A124)&gt;(H$3*10^12-$A123),$A123,$A124))</f>
        <v>0</v>
      </c>
      <c r="I123" s="0" t="n">
        <f aca="false">IF(IF((I$3*10^12-$A124)*(I$3*10^12-$A123)*-1&lt;0,0,1)*IF(ABS(I$3*10^12-$A124)&gt;(I$3*10^12-$A123),$A123,$A124)=I124,0,IF((I$3*10^12-$A124)*(I$3*10^12-$A123)*-1&lt;0,0,1)*IF(ABS(I$3*10^12-$A124)&gt;(I$3*10^12-$A123),$A123,$A124))</f>
        <v>0</v>
      </c>
      <c r="J123" s="0" t="n">
        <f aca="false">IF(IF((J$3*10^12-$A124)*(J$3*10^12-$A123)*-1&lt;0,0,1)*IF(ABS(J$3*10^12-$A124)&gt;(J$3*10^12-$A123),$A123,$A124)=J124,0,IF((J$3*10^12-$A124)*(J$3*10^12-$A123)*-1&lt;0,0,1)*IF(ABS(J$3*10^12-$A124)&gt;(J$3*10^12-$A123),$A123,$A124))</f>
        <v>0</v>
      </c>
    </row>
    <row r="124" customFormat="false" ht="12.75" hidden="false" customHeight="false" outlineLevel="0" collapsed="false">
      <c r="A124" s="0" t="n">
        <f aca="false">A112*10</f>
        <v>3300000000</v>
      </c>
      <c r="B124" s="0" t="n">
        <f aca="false">IF(IF((B$3*10^12-$A125)*(B$3*10^12-$A124)*-1&lt;0,0,1)*IF(ABS(B$3*10^12-$A125)&gt;(B$3*10^12-$A124),$A124,$A125)=B125,0,IF((B$3*10^12-$A125)*(B$3*10^12-$A124)*-1&lt;0,0,1)*IF(ABS(B$3*10^12-$A125)&gt;(B$3*10^12-$A124),$A124,$A125))</f>
        <v>0</v>
      </c>
      <c r="C124" s="0" t="n">
        <f aca="false">IF(IF((C$3*10^12-$A125)*(C$3*10^12-$A124)*-1&lt;0,0,1)*IF(ABS(C$3*10^12-$A125)&gt;(C$3*10^12-$A124),$A124,$A125)=C125,0,IF((C$3*10^12-$A125)*(C$3*10^12-$A124)*-1&lt;0,0,1)*IF(ABS(C$3*10^12-$A125)&gt;(C$3*10^12-$A124),$A124,$A125))</f>
        <v>0</v>
      </c>
      <c r="D124" s="0" t="n">
        <f aca="false">IF(IF((D$3*10^12-$A125)*(D$3*10^12-$A124)*-1&lt;0,0,1)*IF(ABS(D$3*10^12-$A125)&gt;(D$3*10^12-$A124),$A124,$A125)=D125,0,IF((D$3*10^12-$A125)*(D$3*10^12-$A124)*-1&lt;0,0,1)*IF(ABS(D$3*10^12-$A125)&gt;(D$3*10^12-$A124),$A124,$A125))</f>
        <v>0</v>
      </c>
      <c r="E124" s="0" t="n">
        <f aca="false">IF(IF((E$3*10^12-$A125)*(E$3*10^12-$A124)*-1&lt;0,0,1)*IF(ABS(E$3*10^12-$A125)&gt;(E$3*10^12-$A124),$A124,$A125)=E125,0,IF((E$3*10^12-$A125)*(E$3*10^12-$A124)*-1&lt;0,0,1)*IF(ABS(E$3*10^12-$A125)&gt;(E$3*10^12-$A124),$A124,$A125))</f>
        <v>0</v>
      </c>
      <c r="F124" s="0" t="n">
        <f aca="false">IF(IF((F$3*10^12-$A125)*(F$3*10^12-$A124)*-1&lt;0,0,1)*IF(ABS(F$3*10^12-$A125)&gt;(F$3*10^12-$A124),$A124,$A125)=F125,0,IF((F$3*10^12-$A125)*(F$3*10^12-$A124)*-1&lt;0,0,1)*IF(ABS(F$3*10^12-$A125)&gt;(F$3*10^12-$A124),$A124,$A125))</f>
        <v>0</v>
      </c>
      <c r="G124" s="0" t="n">
        <f aca="false">IF(IF((G$3*10^12-$A125)*(G$3*10^12-$A124)*-1&lt;0,0,1)*IF(ABS(G$3*10^12-$A125)&gt;(G$3*10^12-$A124),$A124,$A125)=G125,0,IF((G$3*10^12-$A125)*(G$3*10^12-$A124)*-1&lt;0,0,1)*IF(ABS(G$3*10^12-$A125)&gt;(G$3*10^12-$A124),$A124,$A125))</f>
        <v>0</v>
      </c>
      <c r="H124" s="0" t="n">
        <f aca="false">IF(IF((H$3*10^12-$A125)*(H$3*10^12-$A124)*-1&lt;0,0,1)*IF(ABS(H$3*10^12-$A125)&gt;(H$3*10^12-$A124),$A124,$A125)=H125,0,IF((H$3*10^12-$A125)*(H$3*10^12-$A124)*-1&lt;0,0,1)*IF(ABS(H$3*10^12-$A125)&gt;(H$3*10^12-$A124),$A124,$A125))</f>
        <v>0</v>
      </c>
      <c r="I124" s="0" t="n">
        <f aca="false">IF(IF((I$3*10^12-$A125)*(I$3*10^12-$A124)*-1&lt;0,0,1)*IF(ABS(I$3*10^12-$A125)&gt;(I$3*10^12-$A124),$A124,$A125)=I125,0,IF((I$3*10^12-$A125)*(I$3*10^12-$A124)*-1&lt;0,0,1)*IF(ABS(I$3*10^12-$A125)&gt;(I$3*10^12-$A124),$A124,$A125))</f>
        <v>0</v>
      </c>
      <c r="J124" s="0" t="n">
        <f aca="false">IF(IF((J$3*10^12-$A125)*(J$3*10^12-$A124)*-1&lt;0,0,1)*IF(ABS(J$3*10^12-$A125)&gt;(J$3*10^12-$A124),$A124,$A125)=J125,0,IF((J$3*10^12-$A125)*(J$3*10^12-$A124)*-1&lt;0,0,1)*IF(ABS(J$3*10^12-$A125)&gt;(J$3*10^12-$A124),$A124,$A125))</f>
        <v>0</v>
      </c>
    </row>
    <row r="125" customFormat="false" ht="12.75" hidden="false" customHeight="false" outlineLevel="0" collapsed="false">
      <c r="A125" s="0" t="n">
        <f aca="false">A113*10</f>
        <v>3900000000</v>
      </c>
      <c r="B125" s="0" t="n">
        <f aca="false">IF(IF((B$3*10^12-$A126)*(B$3*10^12-$A125)*-1&lt;0,0,1)*IF(ABS(B$3*10^12-$A126)&gt;(B$3*10^12-$A125),$A125,$A126)=B126,0,IF((B$3*10^12-$A126)*(B$3*10^12-$A125)*-1&lt;0,0,1)*IF(ABS(B$3*10^12-$A126)&gt;(B$3*10^12-$A125),$A125,$A126))</f>
        <v>0</v>
      </c>
      <c r="C125" s="0" t="n">
        <f aca="false">IF(IF((C$3*10^12-$A126)*(C$3*10^12-$A125)*-1&lt;0,0,1)*IF(ABS(C$3*10^12-$A126)&gt;(C$3*10^12-$A125),$A125,$A126)=C126,0,IF((C$3*10^12-$A126)*(C$3*10^12-$A125)*-1&lt;0,0,1)*IF(ABS(C$3*10^12-$A126)&gt;(C$3*10^12-$A125),$A125,$A126))</f>
        <v>0</v>
      </c>
      <c r="D125" s="0" t="n">
        <f aca="false">IF(IF((D$3*10^12-$A126)*(D$3*10^12-$A125)*-1&lt;0,0,1)*IF(ABS(D$3*10^12-$A126)&gt;(D$3*10^12-$A125),$A125,$A126)=D126,0,IF((D$3*10^12-$A126)*(D$3*10^12-$A125)*-1&lt;0,0,1)*IF(ABS(D$3*10^12-$A126)&gt;(D$3*10^12-$A125),$A125,$A126))</f>
        <v>0</v>
      </c>
      <c r="E125" s="0" t="n">
        <f aca="false">IF(IF((E$3*10^12-$A126)*(E$3*10^12-$A125)*-1&lt;0,0,1)*IF(ABS(E$3*10^12-$A126)&gt;(E$3*10^12-$A125),$A125,$A126)=E126,0,IF((E$3*10^12-$A126)*(E$3*10^12-$A125)*-1&lt;0,0,1)*IF(ABS(E$3*10^12-$A126)&gt;(E$3*10^12-$A125),$A125,$A126))</f>
        <v>0</v>
      </c>
      <c r="F125" s="0" t="n">
        <f aca="false">IF(IF((F$3*10^12-$A126)*(F$3*10^12-$A125)*-1&lt;0,0,1)*IF(ABS(F$3*10^12-$A126)&gt;(F$3*10^12-$A125),$A125,$A126)=F126,0,IF((F$3*10^12-$A126)*(F$3*10^12-$A125)*-1&lt;0,0,1)*IF(ABS(F$3*10^12-$A126)&gt;(F$3*10^12-$A125),$A125,$A126))</f>
        <v>0</v>
      </c>
      <c r="G125" s="0" t="n">
        <f aca="false">IF(IF((G$3*10^12-$A126)*(G$3*10^12-$A125)*-1&lt;0,0,1)*IF(ABS(G$3*10^12-$A126)&gt;(G$3*10^12-$A125),$A125,$A126)=G126,0,IF((G$3*10^12-$A126)*(G$3*10^12-$A125)*-1&lt;0,0,1)*IF(ABS(G$3*10^12-$A126)&gt;(G$3*10^12-$A125),$A125,$A126))</f>
        <v>0</v>
      </c>
      <c r="H125" s="0" t="n">
        <f aca="false">IF(IF((H$3*10^12-$A126)*(H$3*10^12-$A125)*-1&lt;0,0,1)*IF(ABS(H$3*10^12-$A126)&gt;(H$3*10^12-$A125),$A125,$A126)=H126,0,IF((H$3*10^12-$A126)*(H$3*10^12-$A125)*-1&lt;0,0,1)*IF(ABS(H$3*10^12-$A126)&gt;(H$3*10^12-$A125),$A125,$A126))</f>
        <v>0</v>
      </c>
      <c r="I125" s="0" t="n">
        <f aca="false">IF(IF((I$3*10^12-$A126)*(I$3*10^12-$A125)*-1&lt;0,0,1)*IF(ABS(I$3*10^12-$A126)&gt;(I$3*10^12-$A125),$A125,$A126)=I126,0,IF((I$3*10^12-$A126)*(I$3*10^12-$A125)*-1&lt;0,0,1)*IF(ABS(I$3*10^12-$A126)&gt;(I$3*10^12-$A125),$A125,$A126))</f>
        <v>0</v>
      </c>
      <c r="J125" s="0" t="n">
        <f aca="false">IF(IF((J$3*10^12-$A126)*(J$3*10^12-$A125)*-1&lt;0,0,1)*IF(ABS(J$3*10^12-$A126)&gt;(J$3*10^12-$A125),$A125,$A126)=J126,0,IF((J$3*10^12-$A126)*(J$3*10^12-$A125)*-1&lt;0,0,1)*IF(ABS(J$3*10^12-$A126)&gt;(J$3*10^12-$A125),$A125,$A126))</f>
        <v>0</v>
      </c>
    </row>
    <row r="126" customFormat="false" ht="12.75" hidden="false" customHeight="false" outlineLevel="0" collapsed="false">
      <c r="A126" s="0" t="n">
        <f aca="false">A114*10</f>
        <v>4700000000</v>
      </c>
      <c r="B126" s="0" t="n">
        <f aca="false">IF(IF((B$3*10^12-$A127)*(B$3*10^12-$A126)*-1&lt;0,0,1)*IF(ABS(B$3*10^12-$A127)&gt;(B$3*10^12-$A126),$A126,$A127)=B127,0,IF((B$3*10^12-$A127)*(B$3*10^12-$A126)*-1&lt;0,0,1)*IF(ABS(B$3*10^12-$A127)&gt;(B$3*10^12-$A126),$A126,$A127))</f>
        <v>0</v>
      </c>
      <c r="C126" s="0" t="n">
        <f aca="false">IF(IF((C$3*10^12-$A127)*(C$3*10^12-$A126)*-1&lt;0,0,1)*IF(ABS(C$3*10^12-$A127)&gt;(C$3*10^12-$A126),$A126,$A127)=C127,0,IF((C$3*10^12-$A127)*(C$3*10^12-$A126)*-1&lt;0,0,1)*IF(ABS(C$3*10^12-$A127)&gt;(C$3*10^12-$A126),$A126,$A127))</f>
        <v>0</v>
      </c>
      <c r="D126" s="0" t="n">
        <f aca="false">IF(IF((D$3*10^12-$A127)*(D$3*10^12-$A126)*-1&lt;0,0,1)*IF(ABS(D$3*10^12-$A127)&gt;(D$3*10^12-$A126),$A126,$A127)=D127,0,IF((D$3*10^12-$A127)*(D$3*10^12-$A126)*-1&lt;0,0,1)*IF(ABS(D$3*10^12-$A127)&gt;(D$3*10^12-$A126),$A126,$A127))</f>
        <v>0</v>
      </c>
      <c r="E126" s="0" t="n">
        <f aca="false">IF(IF((E$3*10^12-$A127)*(E$3*10^12-$A126)*-1&lt;0,0,1)*IF(ABS(E$3*10^12-$A127)&gt;(E$3*10^12-$A126),$A126,$A127)=E127,0,IF((E$3*10^12-$A127)*(E$3*10^12-$A126)*-1&lt;0,0,1)*IF(ABS(E$3*10^12-$A127)&gt;(E$3*10^12-$A126),$A126,$A127))</f>
        <v>0</v>
      </c>
      <c r="F126" s="0" t="n">
        <f aca="false">IF(IF((F$3*10^12-$A127)*(F$3*10^12-$A126)*-1&lt;0,0,1)*IF(ABS(F$3*10^12-$A127)&gt;(F$3*10^12-$A126),$A126,$A127)=F127,0,IF((F$3*10^12-$A127)*(F$3*10^12-$A126)*-1&lt;0,0,1)*IF(ABS(F$3*10^12-$A127)&gt;(F$3*10^12-$A126),$A126,$A127))</f>
        <v>0</v>
      </c>
      <c r="G126" s="0" t="n">
        <f aca="false">IF(IF((G$3*10^12-$A127)*(G$3*10^12-$A126)*-1&lt;0,0,1)*IF(ABS(G$3*10^12-$A127)&gt;(G$3*10^12-$A126),$A126,$A127)=G127,0,IF((G$3*10^12-$A127)*(G$3*10^12-$A126)*-1&lt;0,0,1)*IF(ABS(G$3*10^12-$A127)&gt;(G$3*10^12-$A126),$A126,$A127))</f>
        <v>0</v>
      </c>
      <c r="H126" s="0" t="n">
        <f aca="false">IF(IF((H$3*10^12-$A127)*(H$3*10^12-$A126)*-1&lt;0,0,1)*IF(ABS(H$3*10^12-$A127)&gt;(H$3*10^12-$A126),$A126,$A127)=H127,0,IF((H$3*10^12-$A127)*(H$3*10^12-$A126)*-1&lt;0,0,1)*IF(ABS(H$3*10^12-$A127)&gt;(H$3*10^12-$A126),$A126,$A127))</f>
        <v>0</v>
      </c>
      <c r="I126" s="0" t="n">
        <f aca="false">IF(IF((I$3*10^12-$A127)*(I$3*10^12-$A126)*-1&lt;0,0,1)*IF(ABS(I$3*10^12-$A127)&gt;(I$3*10^12-$A126),$A126,$A127)=I127,0,IF((I$3*10^12-$A127)*(I$3*10^12-$A126)*-1&lt;0,0,1)*IF(ABS(I$3*10^12-$A127)&gt;(I$3*10^12-$A126),$A126,$A127))</f>
        <v>0</v>
      </c>
      <c r="J126" s="0" t="n">
        <f aca="false">IF(IF((J$3*10^12-$A127)*(J$3*10^12-$A126)*-1&lt;0,0,1)*IF(ABS(J$3*10^12-$A127)&gt;(J$3*10^12-$A126),$A126,$A127)=J127,0,IF((J$3*10^12-$A127)*(J$3*10^12-$A126)*-1&lt;0,0,1)*IF(ABS(J$3*10^12-$A127)&gt;(J$3*10^12-$A126),$A126,$A127))</f>
        <v>0</v>
      </c>
    </row>
    <row r="127" customFormat="false" ht="12.75" hidden="false" customHeight="false" outlineLevel="0" collapsed="false">
      <c r="A127" s="0" t="n">
        <f aca="false">A115*10</f>
        <v>5600000000</v>
      </c>
      <c r="B127" s="0" t="n">
        <f aca="false">IF(IF((B$3*10^12-$A128)*(B$3*10^12-$A127)*-1&lt;0,0,1)*IF(ABS(B$3*10^12-$A128)&gt;(B$3*10^12-$A127),$A127,$A128)=B128,0,IF((B$3*10^12-$A128)*(B$3*10^12-$A127)*-1&lt;0,0,1)*IF(ABS(B$3*10^12-$A128)&gt;(B$3*10^12-$A127),$A127,$A128))</f>
        <v>0</v>
      </c>
      <c r="C127" s="0" t="n">
        <f aca="false">IF(IF((C$3*10^12-$A128)*(C$3*10^12-$A127)*-1&lt;0,0,1)*IF(ABS(C$3*10^12-$A128)&gt;(C$3*10^12-$A127),$A127,$A128)=C128,0,IF((C$3*10^12-$A128)*(C$3*10^12-$A127)*-1&lt;0,0,1)*IF(ABS(C$3*10^12-$A128)&gt;(C$3*10^12-$A127),$A127,$A128))</f>
        <v>0</v>
      </c>
      <c r="D127" s="0" t="n">
        <f aca="false">IF(IF((D$3*10^12-$A128)*(D$3*10^12-$A127)*-1&lt;0,0,1)*IF(ABS(D$3*10^12-$A128)&gt;(D$3*10^12-$A127),$A127,$A128)=D128,0,IF((D$3*10^12-$A128)*(D$3*10^12-$A127)*-1&lt;0,0,1)*IF(ABS(D$3*10^12-$A128)&gt;(D$3*10^12-$A127),$A127,$A128))</f>
        <v>0</v>
      </c>
      <c r="E127" s="0" t="n">
        <f aca="false">IF(IF((E$3*10^12-$A128)*(E$3*10^12-$A127)*-1&lt;0,0,1)*IF(ABS(E$3*10^12-$A128)&gt;(E$3*10^12-$A127),$A127,$A128)=E128,0,IF((E$3*10^12-$A128)*(E$3*10^12-$A127)*-1&lt;0,0,1)*IF(ABS(E$3*10^12-$A128)&gt;(E$3*10^12-$A127),$A127,$A128))</f>
        <v>0</v>
      </c>
      <c r="F127" s="0" t="n">
        <f aca="false">IF(IF((F$3*10^12-$A128)*(F$3*10^12-$A127)*-1&lt;0,0,1)*IF(ABS(F$3*10^12-$A128)&gt;(F$3*10^12-$A127),$A127,$A128)=F128,0,IF((F$3*10^12-$A128)*(F$3*10^12-$A127)*-1&lt;0,0,1)*IF(ABS(F$3*10^12-$A128)&gt;(F$3*10^12-$A127),$A127,$A128))</f>
        <v>0</v>
      </c>
      <c r="G127" s="0" t="n">
        <f aca="false">IF(IF((G$3*10^12-$A128)*(G$3*10^12-$A127)*-1&lt;0,0,1)*IF(ABS(G$3*10^12-$A128)&gt;(G$3*10^12-$A127),$A127,$A128)=G128,0,IF((G$3*10^12-$A128)*(G$3*10^12-$A127)*-1&lt;0,0,1)*IF(ABS(G$3*10^12-$A128)&gt;(G$3*10^12-$A127),$A127,$A128))</f>
        <v>0</v>
      </c>
      <c r="H127" s="0" t="n">
        <f aca="false">IF(IF((H$3*10^12-$A128)*(H$3*10^12-$A127)*-1&lt;0,0,1)*IF(ABS(H$3*10^12-$A128)&gt;(H$3*10^12-$A127),$A127,$A128)=H128,0,IF((H$3*10^12-$A128)*(H$3*10^12-$A127)*-1&lt;0,0,1)*IF(ABS(H$3*10^12-$A128)&gt;(H$3*10^12-$A127),$A127,$A128))</f>
        <v>0</v>
      </c>
      <c r="I127" s="0" t="n">
        <f aca="false">IF(IF((I$3*10^12-$A128)*(I$3*10^12-$A127)*-1&lt;0,0,1)*IF(ABS(I$3*10^12-$A128)&gt;(I$3*10^12-$A127),$A127,$A128)=I128,0,IF((I$3*10^12-$A128)*(I$3*10^12-$A127)*-1&lt;0,0,1)*IF(ABS(I$3*10^12-$A128)&gt;(I$3*10^12-$A127),$A127,$A128))</f>
        <v>0</v>
      </c>
      <c r="J127" s="0" t="n">
        <f aca="false">IF(IF((J$3*10^12-$A128)*(J$3*10^12-$A127)*-1&lt;0,0,1)*IF(ABS(J$3*10^12-$A128)&gt;(J$3*10^12-$A127),$A127,$A128)=J128,0,IF((J$3*10^12-$A128)*(J$3*10^12-$A127)*-1&lt;0,0,1)*IF(ABS(J$3*10^12-$A128)&gt;(J$3*10^12-$A127),$A127,$A128))</f>
        <v>0</v>
      </c>
    </row>
    <row r="128" customFormat="false" ht="12.75" hidden="false" customHeight="false" outlineLevel="0" collapsed="false">
      <c r="A128" s="0" t="n">
        <f aca="false">A116*10</f>
        <v>6800000000</v>
      </c>
      <c r="B128" s="0" t="n">
        <f aca="false">IF(IF((B$3*10^12-$A129)*(B$3*10^12-$A128)*-1&lt;0,0,1)*IF(ABS(B$3*10^12-$A129)&gt;(B$3*10^12-$A128),$A128,$A129)=B129,0,IF((B$3*10^12-$A129)*(B$3*10^12-$A128)*-1&lt;0,0,1)*IF(ABS(B$3*10^12-$A129)&gt;(B$3*10^12-$A128),$A128,$A129))</f>
        <v>0</v>
      </c>
      <c r="C128" s="0" t="n">
        <f aca="false">IF(IF((C$3*10^12-$A129)*(C$3*10^12-$A128)*-1&lt;0,0,1)*IF(ABS(C$3*10^12-$A129)&gt;(C$3*10^12-$A128),$A128,$A129)=C129,0,IF((C$3*10^12-$A129)*(C$3*10^12-$A128)*-1&lt;0,0,1)*IF(ABS(C$3*10^12-$A129)&gt;(C$3*10^12-$A128),$A128,$A129))</f>
        <v>0</v>
      </c>
      <c r="D128" s="0" t="n">
        <f aca="false">IF(IF((D$3*10^12-$A129)*(D$3*10^12-$A128)*-1&lt;0,0,1)*IF(ABS(D$3*10^12-$A129)&gt;(D$3*10^12-$A128),$A128,$A129)=D129,0,IF((D$3*10^12-$A129)*(D$3*10^12-$A128)*-1&lt;0,0,1)*IF(ABS(D$3*10^12-$A129)&gt;(D$3*10^12-$A128),$A128,$A129))</f>
        <v>0</v>
      </c>
      <c r="E128" s="0" t="n">
        <f aca="false">IF(IF((E$3*10^12-$A129)*(E$3*10^12-$A128)*-1&lt;0,0,1)*IF(ABS(E$3*10^12-$A129)&gt;(E$3*10^12-$A128),$A128,$A129)=E129,0,IF((E$3*10^12-$A129)*(E$3*10^12-$A128)*-1&lt;0,0,1)*IF(ABS(E$3*10^12-$A129)&gt;(E$3*10^12-$A128),$A128,$A129))</f>
        <v>0</v>
      </c>
      <c r="F128" s="0" t="n">
        <f aca="false">IF(IF((F$3*10^12-$A129)*(F$3*10^12-$A128)*-1&lt;0,0,1)*IF(ABS(F$3*10^12-$A129)&gt;(F$3*10^12-$A128),$A128,$A129)=F129,0,IF((F$3*10^12-$A129)*(F$3*10^12-$A128)*-1&lt;0,0,1)*IF(ABS(F$3*10^12-$A129)&gt;(F$3*10^12-$A128),$A128,$A129))</f>
        <v>0</v>
      </c>
      <c r="G128" s="0" t="n">
        <f aca="false">IF(IF((G$3*10^12-$A129)*(G$3*10^12-$A128)*-1&lt;0,0,1)*IF(ABS(G$3*10^12-$A129)&gt;(G$3*10^12-$A128),$A128,$A129)=G129,0,IF((G$3*10^12-$A129)*(G$3*10^12-$A128)*-1&lt;0,0,1)*IF(ABS(G$3*10^12-$A129)&gt;(G$3*10^12-$A128),$A128,$A129))</f>
        <v>0</v>
      </c>
      <c r="H128" s="0" t="n">
        <f aca="false">IF(IF((H$3*10^12-$A129)*(H$3*10^12-$A128)*-1&lt;0,0,1)*IF(ABS(H$3*10^12-$A129)&gt;(H$3*10^12-$A128),$A128,$A129)=H129,0,IF((H$3*10^12-$A129)*(H$3*10^12-$A128)*-1&lt;0,0,1)*IF(ABS(H$3*10^12-$A129)&gt;(H$3*10^12-$A128),$A128,$A129))</f>
        <v>0</v>
      </c>
      <c r="I128" s="0" t="n">
        <f aca="false">IF(IF((I$3*10^12-$A129)*(I$3*10^12-$A128)*-1&lt;0,0,1)*IF(ABS(I$3*10^12-$A129)&gt;(I$3*10^12-$A128),$A128,$A129)=I129,0,IF((I$3*10^12-$A129)*(I$3*10^12-$A128)*-1&lt;0,0,1)*IF(ABS(I$3*10^12-$A129)&gt;(I$3*10^12-$A128),$A128,$A129))</f>
        <v>0</v>
      </c>
      <c r="J128" s="0" t="n">
        <f aca="false">IF(IF((J$3*10^12-$A129)*(J$3*10^12-$A128)*-1&lt;0,0,1)*IF(ABS(J$3*10^12-$A129)&gt;(J$3*10^12-$A128),$A128,$A129)=J129,0,IF((J$3*10^12-$A129)*(J$3*10^12-$A128)*-1&lt;0,0,1)*IF(ABS(J$3*10^12-$A129)&gt;(J$3*10^12-$A128),$A128,$A129))</f>
        <v>0</v>
      </c>
    </row>
    <row r="129" customFormat="false" ht="12.75" hidden="false" customHeight="false" outlineLevel="0" collapsed="false">
      <c r="A129" s="0" t="n">
        <f aca="false">A117*10</f>
        <v>8200000000</v>
      </c>
      <c r="B129" s="0" t="n">
        <f aca="false">IF(IF((B$3*10^12-$A130)*(B$3*10^12-$A129)*-1&lt;0,0,1)*IF(ABS(B$3*10^12-$A130)&gt;(B$3*10^12-$A129),$A129,$A130)=B130,0,IF((B$3*10^12-$A130)*(B$3*10^12-$A129)*-1&lt;0,0,1)*IF(ABS(B$3*10^12-$A130)&gt;(B$3*10^12-$A129),$A129,$A130))</f>
        <v>0</v>
      </c>
      <c r="C129" s="0" t="n">
        <f aca="false">IF(IF((C$3*10^12-$A130)*(C$3*10^12-$A129)*-1&lt;0,0,1)*IF(ABS(C$3*10^12-$A130)&gt;(C$3*10^12-$A129),$A129,$A130)=C130,0,IF((C$3*10^12-$A130)*(C$3*10^12-$A129)*-1&lt;0,0,1)*IF(ABS(C$3*10^12-$A130)&gt;(C$3*10^12-$A129),$A129,$A130))</f>
        <v>0</v>
      </c>
      <c r="D129" s="0" t="n">
        <f aca="false">IF(IF((D$3*10^12-$A130)*(D$3*10^12-$A129)*-1&lt;0,0,1)*IF(ABS(D$3*10^12-$A130)&gt;(D$3*10^12-$A129),$A129,$A130)=D130,0,IF((D$3*10^12-$A130)*(D$3*10^12-$A129)*-1&lt;0,0,1)*IF(ABS(D$3*10^12-$A130)&gt;(D$3*10^12-$A129),$A129,$A130))</f>
        <v>0</v>
      </c>
      <c r="E129" s="0" t="n">
        <f aca="false">IF(IF((E$3*10^12-$A130)*(E$3*10^12-$A129)*-1&lt;0,0,1)*IF(ABS(E$3*10^12-$A130)&gt;(E$3*10^12-$A129),$A129,$A130)=E130,0,IF((E$3*10^12-$A130)*(E$3*10^12-$A129)*-1&lt;0,0,1)*IF(ABS(E$3*10^12-$A130)&gt;(E$3*10^12-$A129),$A129,$A130))</f>
        <v>0</v>
      </c>
      <c r="F129" s="0" t="n">
        <f aca="false">IF(IF((F$3*10^12-$A130)*(F$3*10^12-$A129)*-1&lt;0,0,1)*IF(ABS(F$3*10^12-$A130)&gt;(F$3*10^12-$A129),$A129,$A130)=F130,0,IF((F$3*10^12-$A130)*(F$3*10^12-$A129)*-1&lt;0,0,1)*IF(ABS(F$3*10^12-$A130)&gt;(F$3*10^12-$A129),$A129,$A130))</f>
        <v>0</v>
      </c>
      <c r="G129" s="0" t="n">
        <f aca="false">IF(IF((G$3*10^12-$A130)*(G$3*10^12-$A129)*-1&lt;0,0,1)*IF(ABS(G$3*10^12-$A130)&gt;(G$3*10^12-$A129),$A129,$A130)=G130,0,IF((G$3*10^12-$A130)*(G$3*10^12-$A129)*-1&lt;0,0,1)*IF(ABS(G$3*10^12-$A130)&gt;(G$3*10^12-$A129),$A129,$A130))</f>
        <v>0</v>
      </c>
      <c r="H129" s="0" t="n">
        <f aca="false">IF(IF((H$3*10^12-$A130)*(H$3*10^12-$A129)*-1&lt;0,0,1)*IF(ABS(H$3*10^12-$A130)&gt;(H$3*10^12-$A129),$A129,$A130)=H130,0,IF((H$3*10^12-$A130)*(H$3*10^12-$A129)*-1&lt;0,0,1)*IF(ABS(H$3*10^12-$A130)&gt;(H$3*10^12-$A129),$A129,$A130))</f>
        <v>0</v>
      </c>
      <c r="I129" s="0" t="n">
        <f aca="false">IF(IF((I$3*10^12-$A130)*(I$3*10^12-$A129)*-1&lt;0,0,1)*IF(ABS(I$3*10^12-$A130)&gt;(I$3*10^12-$A129),$A129,$A130)=I130,0,IF((I$3*10^12-$A130)*(I$3*10^12-$A129)*-1&lt;0,0,1)*IF(ABS(I$3*10^12-$A130)&gt;(I$3*10^12-$A129),$A129,$A130))</f>
        <v>0</v>
      </c>
      <c r="J129" s="0" t="n">
        <f aca="false">IF(IF((J$3*10^12-$A130)*(J$3*10^12-$A129)*-1&lt;0,0,1)*IF(ABS(J$3*10^12-$A130)&gt;(J$3*10^12-$A129),$A129,$A130)=J130,0,IF((J$3*10^12-$A130)*(J$3*10^12-$A129)*-1&lt;0,0,1)*IF(ABS(J$3*10^12-$A130)&gt;(J$3*10^12-$A129),$A129,$A130))</f>
        <v>0</v>
      </c>
    </row>
    <row r="130" customFormat="false" ht="12.75" hidden="false" customHeight="false" outlineLevel="0" collapsed="false">
      <c r="A130" s="0" t="n">
        <f aca="false">A118*10</f>
        <v>10000000000</v>
      </c>
      <c r="B130" s="0" t="n">
        <f aca="false">IF(IF((B$3*10^12-$A131)*(B$3*10^12-$A130)*-1&lt;0,0,1)*IF(ABS(B$3*10^12-$A131)&gt;(B$3*10^12-$A130),$A130,$A131)=B131,0,IF((B$3*10^12-$A131)*(B$3*10^12-$A130)*-1&lt;0,0,1)*IF(ABS(B$3*10^12-$A131)&gt;(B$3*10^12-$A130),$A130,$A131))</f>
        <v>0</v>
      </c>
      <c r="C130" s="0" t="n">
        <f aca="false">IF(IF((C$3*10^12-$A131)*(C$3*10^12-$A130)*-1&lt;0,0,1)*IF(ABS(C$3*10^12-$A131)&gt;(C$3*10^12-$A130),$A130,$A131)=C131,0,IF((C$3*10^12-$A131)*(C$3*10^12-$A130)*-1&lt;0,0,1)*IF(ABS(C$3*10^12-$A131)&gt;(C$3*10^12-$A130),$A130,$A131))</f>
        <v>0</v>
      </c>
      <c r="D130" s="0" t="n">
        <f aca="false">IF(IF((D$3*10^12-$A131)*(D$3*10^12-$A130)*-1&lt;0,0,1)*IF(ABS(D$3*10^12-$A131)&gt;(D$3*10^12-$A130),$A130,$A131)=D131,0,IF((D$3*10^12-$A131)*(D$3*10^12-$A130)*-1&lt;0,0,1)*IF(ABS(D$3*10^12-$A131)&gt;(D$3*10^12-$A130),$A130,$A131))</f>
        <v>0</v>
      </c>
      <c r="E130" s="0" t="n">
        <f aca="false">IF(IF((E$3*10^12-$A131)*(E$3*10^12-$A130)*-1&lt;0,0,1)*IF(ABS(E$3*10^12-$A131)&gt;(E$3*10^12-$A130),$A130,$A131)=E131,0,IF((E$3*10^12-$A131)*(E$3*10^12-$A130)*-1&lt;0,0,1)*IF(ABS(E$3*10^12-$A131)&gt;(E$3*10^12-$A130),$A130,$A131))</f>
        <v>0</v>
      </c>
      <c r="F130" s="0" t="n">
        <f aca="false">IF(IF((F$3*10^12-$A131)*(F$3*10^12-$A130)*-1&lt;0,0,1)*IF(ABS(F$3*10^12-$A131)&gt;(F$3*10^12-$A130),$A130,$A131)=F131,0,IF((F$3*10^12-$A131)*(F$3*10^12-$A130)*-1&lt;0,0,1)*IF(ABS(F$3*10^12-$A131)&gt;(F$3*10^12-$A130),$A130,$A131))</f>
        <v>0</v>
      </c>
      <c r="G130" s="0" t="n">
        <f aca="false">IF(IF((G$3*10^12-$A131)*(G$3*10^12-$A130)*-1&lt;0,0,1)*IF(ABS(G$3*10^12-$A131)&gt;(G$3*10^12-$A130),$A130,$A131)=G131,0,IF((G$3*10^12-$A131)*(G$3*10^12-$A130)*-1&lt;0,0,1)*IF(ABS(G$3*10^12-$A131)&gt;(G$3*10^12-$A130),$A130,$A131))</f>
        <v>0</v>
      </c>
      <c r="H130" s="0" t="n">
        <f aca="false">IF(IF((H$3*10^12-$A131)*(H$3*10^12-$A130)*-1&lt;0,0,1)*IF(ABS(H$3*10^12-$A131)&gt;(H$3*10^12-$A130),$A130,$A131)=H131,0,IF((H$3*10^12-$A131)*(H$3*10^12-$A130)*-1&lt;0,0,1)*IF(ABS(H$3*10^12-$A131)&gt;(H$3*10^12-$A130),$A130,$A131))</f>
        <v>0</v>
      </c>
      <c r="I130" s="0" t="n">
        <f aca="false">IF(IF((I$3*10^12-$A131)*(I$3*10^12-$A130)*-1&lt;0,0,1)*IF(ABS(I$3*10^12-$A131)&gt;(I$3*10^12-$A130),$A130,$A131)=I131,0,IF((I$3*10^12-$A131)*(I$3*10^12-$A130)*-1&lt;0,0,1)*IF(ABS(I$3*10^12-$A131)&gt;(I$3*10^12-$A130),$A130,$A131))</f>
        <v>0</v>
      </c>
      <c r="J130" s="0" t="n">
        <f aca="false">IF(IF((J$3*10^12-$A131)*(J$3*10^12-$A130)*-1&lt;0,0,1)*IF(ABS(J$3*10^12-$A131)&gt;(J$3*10^12-$A130),$A130,$A131)=J131,0,IF((J$3*10^12-$A131)*(J$3*10^12-$A130)*-1&lt;0,0,1)*IF(ABS(J$3*10^12-$A131)&gt;(J$3*10^12-$A130),$A130,$A131))</f>
        <v>0</v>
      </c>
    </row>
    <row r="131" customFormat="false" ht="12.75" hidden="false" customHeight="false" outlineLevel="0" collapsed="false">
      <c r="A131" s="0" t="n">
        <f aca="false">A119*10</f>
        <v>12000000000</v>
      </c>
      <c r="B131" s="0" t="n">
        <f aca="false">IF(IF((B$3*10^12-$A132)*(B$3*10^12-$A131)*-1&lt;0,0,1)*IF(ABS(B$3*10^12-$A132)&gt;(B$3*10^12-$A131),$A131,$A132)=B132,0,IF((B$3*10^12-$A132)*(B$3*10^12-$A131)*-1&lt;0,0,1)*IF(ABS(B$3*10^12-$A132)&gt;(B$3*10^12-$A131),$A131,$A132))</f>
        <v>0</v>
      </c>
      <c r="C131" s="0" t="n">
        <f aca="false">IF(IF((C$3*10^12-$A132)*(C$3*10^12-$A131)*-1&lt;0,0,1)*IF(ABS(C$3*10^12-$A132)&gt;(C$3*10^12-$A131),$A131,$A132)=C132,0,IF((C$3*10^12-$A132)*(C$3*10^12-$A131)*-1&lt;0,0,1)*IF(ABS(C$3*10^12-$A132)&gt;(C$3*10^12-$A131),$A131,$A132))</f>
        <v>0</v>
      </c>
      <c r="D131" s="0" t="n">
        <f aca="false">IF(IF((D$3*10^12-$A132)*(D$3*10^12-$A131)*-1&lt;0,0,1)*IF(ABS(D$3*10^12-$A132)&gt;(D$3*10^12-$A131),$A131,$A132)=D132,0,IF((D$3*10^12-$A132)*(D$3*10^12-$A131)*-1&lt;0,0,1)*IF(ABS(D$3*10^12-$A132)&gt;(D$3*10^12-$A131),$A131,$A132))</f>
        <v>0</v>
      </c>
      <c r="E131" s="0" t="n">
        <f aca="false">IF(IF((E$3*10^12-$A132)*(E$3*10^12-$A131)*-1&lt;0,0,1)*IF(ABS(E$3*10^12-$A132)&gt;(E$3*10^12-$A131),$A131,$A132)=E132,0,IF((E$3*10^12-$A132)*(E$3*10^12-$A131)*-1&lt;0,0,1)*IF(ABS(E$3*10^12-$A132)&gt;(E$3*10^12-$A131),$A131,$A132))</f>
        <v>0</v>
      </c>
      <c r="F131" s="0" t="n">
        <f aca="false">IF(IF((F$3*10^12-$A132)*(F$3*10^12-$A131)*-1&lt;0,0,1)*IF(ABS(F$3*10^12-$A132)&gt;(F$3*10^12-$A131),$A131,$A132)=F132,0,IF((F$3*10^12-$A132)*(F$3*10^12-$A131)*-1&lt;0,0,1)*IF(ABS(F$3*10^12-$A132)&gt;(F$3*10^12-$A131),$A131,$A132))</f>
        <v>0</v>
      </c>
      <c r="G131" s="0" t="n">
        <f aca="false">IF(IF((G$3*10^12-$A132)*(G$3*10^12-$A131)*-1&lt;0,0,1)*IF(ABS(G$3*10^12-$A132)&gt;(G$3*10^12-$A131),$A131,$A132)=G132,0,IF((G$3*10^12-$A132)*(G$3*10^12-$A131)*-1&lt;0,0,1)*IF(ABS(G$3*10^12-$A132)&gt;(G$3*10^12-$A131),$A131,$A132))</f>
        <v>0</v>
      </c>
      <c r="H131" s="0" t="n">
        <f aca="false">IF(IF((H$3*10^12-$A132)*(H$3*10^12-$A131)*-1&lt;0,0,1)*IF(ABS(H$3*10^12-$A132)&gt;(H$3*10^12-$A131),$A131,$A132)=H132,0,IF((H$3*10^12-$A132)*(H$3*10^12-$A131)*-1&lt;0,0,1)*IF(ABS(H$3*10^12-$A132)&gt;(H$3*10^12-$A131),$A131,$A132))</f>
        <v>0</v>
      </c>
      <c r="I131" s="0" t="n">
        <f aca="false">IF(IF((I$3*10^12-$A132)*(I$3*10^12-$A131)*-1&lt;0,0,1)*IF(ABS(I$3*10^12-$A132)&gt;(I$3*10^12-$A131),$A131,$A132)=I132,0,IF((I$3*10^12-$A132)*(I$3*10^12-$A131)*-1&lt;0,0,1)*IF(ABS(I$3*10^12-$A132)&gt;(I$3*10^12-$A131),$A131,$A132))</f>
        <v>0</v>
      </c>
      <c r="J131" s="0" t="n">
        <f aca="false">IF(IF((J$3*10^12-$A132)*(J$3*10^12-$A131)*-1&lt;0,0,1)*IF(ABS(J$3*10^12-$A132)&gt;(J$3*10^12-$A131),$A131,$A132)=J132,0,IF((J$3*10^12-$A132)*(J$3*10^12-$A131)*-1&lt;0,0,1)*IF(ABS(J$3*10^12-$A132)&gt;(J$3*10^12-$A131),$A131,$A132))</f>
        <v>0</v>
      </c>
    </row>
    <row r="132" customFormat="false" ht="12.75" hidden="false" customHeight="false" outlineLevel="0" collapsed="false">
      <c r="A132" s="0" t="n">
        <f aca="false">A120*10</f>
        <v>15000000000</v>
      </c>
      <c r="B132" s="0" t="n">
        <f aca="false">IF(IF((B$3*10^12-$A133)*(B$3*10^12-$A132)*-1&lt;0,0,1)*IF(ABS(B$3*10^12-$A133)&gt;(B$3*10^12-$A132),$A132,$A133)=B133,0,IF((B$3*10^12-$A133)*(B$3*10^12-$A132)*-1&lt;0,0,1)*IF(ABS(B$3*10^12-$A133)&gt;(B$3*10^12-$A132),$A132,$A133))</f>
        <v>0</v>
      </c>
      <c r="C132" s="0" t="n">
        <f aca="false">IF(IF((C$3*10^12-$A133)*(C$3*10^12-$A132)*-1&lt;0,0,1)*IF(ABS(C$3*10^12-$A133)&gt;(C$3*10^12-$A132),$A132,$A133)=C133,0,IF((C$3*10^12-$A133)*(C$3*10^12-$A132)*-1&lt;0,0,1)*IF(ABS(C$3*10^12-$A133)&gt;(C$3*10^12-$A132),$A132,$A133))</f>
        <v>0</v>
      </c>
      <c r="D132" s="0" t="n">
        <f aca="false">IF(IF((D$3*10^12-$A133)*(D$3*10^12-$A132)*-1&lt;0,0,1)*IF(ABS(D$3*10^12-$A133)&gt;(D$3*10^12-$A132),$A132,$A133)=D133,0,IF((D$3*10^12-$A133)*(D$3*10^12-$A132)*-1&lt;0,0,1)*IF(ABS(D$3*10^12-$A133)&gt;(D$3*10^12-$A132),$A132,$A133))</f>
        <v>0</v>
      </c>
      <c r="E132" s="0" t="n">
        <f aca="false">IF(IF((E$3*10^12-$A133)*(E$3*10^12-$A132)*-1&lt;0,0,1)*IF(ABS(E$3*10^12-$A133)&gt;(E$3*10^12-$A132),$A132,$A133)=E133,0,IF((E$3*10^12-$A133)*(E$3*10^12-$A132)*-1&lt;0,0,1)*IF(ABS(E$3*10^12-$A133)&gt;(E$3*10^12-$A132),$A132,$A133))</f>
        <v>0</v>
      </c>
      <c r="F132" s="0" t="n">
        <f aca="false">IF(IF((F$3*10^12-$A133)*(F$3*10^12-$A132)*-1&lt;0,0,1)*IF(ABS(F$3*10^12-$A133)&gt;(F$3*10^12-$A132),$A132,$A133)=F133,0,IF((F$3*10^12-$A133)*(F$3*10^12-$A132)*-1&lt;0,0,1)*IF(ABS(F$3*10^12-$A133)&gt;(F$3*10^12-$A132),$A132,$A133))</f>
        <v>0</v>
      </c>
      <c r="G132" s="0" t="n">
        <f aca="false">IF(IF((G$3*10^12-$A133)*(G$3*10^12-$A132)*-1&lt;0,0,1)*IF(ABS(G$3*10^12-$A133)&gt;(G$3*10^12-$A132),$A132,$A133)=G133,0,IF((G$3*10^12-$A133)*(G$3*10^12-$A132)*-1&lt;0,0,1)*IF(ABS(G$3*10^12-$A133)&gt;(G$3*10^12-$A132),$A132,$A133))</f>
        <v>0</v>
      </c>
      <c r="H132" s="0" t="n">
        <f aca="false">IF(IF((H$3*10^12-$A133)*(H$3*10^12-$A132)*-1&lt;0,0,1)*IF(ABS(H$3*10^12-$A133)&gt;(H$3*10^12-$A132),$A132,$A133)=H133,0,IF((H$3*10^12-$A133)*(H$3*10^12-$A132)*-1&lt;0,0,1)*IF(ABS(H$3*10^12-$A133)&gt;(H$3*10^12-$A132),$A132,$A133))</f>
        <v>0</v>
      </c>
      <c r="I132" s="0" t="n">
        <f aca="false">IF(IF((I$3*10^12-$A133)*(I$3*10^12-$A132)*-1&lt;0,0,1)*IF(ABS(I$3*10^12-$A133)&gt;(I$3*10^12-$A132),$A132,$A133)=I133,0,IF((I$3*10^12-$A133)*(I$3*10^12-$A132)*-1&lt;0,0,1)*IF(ABS(I$3*10^12-$A133)&gt;(I$3*10^12-$A132),$A132,$A133))</f>
        <v>0</v>
      </c>
      <c r="J132" s="0" t="n">
        <f aca="false">IF(IF((J$3*10^12-$A133)*(J$3*10^12-$A132)*-1&lt;0,0,1)*IF(ABS(J$3*10^12-$A133)&gt;(J$3*10^12-$A132),$A132,$A133)=J133,0,IF((J$3*10^12-$A133)*(J$3*10^12-$A132)*-1&lt;0,0,1)*IF(ABS(J$3*10^12-$A133)&gt;(J$3*10^12-$A132),$A132,$A133))</f>
        <v>0</v>
      </c>
    </row>
    <row r="133" customFormat="false" ht="12.75" hidden="false" customHeight="false" outlineLevel="0" collapsed="false">
      <c r="A133" s="0" t="n">
        <f aca="false">A121*10</f>
        <v>18000000000</v>
      </c>
      <c r="B133" s="0" t="n">
        <f aca="false">IF(IF((B$3*10^12-$A134)*(B$3*10^12-$A133)*-1&lt;0,0,1)*IF(ABS(B$3*10^12-$A134)&gt;(B$3*10^12-$A133),$A133,$A134)=B134,0,IF((B$3*10^12-$A134)*(B$3*10^12-$A133)*-1&lt;0,0,1)*IF(ABS(B$3*10^12-$A134)&gt;(B$3*10^12-$A133),$A133,$A134))</f>
        <v>0</v>
      </c>
      <c r="C133" s="0" t="n">
        <f aca="false">IF(IF((C$3*10^12-$A134)*(C$3*10^12-$A133)*-1&lt;0,0,1)*IF(ABS(C$3*10^12-$A134)&gt;(C$3*10^12-$A133),$A133,$A134)=C134,0,IF((C$3*10^12-$A134)*(C$3*10^12-$A133)*-1&lt;0,0,1)*IF(ABS(C$3*10^12-$A134)&gt;(C$3*10^12-$A133),$A133,$A134))</f>
        <v>0</v>
      </c>
      <c r="D133" s="0" t="n">
        <f aca="false">IF(IF((D$3*10^12-$A134)*(D$3*10^12-$A133)*-1&lt;0,0,1)*IF(ABS(D$3*10^12-$A134)&gt;(D$3*10^12-$A133),$A133,$A134)=D134,0,IF((D$3*10^12-$A134)*(D$3*10^12-$A133)*-1&lt;0,0,1)*IF(ABS(D$3*10^12-$A134)&gt;(D$3*10^12-$A133),$A133,$A134))</f>
        <v>0</v>
      </c>
      <c r="E133" s="0" t="n">
        <f aca="false">IF(IF((E$3*10^12-$A134)*(E$3*10^12-$A133)*-1&lt;0,0,1)*IF(ABS(E$3*10^12-$A134)&gt;(E$3*10^12-$A133),$A133,$A134)=E134,0,IF((E$3*10^12-$A134)*(E$3*10^12-$A133)*-1&lt;0,0,1)*IF(ABS(E$3*10^12-$A134)&gt;(E$3*10^12-$A133),$A133,$A134))</f>
        <v>0</v>
      </c>
      <c r="F133" s="0" t="n">
        <f aca="false">IF(IF((F$3*10^12-$A134)*(F$3*10^12-$A133)*-1&lt;0,0,1)*IF(ABS(F$3*10^12-$A134)&gt;(F$3*10^12-$A133),$A133,$A134)=F134,0,IF((F$3*10^12-$A134)*(F$3*10^12-$A133)*-1&lt;0,0,1)*IF(ABS(F$3*10^12-$A134)&gt;(F$3*10^12-$A133),$A133,$A134))</f>
        <v>0</v>
      </c>
      <c r="G133" s="0" t="n">
        <f aca="false">IF(IF((G$3*10^12-$A134)*(G$3*10^12-$A133)*-1&lt;0,0,1)*IF(ABS(G$3*10^12-$A134)&gt;(G$3*10^12-$A133),$A133,$A134)=G134,0,IF((G$3*10^12-$A134)*(G$3*10^12-$A133)*-1&lt;0,0,1)*IF(ABS(G$3*10^12-$A134)&gt;(G$3*10^12-$A133),$A133,$A134))</f>
        <v>0</v>
      </c>
      <c r="H133" s="0" t="n">
        <f aca="false">IF(IF((H$3*10^12-$A134)*(H$3*10^12-$A133)*-1&lt;0,0,1)*IF(ABS(H$3*10^12-$A134)&gt;(H$3*10^12-$A133),$A133,$A134)=H134,0,IF((H$3*10^12-$A134)*(H$3*10^12-$A133)*-1&lt;0,0,1)*IF(ABS(H$3*10^12-$A134)&gt;(H$3*10^12-$A133),$A133,$A134))</f>
        <v>0</v>
      </c>
      <c r="I133" s="0" t="n">
        <f aca="false">IF(IF((I$3*10^12-$A134)*(I$3*10^12-$A133)*-1&lt;0,0,1)*IF(ABS(I$3*10^12-$A134)&gt;(I$3*10^12-$A133),$A133,$A134)=I134,0,IF((I$3*10^12-$A134)*(I$3*10^12-$A133)*-1&lt;0,0,1)*IF(ABS(I$3*10^12-$A134)&gt;(I$3*10^12-$A133),$A133,$A134))</f>
        <v>0</v>
      </c>
      <c r="J133" s="0" t="n">
        <f aca="false">IF(IF((J$3*10^12-$A134)*(J$3*10^12-$A133)*-1&lt;0,0,1)*IF(ABS(J$3*10^12-$A134)&gt;(J$3*10^12-$A133),$A133,$A134)=J134,0,IF((J$3*10^12-$A134)*(J$3*10^12-$A133)*-1&lt;0,0,1)*IF(ABS(J$3*10^12-$A134)&gt;(J$3*10^12-$A133),$A133,$A134))</f>
        <v>0</v>
      </c>
    </row>
    <row r="134" customFormat="false" ht="12.75" hidden="false" customHeight="false" outlineLevel="0" collapsed="false">
      <c r="A134" s="0" t="n">
        <f aca="false">A122*10</f>
        <v>22000000000</v>
      </c>
      <c r="B134" s="0" t="n">
        <f aca="false">IF(IF((B$3*10^12-$A135)*(B$3*10^12-$A134)*-1&lt;0,0,1)*IF(ABS(B$3*10^12-$A135)&gt;(B$3*10^12-$A134),$A134,$A135)=B135,0,IF((B$3*10^12-$A135)*(B$3*10^12-$A134)*-1&lt;0,0,1)*IF(ABS(B$3*10^12-$A135)&gt;(B$3*10^12-$A134),$A134,$A135))</f>
        <v>0</v>
      </c>
      <c r="C134" s="0" t="n">
        <f aca="false">IF(IF((C$3*10^12-$A135)*(C$3*10^12-$A134)*-1&lt;0,0,1)*IF(ABS(C$3*10^12-$A135)&gt;(C$3*10^12-$A134),$A134,$A135)=C135,0,IF((C$3*10^12-$A135)*(C$3*10^12-$A134)*-1&lt;0,0,1)*IF(ABS(C$3*10^12-$A135)&gt;(C$3*10^12-$A134),$A134,$A135))</f>
        <v>0</v>
      </c>
      <c r="D134" s="0" t="n">
        <f aca="false">IF(IF((D$3*10^12-$A135)*(D$3*10^12-$A134)*-1&lt;0,0,1)*IF(ABS(D$3*10^12-$A135)&gt;(D$3*10^12-$A134),$A134,$A135)=D135,0,IF((D$3*10^12-$A135)*(D$3*10^12-$A134)*-1&lt;0,0,1)*IF(ABS(D$3*10^12-$A135)&gt;(D$3*10^12-$A134),$A134,$A135))</f>
        <v>0</v>
      </c>
      <c r="E134" s="0" t="n">
        <f aca="false">IF(IF((E$3*10^12-$A135)*(E$3*10^12-$A134)*-1&lt;0,0,1)*IF(ABS(E$3*10^12-$A135)&gt;(E$3*10^12-$A134),$A134,$A135)=E135,0,IF((E$3*10^12-$A135)*(E$3*10^12-$A134)*-1&lt;0,0,1)*IF(ABS(E$3*10^12-$A135)&gt;(E$3*10^12-$A134),$A134,$A135))</f>
        <v>0</v>
      </c>
      <c r="F134" s="0" t="n">
        <f aca="false">IF(IF((F$3*10^12-$A135)*(F$3*10^12-$A134)*-1&lt;0,0,1)*IF(ABS(F$3*10^12-$A135)&gt;(F$3*10^12-$A134),$A134,$A135)=F135,0,IF((F$3*10^12-$A135)*(F$3*10^12-$A134)*-1&lt;0,0,1)*IF(ABS(F$3*10^12-$A135)&gt;(F$3*10^12-$A134),$A134,$A135))</f>
        <v>0</v>
      </c>
      <c r="G134" s="0" t="n">
        <f aca="false">IF(IF((G$3*10^12-$A135)*(G$3*10^12-$A134)*-1&lt;0,0,1)*IF(ABS(G$3*10^12-$A135)&gt;(G$3*10^12-$A134),$A134,$A135)=G135,0,IF((G$3*10^12-$A135)*(G$3*10^12-$A134)*-1&lt;0,0,1)*IF(ABS(G$3*10^12-$A135)&gt;(G$3*10^12-$A134),$A134,$A135))</f>
        <v>0</v>
      </c>
      <c r="H134" s="0" t="n">
        <f aca="false">IF(IF((H$3*10^12-$A135)*(H$3*10^12-$A134)*-1&lt;0,0,1)*IF(ABS(H$3*10^12-$A135)&gt;(H$3*10^12-$A134),$A134,$A135)=H135,0,IF((H$3*10^12-$A135)*(H$3*10^12-$A134)*-1&lt;0,0,1)*IF(ABS(H$3*10^12-$A135)&gt;(H$3*10^12-$A134),$A134,$A135))</f>
        <v>0</v>
      </c>
      <c r="I134" s="0" t="n">
        <f aca="false">IF(IF((I$3*10^12-$A135)*(I$3*10^12-$A134)*-1&lt;0,0,1)*IF(ABS(I$3*10^12-$A135)&gt;(I$3*10^12-$A134),$A134,$A135)=I135,0,IF((I$3*10^12-$A135)*(I$3*10^12-$A134)*-1&lt;0,0,1)*IF(ABS(I$3*10^12-$A135)&gt;(I$3*10^12-$A134),$A134,$A135))</f>
        <v>0</v>
      </c>
      <c r="J134" s="0" t="n">
        <f aca="false">IF(IF((J$3*10^12-$A135)*(J$3*10^12-$A134)*-1&lt;0,0,1)*IF(ABS(J$3*10^12-$A135)&gt;(J$3*10^12-$A134),$A134,$A135)=J135,0,IF((J$3*10^12-$A135)*(J$3*10^12-$A134)*-1&lt;0,0,1)*IF(ABS(J$3*10^12-$A135)&gt;(J$3*10^12-$A134),$A134,$A135))</f>
        <v>0</v>
      </c>
    </row>
    <row r="135" customFormat="false" ht="12.75" hidden="false" customHeight="false" outlineLevel="0" collapsed="false">
      <c r="A135" s="0" t="n">
        <f aca="false">A123*10</f>
        <v>27000000000</v>
      </c>
      <c r="B135" s="0" t="n">
        <f aca="false">IF(IF((B$3*10^12-$A136)*(B$3*10^12-$A135)*-1&lt;0,0,1)*IF(ABS(B$3*10^12-$A136)&gt;(B$3*10^12-$A135),$A135,$A136)=B136,0,IF((B$3*10^12-$A136)*(B$3*10^12-$A135)*-1&lt;0,0,1)*IF(ABS(B$3*10^12-$A136)&gt;(B$3*10^12-$A135),$A135,$A136))</f>
        <v>0</v>
      </c>
      <c r="C135" s="0" t="n">
        <f aca="false">IF(IF((C$3*10^12-$A136)*(C$3*10^12-$A135)*-1&lt;0,0,1)*IF(ABS(C$3*10^12-$A136)&gt;(C$3*10^12-$A135),$A135,$A136)=C136,0,IF((C$3*10^12-$A136)*(C$3*10^12-$A135)*-1&lt;0,0,1)*IF(ABS(C$3*10^12-$A136)&gt;(C$3*10^12-$A135),$A135,$A136))</f>
        <v>0</v>
      </c>
      <c r="D135" s="0" t="n">
        <f aca="false">IF(IF((D$3*10^12-$A136)*(D$3*10^12-$A135)*-1&lt;0,0,1)*IF(ABS(D$3*10^12-$A136)&gt;(D$3*10^12-$A135),$A135,$A136)=D136,0,IF((D$3*10^12-$A136)*(D$3*10^12-$A135)*-1&lt;0,0,1)*IF(ABS(D$3*10^12-$A136)&gt;(D$3*10^12-$A135),$A135,$A136))</f>
        <v>0</v>
      </c>
      <c r="E135" s="0" t="n">
        <f aca="false">IF(IF((E$3*10^12-$A136)*(E$3*10^12-$A135)*-1&lt;0,0,1)*IF(ABS(E$3*10^12-$A136)&gt;(E$3*10^12-$A135),$A135,$A136)=E136,0,IF((E$3*10^12-$A136)*(E$3*10^12-$A135)*-1&lt;0,0,1)*IF(ABS(E$3*10^12-$A136)&gt;(E$3*10^12-$A135),$A135,$A136))</f>
        <v>0</v>
      </c>
      <c r="F135" s="0" t="n">
        <f aca="false">IF(IF((F$3*10^12-$A136)*(F$3*10^12-$A135)*-1&lt;0,0,1)*IF(ABS(F$3*10^12-$A136)&gt;(F$3*10^12-$A135),$A135,$A136)=F136,0,IF((F$3*10^12-$A136)*(F$3*10^12-$A135)*-1&lt;0,0,1)*IF(ABS(F$3*10^12-$A136)&gt;(F$3*10^12-$A135),$A135,$A136))</f>
        <v>0</v>
      </c>
      <c r="G135" s="0" t="n">
        <f aca="false">IF(IF((G$3*10^12-$A136)*(G$3*10^12-$A135)*-1&lt;0,0,1)*IF(ABS(G$3*10^12-$A136)&gt;(G$3*10^12-$A135),$A135,$A136)=G136,0,IF((G$3*10^12-$A136)*(G$3*10^12-$A135)*-1&lt;0,0,1)*IF(ABS(G$3*10^12-$A136)&gt;(G$3*10^12-$A135),$A135,$A136))</f>
        <v>0</v>
      </c>
      <c r="H135" s="0" t="n">
        <f aca="false">IF(IF((H$3*10^12-$A136)*(H$3*10^12-$A135)*-1&lt;0,0,1)*IF(ABS(H$3*10^12-$A136)&gt;(H$3*10^12-$A135),$A135,$A136)=H136,0,IF((H$3*10^12-$A136)*(H$3*10^12-$A135)*-1&lt;0,0,1)*IF(ABS(H$3*10^12-$A136)&gt;(H$3*10^12-$A135),$A135,$A136))</f>
        <v>0</v>
      </c>
      <c r="I135" s="0" t="n">
        <f aca="false">IF(IF((I$3*10^12-$A136)*(I$3*10^12-$A135)*-1&lt;0,0,1)*IF(ABS(I$3*10^12-$A136)&gt;(I$3*10^12-$A135),$A135,$A136)=I136,0,IF((I$3*10^12-$A136)*(I$3*10^12-$A135)*-1&lt;0,0,1)*IF(ABS(I$3*10^12-$A136)&gt;(I$3*10^12-$A135),$A135,$A136))</f>
        <v>0</v>
      </c>
      <c r="J135" s="0" t="n">
        <f aca="false">IF(IF((J$3*10^12-$A136)*(J$3*10^12-$A135)*-1&lt;0,0,1)*IF(ABS(J$3*10^12-$A136)&gt;(J$3*10^12-$A135),$A135,$A136)=J136,0,IF((J$3*10^12-$A136)*(J$3*10^12-$A135)*-1&lt;0,0,1)*IF(ABS(J$3*10^12-$A136)&gt;(J$3*10^12-$A135),$A135,$A136))</f>
        <v>0</v>
      </c>
    </row>
    <row r="136" customFormat="false" ht="12.75" hidden="false" customHeight="false" outlineLevel="0" collapsed="false">
      <c r="A136" s="0" t="n">
        <f aca="false">A124*10</f>
        <v>33000000000</v>
      </c>
      <c r="B136" s="0" t="n">
        <f aca="false">IF(IF((B$3*10^12-$A137)*(B$3*10^12-$A136)*-1&lt;0,0,1)*IF(ABS(B$3*10^12-$A137)&gt;(B$3*10^12-$A136),$A136,$A137)=B137,0,IF((B$3*10^12-$A137)*(B$3*10^12-$A136)*-1&lt;0,0,1)*IF(ABS(B$3*10^12-$A137)&gt;(B$3*10^12-$A136),$A136,$A137))</f>
        <v>0</v>
      </c>
      <c r="C136" s="0" t="n">
        <f aca="false">IF(IF((C$3*10^12-$A137)*(C$3*10^12-$A136)*-1&lt;0,0,1)*IF(ABS(C$3*10^12-$A137)&gt;(C$3*10^12-$A136),$A136,$A137)=C137,0,IF((C$3*10^12-$A137)*(C$3*10^12-$A136)*-1&lt;0,0,1)*IF(ABS(C$3*10^12-$A137)&gt;(C$3*10^12-$A136),$A136,$A137))</f>
        <v>0</v>
      </c>
      <c r="D136" s="0" t="n">
        <f aca="false">IF(IF((D$3*10^12-$A137)*(D$3*10^12-$A136)*-1&lt;0,0,1)*IF(ABS(D$3*10^12-$A137)&gt;(D$3*10^12-$A136),$A136,$A137)=D137,0,IF((D$3*10^12-$A137)*(D$3*10^12-$A136)*-1&lt;0,0,1)*IF(ABS(D$3*10^12-$A137)&gt;(D$3*10^12-$A136),$A136,$A137))</f>
        <v>0</v>
      </c>
      <c r="E136" s="0" t="n">
        <f aca="false">IF(IF((E$3*10^12-$A137)*(E$3*10^12-$A136)*-1&lt;0,0,1)*IF(ABS(E$3*10^12-$A137)&gt;(E$3*10^12-$A136),$A136,$A137)=E137,0,IF((E$3*10^12-$A137)*(E$3*10^12-$A136)*-1&lt;0,0,1)*IF(ABS(E$3*10^12-$A137)&gt;(E$3*10^12-$A136),$A136,$A137))</f>
        <v>0</v>
      </c>
      <c r="F136" s="0" t="n">
        <f aca="false">IF(IF((F$3*10^12-$A137)*(F$3*10^12-$A136)*-1&lt;0,0,1)*IF(ABS(F$3*10^12-$A137)&gt;(F$3*10^12-$A136),$A136,$A137)=F137,0,IF((F$3*10^12-$A137)*(F$3*10^12-$A136)*-1&lt;0,0,1)*IF(ABS(F$3*10^12-$A137)&gt;(F$3*10^12-$A136),$A136,$A137))</f>
        <v>0</v>
      </c>
      <c r="G136" s="0" t="n">
        <f aca="false">IF(IF((G$3*10^12-$A137)*(G$3*10^12-$A136)*-1&lt;0,0,1)*IF(ABS(G$3*10^12-$A137)&gt;(G$3*10^12-$A136),$A136,$A137)=G137,0,IF((G$3*10^12-$A137)*(G$3*10^12-$A136)*-1&lt;0,0,1)*IF(ABS(G$3*10^12-$A137)&gt;(G$3*10^12-$A136),$A136,$A137))</f>
        <v>0</v>
      </c>
      <c r="H136" s="0" t="n">
        <f aca="false">IF(IF((H$3*10^12-$A137)*(H$3*10^12-$A136)*-1&lt;0,0,1)*IF(ABS(H$3*10^12-$A137)&gt;(H$3*10^12-$A136),$A136,$A137)=H137,0,IF((H$3*10^12-$A137)*(H$3*10^12-$A136)*-1&lt;0,0,1)*IF(ABS(H$3*10^12-$A137)&gt;(H$3*10^12-$A136),$A136,$A137))</f>
        <v>0</v>
      </c>
      <c r="I136" s="0" t="n">
        <f aca="false">IF(IF((I$3*10^12-$A137)*(I$3*10^12-$A136)*-1&lt;0,0,1)*IF(ABS(I$3*10^12-$A137)&gt;(I$3*10^12-$A136),$A136,$A137)=I137,0,IF((I$3*10^12-$A137)*(I$3*10^12-$A136)*-1&lt;0,0,1)*IF(ABS(I$3*10^12-$A137)&gt;(I$3*10^12-$A136),$A136,$A137))</f>
        <v>0</v>
      </c>
      <c r="J136" s="0" t="n">
        <f aca="false">IF(IF((J$3*10^12-$A137)*(J$3*10^12-$A136)*-1&lt;0,0,1)*IF(ABS(J$3*10^12-$A137)&gt;(J$3*10^12-$A136),$A136,$A137)=J137,0,IF((J$3*10^12-$A137)*(J$3*10^12-$A136)*-1&lt;0,0,1)*IF(ABS(J$3*10^12-$A137)&gt;(J$3*10^12-$A136),$A136,$A137))</f>
        <v>0</v>
      </c>
    </row>
    <row r="137" customFormat="false" ht="12.75" hidden="false" customHeight="false" outlineLevel="0" collapsed="false">
      <c r="A137" s="0" t="n">
        <f aca="false">A125*10</f>
        <v>39000000000</v>
      </c>
      <c r="B137" s="0" t="n">
        <f aca="false">IF(IF((B$3*10^12-$A138)*(B$3*10^12-$A137)*-1&lt;0,0,1)*IF(ABS(B$3*10^12-$A138)&gt;(B$3*10^12-$A137),$A137,$A138)=B138,0,IF((B$3*10^12-$A138)*(B$3*10^12-$A137)*-1&lt;0,0,1)*IF(ABS(B$3*10^12-$A138)&gt;(B$3*10^12-$A137),$A137,$A138))</f>
        <v>0</v>
      </c>
      <c r="C137" s="0" t="n">
        <f aca="false">IF(IF((C$3*10^12-$A138)*(C$3*10^12-$A137)*-1&lt;0,0,1)*IF(ABS(C$3*10^12-$A138)&gt;(C$3*10^12-$A137),$A137,$A138)=C138,0,IF((C$3*10^12-$A138)*(C$3*10^12-$A137)*-1&lt;0,0,1)*IF(ABS(C$3*10^12-$A138)&gt;(C$3*10^12-$A137),$A137,$A138))</f>
        <v>0</v>
      </c>
      <c r="D137" s="0" t="n">
        <f aca="false">IF(IF((D$3*10^12-$A138)*(D$3*10^12-$A137)*-1&lt;0,0,1)*IF(ABS(D$3*10^12-$A138)&gt;(D$3*10^12-$A137),$A137,$A138)=D138,0,IF((D$3*10^12-$A138)*(D$3*10^12-$A137)*-1&lt;0,0,1)*IF(ABS(D$3*10^12-$A138)&gt;(D$3*10^12-$A137),$A137,$A138))</f>
        <v>0</v>
      </c>
      <c r="E137" s="0" t="n">
        <f aca="false">IF(IF((E$3*10^12-$A138)*(E$3*10^12-$A137)*-1&lt;0,0,1)*IF(ABS(E$3*10^12-$A138)&gt;(E$3*10^12-$A137),$A137,$A138)=E138,0,IF((E$3*10^12-$A138)*(E$3*10^12-$A137)*-1&lt;0,0,1)*IF(ABS(E$3*10^12-$A138)&gt;(E$3*10^12-$A137),$A137,$A138))</f>
        <v>0</v>
      </c>
      <c r="F137" s="0" t="n">
        <f aca="false">IF(IF((F$3*10^12-$A138)*(F$3*10^12-$A137)*-1&lt;0,0,1)*IF(ABS(F$3*10^12-$A138)&gt;(F$3*10^12-$A137),$A137,$A138)=F138,0,IF((F$3*10^12-$A138)*(F$3*10^12-$A137)*-1&lt;0,0,1)*IF(ABS(F$3*10^12-$A138)&gt;(F$3*10^12-$A137),$A137,$A138))</f>
        <v>0</v>
      </c>
      <c r="G137" s="0" t="n">
        <f aca="false">IF(IF((G$3*10^12-$A138)*(G$3*10^12-$A137)*-1&lt;0,0,1)*IF(ABS(G$3*10^12-$A138)&gt;(G$3*10^12-$A137),$A137,$A138)=G138,0,IF((G$3*10^12-$A138)*(G$3*10^12-$A137)*-1&lt;0,0,1)*IF(ABS(G$3*10^12-$A138)&gt;(G$3*10^12-$A137),$A137,$A138))</f>
        <v>0</v>
      </c>
      <c r="H137" s="0" t="n">
        <f aca="false">IF(IF((H$3*10^12-$A138)*(H$3*10^12-$A137)*-1&lt;0,0,1)*IF(ABS(H$3*10^12-$A138)&gt;(H$3*10^12-$A137),$A137,$A138)=H138,0,IF((H$3*10^12-$A138)*(H$3*10^12-$A137)*-1&lt;0,0,1)*IF(ABS(H$3*10^12-$A138)&gt;(H$3*10^12-$A137),$A137,$A138))</f>
        <v>0</v>
      </c>
      <c r="I137" s="0" t="n">
        <f aca="false">IF(IF((I$3*10^12-$A138)*(I$3*10^12-$A137)*-1&lt;0,0,1)*IF(ABS(I$3*10^12-$A138)&gt;(I$3*10^12-$A137),$A137,$A138)=I138,0,IF((I$3*10^12-$A138)*(I$3*10^12-$A137)*-1&lt;0,0,1)*IF(ABS(I$3*10^12-$A138)&gt;(I$3*10^12-$A137),$A137,$A138))</f>
        <v>0</v>
      </c>
      <c r="J137" s="0" t="n">
        <f aca="false">IF(IF((J$3*10^12-$A138)*(J$3*10^12-$A137)*-1&lt;0,0,1)*IF(ABS(J$3*10^12-$A138)&gt;(J$3*10^12-$A137),$A137,$A138)=J138,0,IF((J$3*10^12-$A138)*(J$3*10^12-$A137)*-1&lt;0,0,1)*IF(ABS(J$3*10^12-$A138)&gt;(J$3*10^12-$A137),$A137,$A138))</f>
        <v>0</v>
      </c>
    </row>
    <row r="138" customFormat="false" ht="12.75" hidden="false" customHeight="false" outlineLevel="0" collapsed="false">
      <c r="A138" s="0" t="n">
        <f aca="false">A126*10</f>
        <v>47000000000</v>
      </c>
      <c r="B138" s="0" t="n">
        <f aca="false">IF(IF((B$3*10^12-$A139)*(B$3*10^12-$A138)*-1&lt;0,0,1)*IF(ABS(B$3*10^12-$A139)&gt;(B$3*10^12-$A138),$A138,$A139)=B139,0,IF((B$3*10^12-$A139)*(B$3*10^12-$A138)*-1&lt;0,0,1)*IF(ABS(B$3*10^12-$A139)&gt;(B$3*10^12-$A138),$A138,$A139))</f>
        <v>0</v>
      </c>
      <c r="C138" s="0" t="n">
        <f aca="false">IF(IF((C$3*10^12-$A139)*(C$3*10^12-$A138)*-1&lt;0,0,1)*IF(ABS(C$3*10^12-$A139)&gt;(C$3*10^12-$A138),$A138,$A139)=C139,0,IF((C$3*10^12-$A139)*(C$3*10^12-$A138)*-1&lt;0,0,1)*IF(ABS(C$3*10^12-$A139)&gt;(C$3*10^12-$A138),$A138,$A139))</f>
        <v>0</v>
      </c>
      <c r="D138" s="0" t="n">
        <f aca="false">IF(IF((D$3*10^12-$A139)*(D$3*10^12-$A138)*-1&lt;0,0,1)*IF(ABS(D$3*10^12-$A139)&gt;(D$3*10^12-$A138),$A138,$A139)=D139,0,IF((D$3*10^12-$A139)*(D$3*10^12-$A138)*-1&lt;0,0,1)*IF(ABS(D$3*10^12-$A139)&gt;(D$3*10^12-$A138),$A138,$A139))</f>
        <v>0</v>
      </c>
      <c r="E138" s="0" t="n">
        <f aca="false">IF(IF((E$3*10^12-$A139)*(E$3*10^12-$A138)*-1&lt;0,0,1)*IF(ABS(E$3*10^12-$A139)&gt;(E$3*10^12-$A138),$A138,$A139)=E139,0,IF((E$3*10^12-$A139)*(E$3*10^12-$A138)*-1&lt;0,0,1)*IF(ABS(E$3*10^12-$A139)&gt;(E$3*10^12-$A138),$A138,$A139))</f>
        <v>0</v>
      </c>
      <c r="F138" s="0" t="n">
        <f aca="false">IF(IF((F$3*10^12-$A139)*(F$3*10^12-$A138)*-1&lt;0,0,1)*IF(ABS(F$3*10^12-$A139)&gt;(F$3*10^12-$A138),$A138,$A139)=F139,0,IF((F$3*10^12-$A139)*(F$3*10^12-$A138)*-1&lt;0,0,1)*IF(ABS(F$3*10^12-$A139)&gt;(F$3*10^12-$A138),$A138,$A139))</f>
        <v>0</v>
      </c>
      <c r="G138" s="0" t="n">
        <f aca="false">IF(IF((G$3*10^12-$A139)*(G$3*10^12-$A138)*-1&lt;0,0,1)*IF(ABS(G$3*10^12-$A139)&gt;(G$3*10^12-$A138),$A138,$A139)=G139,0,IF((G$3*10^12-$A139)*(G$3*10^12-$A138)*-1&lt;0,0,1)*IF(ABS(G$3*10^12-$A139)&gt;(G$3*10^12-$A138),$A138,$A139))</f>
        <v>0</v>
      </c>
      <c r="H138" s="0" t="n">
        <f aca="false">IF(IF((H$3*10^12-$A139)*(H$3*10^12-$A138)*-1&lt;0,0,1)*IF(ABS(H$3*10^12-$A139)&gt;(H$3*10^12-$A138),$A138,$A139)=H139,0,IF((H$3*10^12-$A139)*(H$3*10^12-$A138)*-1&lt;0,0,1)*IF(ABS(H$3*10^12-$A139)&gt;(H$3*10^12-$A138),$A138,$A139))</f>
        <v>0</v>
      </c>
      <c r="I138" s="0" t="n">
        <f aca="false">IF(IF((I$3*10^12-$A139)*(I$3*10^12-$A138)*-1&lt;0,0,1)*IF(ABS(I$3*10^12-$A139)&gt;(I$3*10^12-$A138),$A138,$A139)=I139,0,IF((I$3*10^12-$A139)*(I$3*10^12-$A138)*-1&lt;0,0,1)*IF(ABS(I$3*10^12-$A139)&gt;(I$3*10^12-$A138),$A138,$A139))</f>
        <v>0</v>
      </c>
      <c r="J138" s="0" t="n">
        <f aca="false">IF(IF((J$3*10^12-$A139)*(J$3*10^12-$A138)*-1&lt;0,0,1)*IF(ABS(J$3*10^12-$A139)&gt;(J$3*10^12-$A138),$A138,$A139)=J139,0,IF((J$3*10^12-$A139)*(J$3*10^12-$A138)*-1&lt;0,0,1)*IF(ABS(J$3*10^12-$A139)&gt;(J$3*10^12-$A138),$A138,$A139))</f>
        <v>0</v>
      </c>
    </row>
    <row r="139" customFormat="false" ht="12.75" hidden="false" customHeight="false" outlineLevel="0" collapsed="false">
      <c r="A139" s="0" t="n">
        <f aca="false">A127*10</f>
        <v>56000000000</v>
      </c>
      <c r="B139" s="0" t="n">
        <f aca="false">IF(IF((B$3*10^12-$A140)*(B$3*10^12-$A139)*-1&lt;0,0,1)*IF(ABS(B$3*10^12-$A140)&gt;(B$3*10^12-$A139),$A139,$A140)=B140,0,IF((B$3*10^12-$A140)*(B$3*10^12-$A139)*-1&lt;0,0,1)*IF(ABS(B$3*10^12-$A140)&gt;(B$3*10^12-$A139),$A139,$A140))</f>
        <v>0</v>
      </c>
      <c r="C139" s="0" t="n">
        <f aca="false">IF(IF((C$3*10^12-$A140)*(C$3*10^12-$A139)*-1&lt;0,0,1)*IF(ABS(C$3*10^12-$A140)&gt;(C$3*10^12-$A139),$A139,$A140)=C140,0,IF((C$3*10^12-$A140)*(C$3*10^12-$A139)*-1&lt;0,0,1)*IF(ABS(C$3*10^12-$A140)&gt;(C$3*10^12-$A139),$A139,$A140))</f>
        <v>0</v>
      </c>
      <c r="D139" s="0" t="n">
        <f aca="false">IF(IF((D$3*10^12-$A140)*(D$3*10^12-$A139)*-1&lt;0,0,1)*IF(ABS(D$3*10^12-$A140)&gt;(D$3*10^12-$A139),$A139,$A140)=D140,0,IF((D$3*10^12-$A140)*(D$3*10^12-$A139)*-1&lt;0,0,1)*IF(ABS(D$3*10^12-$A140)&gt;(D$3*10^12-$A139),$A139,$A140))</f>
        <v>0</v>
      </c>
      <c r="E139" s="0" t="n">
        <f aca="false">IF(IF((E$3*10^12-$A140)*(E$3*10^12-$A139)*-1&lt;0,0,1)*IF(ABS(E$3*10^12-$A140)&gt;(E$3*10^12-$A139),$A139,$A140)=E140,0,IF((E$3*10^12-$A140)*(E$3*10^12-$A139)*-1&lt;0,0,1)*IF(ABS(E$3*10^12-$A140)&gt;(E$3*10^12-$A139),$A139,$A140))</f>
        <v>0</v>
      </c>
      <c r="F139" s="0" t="n">
        <f aca="false">IF(IF((F$3*10^12-$A140)*(F$3*10^12-$A139)*-1&lt;0,0,1)*IF(ABS(F$3*10^12-$A140)&gt;(F$3*10^12-$A139),$A139,$A140)=F140,0,IF((F$3*10^12-$A140)*(F$3*10^12-$A139)*-1&lt;0,0,1)*IF(ABS(F$3*10^12-$A140)&gt;(F$3*10^12-$A139),$A139,$A140))</f>
        <v>0</v>
      </c>
      <c r="G139" s="0" t="n">
        <f aca="false">IF(IF((G$3*10^12-$A140)*(G$3*10^12-$A139)*-1&lt;0,0,1)*IF(ABS(G$3*10^12-$A140)&gt;(G$3*10^12-$A139),$A139,$A140)=G140,0,IF((G$3*10^12-$A140)*(G$3*10^12-$A139)*-1&lt;0,0,1)*IF(ABS(G$3*10^12-$A140)&gt;(G$3*10^12-$A139),$A139,$A140))</f>
        <v>0</v>
      </c>
      <c r="H139" s="0" t="n">
        <f aca="false">IF(IF((H$3*10^12-$A140)*(H$3*10^12-$A139)*-1&lt;0,0,1)*IF(ABS(H$3*10^12-$A140)&gt;(H$3*10^12-$A139),$A139,$A140)=H140,0,IF((H$3*10^12-$A140)*(H$3*10^12-$A139)*-1&lt;0,0,1)*IF(ABS(H$3*10^12-$A140)&gt;(H$3*10^12-$A139),$A139,$A140))</f>
        <v>0</v>
      </c>
      <c r="I139" s="0" t="n">
        <f aca="false">IF(IF((I$3*10^12-$A140)*(I$3*10^12-$A139)*-1&lt;0,0,1)*IF(ABS(I$3*10^12-$A140)&gt;(I$3*10^12-$A139),$A139,$A140)=I140,0,IF((I$3*10^12-$A140)*(I$3*10^12-$A139)*-1&lt;0,0,1)*IF(ABS(I$3*10^12-$A140)&gt;(I$3*10^12-$A139),$A139,$A140))</f>
        <v>0</v>
      </c>
      <c r="J139" s="0" t="n">
        <f aca="false">IF(IF((J$3*10^12-$A140)*(J$3*10^12-$A139)*-1&lt;0,0,1)*IF(ABS(J$3*10^12-$A140)&gt;(J$3*10^12-$A139),$A139,$A140)=J140,0,IF((J$3*10^12-$A140)*(J$3*10^12-$A139)*-1&lt;0,0,1)*IF(ABS(J$3*10^12-$A140)&gt;(J$3*10^12-$A139),$A139,$A140))</f>
        <v>0</v>
      </c>
    </row>
    <row r="140" customFormat="false" ht="12.75" hidden="false" customHeight="false" outlineLevel="0" collapsed="false">
      <c r="A140" s="0" t="n">
        <f aca="false">A128*10</f>
        <v>68000000000</v>
      </c>
      <c r="B140" s="0" t="n">
        <f aca="false">IF(IF((B$3*10^12-$A141)*(B$3*10^12-$A140)*-1&lt;0,0,1)*IF(ABS(B$3*10^12-$A141)&gt;(B$3*10^12-$A140),$A140,$A141)=B141,0,IF((B$3*10^12-$A141)*(B$3*10^12-$A140)*-1&lt;0,0,1)*IF(ABS(B$3*10^12-$A141)&gt;(B$3*10^12-$A140),$A140,$A141))</f>
        <v>0</v>
      </c>
      <c r="C140" s="0" t="n">
        <f aca="false">IF(IF((C$3*10^12-$A141)*(C$3*10^12-$A140)*-1&lt;0,0,1)*IF(ABS(C$3*10^12-$A141)&gt;(C$3*10^12-$A140),$A140,$A141)=C141,0,IF((C$3*10^12-$A141)*(C$3*10^12-$A140)*-1&lt;0,0,1)*IF(ABS(C$3*10^12-$A141)&gt;(C$3*10^12-$A140),$A140,$A141))</f>
        <v>0</v>
      </c>
      <c r="D140" s="0" t="n">
        <f aca="false">IF(IF((D$3*10^12-$A141)*(D$3*10^12-$A140)*-1&lt;0,0,1)*IF(ABS(D$3*10^12-$A141)&gt;(D$3*10^12-$A140),$A140,$A141)=D141,0,IF((D$3*10^12-$A141)*(D$3*10^12-$A140)*-1&lt;0,0,1)*IF(ABS(D$3*10^12-$A141)&gt;(D$3*10^12-$A140),$A140,$A141))</f>
        <v>0</v>
      </c>
      <c r="E140" s="0" t="n">
        <f aca="false">IF(IF((E$3*10^12-$A141)*(E$3*10^12-$A140)*-1&lt;0,0,1)*IF(ABS(E$3*10^12-$A141)&gt;(E$3*10^12-$A140),$A140,$A141)=E141,0,IF((E$3*10^12-$A141)*(E$3*10^12-$A140)*-1&lt;0,0,1)*IF(ABS(E$3*10^12-$A141)&gt;(E$3*10^12-$A140),$A140,$A141))</f>
        <v>0</v>
      </c>
      <c r="F140" s="0" t="n">
        <f aca="false">IF(IF((F$3*10^12-$A141)*(F$3*10^12-$A140)*-1&lt;0,0,1)*IF(ABS(F$3*10^12-$A141)&gt;(F$3*10^12-$A140),$A140,$A141)=F141,0,IF((F$3*10^12-$A141)*(F$3*10^12-$A140)*-1&lt;0,0,1)*IF(ABS(F$3*10^12-$A141)&gt;(F$3*10^12-$A140),$A140,$A141))</f>
        <v>0</v>
      </c>
      <c r="G140" s="0" t="n">
        <f aca="false">IF(IF((G$3*10^12-$A141)*(G$3*10^12-$A140)*-1&lt;0,0,1)*IF(ABS(G$3*10^12-$A141)&gt;(G$3*10^12-$A140),$A140,$A141)=G141,0,IF((G$3*10^12-$A141)*(G$3*10^12-$A140)*-1&lt;0,0,1)*IF(ABS(G$3*10^12-$A141)&gt;(G$3*10^12-$A140),$A140,$A141))</f>
        <v>0</v>
      </c>
      <c r="H140" s="0" t="n">
        <f aca="false">IF(IF((H$3*10^12-$A141)*(H$3*10^12-$A140)*-1&lt;0,0,1)*IF(ABS(H$3*10^12-$A141)&gt;(H$3*10^12-$A140),$A140,$A141)=H141,0,IF((H$3*10^12-$A141)*(H$3*10^12-$A140)*-1&lt;0,0,1)*IF(ABS(H$3*10^12-$A141)&gt;(H$3*10^12-$A140),$A140,$A141))</f>
        <v>0</v>
      </c>
      <c r="I140" s="0" t="n">
        <f aca="false">IF(IF((I$3*10^12-$A141)*(I$3*10^12-$A140)*-1&lt;0,0,1)*IF(ABS(I$3*10^12-$A141)&gt;(I$3*10^12-$A140),$A140,$A141)=I141,0,IF((I$3*10^12-$A141)*(I$3*10^12-$A140)*-1&lt;0,0,1)*IF(ABS(I$3*10^12-$A141)&gt;(I$3*10^12-$A140),$A140,$A141))</f>
        <v>0</v>
      </c>
      <c r="J140" s="0" t="n">
        <f aca="false">IF(IF((J$3*10^12-$A141)*(J$3*10^12-$A140)*-1&lt;0,0,1)*IF(ABS(J$3*10^12-$A141)&gt;(J$3*10^12-$A140),$A140,$A141)=J141,0,IF((J$3*10^12-$A141)*(J$3*10^12-$A140)*-1&lt;0,0,1)*IF(ABS(J$3*10^12-$A141)&gt;(J$3*10^12-$A140),$A140,$A141))</f>
        <v>0</v>
      </c>
    </row>
    <row r="141" customFormat="false" ht="12.75" hidden="false" customHeight="false" outlineLevel="0" collapsed="false">
      <c r="A141" s="0" t="n">
        <f aca="false">A129*10</f>
        <v>82000000000</v>
      </c>
      <c r="B141" s="0" t="n">
        <f aca="false">IF(IF((B$3*10^12-$A142)*(B$3*10^12-$A141)*-1&lt;0,0,1)*IF(ABS(B$3*10^12-$A142)&gt;(B$3*10^12-$A141),$A141,$A142)=B142,0,IF((B$3*10^12-$A142)*(B$3*10^12-$A141)*-1&lt;0,0,1)*IF(ABS(B$3*10^12-$A142)&gt;(B$3*10^12-$A141),$A141,$A142))</f>
        <v>0</v>
      </c>
      <c r="C141" s="0" t="n">
        <f aca="false">IF(IF((C$3*10^12-$A142)*(C$3*10^12-$A141)*-1&lt;0,0,1)*IF(ABS(C$3*10^12-$A142)&gt;(C$3*10^12-$A141),$A141,$A142)=C142,0,IF((C$3*10^12-$A142)*(C$3*10^12-$A141)*-1&lt;0,0,1)*IF(ABS(C$3*10^12-$A142)&gt;(C$3*10^12-$A141),$A141,$A142))</f>
        <v>0</v>
      </c>
      <c r="D141" s="0" t="n">
        <f aca="false">IF(IF((D$3*10^12-$A142)*(D$3*10^12-$A141)*-1&lt;0,0,1)*IF(ABS(D$3*10^12-$A142)&gt;(D$3*10^12-$A141),$A141,$A142)=D142,0,IF((D$3*10^12-$A142)*(D$3*10^12-$A141)*-1&lt;0,0,1)*IF(ABS(D$3*10^12-$A142)&gt;(D$3*10^12-$A141),$A141,$A142))</f>
        <v>0</v>
      </c>
      <c r="E141" s="0" t="n">
        <f aca="false">IF(IF((E$3*10^12-$A142)*(E$3*10^12-$A141)*-1&lt;0,0,1)*IF(ABS(E$3*10^12-$A142)&gt;(E$3*10^12-$A141),$A141,$A142)=E142,0,IF((E$3*10^12-$A142)*(E$3*10^12-$A141)*-1&lt;0,0,1)*IF(ABS(E$3*10^12-$A142)&gt;(E$3*10^12-$A141),$A141,$A142))</f>
        <v>0</v>
      </c>
      <c r="F141" s="0" t="n">
        <f aca="false">IF(IF((F$3*10^12-$A142)*(F$3*10^12-$A141)*-1&lt;0,0,1)*IF(ABS(F$3*10^12-$A142)&gt;(F$3*10^12-$A141),$A141,$A142)=F142,0,IF((F$3*10^12-$A142)*(F$3*10^12-$A141)*-1&lt;0,0,1)*IF(ABS(F$3*10^12-$A142)&gt;(F$3*10^12-$A141),$A141,$A142))</f>
        <v>0</v>
      </c>
      <c r="G141" s="0" t="n">
        <f aca="false">IF(IF((G$3*10^12-$A142)*(G$3*10^12-$A141)*-1&lt;0,0,1)*IF(ABS(G$3*10^12-$A142)&gt;(G$3*10^12-$A141),$A141,$A142)=G142,0,IF((G$3*10^12-$A142)*(G$3*10^12-$A141)*-1&lt;0,0,1)*IF(ABS(G$3*10^12-$A142)&gt;(G$3*10^12-$A141),$A141,$A142))</f>
        <v>0</v>
      </c>
      <c r="H141" s="0" t="n">
        <f aca="false">IF(IF((H$3*10^12-$A142)*(H$3*10^12-$A141)*-1&lt;0,0,1)*IF(ABS(H$3*10^12-$A142)&gt;(H$3*10^12-$A141),$A141,$A142)=H142,0,IF((H$3*10^12-$A142)*(H$3*10^12-$A141)*-1&lt;0,0,1)*IF(ABS(H$3*10^12-$A142)&gt;(H$3*10^12-$A141),$A141,$A142))</f>
        <v>0</v>
      </c>
      <c r="I141" s="0" t="n">
        <f aca="false">IF(IF((I$3*10^12-$A142)*(I$3*10^12-$A141)*-1&lt;0,0,1)*IF(ABS(I$3*10^12-$A142)&gt;(I$3*10^12-$A141),$A141,$A142)=I142,0,IF((I$3*10^12-$A142)*(I$3*10^12-$A141)*-1&lt;0,0,1)*IF(ABS(I$3*10^12-$A142)&gt;(I$3*10^12-$A141),$A141,$A142))</f>
        <v>0</v>
      </c>
      <c r="J141" s="0" t="n">
        <f aca="false">IF(IF((J$3*10^12-$A142)*(J$3*10^12-$A141)*-1&lt;0,0,1)*IF(ABS(J$3*10^12-$A142)&gt;(J$3*10^12-$A141),$A141,$A142)=J142,0,IF((J$3*10^12-$A142)*(J$3*10^12-$A141)*-1&lt;0,0,1)*IF(ABS(J$3*10^12-$A142)&gt;(J$3*10^12-$A141),$A141,$A142))</f>
        <v>0</v>
      </c>
    </row>
    <row r="142" customFormat="false" ht="12.75" hidden="false" customHeight="false" outlineLevel="0" collapsed="false">
      <c r="A142" s="0" t="n">
        <f aca="false">A130*10</f>
        <v>100000000000</v>
      </c>
      <c r="B142" s="0" t="n">
        <f aca="false">IF(IF((B$3*10^12-$A143)*(B$3*10^12-$A142)*-1&lt;0,0,1)*IF(ABS(B$3*10^12-$A143)&gt;(B$3*10^12-$A142),$A142,$A143)=B143,0,IF((B$3*10^12-$A143)*(B$3*10^12-$A142)*-1&lt;0,0,1)*IF(ABS(B$3*10^12-$A143)&gt;(B$3*10^12-$A142),$A142,$A143))</f>
        <v>0</v>
      </c>
      <c r="C142" s="0" t="n">
        <f aca="false">IF(IF((C$3*10^12-$A143)*(C$3*10^12-$A142)*-1&lt;0,0,1)*IF(ABS(C$3*10^12-$A143)&gt;(C$3*10^12-$A142),$A142,$A143)=C143,0,IF((C$3*10^12-$A143)*(C$3*10^12-$A142)*-1&lt;0,0,1)*IF(ABS(C$3*10^12-$A143)&gt;(C$3*10^12-$A142),$A142,$A143))</f>
        <v>0</v>
      </c>
      <c r="D142" s="0" t="n">
        <f aca="false">IF(IF((D$3*10^12-$A143)*(D$3*10^12-$A142)*-1&lt;0,0,1)*IF(ABS(D$3*10^12-$A143)&gt;(D$3*10^12-$A142),$A142,$A143)=D143,0,IF((D$3*10^12-$A143)*(D$3*10^12-$A142)*-1&lt;0,0,1)*IF(ABS(D$3*10^12-$A143)&gt;(D$3*10^12-$A142),$A142,$A143))</f>
        <v>0</v>
      </c>
      <c r="E142" s="0" t="n">
        <f aca="false">IF(IF((E$3*10^12-$A143)*(E$3*10^12-$A142)*-1&lt;0,0,1)*IF(ABS(E$3*10^12-$A143)&gt;(E$3*10^12-$A142),$A142,$A143)=E143,0,IF((E$3*10^12-$A143)*(E$3*10^12-$A142)*-1&lt;0,0,1)*IF(ABS(E$3*10^12-$A143)&gt;(E$3*10^12-$A142),$A142,$A143))</f>
        <v>0</v>
      </c>
      <c r="F142" s="0" t="n">
        <f aca="false">IF(IF((F$3*10^12-$A143)*(F$3*10^12-$A142)*-1&lt;0,0,1)*IF(ABS(F$3*10^12-$A143)&gt;(F$3*10^12-$A142),$A142,$A143)=F143,0,IF((F$3*10^12-$A143)*(F$3*10^12-$A142)*-1&lt;0,0,1)*IF(ABS(F$3*10^12-$A143)&gt;(F$3*10^12-$A142),$A142,$A143))</f>
        <v>0</v>
      </c>
      <c r="G142" s="0" t="n">
        <f aca="false">IF(IF((G$3*10^12-$A143)*(G$3*10^12-$A142)*-1&lt;0,0,1)*IF(ABS(G$3*10^12-$A143)&gt;(G$3*10^12-$A142),$A142,$A143)=G143,0,IF((G$3*10^12-$A143)*(G$3*10^12-$A142)*-1&lt;0,0,1)*IF(ABS(G$3*10^12-$A143)&gt;(G$3*10^12-$A142),$A142,$A143))</f>
        <v>0</v>
      </c>
      <c r="H142" s="0" t="n">
        <f aca="false">IF(IF((H$3*10^12-$A143)*(H$3*10^12-$A142)*-1&lt;0,0,1)*IF(ABS(H$3*10^12-$A143)&gt;(H$3*10^12-$A142),$A142,$A143)=H143,0,IF((H$3*10^12-$A143)*(H$3*10^12-$A142)*-1&lt;0,0,1)*IF(ABS(H$3*10^12-$A143)&gt;(H$3*10^12-$A142),$A142,$A143))</f>
        <v>0</v>
      </c>
      <c r="I142" s="0" t="n">
        <f aca="false">IF(IF((I$3*10^12-$A143)*(I$3*10^12-$A142)*-1&lt;0,0,1)*IF(ABS(I$3*10^12-$A143)&gt;(I$3*10^12-$A142),$A142,$A143)=I143,0,IF((I$3*10^12-$A143)*(I$3*10^12-$A142)*-1&lt;0,0,1)*IF(ABS(I$3*10^12-$A143)&gt;(I$3*10^12-$A142),$A142,$A143))</f>
        <v>0</v>
      </c>
      <c r="J142" s="0" t="n">
        <f aca="false">IF(IF((J$3*10^12-$A143)*(J$3*10^12-$A142)*-1&lt;0,0,1)*IF(ABS(J$3*10^12-$A143)&gt;(J$3*10^12-$A142),$A142,$A143)=J143,0,IF((J$3*10^12-$A143)*(J$3*10^12-$A142)*-1&lt;0,0,1)*IF(ABS(J$3*10^12-$A143)&gt;(J$3*10^12-$A142),$A142,$A143))</f>
        <v>0</v>
      </c>
    </row>
    <row r="143" customFormat="false" ht="12.75" hidden="false" customHeight="false" outlineLevel="0" collapsed="false">
      <c r="A143" s="0" t="n">
        <f aca="false">A131*10</f>
        <v>120000000000</v>
      </c>
      <c r="B143" s="0" t="n">
        <f aca="false">IF(IF((B$3*10^12-$A144)*(B$3*10^12-$A143)*-1&lt;0,0,1)*IF(ABS(B$3*10^12-$A144)&gt;(B$3*10^12-$A143),$A143,$A144)=B144,0,IF((B$3*10^12-$A144)*(B$3*10^12-$A143)*-1&lt;0,0,1)*IF(ABS(B$3*10^12-$A144)&gt;(B$3*10^12-$A143),$A143,$A144))</f>
        <v>0</v>
      </c>
      <c r="C143" s="0" t="n">
        <f aca="false">IF(IF((C$3*10^12-$A144)*(C$3*10^12-$A143)*-1&lt;0,0,1)*IF(ABS(C$3*10^12-$A144)&gt;(C$3*10^12-$A143),$A143,$A144)=C144,0,IF((C$3*10^12-$A144)*(C$3*10^12-$A143)*-1&lt;0,0,1)*IF(ABS(C$3*10^12-$A144)&gt;(C$3*10^12-$A143),$A143,$A144))</f>
        <v>0</v>
      </c>
      <c r="D143" s="0" t="n">
        <f aca="false">IF(IF((D$3*10^12-$A144)*(D$3*10^12-$A143)*-1&lt;0,0,1)*IF(ABS(D$3*10^12-$A144)&gt;(D$3*10^12-$A143),$A143,$A144)=D144,0,IF((D$3*10^12-$A144)*(D$3*10^12-$A143)*-1&lt;0,0,1)*IF(ABS(D$3*10^12-$A144)&gt;(D$3*10^12-$A143),$A143,$A144))</f>
        <v>0</v>
      </c>
      <c r="E143" s="0" t="n">
        <f aca="false">IF(IF((E$3*10^12-$A144)*(E$3*10^12-$A143)*-1&lt;0,0,1)*IF(ABS(E$3*10^12-$A144)&gt;(E$3*10^12-$A143),$A143,$A144)=E144,0,IF((E$3*10^12-$A144)*(E$3*10^12-$A143)*-1&lt;0,0,1)*IF(ABS(E$3*10^12-$A144)&gt;(E$3*10^12-$A143),$A143,$A144))</f>
        <v>0</v>
      </c>
      <c r="F143" s="0" t="n">
        <f aca="false">IF(IF((F$3*10^12-$A144)*(F$3*10^12-$A143)*-1&lt;0,0,1)*IF(ABS(F$3*10^12-$A144)&gt;(F$3*10^12-$A143),$A143,$A144)=F144,0,IF((F$3*10^12-$A144)*(F$3*10^12-$A143)*-1&lt;0,0,1)*IF(ABS(F$3*10^12-$A144)&gt;(F$3*10^12-$A143),$A143,$A144))</f>
        <v>0</v>
      </c>
      <c r="G143" s="0" t="n">
        <f aca="false">IF(IF((G$3*10^12-$A144)*(G$3*10^12-$A143)*-1&lt;0,0,1)*IF(ABS(G$3*10^12-$A144)&gt;(G$3*10^12-$A143),$A143,$A144)=G144,0,IF((G$3*10^12-$A144)*(G$3*10^12-$A143)*-1&lt;0,0,1)*IF(ABS(G$3*10^12-$A144)&gt;(G$3*10^12-$A143),$A143,$A144))</f>
        <v>0</v>
      </c>
      <c r="H143" s="0" t="n">
        <f aca="false">IF(IF((H$3*10^12-$A144)*(H$3*10^12-$A143)*-1&lt;0,0,1)*IF(ABS(H$3*10^12-$A144)&gt;(H$3*10^12-$A143),$A143,$A144)=H144,0,IF((H$3*10^12-$A144)*(H$3*10^12-$A143)*-1&lt;0,0,1)*IF(ABS(H$3*10^12-$A144)&gt;(H$3*10^12-$A143),$A143,$A144))</f>
        <v>0</v>
      </c>
      <c r="I143" s="0" t="n">
        <f aca="false">IF(IF((I$3*10^12-$A144)*(I$3*10^12-$A143)*-1&lt;0,0,1)*IF(ABS(I$3*10^12-$A144)&gt;(I$3*10^12-$A143),$A143,$A144)=I144,0,IF((I$3*10^12-$A144)*(I$3*10^12-$A143)*-1&lt;0,0,1)*IF(ABS(I$3*10^12-$A144)&gt;(I$3*10^12-$A143),$A143,$A144))</f>
        <v>0</v>
      </c>
      <c r="J143" s="0" t="n">
        <f aca="false">IF(IF((J$3*10^12-$A144)*(J$3*10^12-$A143)*-1&lt;0,0,1)*IF(ABS(J$3*10^12-$A144)&gt;(J$3*10^12-$A143),$A143,$A144)=J144,0,IF((J$3*10^12-$A144)*(J$3*10^12-$A143)*-1&lt;0,0,1)*IF(ABS(J$3*10^12-$A144)&gt;(J$3*10^12-$A143),$A143,$A144))</f>
        <v>0</v>
      </c>
    </row>
    <row r="144" customFormat="false" ht="12.75" hidden="false" customHeight="false" outlineLevel="0" collapsed="false">
      <c r="A144" s="0" t="n">
        <f aca="false">A132*10</f>
        <v>150000000000</v>
      </c>
      <c r="B144" s="0" t="n">
        <f aca="false">IF(IF((B$3*10^12-$A145)*(B$3*10^12-$A144)*-1&lt;0,0,1)*IF(ABS(B$3*10^12-$A145)&gt;(B$3*10^12-$A144),$A144,$A145)=B145,0,IF((B$3*10^12-$A145)*(B$3*10^12-$A144)*-1&lt;0,0,1)*IF(ABS(B$3*10^12-$A145)&gt;(B$3*10^12-$A144),$A144,$A145))</f>
        <v>0</v>
      </c>
      <c r="C144" s="0" t="n">
        <f aca="false">IF(IF((C$3*10^12-$A145)*(C$3*10^12-$A144)*-1&lt;0,0,1)*IF(ABS(C$3*10^12-$A145)&gt;(C$3*10^12-$A144),$A144,$A145)=C145,0,IF((C$3*10^12-$A145)*(C$3*10^12-$A144)*-1&lt;0,0,1)*IF(ABS(C$3*10^12-$A145)&gt;(C$3*10^12-$A144),$A144,$A145))</f>
        <v>0</v>
      </c>
      <c r="D144" s="0" t="n">
        <f aca="false">IF(IF((D$3*10^12-$A145)*(D$3*10^12-$A144)*-1&lt;0,0,1)*IF(ABS(D$3*10^12-$A145)&gt;(D$3*10^12-$A144),$A144,$A145)=D145,0,IF((D$3*10^12-$A145)*(D$3*10^12-$A144)*-1&lt;0,0,1)*IF(ABS(D$3*10^12-$A145)&gt;(D$3*10^12-$A144),$A144,$A145))</f>
        <v>0</v>
      </c>
      <c r="E144" s="0" t="n">
        <f aca="false">IF(IF((E$3*10^12-$A145)*(E$3*10^12-$A144)*-1&lt;0,0,1)*IF(ABS(E$3*10^12-$A145)&gt;(E$3*10^12-$A144),$A144,$A145)=E145,0,IF((E$3*10^12-$A145)*(E$3*10^12-$A144)*-1&lt;0,0,1)*IF(ABS(E$3*10^12-$A145)&gt;(E$3*10^12-$A144),$A144,$A145))</f>
        <v>0</v>
      </c>
      <c r="F144" s="0" t="n">
        <f aca="false">IF(IF((F$3*10^12-$A145)*(F$3*10^12-$A144)*-1&lt;0,0,1)*IF(ABS(F$3*10^12-$A145)&gt;(F$3*10^12-$A144),$A144,$A145)=F145,0,IF((F$3*10^12-$A145)*(F$3*10^12-$A144)*-1&lt;0,0,1)*IF(ABS(F$3*10^12-$A145)&gt;(F$3*10^12-$A144),$A144,$A145))</f>
        <v>0</v>
      </c>
      <c r="G144" s="0" t="n">
        <f aca="false">IF(IF((G$3*10^12-$A145)*(G$3*10^12-$A144)*-1&lt;0,0,1)*IF(ABS(G$3*10^12-$A145)&gt;(G$3*10^12-$A144),$A144,$A145)=G145,0,IF((G$3*10^12-$A145)*(G$3*10^12-$A144)*-1&lt;0,0,1)*IF(ABS(G$3*10^12-$A145)&gt;(G$3*10^12-$A144),$A144,$A145))</f>
        <v>0</v>
      </c>
      <c r="H144" s="0" t="n">
        <f aca="false">IF(IF((H$3*10^12-$A145)*(H$3*10^12-$A144)*-1&lt;0,0,1)*IF(ABS(H$3*10^12-$A145)&gt;(H$3*10^12-$A144),$A144,$A145)=H145,0,IF((H$3*10^12-$A145)*(H$3*10^12-$A144)*-1&lt;0,0,1)*IF(ABS(H$3*10^12-$A145)&gt;(H$3*10^12-$A144),$A144,$A145))</f>
        <v>0</v>
      </c>
      <c r="I144" s="0" t="n">
        <f aca="false">IF(IF((I$3*10^12-$A145)*(I$3*10^12-$A144)*-1&lt;0,0,1)*IF(ABS(I$3*10^12-$A145)&gt;(I$3*10^12-$A144),$A144,$A145)=I145,0,IF((I$3*10^12-$A145)*(I$3*10^12-$A144)*-1&lt;0,0,1)*IF(ABS(I$3*10^12-$A145)&gt;(I$3*10^12-$A144),$A144,$A145))</f>
        <v>0</v>
      </c>
      <c r="J144" s="0" t="n">
        <f aca="false">IF(IF((J$3*10^12-$A145)*(J$3*10^12-$A144)*-1&lt;0,0,1)*IF(ABS(J$3*10^12-$A145)&gt;(J$3*10^12-$A144),$A144,$A145)=J145,0,IF((J$3*10^12-$A145)*(J$3*10^12-$A144)*-1&lt;0,0,1)*IF(ABS(J$3*10^12-$A145)&gt;(J$3*10^12-$A144),$A144,$A145))</f>
        <v>0</v>
      </c>
    </row>
    <row r="145" customFormat="false" ht="12.75" hidden="false" customHeight="false" outlineLevel="0" collapsed="false">
      <c r="A145" s="0" t="n">
        <f aca="false">A133*10</f>
        <v>180000000000</v>
      </c>
      <c r="B145" s="0" t="n">
        <f aca="false">IF(IF((B$3*10^12-$A146)*(B$3*10^12-$A145)*-1&lt;0,0,1)*IF(ABS(B$3*10^12-$A146)&gt;(B$3*10^12-$A145),$A145,$A146)=B146,0,IF((B$3*10^12-$A146)*(B$3*10^12-$A145)*-1&lt;0,0,1)*IF(ABS(B$3*10^12-$A146)&gt;(B$3*10^12-$A145),$A145,$A146))</f>
        <v>0</v>
      </c>
      <c r="C145" s="0" t="n">
        <f aca="false">IF(IF((C$3*10^12-$A146)*(C$3*10^12-$A145)*-1&lt;0,0,1)*IF(ABS(C$3*10^12-$A146)&gt;(C$3*10^12-$A145),$A145,$A146)=C146,0,IF((C$3*10^12-$A146)*(C$3*10^12-$A145)*-1&lt;0,0,1)*IF(ABS(C$3*10^12-$A146)&gt;(C$3*10^12-$A145),$A145,$A146))</f>
        <v>0</v>
      </c>
      <c r="D145" s="0" t="n">
        <f aca="false">IF(IF((D$3*10^12-$A146)*(D$3*10^12-$A145)*-1&lt;0,0,1)*IF(ABS(D$3*10^12-$A146)&gt;(D$3*10^12-$A145),$A145,$A146)=D146,0,IF((D$3*10^12-$A146)*(D$3*10^12-$A145)*-1&lt;0,0,1)*IF(ABS(D$3*10^12-$A146)&gt;(D$3*10^12-$A145),$A145,$A146))</f>
        <v>0</v>
      </c>
      <c r="E145" s="0" t="n">
        <f aca="false">IF(IF((E$3*10^12-$A146)*(E$3*10^12-$A145)*-1&lt;0,0,1)*IF(ABS(E$3*10^12-$A146)&gt;(E$3*10^12-$A145),$A145,$A146)=E146,0,IF((E$3*10^12-$A146)*(E$3*10^12-$A145)*-1&lt;0,0,1)*IF(ABS(E$3*10^12-$A146)&gt;(E$3*10^12-$A145),$A145,$A146))</f>
        <v>0</v>
      </c>
      <c r="F145" s="0" t="n">
        <f aca="false">IF(IF((F$3*10^12-$A146)*(F$3*10^12-$A145)*-1&lt;0,0,1)*IF(ABS(F$3*10^12-$A146)&gt;(F$3*10^12-$A145),$A145,$A146)=F146,0,IF((F$3*10^12-$A146)*(F$3*10^12-$A145)*-1&lt;0,0,1)*IF(ABS(F$3*10^12-$A146)&gt;(F$3*10^12-$A145),$A145,$A146))</f>
        <v>0</v>
      </c>
      <c r="G145" s="0" t="n">
        <f aca="false">IF(IF((G$3*10^12-$A146)*(G$3*10^12-$A145)*-1&lt;0,0,1)*IF(ABS(G$3*10^12-$A146)&gt;(G$3*10^12-$A145),$A145,$A146)=G146,0,IF((G$3*10^12-$A146)*(G$3*10^12-$A145)*-1&lt;0,0,1)*IF(ABS(G$3*10^12-$A146)&gt;(G$3*10^12-$A145),$A145,$A146))</f>
        <v>0</v>
      </c>
      <c r="H145" s="0" t="n">
        <f aca="false">IF(IF((H$3*10^12-$A146)*(H$3*10^12-$A145)*-1&lt;0,0,1)*IF(ABS(H$3*10^12-$A146)&gt;(H$3*10^12-$A145),$A145,$A146)=H146,0,IF((H$3*10^12-$A146)*(H$3*10^12-$A145)*-1&lt;0,0,1)*IF(ABS(H$3*10^12-$A146)&gt;(H$3*10^12-$A145),$A145,$A146))</f>
        <v>0</v>
      </c>
      <c r="I145" s="0" t="n">
        <f aca="false">IF(IF((I$3*10^12-$A146)*(I$3*10^12-$A145)*-1&lt;0,0,1)*IF(ABS(I$3*10^12-$A146)&gt;(I$3*10^12-$A145),$A145,$A146)=I146,0,IF((I$3*10^12-$A146)*(I$3*10^12-$A145)*-1&lt;0,0,1)*IF(ABS(I$3*10^12-$A146)&gt;(I$3*10^12-$A145),$A145,$A146))</f>
        <v>0</v>
      </c>
      <c r="J145" s="0" t="n">
        <f aca="false">IF(IF((J$3*10^12-$A146)*(J$3*10^12-$A145)*-1&lt;0,0,1)*IF(ABS(J$3*10^12-$A146)&gt;(J$3*10^12-$A145),$A145,$A146)=J146,0,IF((J$3*10^12-$A146)*(J$3*10^12-$A145)*-1&lt;0,0,1)*IF(ABS(J$3*10^12-$A146)&gt;(J$3*10^12-$A145),$A145,$A146))</f>
        <v>0</v>
      </c>
    </row>
    <row r="146" customFormat="false" ht="12.75" hidden="false" customHeight="false" outlineLevel="0" collapsed="false">
      <c r="A146" s="0" t="n">
        <f aca="false">A134*10</f>
        <v>220000000000</v>
      </c>
      <c r="B146" s="0" t="n">
        <f aca="false">IF(IF((B$3*10^12-$A147)*(B$3*10^12-$A146)*-1&lt;0,0,1)*IF(ABS(B$3*10^12-$A147)&gt;(B$3*10^12-$A146),$A146,$A147)=B147,0,IF((B$3*10^12-$A147)*(B$3*10^12-$A146)*-1&lt;0,0,1)*IF(ABS(B$3*10^12-$A147)&gt;(B$3*10^12-$A146),$A146,$A147))</f>
        <v>0</v>
      </c>
      <c r="C146" s="0" t="n">
        <f aca="false">IF(IF((C$3*10^12-$A147)*(C$3*10^12-$A146)*-1&lt;0,0,1)*IF(ABS(C$3*10^12-$A147)&gt;(C$3*10^12-$A146),$A146,$A147)=C147,0,IF((C$3*10^12-$A147)*(C$3*10^12-$A146)*-1&lt;0,0,1)*IF(ABS(C$3*10^12-$A147)&gt;(C$3*10^12-$A146),$A146,$A147))</f>
        <v>0</v>
      </c>
      <c r="D146" s="0" t="n">
        <f aca="false">IF(IF((D$3*10^12-$A147)*(D$3*10^12-$A146)*-1&lt;0,0,1)*IF(ABS(D$3*10^12-$A147)&gt;(D$3*10^12-$A146),$A146,$A147)=D147,0,IF((D$3*10^12-$A147)*(D$3*10^12-$A146)*-1&lt;0,0,1)*IF(ABS(D$3*10^12-$A147)&gt;(D$3*10^12-$A146),$A146,$A147))</f>
        <v>0</v>
      </c>
      <c r="E146" s="0" t="n">
        <f aca="false">IF(IF((E$3*10^12-$A147)*(E$3*10^12-$A146)*-1&lt;0,0,1)*IF(ABS(E$3*10^12-$A147)&gt;(E$3*10^12-$A146),$A146,$A147)=E147,0,IF((E$3*10^12-$A147)*(E$3*10^12-$A146)*-1&lt;0,0,1)*IF(ABS(E$3*10^12-$A147)&gt;(E$3*10^12-$A146),$A146,$A147))</f>
        <v>0</v>
      </c>
      <c r="F146" s="0" t="n">
        <f aca="false">IF(IF((F$3*10^12-$A147)*(F$3*10^12-$A146)*-1&lt;0,0,1)*IF(ABS(F$3*10^12-$A147)&gt;(F$3*10^12-$A146),$A146,$A147)=F147,0,IF((F$3*10^12-$A147)*(F$3*10^12-$A146)*-1&lt;0,0,1)*IF(ABS(F$3*10^12-$A147)&gt;(F$3*10^12-$A146),$A146,$A147))</f>
        <v>0</v>
      </c>
      <c r="G146" s="0" t="n">
        <f aca="false">IF(IF((G$3*10^12-$A147)*(G$3*10^12-$A146)*-1&lt;0,0,1)*IF(ABS(G$3*10^12-$A147)&gt;(G$3*10^12-$A146),$A146,$A147)=G147,0,IF((G$3*10^12-$A147)*(G$3*10^12-$A146)*-1&lt;0,0,1)*IF(ABS(G$3*10^12-$A147)&gt;(G$3*10^12-$A146),$A146,$A147))</f>
        <v>0</v>
      </c>
      <c r="H146" s="0" t="n">
        <f aca="false">IF(IF((H$3*10^12-$A147)*(H$3*10^12-$A146)*-1&lt;0,0,1)*IF(ABS(H$3*10^12-$A147)&gt;(H$3*10^12-$A146),$A146,$A147)=H147,0,IF((H$3*10^12-$A147)*(H$3*10^12-$A146)*-1&lt;0,0,1)*IF(ABS(H$3*10^12-$A147)&gt;(H$3*10^12-$A146),$A146,$A147))</f>
        <v>0</v>
      </c>
      <c r="I146" s="0" t="n">
        <f aca="false">IF(IF((I$3*10^12-$A147)*(I$3*10^12-$A146)*-1&lt;0,0,1)*IF(ABS(I$3*10^12-$A147)&gt;(I$3*10^12-$A146),$A146,$A147)=I147,0,IF((I$3*10^12-$A147)*(I$3*10^12-$A146)*-1&lt;0,0,1)*IF(ABS(I$3*10^12-$A147)&gt;(I$3*10^12-$A146),$A146,$A147))</f>
        <v>0</v>
      </c>
      <c r="J146" s="0" t="n">
        <f aca="false">IF(IF((J$3*10^12-$A147)*(J$3*10^12-$A146)*-1&lt;0,0,1)*IF(ABS(J$3*10^12-$A147)&gt;(J$3*10^12-$A146),$A146,$A147)=J147,0,IF((J$3*10^12-$A147)*(J$3*10^12-$A146)*-1&lt;0,0,1)*IF(ABS(J$3*10^12-$A147)&gt;(J$3*10^12-$A146),$A146,$A147))</f>
        <v>0</v>
      </c>
    </row>
    <row r="147" customFormat="false" ht="12.75" hidden="false" customHeight="false" outlineLevel="0" collapsed="false">
      <c r="A147" s="0" t="n">
        <f aca="false">A135*10</f>
        <v>270000000000</v>
      </c>
      <c r="B147" s="0" t="n">
        <f aca="false">IF(IF((B$3*10^12-$A148)*(B$3*10^12-$A147)*-1&lt;0,0,1)*IF(ABS(B$3*10^12-$A148)&gt;(B$3*10^12-$A147),$A147,$A148)=B148,0,IF((B$3*10^12-$A148)*(B$3*10^12-$A147)*-1&lt;0,0,1)*IF(ABS(B$3*10^12-$A148)&gt;(B$3*10^12-$A147),$A147,$A148))</f>
        <v>0</v>
      </c>
      <c r="C147" s="0" t="n">
        <f aca="false">IF(IF((C$3*10^12-$A148)*(C$3*10^12-$A147)*-1&lt;0,0,1)*IF(ABS(C$3*10^12-$A148)&gt;(C$3*10^12-$A147),$A147,$A148)=C148,0,IF((C$3*10^12-$A148)*(C$3*10^12-$A147)*-1&lt;0,0,1)*IF(ABS(C$3*10^12-$A148)&gt;(C$3*10^12-$A147),$A147,$A148))</f>
        <v>0</v>
      </c>
      <c r="D147" s="0" t="n">
        <f aca="false">IF(IF((D$3*10^12-$A148)*(D$3*10^12-$A147)*-1&lt;0,0,1)*IF(ABS(D$3*10^12-$A148)&gt;(D$3*10^12-$A147),$A147,$A148)=D148,0,IF((D$3*10^12-$A148)*(D$3*10^12-$A147)*-1&lt;0,0,1)*IF(ABS(D$3*10^12-$A148)&gt;(D$3*10^12-$A147),$A147,$A148))</f>
        <v>0</v>
      </c>
      <c r="E147" s="0" t="n">
        <f aca="false">IF(IF((E$3*10^12-$A148)*(E$3*10^12-$A147)*-1&lt;0,0,1)*IF(ABS(E$3*10^12-$A148)&gt;(E$3*10^12-$A147),$A147,$A148)=E148,0,IF((E$3*10^12-$A148)*(E$3*10^12-$A147)*-1&lt;0,0,1)*IF(ABS(E$3*10^12-$A148)&gt;(E$3*10^12-$A147),$A147,$A148))</f>
        <v>0</v>
      </c>
      <c r="F147" s="0" t="n">
        <f aca="false">IF(IF((F$3*10^12-$A148)*(F$3*10^12-$A147)*-1&lt;0,0,1)*IF(ABS(F$3*10^12-$A148)&gt;(F$3*10^12-$A147),$A147,$A148)=F148,0,IF((F$3*10^12-$A148)*(F$3*10^12-$A147)*-1&lt;0,0,1)*IF(ABS(F$3*10^12-$A148)&gt;(F$3*10^12-$A147),$A147,$A148))</f>
        <v>0</v>
      </c>
      <c r="G147" s="0" t="n">
        <f aca="false">IF(IF((G$3*10^12-$A148)*(G$3*10^12-$A147)*-1&lt;0,0,1)*IF(ABS(G$3*10^12-$A148)&gt;(G$3*10^12-$A147),$A147,$A148)=G148,0,IF((G$3*10^12-$A148)*(G$3*10^12-$A147)*-1&lt;0,0,1)*IF(ABS(G$3*10^12-$A148)&gt;(G$3*10^12-$A147),$A147,$A148))</f>
        <v>0</v>
      </c>
      <c r="H147" s="0" t="n">
        <f aca="false">IF(IF((H$3*10^12-$A148)*(H$3*10^12-$A147)*-1&lt;0,0,1)*IF(ABS(H$3*10^12-$A148)&gt;(H$3*10^12-$A147),$A147,$A148)=H148,0,IF((H$3*10^12-$A148)*(H$3*10^12-$A147)*-1&lt;0,0,1)*IF(ABS(H$3*10^12-$A148)&gt;(H$3*10^12-$A147),$A147,$A148))</f>
        <v>0</v>
      </c>
      <c r="I147" s="0" t="n">
        <f aca="false">IF(IF((I$3*10^12-$A148)*(I$3*10^12-$A147)*-1&lt;0,0,1)*IF(ABS(I$3*10^12-$A148)&gt;(I$3*10^12-$A147),$A147,$A148)=I148,0,IF((I$3*10^12-$A148)*(I$3*10^12-$A147)*-1&lt;0,0,1)*IF(ABS(I$3*10^12-$A148)&gt;(I$3*10^12-$A147),$A147,$A148))</f>
        <v>0</v>
      </c>
      <c r="J147" s="0" t="n">
        <f aca="false">IF(IF((J$3*10^12-$A148)*(J$3*10^12-$A147)*-1&lt;0,0,1)*IF(ABS(J$3*10^12-$A148)&gt;(J$3*10^12-$A147),$A147,$A148)=J148,0,IF((J$3*10^12-$A148)*(J$3*10^12-$A147)*-1&lt;0,0,1)*IF(ABS(J$3*10^12-$A148)&gt;(J$3*10^12-$A147),$A147,$A148))</f>
        <v>0</v>
      </c>
    </row>
    <row r="148" customFormat="false" ht="12.75" hidden="false" customHeight="false" outlineLevel="0" collapsed="false">
      <c r="A148" s="0" t="n">
        <f aca="false">A136*10</f>
        <v>330000000000</v>
      </c>
      <c r="B148" s="0" t="n">
        <f aca="false">IF(IF((B$3*10^12-$A149)*(B$3*10^12-$A148)*-1&lt;0,0,1)*IF(ABS(B$3*10^12-$A149)&gt;(B$3*10^12-$A148),$A148,$A149)=B149,0,IF((B$3*10^12-$A149)*(B$3*10^12-$A148)*-1&lt;0,0,1)*IF(ABS(B$3*10^12-$A149)&gt;(B$3*10^12-$A148),$A148,$A149))</f>
        <v>0</v>
      </c>
      <c r="C148" s="0" t="n">
        <f aca="false">IF(IF((C$3*10^12-$A149)*(C$3*10^12-$A148)*-1&lt;0,0,1)*IF(ABS(C$3*10^12-$A149)&gt;(C$3*10^12-$A148),$A148,$A149)=C149,0,IF((C$3*10^12-$A149)*(C$3*10^12-$A148)*-1&lt;0,0,1)*IF(ABS(C$3*10^12-$A149)&gt;(C$3*10^12-$A148),$A148,$A149))</f>
        <v>0</v>
      </c>
      <c r="D148" s="0" t="n">
        <f aca="false">IF(IF((D$3*10^12-$A149)*(D$3*10^12-$A148)*-1&lt;0,0,1)*IF(ABS(D$3*10^12-$A149)&gt;(D$3*10^12-$A148),$A148,$A149)=D149,0,IF((D$3*10^12-$A149)*(D$3*10^12-$A148)*-1&lt;0,0,1)*IF(ABS(D$3*10^12-$A149)&gt;(D$3*10^12-$A148),$A148,$A149))</f>
        <v>0</v>
      </c>
      <c r="E148" s="0" t="n">
        <f aca="false">IF(IF((E$3*10^12-$A149)*(E$3*10^12-$A148)*-1&lt;0,0,1)*IF(ABS(E$3*10^12-$A149)&gt;(E$3*10^12-$A148),$A148,$A149)=E149,0,IF((E$3*10^12-$A149)*(E$3*10^12-$A148)*-1&lt;0,0,1)*IF(ABS(E$3*10^12-$A149)&gt;(E$3*10^12-$A148),$A148,$A149))</f>
        <v>0</v>
      </c>
      <c r="F148" s="0" t="n">
        <f aca="false">IF(IF((F$3*10^12-$A149)*(F$3*10^12-$A148)*-1&lt;0,0,1)*IF(ABS(F$3*10^12-$A149)&gt;(F$3*10^12-$A148),$A148,$A149)=F149,0,IF((F$3*10^12-$A149)*(F$3*10^12-$A148)*-1&lt;0,0,1)*IF(ABS(F$3*10^12-$A149)&gt;(F$3*10^12-$A148),$A148,$A149))</f>
        <v>0</v>
      </c>
      <c r="G148" s="0" t="n">
        <f aca="false">IF(IF((G$3*10^12-$A149)*(G$3*10^12-$A148)*-1&lt;0,0,1)*IF(ABS(G$3*10^12-$A149)&gt;(G$3*10^12-$A148),$A148,$A149)=G149,0,IF((G$3*10^12-$A149)*(G$3*10^12-$A148)*-1&lt;0,0,1)*IF(ABS(G$3*10^12-$A149)&gt;(G$3*10^12-$A148),$A148,$A149))</f>
        <v>0</v>
      </c>
      <c r="H148" s="0" t="n">
        <f aca="false">IF(IF((H$3*10^12-$A149)*(H$3*10^12-$A148)*-1&lt;0,0,1)*IF(ABS(H$3*10^12-$A149)&gt;(H$3*10^12-$A148),$A148,$A149)=H149,0,IF((H$3*10^12-$A149)*(H$3*10^12-$A148)*-1&lt;0,0,1)*IF(ABS(H$3*10^12-$A149)&gt;(H$3*10^12-$A148),$A148,$A149))</f>
        <v>0</v>
      </c>
      <c r="I148" s="0" t="n">
        <f aca="false">IF(IF((I$3*10^12-$A149)*(I$3*10^12-$A148)*-1&lt;0,0,1)*IF(ABS(I$3*10^12-$A149)&gt;(I$3*10^12-$A148),$A148,$A149)=I149,0,IF((I$3*10^12-$A149)*(I$3*10^12-$A148)*-1&lt;0,0,1)*IF(ABS(I$3*10^12-$A149)&gt;(I$3*10^12-$A148),$A148,$A149))</f>
        <v>0</v>
      </c>
      <c r="J148" s="0" t="n">
        <f aca="false">IF(IF((J$3*10^12-$A149)*(J$3*10^12-$A148)*-1&lt;0,0,1)*IF(ABS(J$3*10^12-$A149)&gt;(J$3*10^12-$A148),$A148,$A149)=J149,0,IF((J$3*10^12-$A149)*(J$3*10^12-$A148)*-1&lt;0,0,1)*IF(ABS(J$3*10^12-$A149)&gt;(J$3*10^12-$A148),$A148,$A149))</f>
        <v>0</v>
      </c>
    </row>
    <row r="149" customFormat="false" ht="12.75" hidden="false" customHeight="false" outlineLevel="0" collapsed="false">
      <c r="A149" s="0" t="n">
        <f aca="false">A137*10</f>
        <v>390000000000</v>
      </c>
      <c r="B149" s="0" t="n">
        <f aca="false">IF(IF((B$3*10^12-$A150)*(B$3*10^12-$A149)*-1&lt;0,0,1)*IF(ABS(B$3*10^12-$A150)&gt;(B$3*10^12-$A149),$A149,$A150)=B150,0,IF((B$3*10^12-$A150)*(B$3*10^12-$A149)*-1&lt;0,0,1)*IF(ABS(B$3*10^12-$A150)&gt;(B$3*10^12-$A149),$A149,$A150))</f>
        <v>0</v>
      </c>
      <c r="C149" s="0" t="n">
        <f aca="false">IF(IF((C$3*10^12-$A150)*(C$3*10^12-$A149)*-1&lt;0,0,1)*IF(ABS(C$3*10^12-$A150)&gt;(C$3*10^12-$A149),$A149,$A150)=C150,0,IF((C$3*10^12-$A150)*(C$3*10^12-$A149)*-1&lt;0,0,1)*IF(ABS(C$3*10^12-$A150)&gt;(C$3*10^12-$A149),$A149,$A150))</f>
        <v>0</v>
      </c>
      <c r="D149" s="0" t="n">
        <f aca="false">IF(IF((D$3*10^12-$A150)*(D$3*10^12-$A149)*-1&lt;0,0,1)*IF(ABS(D$3*10^12-$A150)&gt;(D$3*10^12-$A149),$A149,$A150)=D150,0,IF((D$3*10^12-$A150)*(D$3*10^12-$A149)*-1&lt;0,0,1)*IF(ABS(D$3*10^12-$A150)&gt;(D$3*10^12-$A149),$A149,$A150))</f>
        <v>0</v>
      </c>
      <c r="E149" s="0" t="n">
        <f aca="false">IF(IF((E$3*10^12-$A150)*(E$3*10^12-$A149)*-1&lt;0,0,1)*IF(ABS(E$3*10^12-$A150)&gt;(E$3*10^12-$A149),$A149,$A150)=E150,0,IF((E$3*10^12-$A150)*(E$3*10^12-$A149)*-1&lt;0,0,1)*IF(ABS(E$3*10^12-$A150)&gt;(E$3*10^12-$A149),$A149,$A150))</f>
        <v>0</v>
      </c>
      <c r="F149" s="0" t="n">
        <f aca="false">IF(IF((F$3*10^12-$A150)*(F$3*10^12-$A149)*-1&lt;0,0,1)*IF(ABS(F$3*10^12-$A150)&gt;(F$3*10^12-$A149),$A149,$A150)=F150,0,IF((F$3*10^12-$A150)*(F$3*10^12-$A149)*-1&lt;0,0,1)*IF(ABS(F$3*10^12-$A150)&gt;(F$3*10^12-$A149),$A149,$A150))</f>
        <v>0</v>
      </c>
      <c r="G149" s="0" t="n">
        <f aca="false">IF(IF((G$3*10^12-$A150)*(G$3*10^12-$A149)*-1&lt;0,0,1)*IF(ABS(G$3*10^12-$A150)&gt;(G$3*10^12-$A149),$A149,$A150)=G150,0,IF((G$3*10^12-$A150)*(G$3*10^12-$A149)*-1&lt;0,0,1)*IF(ABS(G$3*10^12-$A150)&gt;(G$3*10^12-$A149),$A149,$A150))</f>
        <v>0</v>
      </c>
      <c r="H149" s="0" t="n">
        <f aca="false">IF(IF((H$3*10^12-$A150)*(H$3*10^12-$A149)*-1&lt;0,0,1)*IF(ABS(H$3*10^12-$A150)&gt;(H$3*10^12-$A149),$A149,$A150)=H150,0,IF((H$3*10^12-$A150)*(H$3*10^12-$A149)*-1&lt;0,0,1)*IF(ABS(H$3*10^12-$A150)&gt;(H$3*10^12-$A149),$A149,$A150))</f>
        <v>0</v>
      </c>
      <c r="I149" s="0" t="n">
        <f aca="false">IF(IF((I$3*10^12-$A150)*(I$3*10^12-$A149)*-1&lt;0,0,1)*IF(ABS(I$3*10^12-$A150)&gt;(I$3*10^12-$A149),$A149,$A150)=I150,0,IF((I$3*10^12-$A150)*(I$3*10^12-$A149)*-1&lt;0,0,1)*IF(ABS(I$3*10^12-$A150)&gt;(I$3*10^12-$A149),$A149,$A150))</f>
        <v>0</v>
      </c>
      <c r="J149" s="0" t="n">
        <f aca="false">IF(IF((J$3*10^12-$A150)*(J$3*10^12-$A149)*-1&lt;0,0,1)*IF(ABS(J$3*10^12-$A150)&gt;(J$3*10^12-$A149),$A149,$A150)=J150,0,IF((J$3*10^12-$A150)*(J$3*10^12-$A149)*-1&lt;0,0,1)*IF(ABS(J$3*10^12-$A150)&gt;(J$3*10^12-$A149),$A149,$A150))</f>
        <v>0</v>
      </c>
    </row>
    <row r="150" customFormat="false" ht="12.75" hidden="false" customHeight="false" outlineLevel="0" collapsed="false">
      <c r="A150" s="0" t="n">
        <f aca="false">A138*10</f>
        <v>470000000000</v>
      </c>
      <c r="B150" s="0" t="n">
        <f aca="false">IF(IF((B$3*10^12-$A151)*(B$3*10^12-$A150)*-1&lt;0,0,1)*IF(ABS(B$3*10^12-$A151)&gt;(B$3*10^12-$A150),$A150,$A151)=B151,0,IF((B$3*10^12-$A151)*(B$3*10^12-$A150)*-1&lt;0,0,1)*IF(ABS(B$3*10^12-$A151)&gt;(B$3*10^12-$A150),$A150,$A151))</f>
        <v>0</v>
      </c>
      <c r="C150" s="0" t="n">
        <f aca="false">IF(IF((C$3*10^12-$A151)*(C$3*10^12-$A150)*-1&lt;0,0,1)*IF(ABS(C$3*10^12-$A151)&gt;(C$3*10^12-$A150),$A150,$A151)=C151,0,IF((C$3*10^12-$A151)*(C$3*10^12-$A150)*-1&lt;0,0,1)*IF(ABS(C$3*10^12-$A151)&gt;(C$3*10^12-$A150),$A150,$A151))</f>
        <v>0</v>
      </c>
      <c r="D150" s="0" t="n">
        <f aca="false">IF(IF((D$3*10^12-$A151)*(D$3*10^12-$A150)*-1&lt;0,0,1)*IF(ABS(D$3*10^12-$A151)&gt;(D$3*10^12-$A150),$A150,$A151)=D151,0,IF((D$3*10^12-$A151)*(D$3*10^12-$A150)*-1&lt;0,0,1)*IF(ABS(D$3*10^12-$A151)&gt;(D$3*10^12-$A150),$A150,$A151))</f>
        <v>0</v>
      </c>
      <c r="E150" s="0" t="n">
        <f aca="false">IF(IF((E$3*10^12-$A151)*(E$3*10^12-$A150)*-1&lt;0,0,1)*IF(ABS(E$3*10^12-$A151)&gt;(E$3*10^12-$A150),$A150,$A151)=E151,0,IF((E$3*10^12-$A151)*(E$3*10^12-$A150)*-1&lt;0,0,1)*IF(ABS(E$3*10^12-$A151)&gt;(E$3*10^12-$A150),$A150,$A151))</f>
        <v>0</v>
      </c>
      <c r="F150" s="0" t="n">
        <f aca="false">IF(IF((F$3*10^12-$A151)*(F$3*10^12-$A150)*-1&lt;0,0,1)*IF(ABS(F$3*10^12-$A151)&gt;(F$3*10^12-$A150),$A150,$A151)=F151,0,IF((F$3*10^12-$A151)*(F$3*10^12-$A150)*-1&lt;0,0,1)*IF(ABS(F$3*10^12-$A151)&gt;(F$3*10^12-$A150),$A150,$A151))</f>
        <v>0</v>
      </c>
      <c r="G150" s="0" t="n">
        <f aca="false">IF(IF((G$3*10^12-$A151)*(G$3*10^12-$A150)*-1&lt;0,0,1)*IF(ABS(G$3*10^12-$A151)&gt;(G$3*10^12-$A150),$A150,$A151)=G151,0,IF((G$3*10^12-$A151)*(G$3*10^12-$A150)*-1&lt;0,0,1)*IF(ABS(G$3*10^12-$A151)&gt;(G$3*10^12-$A150),$A150,$A151))</f>
        <v>0</v>
      </c>
      <c r="H150" s="0" t="n">
        <f aca="false">IF(IF((H$3*10^12-$A151)*(H$3*10^12-$A150)*-1&lt;0,0,1)*IF(ABS(H$3*10^12-$A151)&gt;(H$3*10^12-$A150),$A150,$A151)=H151,0,IF((H$3*10^12-$A151)*(H$3*10^12-$A150)*-1&lt;0,0,1)*IF(ABS(H$3*10^12-$A151)&gt;(H$3*10^12-$A150),$A150,$A151))</f>
        <v>0</v>
      </c>
      <c r="I150" s="0" t="n">
        <f aca="false">IF(IF((I$3*10^12-$A151)*(I$3*10^12-$A150)*-1&lt;0,0,1)*IF(ABS(I$3*10^12-$A151)&gt;(I$3*10^12-$A150),$A150,$A151)=I151,0,IF((I$3*10^12-$A151)*(I$3*10^12-$A150)*-1&lt;0,0,1)*IF(ABS(I$3*10^12-$A151)&gt;(I$3*10^12-$A150),$A150,$A151))</f>
        <v>0</v>
      </c>
      <c r="J150" s="0" t="n">
        <f aca="false">IF(IF((J$3*10^12-$A151)*(J$3*10^12-$A150)*-1&lt;0,0,1)*IF(ABS(J$3*10^12-$A151)&gt;(J$3*10^12-$A150),$A150,$A151)=J151,0,IF((J$3*10^12-$A151)*(J$3*10^12-$A150)*-1&lt;0,0,1)*IF(ABS(J$3*10^12-$A151)&gt;(J$3*10^12-$A150),$A150,$A151))</f>
        <v>0</v>
      </c>
    </row>
    <row r="151" customFormat="false" ht="12.75" hidden="false" customHeight="false" outlineLevel="0" collapsed="false">
      <c r="A151" s="0" t="n">
        <f aca="false">A139*10</f>
        <v>560000000000</v>
      </c>
      <c r="B151" s="0" t="n">
        <f aca="false">IF(IF((B$3*10^12-$A152)*(B$3*10^12-$A151)*-1&lt;0,0,1)*IF(ABS(B$3*10^12-$A152)&gt;(B$3*10^12-$A151),$A151,$A152)=B152,0,IF((B$3*10^12-$A152)*(B$3*10^12-$A151)*-1&lt;0,0,1)*IF(ABS(B$3*10^12-$A152)&gt;(B$3*10^12-$A151),$A151,$A152))</f>
        <v>0</v>
      </c>
      <c r="C151" s="0" t="n">
        <f aca="false">IF(IF((C$3*10^12-$A152)*(C$3*10^12-$A151)*-1&lt;0,0,1)*IF(ABS(C$3*10^12-$A152)&gt;(C$3*10^12-$A151),$A151,$A152)=C152,0,IF((C$3*10^12-$A152)*(C$3*10^12-$A151)*-1&lt;0,0,1)*IF(ABS(C$3*10^12-$A152)&gt;(C$3*10^12-$A151),$A151,$A152))</f>
        <v>0</v>
      </c>
      <c r="D151" s="0" t="n">
        <f aca="false">IF(IF((D$3*10^12-$A152)*(D$3*10^12-$A151)*-1&lt;0,0,1)*IF(ABS(D$3*10^12-$A152)&gt;(D$3*10^12-$A151),$A151,$A152)=D152,0,IF((D$3*10^12-$A152)*(D$3*10^12-$A151)*-1&lt;0,0,1)*IF(ABS(D$3*10^12-$A152)&gt;(D$3*10^12-$A151),$A151,$A152))</f>
        <v>0</v>
      </c>
      <c r="E151" s="0" t="n">
        <f aca="false">IF(IF((E$3*10^12-$A152)*(E$3*10^12-$A151)*-1&lt;0,0,1)*IF(ABS(E$3*10^12-$A152)&gt;(E$3*10^12-$A151),$A151,$A152)=E152,0,IF((E$3*10^12-$A152)*(E$3*10^12-$A151)*-1&lt;0,0,1)*IF(ABS(E$3*10^12-$A152)&gt;(E$3*10^12-$A151),$A151,$A152))</f>
        <v>0</v>
      </c>
      <c r="F151" s="0" t="n">
        <f aca="false">IF(IF((F$3*10^12-$A152)*(F$3*10^12-$A151)*-1&lt;0,0,1)*IF(ABS(F$3*10^12-$A152)&gt;(F$3*10^12-$A151),$A151,$A152)=F152,0,IF((F$3*10^12-$A152)*(F$3*10^12-$A151)*-1&lt;0,0,1)*IF(ABS(F$3*10^12-$A152)&gt;(F$3*10^12-$A151),$A151,$A152))</f>
        <v>0</v>
      </c>
      <c r="G151" s="0" t="n">
        <f aca="false">IF(IF((G$3*10^12-$A152)*(G$3*10^12-$A151)*-1&lt;0,0,1)*IF(ABS(G$3*10^12-$A152)&gt;(G$3*10^12-$A151),$A151,$A152)=G152,0,IF((G$3*10^12-$A152)*(G$3*10^12-$A151)*-1&lt;0,0,1)*IF(ABS(G$3*10^12-$A152)&gt;(G$3*10^12-$A151),$A151,$A152))</f>
        <v>0</v>
      </c>
      <c r="H151" s="0" t="n">
        <f aca="false">IF(IF((H$3*10^12-$A152)*(H$3*10^12-$A151)*-1&lt;0,0,1)*IF(ABS(H$3*10^12-$A152)&gt;(H$3*10^12-$A151),$A151,$A152)=H152,0,IF((H$3*10^12-$A152)*(H$3*10^12-$A151)*-1&lt;0,0,1)*IF(ABS(H$3*10^12-$A152)&gt;(H$3*10^12-$A151),$A151,$A152))</f>
        <v>0</v>
      </c>
      <c r="I151" s="0" t="n">
        <f aca="false">IF(IF((I$3*10^12-$A152)*(I$3*10^12-$A151)*-1&lt;0,0,1)*IF(ABS(I$3*10^12-$A152)&gt;(I$3*10^12-$A151),$A151,$A152)=I152,0,IF((I$3*10^12-$A152)*(I$3*10^12-$A151)*-1&lt;0,0,1)*IF(ABS(I$3*10^12-$A152)&gt;(I$3*10^12-$A151),$A151,$A152))</f>
        <v>0</v>
      </c>
      <c r="J151" s="0" t="n">
        <f aca="false">IF(IF((J$3*10^12-$A152)*(J$3*10^12-$A151)*-1&lt;0,0,1)*IF(ABS(J$3*10^12-$A152)&gt;(J$3*10^12-$A151),$A151,$A152)=J152,0,IF((J$3*10^12-$A152)*(J$3*10^12-$A151)*-1&lt;0,0,1)*IF(ABS(J$3*10^12-$A152)&gt;(J$3*10^12-$A151),$A151,$A152))</f>
        <v>0</v>
      </c>
    </row>
    <row r="152" customFormat="false" ht="12.75" hidden="false" customHeight="false" outlineLevel="0" collapsed="false">
      <c r="A152" s="0" t="n">
        <f aca="false">A140*10</f>
        <v>680000000000</v>
      </c>
      <c r="B152" s="0" t="n">
        <f aca="false">IF(IF((B$3*10^12-$A153)*(B$3*10^12-$A152)*-1&lt;0,0,1)*IF(ABS(B$3*10^12-$A153)&gt;(B$3*10^12-$A152),$A152,$A153)=B153,0,IF((B$3*10^12-$A153)*(B$3*10^12-$A152)*-1&lt;0,0,1)*IF(ABS(B$3*10^12-$A153)&gt;(B$3*10^12-$A152),$A152,$A153))</f>
        <v>0</v>
      </c>
      <c r="C152" s="0" t="n">
        <f aca="false">IF(IF((C$3*10^12-$A153)*(C$3*10^12-$A152)*-1&lt;0,0,1)*IF(ABS(C$3*10^12-$A153)&gt;(C$3*10^12-$A152),$A152,$A153)=C153,0,IF((C$3*10^12-$A153)*(C$3*10^12-$A152)*-1&lt;0,0,1)*IF(ABS(C$3*10^12-$A153)&gt;(C$3*10^12-$A152),$A152,$A153))</f>
        <v>0</v>
      </c>
      <c r="D152" s="0" t="n">
        <f aca="false">IF(IF((D$3*10^12-$A153)*(D$3*10^12-$A152)*-1&lt;0,0,1)*IF(ABS(D$3*10^12-$A153)&gt;(D$3*10^12-$A152),$A152,$A153)=D153,0,IF((D$3*10^12-$A153)*(D$3*10^12-$A152)*-1&lt;0,0,1)*IF(ABS(D$3*10^12-$A153)&gt;(D$3*10^12-$A152),$A152,$A153))</f>
        <v>0</v>
      </c>
      <c r="E152" s="0" t="n">
        <f aca="false">IF(IF((E$3*10^12-$A153)*(E$3*10^12-$A152)*-1&lt;0,0,1)*IF(ABS(E$3*10^12-$A153)&gt;(E$3*10^12-$A152),$A152,$A153)=E153,0,IF((E$3*10^12-$A153)*(E$3*10^12-$A152)*-1&lt;0,0,1)*IF(ABS(E$3*10^12-$A153)&gt;(E$3*10^12-$A152),$A152,$A153))</f>
        <v>0</v>
      </c>
      <c r="F152" s="0" t="n">
        <f aca="false">IF(IF((F$3*10^12-$A153)*(F$3*10^12-$A152)*-1&lt;0,0,1)*IF(ABS(F$3*10^12-$A153)&gt;(F$3*10^12-$A152),$A152,$A153)=F153,0,IF((F$3*10^12-$A153)*(F$3*10^12-$A152)*-1&lt;0,0,1)*IF(ABS(F$3*10^12-$A153)&gt;(F$3*10^12-$A152),$A152,$A153))</f>
        <v>0</v>
      </c>
      <c r="G152" s="0" t="n">
        <f aca="false">IF(IF((G$3*10^12-$A153)*(G$3*10^12-$A152)*-1&lt;0,0,1)*IF(ABS(G$3*10^12-$A153)&gt;(G$3*10^12-$A152),$A152,$A153)=G153,0,IF((G$3*10^12-$A153)*(G$3*10^12-$A152)*-1&lt;0,0,1)*IF(ABS(G$3*10^12-$A153)&gt;(G$3*10^12-$A152),$A152,$A153))</f>
        <v>0</v>
      </c>
      <c r="H152" s="0" t="n">
        <f aca="false">IF(IF((H$3*10^12-$A153)*(H$3*10^12-$A152)*-1&lt;0,0,1)*IF(ABS(H$3*10^12-$A153)&gt;(H$3*10^12-$A152),$A152,$A153)=H153,0,IF((H$3*10^12-$A153)*(H$3*10^12-$A152)*-1&lt;0,0,1)*IF(ABS(H$3*10^12-$A153)&gt;(H$3*10^12-$A152),$A152,$A153))</f>
        <v>0</v>
      </c>
      <c r="I152" s="0" t="n">
        <f aca="false">IF(IF((I$3*10^12-$A153)*(I$3*10^12-$A152)*-1&lt;0,0,1)*IF(ABS(I$3*10^12-$A153)&gt;(I$3*10^12-$A152),$A152,$A153)=I153,0,IF((I$3*10^12-$A153)*(I$3*10^12-$A152)*-1&lt;0,0,1)*IF(ABS(I$3*10^12-$A153)&gt;(I$3*10^12-$A152),$A152,$A153))</f>
        <v>0</v>
      </c>
      <c r="J152" s="0" t="n">
        <f aca="false">IF(IF((J$3*10^12-$A153)*(J$3*10^12-$A152)*-1&lt;0,0,1)*IF(ABS(J$3*10^12-$A153)&gt;(J$3*10^12-$A152),$A152,$A153)=J153,0,IF((J$3*10^12-$A153)*(J$3*10^12-$A152)*-1&lt;0,0,1)*IF(ABS(J$3*10^12-$A153)&gt;(J$3*10^12-$A152),$A152,$A153))</f>
        <v>0</v>
      </c>
    </row>
    <row r="153" customFormat="false" ht="12.75" hidden="false" customHeight="false" outlineLevel="0" collapsed="false">
      <c r="A153" s="0" t="n">
        <f aca="false">A141*10</f>
        <v>820000000000</v>
      </c>
      <c r="B153" s="0" t="n">
        <f aca="false">IF(IF((B$3*10^12-$A154)*(B$3*10^12-$A153)*-1&lt;0,0,1)*IF(ABS(B$3*10^12-$A154)&gt;(B$3*10^12-$A153),$A153,$A154)=B154,0,IF((B$3*10^12-$A154)*(B$3*10^12-$A153)*-1&lt;0,0,1)*IF(ABS(B$3*10^12-$A154)&gt;(B$3*10^12-$A153),$A153,$A154))</f>
        <v>0</v>
      </c>
      <c r="C153" s="0" t="n">
        <f aca="false">IF(IF((C$3*10^12-$A154)*(C$3*10^12-$A153)*-1&lt;0,0,1)*IF(ABS(C$3*10^12-$A154)&gt;(C$3*10^12-$A153),$A153,$A154)=C154,0,IF((C$3*10^12-$A154)*(C$3*10^12-$A153)*-1&lt;0,0,1)*IF(ABS(C$3*10^12-$A154)&gt;(C$3*10^12-$A153),$A153,$A154))</f>
        <v>0</v>
      </c>
      <c r="D153" s="0" t="n">
        <f aca="false">IF(IF((D$3*10^12-$A154)*(D$3*10^12-$A153)*-1&lt;0,0,1)*IF(ABS(D$3*10^12-$A154)&gt;(D$3*10^12-$A153),$A153,$A154)=D154,0,IF((D$3*10^12-$A154)*(D$3*10^12-$A153)*-1&lt;0,0,1)*IF(ABS(D$3*10^12-$A154)&gt;(D$3*10^12-$A153),$A153,$A154))</f>
        <v>0</v>
      </c>
      <c r="E153" s="0" t="n">
        <f aca="false">IF(IF((E$3*10^12-$A154)*(E$3*10^12-$A153)*-1&lt;0,0,1)*IF(ABS(E$3*10^12-$A154)&gt;(E$3*10^12-$A153),$A153,$A154)=E154,0,IF((E$3*10^12-$A154)*(E$3*10^12-$A153)*-1&lt;0,0,1)*IF(ABS(E$3*10^12-$A154)&gt;(E$3*10^12-$A153),$A153,$A154))</f>
        <v>0</v>
      </c>
      <c r="F153" s="0" t="n">
        <f aca="false">IF(IF((F$3*10^12-$A154)*(F$3*10^12-$A153)*-1&lt;0,0,1)*IF(ABS(F$3*10^12-$A154)&gt;(F$3*10^12-$A153),$A153,$A154)=F154,0,IF((F$3*10^12-$A154)*(F$3*10^12-$A153)*-1&lt;0,0,1)*IF(ABS(F$3*10^12-$A154)&gt;(F$3*10^12-$A153),$A153,$A154))</f>
        <v>0</v>
      </c>
      <c r="G153" s="0" t="n">
        <f aca="false">IF(IF((G$3*10^12-$A154)*(G$3*10^12-$A153)*-1&lt;0,0,1)*IF(ABS(G$3*10^12-$A154)&gt;(G$3*10^12-$A153),$A153,$A154)=G154,0,IF((G$3*10^12-$A154)*(G$3*10^12-$A153)*-1&lt;0,0,1)*IF(ABS(G$3*10^12-$A154)&gt;(G$3*10^12-$A153),$A153,$A154))</f>
        <v>0</v>
      </c>
      <c r="H153" s="0" t="n">
        <f aca="false">IF(IF((H$3*10^12-$A154)*(H$3*10^12-$A153)*-1&lt;0,0,1)*IF(ABS(H$3*10^12-$A154)&gt;(H$3*10^12-$A153),$A153,$A154)=H154,0,IF((H$3*10^12-$A154)*(H$3*10^12-$A153)*-1&lt;0,0,1)*IF(ABS(H$3*10^12-$A154)&gt;(H$3*10^12-$A153),$A153,$A154))</f>
        <v>0</v>
      </c>
      <c r="I153" s="0" t="n">
        <f aca="false">IF(IF((I$3*10^12-$A154)*(I$3*10^12-$A153)*-1&lt;0,0,1)*IF(ABS(I$3*10^12-$A154)&gt;(I$3*10^12-$A153),$A153,$A154)=I154,0,IF((I$3*10^12-$A154)*(I$3*10^12-$A153)*-1&lt;0,0,1)*IF(ABS(I$3*10^12-$A154)&gt;(I$3*10^12-$A153),$A153,$A154))</f>
        <v>0</v>
      </c>
      <c r="J153" s="0" t="n">
        <f aca="false">IF(IF((J$3*10^12-$A154)*(J$3*10^12-$A153)*-1&lt;0,0,1)*IF(ABS(J$3*10^12-$A154)&gt;(J$3*10^12-$A153),$A153,$A154)=J154,0,IF((J$3*10^12-$A154)*(J$3*10^12-$A153)*-1&lt;0,0,1)*IF(ABS(J$3*10^12-$A154)&gt;(J$3*10^12-$A153),$A153,$A154))</f>
        <v>0</v>
      </c>
    </row>
    <row r="154" customFormat="false" ht="12.75" hidden="false" customHeight="false" outlineLevel="0" collapsed="false">
      <c r="A154" s="0" t="n">
        <f aca="false">A142*10</f>
        <v>1000000000000</v>
      </c>
      <c r="B154" s="0" t="n">
        <f aca="false">IF(IF((B$3*10^12-$A155)*(B$3*10^12-$A154)*-1&lt;0,0,1)*IF(ABS(B$3*10^12-$A155)&gt;(B$3*10^12-$A154),$A154,$A155)=B155,0,IF((B$3*10^12-$A155)*(B$3*10^12-$A154)*-1&lt;0,0,1)*IF(ABS(B$3*10^12-$A155)&gt;(B$3*10^12-$A154),$A154,$A155))</f>
        <v>0</v>
      </c>
      <c r="C154" s="0" t="n">
        <f aca="false">IF(IF((C$3*10^12-$A155)*(C$3*10^12-$A154)*-1&lt;0,0,1)*IF(ABS(C$3*10^12-$A155)&gt;(C$3*10^12-$A154),$A154,$A155)=C155,0,IF((C$3*10^12-$A155)*(C$3*10^12-$A154)*-1&lt;0,0,1)*IF(ABS(C$3*10^12-$A155)&gt;(C$3*10^12-$A154),$A154,$A155))</f>
        <v>0</v>
      </c>
      <c r="D154" s="0" t="n">
        <f aca="false">IF(IF((D$3*10^12-$A155)*(D$3*10^12-$A154)*-1&lt;0,0,1)*IF(ABS(D$3*10^12-$A155)&gt;(D$3*10^12-$A154),$A154,$A155)=D155,0,IF((D$3*10^12-$A155)*(D$3*10^12-$A154)*-1&lt;0,0,1)*IF(ABS(D$3*10^12-$A155)&gt;(D$3*10^12-$A154),$A154,$A155))</f>
        <v>0</v>
      </c>
      <c r="E154" s="0" t="n">
        <f aca="false">IF(IF((E$3*10^12-$A155)*(E$3*10^12-$A154)*-1&lt;0,0,1)*IF(ABS(E$3*10^12-$A155)&gt;(E$3*10^12-$A154),$A154,$A155)=E155,0,IF((E$3*10^12-$A155)*(E$3*10^12-$A154)*-1&lt;0,0,1)*IF(ABS(E$3*10^12-$A155)&gt;(E$3*10^12-$A154),$A154,$A155))</f>
        <v>0</v>
      </c>
      <c r="F154" s="0" t="n">
        <f aca="false">IF(IF((F$3*10^12-$A155)*(F$3*10^12-$A154)*-1&lt;0,0,1)*IF(ABS(F$3*10^12-$A155)&gt;(F$3*10^12-$A154),$A154,$A155)=F155,0,IF((F$3*10^12-$A155)*(F$3*10^12-$A154)*-1&lt;0,0,1)*IF(ABS(F$3*10^12-$A155)&gt;(F$3*10^12-$A154),$A154,$A155))</f>
        <v>0</v>
      </c>
      <c r="G154" s="0" t="n">
        <f aca="false">IF(IF((G$3*10^12-$A155)*(G$3*10^12-$A154)*-1&lt;0,0,1)*IF(ABS(G$3*10^12-$A155)&gt;(G$3*10^12-$A154),$A154,$A155)=G155,0,IF((G$3*10^12-$A155)*(G$3*10^12-$A154)*-1&lt;0,0,1)*IF(ABS(G$3*10^12-$A155)&gt;(G$3*10^12-$A154),$A154,$A155))</f>
        <v>0</v>
      </c>
      <c r="H154" s="0" t="n">
        <f aca="false">IF(IF((H$3*10^12-$A155)*(H$3*10^12-$A154)*-1&lt;0,0,1)*IF(ABS(H$3*10^12-$A155)&gt;(H$3*10^12-$A154),$A154,$A155)=H155,0,IF((H$3*10^12-$A155)*(H$3*10^12-$A154)*-1&lt;0,0,1)*IF(ABS(H$3*10^12-$A155)&gt;(H$3*10^12-$A154),$A154,$A155))</f>
        <v>0</v>
      </c>
      <c r="I154" s="0" t="n">
        <f aca="false">IF(IF((I$3*10^12-$A155)*(I$3*10^12-$A154)*-1&lt;0,0,1)*IF(ABS(I$3*10^12-$A155)&gt;(I$3*10^12-$A154),$A154,$A155)=I155,0,IF((I$3*10^12-$A155)*(I$3*10^12-$A154)*-1&lt;0,0,1)*IF(ABS(I$3*10^12-$A155)&gt;(I$3*10^12-$A154),$A154,$A155))</f>
        <v>0</v>
      </c>
      <c r="J154" s="0" t="n">
        <f aca="false">IF(IF((J$3*10^12-$A155)*(J$3*10^12-$A154)*-1&lt;0,0,1)*IF(ABS(J$3*10^12-$A155)&gt;(J$3*10^12-$A154),$A154,$A155)=J155,0,IF((J$3*10^12-$A155)*(J$3*10^12-$A154)*-1&lt;0,0,1)*IF(ABS(J$3*10^12-$A155)&gt;(J$3*10^12-$A154),$A154,$A155))</f>
        <v>0</v>
      </c>
    </row>
    <row r="155" customFormat="false" ht="12.75" hidden="false" customHeight="false" outlineLevel="0" collapsed="false">
      <c r="A155" s="0" t="n">
        <f aca="false">A143*10</f>
        <v>1200000000000</v>
      </c>
      <c r="B155" s="0" t="n">
        <f aca="false">IF(IF((B$3*10^12-$A156)*(B$3*10^12-$A155)*-1&lt;0,0,1)*IF(ABS(B$3*10^12-$A156)&gt;(B$3*10^12-$A155),$A155,$A156)=B156,0,IF((B$3*10^12-$A156)*(B$3*10^12-$A155)*-1&lt;0,0,1)*IF(ABS(B$3*10^12-$A156)&gt;(B$3*10^12-$A155),$A155,$A156))</f>
        <v>0</v>
      </c>
      <c r="C155" s="0" t="n">
        <f aca="false">IF(IF((C$3*10^12-$A156)*(C$3*10^12-$A155)*-1&lt;0,0,1)*IF(ABS(C$3*10^12-$A156)&gt;(C$3*10^12-$A155),$A155,$A156)=C156,0,IF((C$3*10^12-$A156)*(C$3*10^12-$A155)*-1&lt;0,0,1)*IF(ABS(C$3*10^12-$A156)&gt;(C$3*10^12-$A155),$A155,$A156))</f>
        <v>0</v>
      </c>
      <c r="D155" s="0" t="n">
        <f aca="false">IF(IF((D$3*10^12-$A156)*(D$3*10^12-$A155)*-1&lt;0,0,1)*IF(ABS(D$3*10^12-$A156)&gt;(D$3*10^12-$A155),$A155,$A156)=D156,0,IF((D$3*10^12-$A156)*(D$3*10^12-$A155)*-1&lt;0,0,1)*IF(ABS(D$3*10^12-$A156)&gt;(D$3*10^12-$A155),$A155,$A156))</f>
        <v>0</v>
      </c>
      <c r="E155" s="0" t="n">
        <f aca="false">IF(IF((E$3*10^12-$A156)*(E$3*10^12-$A155)*-1&lt;0,0,1)*IF(ABS(E$3*10^12-$A156)&gt;(E$3*10^12-$A155),$A155,$A156)=E156,0,IF((E$3*10^12-$A156)*(E$3*10^12-$A155)*-1&lt;0,0,1)*IF(ABS(E$3*10^12-$A156)&gt;(E$3*10^12-$A155),$A155,$A156))</f>
        <v>0</v>
      </c>
      <c r="F155" s="0" t="n">
        <f aca="false">IF(IF((F$3*10^12-$A156)*(F$3*10^12-$A155)*-1&lt;0,0,1)*IF(ABS(F$3*10^12-$A156)&gt;(F$3*10^12-$A155),$A155,$A156)=F156,0,IF((F$3*10^12-$A156)*(F$3*10^12-$A155)*-1&lt;0,0,1)*IF(ABS(F$3*10^12-$A156)&gt;(F$3*10^12-$A155),$A155,$A156))</f>
        <v>0</v>
      </c>
      <c r="G155" s="0" t="n">
        <f aca="false">IF(IF((G$3*10^12-$A156)*(G$3*10^12-$A155)*-1&lt;0,0,1)*IF(ABS(G$3*10^12-$A156)&gt;(G$3*10^12-$A155),$A155,$A156)=G156,0,IF((G$3*10^12-$A156)*(G$3*10^12-$A155)*-1&lt;0,0,1)*IF(ABS(G$3*10^12-$A156)&gt;(G$3*10^12-$A155),$A155,$A156))</f>
        <v>0</v>
      </c>
      <c r="H155" s="0" t="n">
        <f aca="false">IF(IF((H$3*10^12-$A156)*(H$3*10^12-$A155)*-1&lt;0,0,1)*IF(ABS(H$3*10^12-$A156)&gt;(H$3*10^12-$A155),$A155,$A156)=H156,0,IF((H$3*10^12-$A156)*(H$3*10^12-$A155)*-1&lt;0,0,1)*IF(ABS(H$3*10^12-$A156)&gt;(H$3*10^12-$A155),$A155,$A156))</f>
        <v>0</v>
      </c>
      <c r="I155" s="0" t="n">
        <f aca="false">IF(IF((I$3*10^12-$A156)*(I$3*10^12-$A155)*-1&lt;0,0,1)*IF(ABS(I$3*10^12-$A156)&gt;(I$3*10^12-$A155),$A155,$A156)=I156,0,IF((I$3*10^12-$A156)*(I$3*10^12-$A155)*-1&lt;0,0,1)*IF(ABS(I$3*10^12-$A156)&gt;(I$3*10^12-$A155),$A155,$A156))</f>
        <v>0</v>
      </c>
      <c r="J155" s="0" t="n">
        <f aca="false">IF(IF((J$3*10^12-$A156)*(J$3*10^12-$A155)*-1&lt;0,0,1)*IF(ABS(J$3*10^12-$A156)&gt;(J$3*10^12-$A155),$A155,$A156)=J156,0,IF((J$3*10^12-$A156)*(J$3*10^12-$A155)*-1&lt;0,0,1)*IF(ABS(J$3*10^12-$A156)&gt;(J$3*10^12-$A155),$A155,$A156))</f>
        <v>0</v>
      </c>
    </row>
    <row r="156" customFormat="false" ht="12.75" hidden="false" customHeight="false" outlineLevel="0" collapsed="false">
      <c r="A156" s="0" t="n">
        <f aca="false">A144*10</f>
        <v>1500000000000</v>
      </c>
      <c r="B156" s="0" t="n">
        <f aca="false">IF(IF((B$3*10^12-$A157)*(B$3*10^12-$A156)*-1&lt;0,0,1)*IF(ABS(B$3*10^12-$A157)&gt;(B$3*10^12-$A156),$A156,$A157)=B157,0,IF((B$3*10^12-$A157)*(B$3*10^12-$A156)*-1&lt;0,0,1)*IF(ABS(B$3*10^12-$A157)&gt;(B$3*10^12-$A156),$A156,$A157))</f>
        <v>0</v>
      </c>
      <c r="C156" s="0" t="n">
        <f aca="false">IF(IF((C$3*10^12-$A157)*(C$3*10^12-$A156)*-1&lt;0,0,1)*IF(ABS(C$3*10^12-$A157)&gt;(C$3*10^12-$A156),$A156,$A157)=C157,0,IF((C$3*10^12-$A157)*(C$3*10^12-$A156)*-1&lt;0,0,1)*IF(ABS(C$3*10^12-$A157)&gt;(C$3*10^12-$A156),$A156,$A157))</f>
        <v>0</v>
      </c>
      <c r="D156" s="0" t="n">
        <f aca="false">IF(IF((D$3*10^12-$A157)*(D$3*10^12-$A156)*-1&lt;0,0,1)*IF(ABS(D$3*10^12-$A157)&gt;(D$3*10^12-$A156),$A156,$A157)=D157,0,IF((D$3*10^12-$A157)*(D$3*10^12-$A156)*-1&lt;0,0,1)*IF(ABS(D$3*10^12-$A157)&gt;(D$3*10^12-$A156),$A156,$A157))</f>
        <v>0</v>
      </c>
      <c r="E156" s="0" t="n">
        <f aca="false">IF(IF((E$3*10^12-$A157)*(E$3*10^12-$A156)*-1&lt;0,0,1)*IF(ABS(E$3*10^12-$A157)&gt;(E$3*10^12-$A156),$A156,$A157)=E157,0,IF((E$3*10^12-$A157)*(E$3*10^12-$A156)*-1&lt;0,0,1)*IF(ABS(E$3*10^12-$A157)&gt;(E$3*10^12-$A156),$A156,$A157))</f>
        <v>0</v>
      </c>
      <c r="F156" s="0" t="n">
        <f aca="false">IF(IF((F$3*10^12-$A157)*(F$3*10^12-$A156)*-1&lt;0,0,1)*IF(ABS(F$3*10^12-$A157)&gt;(F$3*10^12-$A156),$A156,$A157)=F157,0,IF((F$3*10^12-$A157)*(F$3*10^12-$A156)*-1&lt;0,0,1)*IF(ABS(F$3*10^12-$A157)&gt;(F$3*10^12-$A156),$A156,$A157))</f>
        <v>0</v>
      </c>
      <c r="G156" s="0" t="n">
        <f aca="false">IF(IF((G$3*10^12-$A157)*(G$3*10^12-$A156)*-1&lt;0,0,1)*IF(ABS(G$3*10^12-$A157)&gt;(G$3*10^12-$A156),$A156,$A157)=G157,0,IF((G$3*10^12-$A157)*(G$3*10^12-$A156)*-1&lt;0,0,1)*IF(ABS(G$3*10^12-$A157)&gt;(G$3*10^12-$A156),$A156,$A157))</f>
        <v>0</v>
      </c>
      <c r="H156" s="0" t="n">
        <f aca="false">IF(IF((H$3*10^12-$A157)*(H$3*10^12-$A156)*-1&lt;0,0,1)*IF(ABS(H$3*10^12-$A157)&gt;(H$3*10^12-$A156),$A156,$A157)=H157,0,IF((H$3*10^12-$A157)*(H$3*10^12-$A156)*-1&lt;0,0,1)*IF(ABS(H$3*10^12-$A157)&gt;(H$3*10^12-$A156),$A156,$A157))</f>
        <v>0</v>
      </c>
      <c r="I156" s="0" t="n">
        <f aca="false">IF(IF((I$3*10^12-$A157)*(I$3*10^12-$A156)*-1&lt;0,0,1)*IF(ABS(I$3*10^12-$A157)&gt;(I$3*10^12-$A156),$A156,$A157)=I157,0,IF((I$3*10^12-$A157)*(I$3*10^12-$A156)*-1&lt;0,0,1)*IF(ABS(I$3*10^12-$A157)&gt;(I$3*10^12-$A156),$A156,$A157))</f>
        <v>0</v>
      </c>
      <c r="J156" s="0" t="n">
        <f aca="false">IF(IF((J$3*10^12-$A157)*(J$3*10^12-$A156)*-1&lt;0,0,1)*IF(ABS(J$3*10^12-$A157)&gt;(J$3*10^12-$A156),$A156,$A157)=J157,0,IF((J$3*10^12-$A157)*(J$3*10^12-$A156)*-1&lt;0,0,1)*IF(ABS(J$3*10^12-$A157)&gt;(J$3*10^12-$A156),$A156,$A157))</f>
        <v>0</v>
      </c>
    </row>
    <row r="157" customFormat="false" ht="12.75" hidden="false" customHeight="false" outlineLevel="0" collapsed="false">
      <c r="A157" s="0" t="n">
        <f aca="false">A145*10</f>
        <v>1800000000000</v>
      </c>
      <c r="B157" s="0" t="n">
        <f aca="false">IF(IF((B$3*10^12-$A158)*(B$3*10^12-$A157)*-1&lt;0,0,1)*IF(ABS(B$3*10^12-$A158)&gt;(B$3*10^12-$A157),$A157,$A158)=B158,0,IF((B$3*10^12-$A158)*(B$3*10^12-$A157)*-1&lt;0,0,1)*IF(ABS(B$3*10^12-$A158)&gt;(B$3*10^12-$A157),$A157,$A158))</f>
        <v>0</v>
      </c>
      <c r="C157" s="0" t="n">
        <f aca="false">IF(IF((C$3*10^12-$A158)*(C$3*10^12-$A157)*-1&lt;0,0,1)*IF(ABS(C$3*10^12-$A158)&gt;(C$3*10^12-$A157),$A157,$A158)=C158,0,IF((C$3*10^12-$A158)*(C$3*10^12-$A157)*-1&lt;0,0,1)*IF(ABS(C$3*10^12-$A158)&gt;(C$3*10^12-$A157),$A157,$A158))</f>
        <v>0</v>
      </c>
      <c r="D157" s="0" t="n">
        <f aca="false">IF(IF((D$3*10^12-$A158)*(D$3*10^12-$A157)*-1&lt;0,0,1)*IF(ABS(D$3*10^12-$A158)&gt;(D$3*10^12-$A157),$A157,$A158)=D158,0,IF((D$3*10^12-$A158)*(D$3*10^12-$A157)*-1&lt;0,0,1)*IF(ABS(D$3*10^12-$A158)&gt;(D$3*10^12-$A157),$A157,$A158))</f>
        <v>0</v>
      </c>
      <c r="E157" s="0" t="n">
        <f aca="false">IF(IF((E$3*10^12-$A158)*(E$3*10^12-$A157)*-1&lt;0,0,1)*IF(ABS(E$3*10^12-$A158)&gt;(E$3*10^12-$A157),$A157,$A158)=E158,0,IF((E$3*10^12-$A158)*(E$3*10^12-$A157)*-1&lt;0,0,1)*IF(ABS(E$3*10^12-$A158)&gt;(E$3*10^12-$A157),$A157,$A158))</f>
        <v>0</v>
      </c>
      <c r="F157" s="0" t="n">
        <f aca="false">IF(IF((F$3*10^12-$A158)*(F$3*10^12-$A157)*-1&lt;0,0,1)*IF(ABS(F$3*10^12-$A158)&gt;(F$3*10^12-$A157),$A157,$A158)=F158,0,IF((F$3*10^12-$A158)*(F$3*10^12-$A157)*-1&lt;0,0,1)*IF(ABS(F$3*10^12-$A158)&gt;(F$3*10^12-$A157),$A157,$A158))</f>
        <v>0</v>
      </c>
      <c r="G157" s="0" t="n">
        <f aca="false">IF(IF((G$3*10^12-$A158)*(G$3*10^12-$A157)*-1&lt;0,0,1)*IF(ABS(G$3*10^12-$A158)&gt;(G$3*10^12-$A157),$A157,$A158)=G158,0,IF((G$3*10^12-$A158)*(G$3*10^12-$A157)*-1&lt;0,0,1)*IF(ABS(G$3*10^12-$A158)&gt;(G$3*10^12-$A157),$A157,$A158))</f>
        <v>0</v>
      </c>
      <c r="H157" s="0" t="n">
        <f aca="false">IF(IF((H$3*10^12-$A158)*(H$3*10^12-$A157)*-1&lt;0,0,1)*IF(ABS(H$3*10^12-$A158)&gt;(H$3*10^12-$A157),$A157,$A158)=H158,0,IF((H$3*10^12-$A158)*(H$3*10^12-$A157)*-1&lt;0,0,1)*IF(ABS(H$3*10^12-$A158)&gt;(H$3*10^12-$A157),$A157,$A158))</f>
        <v>0</v>
      </c>
      <c r="I157" s="0" t="n">
        <f aca="false">IF(IF((I$3*10^12-$A158)*(I$3*10^12-$A157)*-1&lt;0,0,1)*IF(ABS(I$3*10^12-$A158)&gt;(I$3*10^12-$A157),$A157,$A158)=I158,0,IF((I$3*10^12-$A158)*(I$3*10^12-$A157)*-1&lt;0,0,1)*IF(ABS(I$3*10^12-$A158)&gt;(I$3*10^12-$A157),$A157,$A158))</f>
        <v>0</v>
      </c>
      <c r="J157" s="0" t="n">
        <f aca="false">IF(IF((J$3*10^12-$A158)*(J$3*10^12-$A157)*-1&lt;0,0,1)*IF(ABS(J$3*10^12-$A158)&gt;(J$3*10^12-$A157),$A157,$A158)=J158,0,IF((J$3*10^12-$A158)*(J$3*10^12-$A157)*-1&lt;0,0,1)*IF(ABS(J$3*10^12-$A158)&gt;(J$3*10^12-$A157),$A157,$A158))</f>
        <v>0</v>
      </c>
    </row>
    <row r="158" customFormat="false" ht="12.75" hidden="false" customHeight="false" outlineLevel="0" collapsed="false">
      <c r="A158" s="0" t="n">
        <f aca="false">A146*10</f>
        <v>2200000000000</v>
      </c>
      <c r="B158" s="0" t="n">
        <f aca="false">IF(IF((B$3*10^12-$A159)*(B$3*10^12-$A158)*-1&lt;0,0,1)*IF(ABS(B$3*10^12-$A159)&gt;(B$3*10^12-$A158),$A158,$A159)=B159,0,IF((B$3*10^12-$A159)*(B$3*10^12-$A158)*-1&lt;0,0,1)*IF(ABS(B$3*10^12-$A159)&gt;(B$3*10^12-$A158),$A158,$A159))</f>
        <v>0</v>
      </c>
      <c r="C158" s="0" t="n">
        <f aca="false">IF(IF((C$3*10^12-$A159)*(C$3*10^12-$A158)*-1&lt;0,0,1)*IF(ABS(C$3*10^12-$A159)&gt;(C$3*10^12-$A158),$A158,$A159)=C159,0,IF((C$3*10^12-$A159)*(C$3*10^12-$A158)*-1&lt;0,0,1)*IF(ABS(C$3*10^12-$A159)&gt;(C$3*10^12-$A158),$A158,$A159))</f>
        <v>0</v>
      </c>
      <c r="D158" s="0" t="n">
        <f aca="false">IF(IF((D$3*10^12-$A159)*(D$3*10^12-$A158)*-1&lt;0,0,1)*IF(ABS(D$3*10^12-$A159)&gt;(D$3*10^12-$A158),$A158,$A159)=D159,0,IF((D$3*10^12-$A159)*(D$3*10^12-$A158)*-1&lt;0,0,1)*IF(ABS(D$3*10^12-$A159)&gt;(D$3*10^12-$A158),$A158,$A159))</f>
        <v>0</v>
      </c>
      <c r="E158" s="0" t="n">
        <f aca="false">IF(IF((E$3*10^12-$A159)*(E$3*10^12-$A158)*-1&lt;0,0,1)*IF(ABS(E$3*10^12-$A159)&gt;(E$3*10^12-$A158),$A158,$A159)=E159,0,IF((E$3*10^12-$A159)*(E$3*10^12-$A158)*-1&lt;0,0,1)*IF(ABS(E$3*10^12-$A159)&gt;(E$3*10^12-$A158),$A158,$A159))</f>
        <v>0</v>
      </c>
      <c r="F158" s="0" t="n">
        <f aca="false">IF(IF((F$3*10^12-$A159)*(F$3*10^12-$A158)*-1&lt;0,0,1)*IF(ABS(F$3*10^12-$A159)&gt;(F$3*10^12-$A158),$A158,$A159)=F159,0,IF((F$3*10^12-$A159)*(F$3*10^12-$A158)*-1&lt;0,0,1)*IF(ABS(F$3*10^12-$A159)&gt;(F$3*10^12-$A158),$A158,$A159))</f>
        <v>0</v>
      </c>
      <c r="G158" s="0" t="n">
        <f aca="false">IF(IF((G$3*10^12-$A159)*(G$3*10^12-$A158)*-1&lt;0,0,1)*IF(ABS(G$3*10^12-$A159)&gt;(G$3*10^12-$A158),$A158,$A159)=G159,0,IF((G$3*10^12-$A159)*(G$3*10^12-$A158)*-1&lt;0,0,1)*IF(ABS(G$3*10^12-$A159)&gt;(G$3*10^12-$A158),$A158,$A159))</f>
        <v>0</v>
      </c>
      <c r="H158" s="0" t="n">
        <f aca="false">IF(IF((H$3*10^12-$A159)*(H$3*10^12-$A158)*-1&lt;0,0,1)*IF(ABS(H$3*10^12-$A159)&gt;(H$3*10^12-$A158),$A158,$A159)=H159,0,IF((H$3*10^12-$A159)*(H$3*10^12-$A158)*-1&lt;0,0,1)*IF(ABS(H$3*10^12-$A159)&gt;(H$3*10^12-$A158),$A158,$A159))</f>
        <v>0</v>
      </c>
      <c r="I158" s="0" t="n">
        <f aca="false">IF(IF((I$3*10^12-$A159)*(I$3*10^12-$A158)*-1&lt;0,0,1)*IF(ABS(I$3*10^12-$A159)&gt;(I$3*10^12-$A158),$A158,$A159)=I159,0,IF((I$3*10^12-$A159)*(I$3*10^12-$A158)*-1&lt;0,0,1)*IF(ABS(I$3*10^12-$A159)&gt;(I$3*10^12-$A158),$A158,$A159))</f>
        <v>0</v>
      </c>
      <c r="J158" s="0" t="n">
        <f aca="false">IF(IF((J$3*10^12-$A159)*(J$3*10^12-$A158)*-1&lt;0,0,1)*IF(ABS(J$3*10^12-$A159)&gt;(J$3*10^12-$A158),$A158,$A159)=J159,0,IF((J$3*10^12-$A159)*(J$3*10^12-$A158)*-1&lt;0,0,1)*IF(ABS(J$3*10^12-$A159)&gt;(J$3*10^12-$A158),$A158,$A159))</f>
        <v>0</v>
      </c>
    </row>
    <row r="159" customFormat="false" ht="12.75" hidden="false" customHeight="false" outlineLevel="0" collapsed="false">
      <c r="A159" s="357" t="n">
        <f aca="false">A147*10</f>
        <v>2700000000000</v>
      </c>
      <c r="B159" s="0" t="n">
        <f aca="false">IF(IF((B$3*10^12-$A160)*(B$3*10^12-$A159)*-1&lt;0,0,1)*IF(ABS(B$3*10^12-$A160)&gt;(B$3*10^12-$A159),$A159,$A160)=B160,0,IF((B$3*10^12-$A160)*(B$3*10^12-$A159)*-1&lt;0,0,1)*IF(ABS(B$3*10^12-$A160)&gt;(B$3*10^12-$A159),$A159,$A160))</f>
        <v>2700000000000</v>
      </c>
      <c r="C159" s="0" t="n">
        <f aca="false">IF(IF((C$3*10^12-$A160)*(C$3*10^12-$A159)*-1&lt;0,0,1)*IF(ABS(C$3*10^12-$A160)&gt;(C$3*10^12-$A159),$A159,$A160)=C160,0,IF((C$3*10^12-$A160)*(C$3*10^12-$A159)*-1&lt;0,0,1)*IF(ABS(C$3*10^12-$A160)&gt;(C$3*10^12-$A159),$A159,$A160))</f>
        <v>2700000000000</v>
      </c>
      <c r="D159" s="0" t="n">
        <f aca="false">IF(IF((D$3*10^12-$A160)*(D$3*10^12-$A159)*-1&lt;0,0,1)*IF(ABS(D$3*10^12-$A160)&gt;(D$3*10^12-$A159),$A159,$A160)=D160,0,IF((D$3*10^12-$A160)*(D$3*10^12-$A159)*-1&lt;0,0,1)*IF(ABS(D$3*10^12-$A160)&gt;(D$3*10^12-$A159),$A159,$A160))</f>
        <v>2700000000000</v>
      </c>
      <c r="E159" s="0" t="n">
        <f aca="false">IF(IF((E$3*10^12-$A160)*(E$3*10^12-$A159)*-1&lt;0,0,1)*IF(ABS(E$3*10^12-$A160)&gt;(E$3*10^12-$A159),$A159,$A160)=E160,0,IF((E$3*10^12-$A160)*(E$3*10^12-$A159)*-1&lt;0,0,1)*IF(ABS(E$3*10^12-$A160)&gt;(E$3*10^12-$A159),$A159,$A160))</f>
        <v>2700000000000</v>
      </c>
      <c r="F159" s="0" t="n">
        <f aca="false">IF(IF((F$3*10^12-$A160)*(F$3*10^12-$A159)*-1&lt;0,0,1)*IF(ABS(F$3*10^12-$A160)&gt;(F$3*10^12-$A159),$A159,$A160)=F160,0,IF((F$3*10^12-$A160)*(F$3*10^12-$A159)*-1&lt;0,0,1)*IF(ABS(F$3*10^12-$A160)&gt;(F$3*10^12-$A159),$A159,$A160))</f>
        <v>2700000000000</v>
      </c>
      <c r="G159" s="0" t="n">
        <f aca="false">IF(IF((G$3*10^12-$A160)*(G$3*10^12-$A159)*-1&lt;0,0,1)*IF(ABS(G$3*10^12-$A160)&gt;(G$3*10^12-$A159),$A159,$A160)=G160,0,IF((G$3*10^12-$A160)*(G$3*10^12-$A159)*-1&lt;0,0,1)*IF(ABS(G$3*10^12-$A160)&gt;(G$3*10^12-$A159),$A159,$A160))</f>
        <v>2700000000000</v>
      </c>
      <c r="H159" s="0" t="n">
        <f aca="false">IF(IF((H$3*10^12-$A160)*(H$3*10^12-$A159)*-1&lt;0,0,1)*IF(ABS(H$3*10^12-$A160)&gt;(H$3*10^12-$A159),$A159,$A160)=H160,0,IF((H$3*10^12-$A160)*(H$3*10^12-$A159)*-1&lt;0,0,1)*IF(ABS(H$3*10^12-$A160)&gt;(H$3*10^12-$A159),$A159,$A160))</f>
        <v>2700000000000</v>
      </c>
      <c r="I159" s="0" t="n">
        <f aca="false">IF(IF((I$3*10^12-$A160)*(I$3*10^12-$A159)*-1&lt;0,0,1)*IF(ABS(I$3*10^12-$A160)&gt;(I$3*10^12-$A159),$A159,$A160)=I160,0,IF((I$3*10^12-$A160)*(I$3*10^12-$A159)*-1&lt;0,0,1)*IF(ABS(I$3*10^12-$A160)&gt;(I$3*10^12-$A159),$A159,$A160))</f>
        <v>0</v>
      </c>
      <c r="J159" s="0" t="n">
        <f aca="false">IF(IF((J$3*10^12-$A160)*(J$3*10^12-$A159)*-1&lt;0,0,1)*IF(ABS(J$3*10^12-$A160)&gt;(J$3*10^12-$A159),$A159,$A160)=J160,0,IF((J$3*10^12-$A160)*(J$3*10^12-$A159)*-1&lt;0,0,1)*IF(ABS(J$3*10^12-$A160)&gt;(J$3*10^12-$A159),$A159,$A160))</f>
        <v>2700000000000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42" activeCellId="0" sqref="M42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18.57"/>
    <col collapsed="false" customWidth="true" hidden="false" outlineLevel="0" max="2" min="2" style="0" width="9.29"/>
    <col collapsed="false" customWidth="true" hidden="false" outlineLevel="0" max="4" min="4" style="0" width="11.14"/>
  </cols>
  <sheetData>
    <row r="1" customFormat="false" ht="12.75" hidden="false" customHeight="false" outlineLevel="0" collapsed="false">
      <c r="C1" s="0" t="s">
        <v>966</v>
      </c>
      <c r="D1" s="0" t="s">
        <v>967</v>
      </c>
    </row>
    <row r="2" customFormat="false" ht="12.75" hidden="false" customHeight="false" outlineLevel="0" collapsed="false">
      <c r="A2" s="0" t="s">
        <v>968</v>
      </c>
      <c r="B2" s="739" t="n">
        <v>85</v>
      </c>
      <c r="C2" s="0" t="s">
        <v>531</v>
      </c>
      <c r="D2" s="0" t="n">
        <f aca="false">B2*1000000</f>
        <v>85000000</v>
      </c>
      <c r="E2" s="0" t="s">
        <v>83</v>
      </c>
    </row>
    <row r="3" customFormat="false" ht="12.75" hidden="false" customHeight="false" outlineLevel="0" collapsed="false">
      <c r="A3" s="0" t="s">
        <v>969</v>
      </c>
      <c r="B3" s="739" t="n">
        <v>3000</v>
      </c>
      <c r="C3" s="0" t="s">
        <v>42</v>
      </c>
      <c r="D3" s="0" t="n">
        <f aca="false">B3*0.000000000001</f>
        <v>3E-009</v>
      </c>
      <c r="E3" s="0" t="s">
        <v>397</v>
      </c>
    </row>
    <row r="4" customFormat="false" ht="12.75" hidden="false" customHeight="false" outlineLevel="0" collapsed="false">
      <c r="A4" s="0" t="s">
        <v>970</v>
      </c>
      <c r="B4" s="388" t="n">
        <f aca="false">1000000000*1/((D2*2*3.14159)^2*D3)</f>
        <v>1.16864307736147</v>
      </c>
      <c r="C4" s="0" t="s">
        <v>971</v>
      </c>
      <c r="D4" s="0" t="n">
        <f aca="false">B4/1000000000</f>
        <v>1.16864307736147E-009</v>
      </c>
      <c r="E4" s="0" t="s">
        <v>270</v>
      </c>
    </row>
    <row r="5" customFormat="false" ht="12.75" hidden="false" customHeight="false" outlineLevel="0" collapsed="false">
      <c r="A5" s="0" t="s">
        <v>972</v>
      </c>
      <c r="B5" s="0" t="n">
        <f aca="false">4*B3</f>
        <v>12000</v>
      </c>
      <c r="C5" s="0" t="s">
        <v>42</v>
      </c>
      <c r="D5" s="0" t="n">
        <f aca="false">B5*0.000000000001</f>
        <v>1.2E-008</v>
      </c>
      <c r="E5" s="0" t="s">
        <v>397</v>
      </c>
    </row>
    <row r="6" customFormat="false" ht="12.75" hidden="false" customHeight="false" outlineLevel="0" collapsed="false">
      <c r="A6" s="0" t="s">
        <v>973</v>
      </c>
      <c r="B6" s="385" t="n">
        <f aca="false">SQRT(D4/D3)</f>
        <v>0.624137558919366</v>
      </c>
      <c r="C6" s="385" t="s">
        <v>114</v>
      </c>
      <c r="D6" s="385" t="n">
        <f aca="false">B6</f>
        <v>0.624137558919366</v>
      </c>
      <c r="E6" s="0" t="s">
        <v>114</v>
      </c>
    </row>
    <row r="7" customFormat="false" ht="12.75" hidden="false" customHeight="false" outlineLevel="0" collapsed="false">
      <c r="B7" s="385"/>
      <c r="C7" s="385"/>
      <c r="D7" s="385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E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7" activeCellId="0" sqref="G37"/>
    </sheetView>
  </sheetViews>
  <sheetFormatPr defaultColWidth="8.6796875" defaultRowHeight="12.75" zeroHeight="false" outlineLevelRow="0" outlineLevelCol="0"/>
  <sheetData>
    <row r="3" customFormat="false" ht="12.75" hidden="false" customHeight="false" outlineLevel="0" collapsed="false">
      <c r="A3" s="0" t="s">
        <v>305</v>
      </c>
      <c r="B3" s="0" t="e">
        <f aca="false">iripple1</f>
        <v>#NAME?</v>
      </c>
    </row>
    <row r="4" customFormat="false" ht="12.75" hidden="false" customHeight="false" outlineLevel="0" collapsed="false">
      <c r="A4" s="0" t="s">
        <v>232</v>
      </c>
      <c r="B4" s="0" t="n">
        <f aca="false">Fsw</f>
        <v>300000</v>
      </c>
    </row>
    <row r="6" customFormat="false" ht="12.75" hidden="false" customHeight="false" outlineLevel="0" collapsed="false">
      <c r="A6" s="0" t="s">
        <v>974</v>
      </c>
      <c r="B6" s="740" t="n">
        <v>0.5</v>
      </c>
      <c r="C6" s="0" t="s">
        <v>975</v>
      </c>
      <c r="D6" s="0" t="n">
        <f aca="false">B6/1000</f>
        <v>0.0005</v>
      </c>
      <c r="E6" s="0" t="s">
        <v>976</v>
      </c>
    </row>
    <row r="7" customFormat="false" ht="12.75" hidden="false" customHeight="false" outlineLevel="0" collapsed="false">
      <c r="A7" s="0" t="s">
        <v>977</v>
      </c>
      <c r="B7" s="740" t="n">
        <v>20</v>
      </c>
      <c r="C7" s="0" t="s">
        <v>400</v>
      </c>
      <c r="D7" s="0" t="n">
        <f aca="false">B7/1000000</f>
        <v>2E-005</v>
      </c>
      <c r="E7" s="0" t="s">
        <v>397</v>
      </c>
    </row>
    <row r="9" customFormat="false" ht="12.75" hidden="false" customHeight="false" outlineLevel="0" collapsed="false">
      <c r="A9" s="0" t="s">
        <v>978</v>
      </c>
      <c r="B9" s="740" t="n">
        <v>20</v>
      </c>
      <c r="C9" s="0" t="s">
        <v>975</v>
      </c>
      <c r="D9" s="0" t="n">
        <f aca="false">B9/1000</f>
        <v>0.02</v>
      </c>
      <c r="E9" s="0" t="s">
        <v>976</v>
      </c>
    </row>
    <row r="10" customFormat="false" ht="12.75" hidden="false" customHeight="false" outlineLevel="0" collapsed="false">
      <c r="A10" s="0" t="s">
        <v>979</v>
      </c>
      <c r="B10" s="740" t="n">
        <v>68</v>
      </c>
      <c r="C10" s="0" t="s">
        <v>400</v>
      </c>
      <c r="D10" s="0" t="n">
        <f aca="false">B10/1000000</f>
        <v>6.8E-005</v>
      </c>
      <c r="E10" s="0" t="s">
        <v>397</v>
      </c>
    </row>
    <row r="12" customFormat="false" ht="12.75" hidden="false" customHeight="false" outlineLevel="0" collapsed="false">
      <c r="A12" s="0" t="s">
        <v>980</v>
      </c>
      <c r="B12" s="0" t="n">
        <f aca="false">(D7/(D7+D10))*SQRT((D9*D10*B4)^2+1)/SQRT((((D6+D9)*D7*D10/(D10+D7))*B4)^2+1)</f>
        <v>0.24436003076543</v>
      </c>
      <c r="C12" s="0" t="s">
        <v>32</v>
      </c>
    </row>
    <row r="13" customFormat="false" ht="12.75" hidden="false" customHeight="false" outlineLevel="0" collapsed="false">
      <c r="A13" s="0" t="s">
        <v>981</v>
      </c>
      <c r="B13" s="0" t="n">
        <f aca="false">1-B12</f>
        <v>0.75563996923457</v>
      </c>
      <c r="C13" s="0" t="s">
        <v>32</v>
      </c>
    </row>
    <row r="15" customFormat="false" ht="12.75" hidden="false" customHeight="false" outlineLevel="0" collapsed="false">
      <c r="A15" s="0" t="s">
        <v>980</v>
      </c>
      <c r="B15" s="0" t="e">
        <f aca="false">B12*(iripple1/(2*SQRT(3)))</f>
        <v>#NAME?</v>
      </c>
      <c r="C15" s="0" t="s">
        <v>16</v>
      </c>
    </row>
    <row r="16" customFormat="false" ht="12.75" hidden="false" customHeight="false" outlineLevel="0" collapsed="false">
      <c r="A16" s="0" t="s">
        <v>981</v>
      </c>
      <c r="B16" s="0" t="e">
        <f aca="false">B13*(iripple1/(2*SQRT(3)))</f>
        <v>#NAME?</v>
      </c>
      <c r="C16" s="0" t="s">
        <v>16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LibreOffice/24.8.4.2$Linux_X86_64 LibreOffice_project/480$Build-2</Application>
  <AppVersion>15.0000</AppVersion>
  <Company>Texas Instruments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1996-10-14T23:33:28Z</dcterms:created>
  <dc:creator>Vijay Choudhary</dc:creator>
  <dc:description/>
  <cp:keywords>LM5176 PWM controller current mode PCB layout</cp:keywords>
  <dc:language>en-US</dc:language>
  <cp:lastModifiedBy/>
  <cp:lastPrinted>2014-12-22T00:10:27Z</cp:lastPrinted>
  <dcterms:modified xsi:type="dcterms:W3CDTF">2025-01-31T21:42:41Z</dcterms:modified>
  <cp:revision>1</cp:revision>
  <dc:subject/>
  <dc:title>LM5176 Quickstart Tool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