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tvault-my.sharepoint.com/personal/aliberman7_gatech_edu/Documents/AE 4341 Project 4/"/>
    </mc:Choice>
  </mc:AlternateContent>
  <xr:revisionPtr revIDLastSave="7011" documentId="13_ncr:1_{6A0267EE-64AE-46DA-AE41-71DCF8B8CC20}" xr6:coauthVersionLast="47" xr6:coauthVersionMax="47" xr10:uidLastSave="{585E3452-51D3-4CD2-9057-E631DCA8807B}"/>
  <bookViews>
    <workbookView xWindow="-120" yWindow="-120" windowWidth="29040" windowHeight="15840" firstSheet="3" activeTab="10" xr2:uid="{00000000-000D-0000-FFFF-FFFF00000000}"/>
  </bookViews>
  <sheets>
    <sheet name="Cost Modeling" sheetId="7" r:id="rId1"/>
    <sheet name="Weight Regression" sheetId="1" r:id="rId2"/>
    <sheet name="Weight Sizing Trade Studies" sheetId="5" r:id="rId3"/>
    <sheet name="Sizing" sheetId="3" r:id="rId4"/>
    <sheet name="Drag Polar" sheetId="4" r:id="rId5"/>
    <sheet name="Constraint Sizing" sheetId="9" r:id="rId6"/>
    <sheet name="Constraint Sizing Trade Studies" sheetId="10" r:id="rId7"/>
    <sheet name="Class I Weight" sheetId="12" r:id="rId8"/>
    <sheet name="Class I W&amp;B" sheetId="13" r:id="rId9"/>
    <sheet name="V-n Diagram" sheetId="14" r:id="rId10"/>
    <sheet name="Sheet1" sheetId="15" r:id="rId11"/>
  </sheets>
  <externalReferences>
    <externalReference r:id="rId12"/>
    <externalReference r:id="rId13"/>
  </externalReferences>
  <definedNames>
    <definedName name="alpha_cr">#REF!</definedName>
    <definedName name="AR">#REF!</definedName>
    <definedName name="beta_cr">#REF!</definedName>
    <definedName name="CD0">#REF!</definedName>
    <definedName name="e">#REF!</definedName>
    <definedName name="K_1">#REF!</definedName>
    <definedName name="K_2">#REF!</definedName>
    <definedName name="q">#REF!</definedName>
    <definedName name="q_cr">#REF!</definedName>
    <definedName name="QD">'Cost Modeling'!$B$54</definedName>
    <definedName name="rho">#REF!</definedName>
    <definedName name="rho_cr">#REF!</definedName>
    <definedName name="S">'Cost Modeling'!$B$53</definedName>
    <definedName name="V_cr">#REF!</definedName>
    <definedName name="W">'Cost Modeling'!$B$52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48" i="13" l="1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31" i="9"/>
  <c r="H18" i="9"/>
  <c r="H8" i="9"/>
  <c r="AM43" i="13"/>
  <c r="AM42" i="13"/>
  <c r="AQ29" i="13"/>
  <c r="AQ28" i="13"/>
  <c r="I16" i="9"/>
  <c r="I12" i="9"/>
  <c r="AO29" i="13"/>
  <c r="AO28" i="13"/>
  <c r="B56" i="7"/>
  <c r="B53" i="7"/>
  <c r="C53" i="7" s="1"/>
  <c r="B55" i="7"/>
  <c r="B9" i="14"/>
  <c r="T32" i="4"/>
  <c r="C12" i="9"/>
  <c r="B61" i="7" l="1"/>
  <c r="C61" i="7" s="1"/>
  <c r="I17" i="9"/>
  <c r="C8" i="9"/>
  <c r="F8" i="9" s="1"/>
  <c r="N29" i="9"/>
  <c r="A42" i="14"/>
  <c r="A15" i="14"/>
  <c r="A16" i="14" s="1"/>
  <c r="A17" i="14" s="1"/>
  <c r="A18" i="14" s="1"/>
  <c r="A20" i="14" s="1"/>
  <c r="B10" i="14"/>
  <c r="B6" i="14"/>
  <c r="B4" i="14"/>
  <c r="C53" i="14" l="1"/>
  <c r="C54" i="14"/>
  <c r="C55" i="14"/>
  <c r="C59" i="14"/>
  <c r="C63" i="14"/>
  <c r="C67" i="14"/>
  <c r="C61" i="14"/>
  <c r="C58" i="14"/>
  <c r="C66" i="14"/>
  <c r="C52" i="14"/>
  <c r="C56" i="14"/>
  <c r="C60" i="14"/>
  <c r="C64" i="14"/>
  <c r="C51" i="14"/>
  <c r="C57" i="14"/>
  <c r="C65" i="14"/>
  <c r="C62" i="14"/>
  <c r="B37" i="14"/>
  <c r="A40" i="14" s="1"/>
  <c r="B23" i="14"/>
  <c r="C23" i="14" s="1"/>
  <c r="A22" i="14"/>
  <c r="A25" i="14" s="1"/>
  <c r="A28" i="14" s="1"/>
  <c r="A30" i="14" s="1"/>
  <c r="A31" i="14" s="1"/>
  <c r="A32" i="14" s="1"/>
  <c r="A33" i="14" s="1"/>
  <c r="B33" i="14" s="1"/>
  <c r="C33" i="14" s="1"/>
  <c r="B20" i="14"/>
  <c r="C20" i="14" s="1"/>
  <c r="B16" i="14"/>
  <c r="C16" i="14" s="1"/>
  <c r="B35" i="14"/>
  <c r="A21" i="14" s="1"/>
  <c r="B21" i="14" s="1"/>
  <c r="C21" i="14" s="1"/>
  <c r="B17" i="14"/>
  <c r="C17" i="14" s="1"/>
  <c r="B26" i="14"/>
  <c r="C26" i="14" s="1"/>
  <c r="B15" i="14"/>
  <c r="C15" i="14" s="1"/>
  <c r="B18" i="14"/>
  <c r="C18" i="14" s="1"/>
  <c r="B24" i="14"/>
  <c r="C24" i="14" s="1"/>
  <c r="B27" i="14"/>
  <c r="C27" i="14" s="1"/>
  <c r="B36" i="14"/>
  <c r="A19" i="14" s="1"/>
  <c r="B19" i="14" s="1"/>
  <c r="C19" i="14" s="1"/>
  <c r="B14" i="14"/>
  <c r="C14" i="14" s="1"/>
  <c r="B29" i="14"/>
  <c r="C29" i="14" s="1"/>
  <c r="B28" i="14" l="1"/>
  <c r="C28" i="14" s="1"/>
  <c r="B32" i="14"/>
  <c r="C32" i="14" s="1"/>
  <c r="B30" i="14"/>
  <c r="C30" i="14" s="1"/>
  <c r="B31" i="14"/>
  <c r="C31" i="14" s="1"/>
  <c r="B22" i="14"/>
  <c r="C22" i="14" s="1"/>
  <c r="B25" i="14"/>
  <c r="C25" i="14" s="1"/>
  <c r="AD20" i="13" l="1"/>
  <c r="W24" i="13"/>
  <c r="Z24" i="13" s="1"/>
  <c r="E8" i="13" s="1"/>
  <c r="AD24" i="13"/>
  <c r="W20" i="13"/>
  <c r="B13" i="13"/>
  <c r="E16" i="13"/>
  <c r="K46" i="13"/>
  <c r="AE41" i="13"/>
  <c r="AA30" i="13"/>
  <c r="AB46" i="13"/>
  <c r="AB51" i="13"/>
  <c r="AE46" i="13"/>
  <c r="E13" i="13"/>
  <c r="E11" i="13"/>
  <c r="X24" i="13"/>
  <c r="E9" i="13"/>
  <c r="X20" i="13"/>
  <c r="E7" i="13"/>
  <c r="E6" i="13"/>
  <c r="E5" i="13"/>
  <c r="E4" i="13"/>
  <c r="H54" i="13"/>
  <c r="J54" i="13"/>
  <c r="L54" i="13"/>
  <c r="G54" i="13"/>
  <c r="M54" i="13" s="1"/>
  <c r="AI34" i="13"/>
  <c r="AA51" i="13"/>
  <c r="AA46" i="13"/>
  <c r="S54" i="13"/>
  <c r="T54" i="13"/>
  <c r="Q46" i="13"/>
  <c r="T46" i="13"/>
  <c r="D46" i="13"/>
  <c r="G46" i="13"/>
  <c r="O37" i="13"/>
  <c r="AF34" i="13"/>
  <c r="E10" i="13" s="1"/>
  <c r="AE34" i="13"/>
  <c r="R41" i="13"/>
  <c r="B5" i="13" s="1"/>
  <c r="AE51" i="13"/>
  <c r="AC51" i="13"/>
  <c r="AC46" i="13"/>
  <c r="AS13" i="13"/>
  <c r="AT13" i="13"/>
  <c r="AT8" i="13"/>
  <c r="AS8" i="13"/>
  <c r="X51" i="13"/>
  <c r="AH48" i="13"/>
  <c r="B4" i="13" s="1"/>
  <c r="AS5" i="13"/>
  <c r="K57" i="13" l="1"/>
  <c r="M57" i="13"/>
  <c r="M49" i="13"/>
  <c r="N49" i="13" s="1"/>
  <c r="B15" i="13"/>
  <c r="S46" i="13"/>
  <c r="P49" i="13"/>
  <c r="E15" i="13" s="1"/>
  <c r="L35" i="13"/>
  <c r="B6" i="13" s="1"/>
  <c r="L37" i="13"/>
  <c r="Q37" i="13" s="1"/>
  <c r="AI48" i="13"/>
  <c r="AS11" i="13"/>
  <c r="AU11" i="13" s="1"/>
  <c r="AT11" i="13"/>
  <c r="B46" i="14"/>
  <c r="AK42" i="13"/>
  <c r="AK43" i="13"/>
  <c r="D52" i="14"/>
  <c r="A51" i="14"/>
  <c r="A52" i="14" s="1"/>
  <c r="A53" i="14" s="1"/>
  <c r="A54" i="14" s="1"/>
  <c r="A55" i="14" s="1"/>
  <c r="A56" i="14" s="1"/>
  <c r="A57" i="14" s="1"/>
  <c r="A58" i="14" s="1"/>
  <c r="B47" i="14"/>
  <c r="B48" i="14" l="1"/>
  <c r="A59" i="14"/>
  <c r="AF38" i="13"/>
  <c r="AF14" i="13"/>
  <c r="AF17" i="13" s="1"/>
  <c r="AF9" i="13"/>
  <c r="L16" i="12"/>
  <c r="B61" i="14" l="1"/>
  <c r="B53" i="14"/>
  <c r="B54" i="14"/>
  <c r="B56" i="14"/>
  <c r="B51" i="14"/>
  <c r="B55" i="14"/>
  <c r="B57" i="14"/>
  <c r="B52" i="14"/>
  <c r="B58" i="14"/>
  <c r="A60" i="14"/>
  <c r="B59" i="14"/>
  <c r="AJ38" i="13"/>
  <c r="AH38" i="13"/>
  <c r="AM32" i="13"/>
  <c r="AL42" i="13" s="1"/>
  <c r="AP31" i="13"/>
  <c r="AP41" i="13" s="1"/>
  <c r="AG29" i="13"/>
  <c r="AP28" i="13"/>
  <c r="H27" i="13"/>
  <c r="AO24" i="13"/>
  <c r="AN24" i="13"/>
  <c r="AG23" i="13"/>
  <c r="AO22" i="13"/>
  <c r="AO23" i="13" s="1"/>
  <c r="AN22" i="13"/>
  <c r="AN23" i="13" s="1"/>
  <c r="AG22" i="13"/>
  <c r="AI21" i="13"/>
  <c r="AI25" i="13" s="1"/>
  <c r="H19" i="13"/>
  <c r="AG8" i="13"/>
  <c r="AG7" i="13"/>
  <c r="F11" i="12"/>
  <c r="F10" i="12"/>
  <c r="F9" i="12"/>
  <c r="J8" i="12" s="1"/>
  <c r="V5" i="12"/>
  <c r="U5" i="12"/>
  <c r="T5" i="12"/>
  <c r="F8" i="12"/>
  <c r="F7" i="12"/>
  <c r="J6" i="12" s="1"/>
  <c r="F6" i="12"/>
  <c r="F5" i="12"/>
  <c r="J4" i="12" s="1"/>
  <c r="F4" i="12"/>
  <c r="H25" i="14" l="1"/>
  <c r="H24" i="14"/>
  <c r="K25" i="14" s="1"/>
  <c r="E25" i="14"/>
  <c r="E24" i="14"/>
  <c r="K24" i="14" s="1"/>
  <c r="A63" i="14"/>
  <c r="B60" i="14"/>
  <c r="AI22" i="13"/>
  <c r="AI23" i="13" s="1"/>
  <c r="AI24" i="13" s="1"/>
  <c r="C17" i="13"/>
  <c r="J5" i="12"/>
  <c r="J9" i="12"/>
  <c r="J10" i="12"/>
  <c r="J7" i="12"/>
  <c r="O12" i="12"/>
  <c r="C25" i="13" l="1"/>
  <c r="D51" i="14"/>
  <c r="D56" i="14"/>
  <c r="B62" i="14"/>
  <c r="A64" i="14"/>
  <c r="B63" i="14"/>
  <c r="AO31" i="13"/>
  <c r="AO32" i="13" s="1"/>
  <c r="T12" i="12"/>
  <c r="J11" i="12"/>
  <c r="A65" i="14" l="1"/>
  <c r="B64" i="14"/>
  <c r="A66" i="14" l="1"/>
  <c r="B65" i="14"/>
  <c r="B66" i="14" l="1"/>
  <c r="AA11" i="4"/>
  <c r="J5" i="10" l="1"/>
  <c r="I5" i="10"/>
  <c r="J3" i="10"/>
  <c r="B14" i="9" l="1"/>
  <c r="D14" i="9"/>
  <c r="F18" i="9"/>
  <c r="C14" i="9"/>
  <c r="F31" i="9" l="1"/>
  <c r="AL16" i="3"/>
  <c r="AJ16" i="3"/>
  <c r="AB5" i="3" s="1"/>
  <c r="Z5" i="3"/>
  <c r="H23" i="4" s="1"/>
  <c r="Y30" i="4"/>
  <c r="Y16" i="4"/>
  <c r="A14" i="9"/>
  <c r="E14" i="9" s="1"/>
  <c r="F10" i="9"/>
  <c r="C10" i="9"/>
  <c r="A32" i="9"/>
  <c r="F32" i="9" l="1"/>
  <c r="A33" i="9"/>
  <c r="F33" i="9"/>
  <c r="A34" i="9"/>
  <c r="C47" i="7"/>
  <c r="C48" i="7"/>
  <c r="C49" i="7"/>
  <c r="C46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E14" i="1"/>
  <c r="D14" i="1"/>
  <c r="E13" i="1"/>
  <c r="D13" i="1"/>
  <c r="D6" i="1"/>
  <c r="E6" i="1"/>
  <c r="E12" i="1"/>
  <c r="D12" i="1"/>
  <c r="E11" i="1"/>
  <c r="D11" i="1"/>
  <c r="E10" i="1"/>
  <c r="D10" i="1"/>
  <c r="E9" i="1"/>
  <c r="D9" i="1"/>
  <c r="E8" i="1"/>
  <c r="D8" i="1"/>
  <c r="AA25" i="4"/>
  <c r="D16" i="9" s="1"/>
  <c r="AA24" i="4"/>
  <c r="AA23" i="4"/>
  <c r="AB22" i="4"/>
  <c r="AB23" i="4" s="1"/>
  <c r="AA22" i="4"/>
  <c r="AA21" i="4"/>
  <c r="AA20" i="4"/>
  <c r="AA19" i="4"/>
  <c r="AA5" i="4"/>
  <c r="F34" i="9" l="1"/>
  <c r="A35" i="9"/>
  <c r="AB24" i="4"/>
  <c r="O15" i="3"/>
  <c r="F35" i="9" l="1"/>
  <c r="A36" i="9"/>
  <c r="AB25" i="4"/>
  <c r="F36" i="9" l="1"/>
  <c r="A37" i="9"/>
  <c r="AB26" i="4"/>
  <c r="F37" i="9" l="1"/>
  <c r="A38" i="9"/>
  <c r="AB27" i="4"/>
  <c r="A39" i="9" l="1"/>
  <c r="F38" i="9"/>
  <c r="AB28" i="4"/>
  <c r="F39" i="9" l="1"/>
  <c r="A40" i="9"/>
  <c r="AB29" i="4"/>
  <c r="A41" i="9" l="1"/>
  <c r="F40" i="9"/>
  <c r="K3" i="3"/>
  <c r="Q33" i="4"/>
  <c r="R33" i="4" s="1"/>
  <c r="R32" i="4"/>
  <c r="M29" i="4"/>
  <c r="C23" i="4"/>
  <c r="O34" i="4" s="1"/>
  <c r="F25" i="3"/>
  <c r="L14" i="12" s="1"/>
  <c r="C15" i="13" s="1"/>
  <c r="AF4" i="3"/>
  <c r="M18" i="4"/>
  <c r="V14" i="3"/>
  <c r="AF10" i="3"/>
  <c r="AL13" i="3"/>
  <c r="AJ13" i="3"/>
  <c r="P20" i="3" s="1"/>
  <c r="D15" i="13" l="1"/>
  <c r="F15" i="13"/>
  <c r="B21" i="4"/>
  <c r="N32" i="4" s="1"/>
  <c r="F12" i="9"/>
  <c r="C28" i="9" s="1"/>
  <c r="AL4" i="3"/>
  <c r="F41" i="9"/>
  <c r="A42" i="9"/>
  <c r="AL10" i="3"/>
  <c r="AJ10" i="3"/>
  <c r="AJ7" i="3"/>
  <c r="AL7" i="3"/>
  <c r="AE18" i="3" l="1"/>
  <c r="X18" i="3"/>
  <c r="X10" i="3"/>
  <c r="Q11" i="3"/>
  <c r="B8" i="9"/>
  <c r="D8" i="9" s="1"/>
  <c r="A8" i="9"/>
  <c r="E8" i="9" s="1"/>
  <c r="F42" i="9"/>
  <c r="A43" i="9"/>
  <c r="A44" i="9" l="1"/>
  <c r="F43" i="9"/>
  <c r="C22" i="4"/>
  <c r="M24" i="4"/>
  <c r="Q29" i="4"/>
  <c r="Q24" i="4"/>
  <c r="B18" i="4"/>
  <c r="N34" i="4" s="1"/>
  <c r="F22" i="4"/>
  <c r="A45" i="9" l="1"/>
  <c r="F44" i="9"/>
  <c r="F23" i="4"/>
  <c r="Q34" i="4"/>
  <c r="R34" i="4" s="1"/>
  <c r="H22" i="4"/>
  <c r="O33" i="4"/>
  <c r="T33" i="4" s="1"/>
  <c r="O6" i="4"/>
  <c r="N11" i="4" s="1"/>
  <c r="AT5" i="13" s="1"/>
  <c r="AU5" i="13" s="1"/>
  <c r="AV5" i="13" s="1"/>
  <c r="AC18" i="3"/>
  <c r="S5" i="3"/>
  <c r="E11" i="4"/>
  <c r="H21" i="4"/>
  <c r="F21" i="4"/>
  <c r="AA6" i="4"/>
  <c r="AA7" i="4"/>
  <c r="AA8" i="4"/>
  <c r="AA9" i="4"/>
  <c r="AA10" i="4"/>
  <c r="B16" i="9"/>
  <c r="AE38" i="13" l="1"/>
  <c r="P12" i="12"/>
  <c r="S12" i="12" s="1"/>
  <c r="C18" i="9"/>
  <c r="C31" i="9" s="1"/>
  <c r="F45" i="9"/>
  <c r="A46" i="9"/>
  <c r="AJ4" i="3"/>
  <c r="AG18" i="3"/>
  <c r="J9" i="3" s="1"/>
  <c r="N29" i="4"/>
  <c r="S29" i="4" s="1"/>
  <c r="D6" i="4"/>
  <c r="Y19" i="4"/>
  <c r="Y32" i="4" s="1"/>
  <c r="P11" i="4"/>
  <c r="AD19" i="4" s="1"/>
  <c r="Q18" i="4"/>
  <c r="AB8" i="4"/>
  <c r="AB9" i="4" s="1"/>
  <c r="AB10" i="4" s="1"/>
  <c r="AB11" i="4" s="1"/>
  <c r="AB12" i="4" s="1"/>
  <c r="AB13" i="4" s="1"/>
  <c r="AB14" i="4" s="1"/>
  <c r="AB15" i="4" s="1"/>
  <c r="Q5" i="3" l="1"/>
  <c r="T5" i="3" s="1"/>
  <c r="AG16" i="13"/>
  <c r="AG15" i="13"/>
  <c r="R12" i="12"/>
  <c r="U12" i="12" s="1"/>
  <c r="A47" i="9"/>
  <c r="F46" i="9"/>
  <c r="M11" i="4"/>
  <c r="O11" i="4" s="1"/>
  <c r="D6" i="3" l="1"/>
  <c r="H12" i="9"/>
  <c r="AF15" i="13"/>
  <c r="AF16" i="13" s="1"/>
  <c r="AG30" i="13"/>
  <c r="A48" i="9"/>
  <c r="F47" i="9"/>
  <c r="AC19" i="4"/>
  <c r="R11" i="4"/>
  <c r="AF31" i="13" l="1"/>
  <c r="AI29" i="13" s="1"/>
  <c r="AJ29" i="13"/>
  <c r="AJ30" i="13"/>
  <c r="AE19" i="4"/>
  <c r="AE21" i="4"/>
  <c r="AE22" i="4"/>
  <c r="AE23" i="4"/>
  <c r="AE24" i="4"/>
  <c r="AE26" i="4"/>
  <c r="AE27" i="4"/>
  <c r="AE28" i="4"/>
  <c r="AE29" i="4"/>
  <c r="AE20" i="4"/>
  <c r="AE25" i="4"/>
  <c r="A49" i="9"/>
  <c r="F48" i="9"/>
  <c r="K4" i="3"/>
  <c r="K5" i="3" s="1"/>
  <c r="E3" i="3"/>
  <c r="E4" i="3" s="1"/>
  <c r="F3" i="3" s="1"/>
  <c r="AI32" i="13" l="1"/>
  <c r="AL30" i="13"/>
  <c r="AI30" i="13"/>
  <c r="AL29" i="13"/>
  <c r="AI38" i="13" s="1"/>
  <c r="AD41" i="13" s="1"/>
  <c r="F49" i="9"/>
  <c r="A50" i="9"/>
  <c r="K6" i="3"/>
  <c r="L42" i="3" s="1"/>
  <c r="L3" i="3"/>
  <c r="AF41" i="13" l="1"/>
  <c r="AL33" i="13"/>
  <c r="AL32" i="13"/>
  <c r="A51" i="9"/>
  <c r="F50" i="9"/>
  <c r="L5" i="3"/>
  <c r="L4" i="3"/>
  <c r="A52" i="9" l="1"/>
  <c r="F51" i="9"/>
  <c r="V18" i="3"/>
  <c r="A12" i="9" s="1"/>
  <c r="V10" i="3"/>
  <c r="B12" i="9" s="1"/>
  <c r="D12" i="9" l="1"/>
  <c r="D28" i="9" s="1"/>
  <c r="B28" i="9"/>
  <c r="E12" i="9"/>
  <c r="E28" i="9" s="1"/>
  <c r="A28" i="9"/>
  <c r="F52" i="9"/>
  <c r="A53" i="9"/>
  <c r="N24" i="4"/>
  <c r="S24" i="4" s="1"/>
  <c r="Z18" i="3"/>
  <c r="J7" i="3" s="1"/>
  <c r="Z10" i="3"/>
  <c r="J8" i="3" s="1"/>
  <c r="N18" i="4"/>
  <c r="S18" i="4" s="1"/>
  <c r="E25" i="3"/>
  <c r="L12" i="12" s="1"/>
  <c r="C13" i="13" s="1"/>
  <c r="F18" i="4"/>
  <c r="B11" i="4"/>
  <c r="AH5" i="4"/>
  <c r="AD5" i="4"/>
  <c r="R20" i="3"/>
  <c r="O11" i="3"/>
  <c r="E3" i="1"/>
  <c r="E4" i="1"/>
  <c r="E5" i="1"/>
  <c r="E7" i="1"/>
  <c r="E2" i="1"/>
  <c r="D7" i="1"/>
  <c r="D5" i="1"/>
  <c r="D4" i="1"/>
  <c r="D3" i="1"/>
  <c r="D2" i="1"/>
  <c r="D13" i="13" l="1"/>
  <c r="F13" i="13"/>
  <c r="C18" i="4"/>
  <c r="AC36" i="4"/>
  <c r="AC35" i="4"/>
  <c r="H5" i="1"/>
  <c r="C28" i="3" s="1"/>
  <c r="H4" i="1"/>
  <c r="H34" i="3" s="1"/>
  <c r="H18" i="4"/>
  <c r="T34" i="4" s="1"/>
  <c r="F53" i="9"/>
  <c r="A54" i="9"/>
  <c r="J12" i="3"/>
  <c r="D10" i="3"/>
  <c r="C11" i="4"/>
  <c r="Y5" i="4" s="1"/>
  <c r="E5" i="3"/>
  <c r="F4" i="3" s="1"/>
  <c r="H10" i="9" s="1"/>
  <c r="F54" i="9" l="1"/>
  <c r="A55" i="9"/>
  <c r="J34" i="3"/>
  <c r="B28" i="3" s="1"/>
  <c r="J28" i="3" s="1"/>
  <c r="L11" i="12" s="1"/>
  <c r="G11" i="4"/>
  <c r="D11" i="4"/>
  <c r="E6" i="3"/>
  <c r="C12" i="13" l="1"/>
  <c r="L13" i="12"/>
  <c r="C14" i="13" s="1"/>
  <c r="K11" i="12"/>
  <c r="A56" i="9"/>
  <c r="F55" i="9"/>
  <c r="B31" i="3"/>
  <c r="F5" i="3"/>
  <c r="AC5" i="4"/>
  <c r="K4" i="12" l="1"/>
  <c r="L4" i="12" s="1"/>
  <c r="C4" i="13" s="1"/>
  <c r="K6" i="12"/>
  <c r="L6" i="12" s="1"/>
  <c r="C6" i="13" s="1"/>
  <c r="K8" i="12"/>
  <c r="L8" i="12" s="1"/>
  <c r="K10" i="12"/>
  <c r="L10" i="12" s="1"/>
  <c r="C11" i="13" s="1"/>
  <c r="K9" i="12"/>
  <c r="L9" i="12" s="1"/>
  <c r="C10" i="13" s="1"/>
  <c r="K7" i="12"/>
  <c r="L7" i="12" s="1"/>
  <c r="C7" i="13" s="1"/>
  <c r="K5" i="12"/>
  <c r="L5" i="12" s="1"/>
  <c r="C5" i="13" s="1"/>
  <c r="C27" i="13"/>
  <c r="C24" i="13"/>
  <c r="C23" i="13"/>
  <c r="C22" i="13"/>
  <c r="C32" i="9"/>
  <c r="C42" i="9"/>
  <c r="C40" i="9"/>
  <c r="C54" i="9"/>
  <c r="C53" i="9"/>
  <c r="C50" i="9"/>
  <c r="C48" i="9"/>
  <c r="C36" i="9"/>
  <c r="C39" i="9"/>
  <c r="C35" i="9"/>
  <c r="C51" i="9"/>
  <c r="C34" i="9"/>
  <c r="C52" i="9"/>
  <c r="C38" i="9"/>
  <c r="C47" i="9"/>
  <c r="C45" i="9"/>
  <c r="C33" i="9"/>
  <c r="C41" i="9"/>
  <c r="C37" i="9"/>
  <c r="C46" i="9"/>
  <c r="C44" i="9"/>
  <c r="C49" i="9"/>
  <c r="C55" i="9"/>
  <c r="C43" i="9"/>
  <c r="A57" i="9"/>
  <c r="F56" i="9"/>
  <c r="C56" i="9"/>
  <c r="AE5" i="4"/>
  <c r="AE6" i="4"/>
  <c r="AE15" i="4"/>
  <c r="AE7" i="4"/>
  <c r="AE14" i="4"/>
  <c r="AE8" i="4"/>
  <c r="AE12" i="4"/>
  <c r="AE9" i="4"/>
  <c r="AE13" i="4"/>
  <c r="AE10" i="4"/>
  <c r="AE11" i="4"/>
  <c r="S10" i="3"/>
  <c r="D7" i="3" s="1"/>
  <c r="J6" i="3"/>
  <c r="A10" i="9" s="1"/>
  <c r="D5" i="13" l="1"/>
  <c r="F5" i="13"/>
  <c r="F7" i="13"/>
  <c r="F10" i="13"/>
  <c r="D11" i="13"/>
  <c r="F11" i="13"/>
  <c r="D6" i="13"/>
  <c r="F6" i="13"/>
  <c r="D4" i="13"/>
  <c r="F4" i="13"/>
  <c r="C9" i="13"/>
  <c r="C8" i="13"/>
  <c r="K7" i="3"/>
  <c r="D10" i="9"/>
  <c r="E10" i="9"/>
  <c r="F57" i="9"/>
  <c r="A58" i="9"/>
  <c r="C57" i="9"/>
  <c r="D8" i="13" l="1"/>
  <c r="F8" i="13"/>
  <c r="D9" i="13"/>
  <c r="F9" i="13"/>
  <c r="E24" i="13" s="1"/>
  <c r="K8" i="3"/>
  <c r="M42" i="3" s="1"/>
  <c r="B10" i="9"/>
  <c r="B31" i="9" s="1"/>
  <c r="L6" i="3"/>
  <c r="P32" i="4" s="1"/>
  <c r="U32" i="4" s="1"/>
  <c r="E45" i="9"/>
  <c r="E37" i="9"/>
  <c r="E49" i="9"/>
  <c r="E46" i="9"/>
  <c r="E48" i="9"/>
  <c r="E54" i="9"/>
  <c r="E57" i="9"/>
  <c r="E43" i="9"/>
  <c r="E44" i="9"/>
  <c r="E36" i="9"/>
  <c r="E34" i="9"/>
  <c r="E42" i="9"/>
  <c r="E58" i="9"/>
  <c r="E33" i="9"/>
  <c r="E38" i="9"/>
  <c r="E47" i="9"/>
  <c r="E51" i="9"/>
  <c r="E55" i="9"/>
  <c r="E41" i="9"/>
  <c r="E32" i="9"/>
  <c r="E31" i="9"/>
  <c r="E53" i="9"/>
  <c r="E40" i="9"/>
  <c r="E56" i="9"/>
  <c r="E50" i="9"/>
  <c r="E52" i="9"/>
  <c r="E35" i="9"/>
  <c r="E39" i="9"/>
  <c r="D38" i="9"/>
  <c r="D32" i="9"/>
  <c r="D31" i="9"/>
  <c r="D43" i="9"/>
  <c r="D44" i="9"/>
  <c r="D33" i="9"/>
  <c r="D49" i="9"/>
  <c r="D50" i="9"/>
  <c r="D55" i="9"/>
  <c r="D56" i="9"/>
  <c r="D57" i="9"/>
  <c r="D58" i="9"/>
  <c r="D39" i="9"/>
  <c r="D42" i="9"/>
  <c r="D35" i="9"/>
  <c r="D51" i="9"/>
  <c r="D45" i="9"/>
  <c r="D46" i="9"/>
  <c r="D47" i="9"/>
  <c r="D41" i="9"/>
  <c r="D48" i="9"/>
  <c r="D53" i="9"/>
  <c r="D37" i="9"/>
  <c r="D52" i="9"/>
  <c r="D36" i="9"/>
  <c r="D34" i="9"/>
  <c r="D54" i="9"/>
  <c r="D40" i="9"/>
  <c r="I47" i="9"/>
  <c r="I32" i="9"/>
  <c r="I37" i="9"/>
  <c r="I44" i="9"/>
  <c r="I48" i="9"/>
  <c r="I54" i="9"/>
  <c r="I41" i="9"/>
  <c r="I56" i="9"/>
  <c r="I40" i="9"/>
  <c r="I45" i="9"/>
  <c r="I43" i="9"/>
  <c r="I39" i="9"/>
  <c r="I52" i="9"/>
  <c r="I51" i="9"/>
  <c r="I58" i="9"/>
  <c r="I35" i="9"/>
  <c r="I33" i="9"/>
  <c r="I31" i="9"/>
  <c r="I38" i="9"/>
  <c r="I57" i="9"/>
  <c r="I50" i="9"/>
  <c r="I34" i="9"/>
  <c r="I36" i="9"/>
  <c r="I42" i="9"/>
  <c r="I55" i="9"/>
  <c r="I49" i="9"/>
  <c r="I46" i="9"/>
  <c r="I53" i="9"/>
  <c r="C58" i="9"/>
  <c r="F58" i="9"/>
  <c r="A59" i="9"/>
  <c r="E7" i="3"/>
  <c r="E12" i="13" l="1"/>
  <c r="E22" i="13" s="1"/>
  <c r="E14" i="13"/>
  <c r="E27" i="13" s="1"/>
  <c r="L7" i="3"/>
  <c r="AA18" i="3" s="1"/>
  <c r="O24" i="4" s="1"/>
  <c r="T24" i="4" s="1"/>
  <c r="U24" i="4" s="1"/>
  <c r="K9" i="3"/>
  <c r="L8" i="3" s="1"/>
  <c r="V32" i="4"/>
  <c r="P7" i="3" s="1"/>
  <c r="K31" i="9"/>
  <c r="D59" i="9"/>
  <c r="E59" i="9"/>
  <c r="I59" i="9"/>
  <c r="B41" i="9"/>
  <c r="B40" i="9"/>
  <c r="B44" i="9"/>
  <c r="B50" i="9"/>
  <c r="B49" i="9"/>
  <c r="B32" i="9"/>
  <c r="B43" i="9"/>
  <c r="B34" i="9"/>
  <c r="B48" i="9"/>
  <c r="B39" i="9"/>
  <c r="B42" i="9"/>
  <c r="B57" i="9"/>
  <c r="B46" i="9"/>
  <c r="B58" i="9"/>
  <c r="B56" i="9"/>
  <c r="B54" i="9"/>
  <c r="B52" i="9"/>
  <c r="B35" i="9"/>
  <c r="B45" i="9"/>
  <c r="B38" i="9"/>
  <c r="B37" i="9"/>
  <c r="B36" i="9"/>
  <c r="B53" i="9"/>
  <c r="B51" i="9"/>
  <c r="B47" i="9"/>
  <c r="B55" i="9"/>
  <c r="B33" i="9"/>
  <c r="C59" i="9"/>
  <c r="A60" i="9"/>
  <c r="B59" i="9"/>
  <c r="F59" i="9"/>
  <c r="F6" i="3"/>
  <c r="E8" i="3"/>
  <c r="F7" i="3" s="1"/>
  <c r="T10" i="3" s="1"/>
  <c r="K10" i="3" l="1"/>
  <c r="L9" i="3" s="1"/>
  <c r="E23" i="13"/>
  <c r="J42" i="3"/>
  <c r="N42" i="3"/>
  <c r="E60" i="9"/>
  <c r="D60" i="9"/>
  <c r="I60" i="9"/>
  <c r="A61" i="9"/>
  <c r="F60" i="9"/>
  <c r="B60" i="9"/>
  <c r="C60" i="9"/>
  <c r="D18" i="4"/>
  <c r="I18" i="4" s="1"/>
  <c r="J18" i="4" s="1"/>
  <c r="AH18" i="3"/>
  <c r="O29" i="4" s="1"/>
  <c r="W19" i="3"/>
  <c r="AA10" i="3"/>
  <c r="O18" i="4" s="1"/>
  <c r="D21" i="4"/>
  <c r="I21" i="4" s="1"/>
  <c r="E9" i="3"/>
  <c r="F8" i="3" s="1"/>
  <c r="K11" i="3" l="1"/>
  <c r="T18" i="4"/>
  <c r="U18" i="4" s="1"/>
  <c r="D61" i="9"/>
  <c r="I61" i="9"/>
  <c r="E61" i="9"/>
  <c r="F61" i="9"/>
  <c r="A62" i="9"/>
  <c r="C61" i="9"/>
  <c r="B61" i="9"/>
  <c r="T29" i="4"/>
  <c r="L10" i="3"/>
  <c r="J21" i="4"/>
  <c r="K21" i="4" s="1"/>
  <c r="P6" i="3" s="1"/>
  <c r="U29" i="4" l="1"/>
  <c r="AD19" i="3" s="1"/>
  <c r="E62" i="9"/>
  <c r="D62" i="9"/>
  <c r="I62" i="9"/>
  <c r="C62" i="9"/>
  <c r="A63" i="9"/>
  <c r="B62" i="9"/>
  <c r="F62" i="9"/>
  <c r="W11" i="3"/>
  <c r="K18" i="4"/>
  <c r="I63" i="9" l="1"/>
  <c r="E63" i="9"/>
  <c r="D63" i="9"/>
  <c r="A64" i="9"/>
  <c r="F63" i="9"/>
  <c r="C63" i="9"/>
  <c r="B63" i="9"/>
  <c r="P12" i="3"/>
  <c r="E64" i="9" l="1"/>
  <c r="D64" i="9"/>
  <c r="I64" i="9"/>
  <c r="F64" i="9"/>
  <c r="A65" i="9"/>
  <c r="C64" i="9"/>
  <c r="B64" i="9"/>
  <c r="AD5" i="3"/>
  <c r="D9" i="3" s="1"/>
  <c r="I65" i="9" l="1"/>
  <c r="D65" i="9"/>
  <c r="E65" i="9"/>
  <c r="G8" i="9"/>
  <c r="F65" i="9"/>
  <c r="A66" i="9"/>
  <c r="C65" i="9"/>
  <c r="B65" i="9"/>
  <c r="E10" i="3"/>
  <c r="D13" i="3"/>
  <c r="L34" i="3" s="1"/>
  <c r="B34" i="3" s="1"/>
  <c r="D32" i="3" s="1"/>
  <c r="J11" i="3"/>
  <c r="G56" i="9" l="1"/>
  <c r="I66" i="9"/>
  <c r="D66" i="9"/>
  <c r="E66" i="9"/>
  <c r="A67" i="9"/>
  <c r="F66" i="9"/>
  <c r="C66" i="9"/>
  <c r="B66" i="9"/>
  <c r="K12" i="3"/>
  <c r="J15" i="3"/>
  <c r="F9" i="3"/>
  <c r="E11" i="3"/>
  <c r="G42" i="9" l="1"/>
  <c r="G57" i="9"/>
  <c r="G32" i="9"/>
  <c r="G39" i="9"/>
  <c r="G63" i="9"/>
  <c r="G41" i="9"/>
  <c r="G34" i="9"/>
  <c r="G31" i="9"/>
  <c r="G37" i="9"/>
  <c r="G47" i="9"/>
  <c r="G70" i="9"/>
  <c r="G54" i="9"/>
  <c r="G48" i="9"/>
  <c r="G40" i="9"/>
  <c r="G61" i="9"/>
  <c r="G46" i="9"/>
  <c r="G44" i="9"/>
  <c r="G71" i="9"/>
  <c r="G62" i="9"/>
  <c r="G66" i="9"/>
  <c r="G43" i="9"/>
  <c r="G45" i="9"/>
  <c r="G38" i="9"/>
  <c r="G50" i="9"/>
  <c r="G53" i="9"/>
  <c r="G67" i="9"/>
  <c r="G68" i="9"/>
  <c r="G33" i="9"/>
  <c r="G51" i="9"/>
  <c r="G52" i="9"/>
  <c r="G35" i="9"/>
  <c r="G59" i="9"/>
  <c r="G60" i="9"/>
  <c r="G49" i="9"/>
  <c r="G65" i="9"/>
  <c r="G69" i="9"/>
  <c r="G36" i="9"/>
  <c r="G55" i="9"/>
  <c r="G58" i="9"/>
  <c r="G64" i="9"/>
  <c r="D67" i="9"/>
  <c r="E67" i="9"/>
  <c r="I67" i="9"/>
  <c r="F67" i="9"/>
  <c r="A68" i="9"/>
  <c r="C67" i="9"/>
  <c r="B67" i="9"/>
  <c r="P30" i="3"/>
  <c r="K13" i="3"/>
  <c r="L12" i="3" s="1"/>
  <c r="P33" i="4" s="1"/>
  <c r="U33" i="4" s="1"/>
  <c r="V33" i="4" s="1"/>
  <c r="L11" i="3"/>
  <c r="P34" i="4" s="1"/>
  <c r="E12" i="3"/>
  <c r="F11" i="3" s="1"/>
  <c r="F10" i="3"/>
  <c r="D22" i="4" s="1"/>
  <c r="I22" i="4" s="1"/>
  <c r="D23" i="4"/>
  <c r="I23" i="4" s="1"/>
  <c r="J23" i="4" s="1"/>
  <c r="K42" i="3" l="1"/>
  <c r="J31" i="3"/>
  <c r="L29" i="3" s="1"/>
  <c r="L15" i="12"/>
  <c r="C16" i="13" s="1"/>
  <c r="F16" i="13" s="1"/>
  <c r="I68" i="9"/>
  <c r="D68" i="9"/>
  <c r="E68" i="9"/>
  <c r="U34" i="4"/>
  <c r="V34" i="4" s="1"/>
  <c r="A69" i="9"/>
  <c r="F68" i="9"/>
  <c r="C68" i="9"/>
  <c r="B68" i="9"/>
  <c r="O22" i="3"/>
  <c r="J22" i="4"/>
  <c r="K22" i="4" s="1"/>
  <c r="O21" i="3" s="1"/>
  <c r="F13" i="3"/>
  <c r="K23" i="4"/>
  <c r="AA6" i="3" s="1"/>
  <c r="K14" i="3"/>
  <c r="L13" i="3" s="1"/>
  <c r="L15" i="3" s="1"/>
  <c r="E26" i="13" l="1"/>
  <c r="E17" i="13"/>
  <c r="B52" i="7"/>
  <c r="J27" i="7" s="1"/>
  <c r="D16" i="13"/>
  <c r="C26" i="13"/>
  <c r="AM30" i="13" s="1"/>
  <c r="I69" i="9"/>
  <c r="D69" i="9"/>
  <c r="E69" i="9"/>
  <c r="AA7" i="3"/>
  <c r="A70" i="9"/>
  <c r="C69" i="9"/>
  <c r="F69" i="9"/>
  <c r="B69" i="9"/>
  <c r="F33" i="7" l="1"/>
  <c r="G33" i="7" s="1"/>
  <c r="F24" i="7"/>
  <c r="G24" i="7" s="1"/>
  <c r="F31" i="7"/>
  <c r="G31" i="7" s="1"/>
  <c r="F22" i="7"/>
  <c r="G22" i="7" s="1"/>
  <c r="F9" i="7"/>
  <c r="G9" i="7" s="1"/>
  <c r="F8" i="7"/>
  <c r="G8" i="7" s="1"/>
  <c r="H19" i="7"/>
  <c r="I19" i="7" s="1"/>
  <c r="F30" i="7"/>
  <c r="G30" i="7" s="1"/>
  <c r="H26" i="7"/>
  <c r="I26" i="7" s="1"/>
  <c r="F38" i="7"/>
  <c r="G38" i="7" s="1"/>
  <c r="H31" i="7"/>
  <c r="I31" i="7" s="1"/>
  <c r="F17" i="7"/>
  <c r="G17" i="7" s="1"/>
  <c r="F29" i="7"/>
  <c r="G29" i="7" s="1"/>
  <c r="H34" i="7"/>
  <c r="I34" i="7" s="1"/>
  <c r="F41" i="7"/>
  <c r="G41" i="7" s="1"/>
  <c r="F23" i="7"/>
  <c r="G23" i="7" s="1"/>
  <c r="F13" i="7"/>
  <c r="G13" i="7" s="1"/>
  <c r="H30" i="7"/>
  <c r="I30" i="7" s="1"/>
  <c r="F34" i="7"/>
  <c r="G34" i="7" s="1"/>
  <c r="H10" i="7"/>
  <c r="I10" i="7" s="1"/>
  <c r="F27" i="7"/>
  <c r="G27" i="7" s="1"/>
  <c r="F10" i="7"/>
  <c r="G10" i="7" s="1"/>
  <c r="F25" i="7"/>
  <c r="G25" i="7" s="1"/>
  <c r="H40" i="7"/>
  <c r="I40" i="7" s="1"/>
  <c r="F40" i="7"/>
  <c r="G40" i="7" s="1"/>
  <c r="F20" i="7"/>
  <c r="G20" i="7" s="1"/>
  <c r="D10" i="7"/>
  <c r="E10" i="7" s="1"/>
  <c r="H9" i="7"/>
  <c r="I9" i="7" s="1"/>
  <c r="D31" i="7"/>
  <c r="E31" i="7" s="1"/>
  <c r="J10" i="7"/>
  <c r="K10" i="7" s="1"/>
  <c r="F19" i="7"/>
  <c r="G19" i="7" s="1"/>
  <c r="F11" i="7"/>
  <c r="G11" i="7" s="1"/>
  <c r="D23" i="7"/>
  <c r="E23" i="7" s="1"/>
  <c r="H25" i="7"/>
  <c r="I25" i="7" s="1"/>
  <c r="H24" i="7"/>
  <c r="I24" i="7" s="1"/>
  <c r="H15" i="7"/>
  <c r="I15" i="7" s="1"/>
  <c r="D33" i="7"/>
  <c r="E33" i="7" s="1"/>
  <c r="F12" i="7"/>
  <c r="G12" i="7" s="1"/>
  <c r="F26" i="7"/>
  <c r="G26" i="7" s="1"/>
  <c r="F4" i="7"/>
  <c r="G4" i="7" s="1"/>
  <c r="H7" i="7"/>
  <c r="I7" i="7" s="1"/>
  <c r="J33" i="7"/>
  <c r="N33" i="7" s="1"/>
  <c r="O33" i="7" s="1"/>
  <c r="F14" i="7"/>
  <c r="G14" i="7" s="1"/>
  <c r="H33" i="7"/>
  <c r="I33" i="7" s="1"/>
  <c r="F37" i="7"/>
  <c r="G37" i="7" s="1"/>
  <c r="F35" i="7"/>
  <c r="G35" i="7" s="1"/>
  <c r="H38" i="7"/>
  <c r="I38" i="7" s="1"/>
  <c r="D30" i="7"/>
  <c r="E30" i="7" s="1"/>
  <c r="H29" i="7"/>
  <c r="I29" i="7" s="1"/>
  <c r="F6" i="7"/>
  <c r="G6" i="7" s="1"/>
  <c r="F15" i="7"/>
  <c r="G15" i="7" s="1"/>
  <c r="F3" i="7"/>
  <c r="G3" i="7" s="1"/>
  <c r="H21" i="7"/>
  <c r="I21" i="7" s="1"/>
  <c r="H13" i="7"/>
  <c r="I13" i="7" s="1"/>
  <c r="J38" i="7"/>
  <c r="K38" i="7" s="1"/>
  <c r="H17" i="7"/>
  <c r="I17" i="7" s="1"/>
  <c r="D8" i="7"/>
  <c r="E8" i="7" s="1"/>
  <c r="H2" i="7"/>
  <c r="I2" i="7" s="1"/>
  <c r="H18" i="7"/>
  <c r="I18" i="7" s="1"/>
  <c r="H41" i="7"/>
  <c r="I41" i="7" s="1"/>
  <c r="H14" i="7"/>
  <c r="I14" i="7" s="1"/>
  <c r="H35" i="7"/>
  <c r="I35" i="7" s="1"/>
  <c r="J6" i="7"/>
  <c r="K6" i="7" s="1"/>
  <c r="F36" i="7"/>
  <c r="G36" i="7" s="1"/>
  <c r="F16" i="7"/>
  <c r="G16" i="7" s="1"/>
  <c r="F28" i="7"/>
  <c r="G28" i="7" s="1"/>
  <c r="F2" i="7"/>
  <c r="G2" i="7" s="1"/>
  <c r="H37" i="7"/>
  <c r="I37" i="7" s="1"/>
  <c r="H27" i="7"/>
  <c r="I27" i="7" s="1"/>
  <c r="H3" i="7"/>
  <c r="I3" i="7" s="1"/>
  <c r="D39" i="7"/>
  <c r="E39" i="7" s="1"/>
  <c r="F5" i="7"/>
  <c r="G5" i="7" s="1"/>
  <c r="F39" i="7"/>
  <c r="G39" i="7" s="1"/>
  <c r="H23" i="7"/>
  <c r="I23" i="7" s="1"/>
  <c r="H5" i="7"/>
  <c r="I5" i="7" s="1"/>
  <c r="J16" i="7"/>
  <c r="K16" i="7" s="1"/>
  <c r="D34" i="7"/>
  <c r="E34" i="7" s="1"/>
  <c r="D29" i="7"/>
  <c r="E29" i="7" s="1"/>
  <c r="H32" i="7"/>
  <c r="I32" i="7" s="1"/>
  <c r="H36" i="7"/>
  <c r="I36" i="7" s="1"/>
  <c r="D18" i="7"/>
  <c r="E18" i="7" s="1"/>
  <c r="D5" i="7"/>
  <c r="E5" i="7" s="1"/>
  <c r="J2" i="7"/>
  <c r="K2" i="7" s="1"/>
  <c r="J34" i="7"/>
  <c r="N34" i="7" s="1"/>
  <c r="O34" i="7" s="1"/>
  <c r="J5" i="7"/>
  <c r="K5" i="7" s="1"/>
  <c r="J32" i="7"/>
  <c r="K32" i="7" s="1"/>
  <c r="D20" i="7"/>
  <c r="E20" i="7" s="1"/>
  <c r="D41" i="7"/>
  <c r="E41" i="7" s="1"/>
  <c r="H28" i="7"/>
  <c r="I28" i="7" s="1"/>
  <c r="J31" i="7"/>
  <c r="K31" i="7" s="1"/>
  <c r="D17" i="7"/>
  <c r="E17" i="7" s="1"/>
  <c r="D4" i="7"/>
  <c r="E4" i="7" s="1"/>
  <c r="F21" i="7"/>
  <c r="G21" i="7" s="1"/>
  <c r="F18" i="7"/>
  <c r="G18" i="7" s="1"/>
  <c r="H8" i="7"/>
  <c r="I8" i="7" s="1"/>
  <c r="H22" i="7"/>
  <c r="I22" i="7" s="1"/>
  <c r="H20" i="7"/>
  <c r="I20" i="7" s="1"/>
  <c r="D2" i="7"/>
  <c r="E2" i="7" s="1"/>
  <c r="D9" i="7"/>
  <c r="E9" i="7" s="1"/>
  <c r="J17" i="7"/>
  <c r="K17" i="7" s="1"/>
  <c r="J4" i="7"/>
  <c r="N4" i="7" s="1"/>
  <c r="O4" i="7" s="1"/>
  <c r="J9" i="7"/>
  <c r="K9" i="7" s="1"/>
  <c r="D27" i="7"/>
  <c r="E27" i="7" s="1"/>
  <c r="J40" i="7"/>
  <c r="K40" i="7" s="1"/>
  <c r="H11" i="7"/>
  <c r="I11" i="7" s="1"/>
  <c r="D32" i="7"/>
  <c r="E32" i="7" s="1"/>
  <c r="D7" i="7"/>
  <c r="E7" i="7" s="1"/>
  <c r="J23" i="7"/>
  <c r="K23" i="7" s="1"/>
  <c r="F32" i="7"/>
  <c r="G32" i="7" s="1"/>
  <c r="F7" i="7"/>
  <c r="G7" i="7" s="1"/>
  <c r="H39" i="7"/>
  <c r="I39" i="7" s="1"/>
  <c r="H6" i="7"/>
  <c r="I6" i="7" s="1"/>
  <c r="H4" i="7"/>
  <c r="I4" i="7" s="1"/>
  <c r="D15" i="7"/>
  <c r="E15" i="7" s="1"/>
  <c r="J39" i="7"/>
  <c r="K39" i="7" s="1"/>
  <c r="D38" i="7"/>
  <c r="E38" i="7" s="1"/>
  <c r="D3" i="7"/>
  <c r="E3" i="7" s="1"/>
  <c r="D6" i="7"/>
  <c r="E6" i="7" s="1"/>
  <c r="J35" i="7"/>
  <c r="N35" i="7" s="1"/>
  <c r="O35" i="7" s="1"/>
  <c r="J14" i="7"/>
  <c r="K14" i="7" s="1"/>
  <c r="J19" i="7"/>
  <c r="N19" i="7" s="1"/>
  <c r="O19" i="7" s="1"/>
  <c r="D24" i="7"/>
  <c r="E24" i="7" s="1"/>
  <c r="J11" i="7"/>
  <c r="K11" i="7" s="1"/>
  <c r="D37" i="7"/>
  <c r="E37" i="7" s="1"/>
  <c r="J3" i="7"/>
  <c r="K3" i="7" s="1"/>
  <c r="D21" i="7"/>
  <c r="E21" i="7" s="1"/>
  <c r="J29" i="7"/>
  <c r="N29" i="7" s="1"/>
  <c r="O29" i="7" s="1"/>
  <c r="B14" i="7"/>
  <c r="C14" i="7" s="1"/>
  <c r="H16" i="7"/>
  <c r="I16" i="7" s="1"/>
  <c r="D26" i="7"/>
  <c r="E26" i="7" s="1"/>
  <c r="D25" i="7"/>
  <c r="E25" i="7" s="1"/>
  <c r="D22" i="7"/>
  <c r="E22" i="7" s="1"/>
  <c r="J13" i="7"/>
  <c r="N13" i="7" s="1"/>
  <c r="O13" i="7" s="1"/>
  <c r="L7" i="7"/>
  <c r="M7" i="7" s="1"/>
  <c r="H12" i="7"/>
  <c r="I12" i="7" s="1"/>
  <c r="D40" i="7"/>
  <c r="E40" i="7" s="1"/>
  <c r="J18" i="7"/>
  <c r="K18" i="7" s="1"/>
  <c r="J25" i="7"/>
  <c r="K25" i="7" s="1"/>
  <c r="J22" i="7"/>
  <c r="K22" i="7" s="1"/>
  <c r="D36" i="7"/>
  <c r="E36" i="7" s="1"/>
  <c r="L29" i="7"/>
  <c r="M29" i="7" s="1"/>
  <c r="D12" i="7"/>
  <c r="E12" i="7" s="1"/>
  <c r="B28" i="7"/>
  <c r="C28" i="7" s="1"/>
  <c r="J28" i="7"/>
  <c r="K28" i="7" s="1"/>
  <c r="J20" i="7"/>
  <c r="K20" i="7" s="1"/>
  <c r="J12" i="7"/>
  <c r="K12" i="7" s="1"/>
  <c r="B16" i="7"/>
  <c r="C16" i="7" s="1"/>
  <c r="D16" i="7"/>
  <c r="E16" i="7" s="1"/>
  <c r="J26" i="7"/>
  <c r="N26" i="7" s="1"/>
  <c r="O26" i="7" s="1"/>
  <c r="J41" i="7"/>
  <c r="K41" i="7" s="1"/>
  <c r="D14" i="7"/>
  <c r="E14" i="7" s="1"/>
  <c r="J37" i="7"/>
  <c r="N37" i="7" s="1"/>
  <c r="O37" i="7" s="1"/>
  <c r="J8" i="7"/>
  <c r="K8" i="7" s="1"/>
  <c r="J30" i="7"/>
  <c r="K30" i="7" s="1"/>
  <c r="J21" i="7"/>
  <c r="K21" i="7" s="1"/>
  <c r="J15" i="7"/>
  <c r="K15" i="7" s="1"/>
  <c r="D19" i="7"/>
  <c r="E19" i="7" s="1"/>
  <c r="B26" i="7"/>
  <c r="C26" i="7" s="1"/>
  <c r="J7" i="7"/>
  <c r="N7" i="7" s="1"/>
  <c r="O7" i="7" s="1"/>
  <c r="J24" i="7"/>
  <c r="K24" i="7" s="1"/>
  <c r="D28" i="7"/>
  <c r="E28" i="7" s="1"/>
  <c r="D11" i="7"/>
  <c r="E11" i="7" s="1"/>
  <c r="B13" i="7"/>
  <c r="C13" i="7" s="1"/>
  <c r="L19" i="7"/>
  <c r="M19" i="7" s="1"/>
  <c r="D13" i="7"/>
  <c r="E13" i="7" s="1"/>
  <c r="J36" i="7"/>
  <c r="N36" i="7" s="1"/>
  <c r="O36" i="7" s="1"/>
  <c r="B3" i="7"/>
  <c r="C3" i="7" s="1"/>
  <c r="H42" i="7"/>
  <c r="I42" i="7" s="1"/>
  <c r="L42" i="7"/>
  <c r="M42" i="7" s="1"/>
  <c r="F42" i="7"/>
  <c r="G42" i="7" s="1"/>
  <c r="J42" i="7"/>
  <c r="B42" i="7"/>
  <c r="C42" i="7" s="1"/>
  <c r="D42" i="7"/>
  <c r="E42" i="7" s="1"/>
  <c r="L16" i="7"/>
  <c r="M16" i="7" s="1"/>
  <c r="B39" i="7"/>
  <c r="C39" i="7" s="1"/>
  <c r="B27" i="7"/>
  <c r="C27" i="7" s="1"/>
  <c r="L27" i="7"/>
  <c r="M27" i="7" s="1"/>
  <c r="L26" i="7"/>
  <c r="M26" i="7" s="1"/>
  <c r="L2" i="7"/>
  <c r="M2" i="7" s="1"/>
  <c r="B30" i="7"/>
  <c r="C30" i="7" s="1"/>
  <c r="L5" i="7"/>
  <c r="M5" i="7" s="1"/>
  <c r="L25" i="7"/>
  <c r="M25" i="7" s="1"/>
  <c r="L36" i="7"/>
  <c r="M36" i="7" s="1"/>
  <c r="L40" i="7"/>
  <c r="M40" i="7" s="1"/>
  <c r="B23" i="7"/>
  <c r="C23" i="7" s="1"/>
  <c r="L4" i="7"/>
  <c r="M4" i="7" s="1"/>
  <c r="L12" i="7"/>
  <c r="M12" i="7" s="1"/>
  <c r="L23" i="7"/>
  <c r="M23" i="7" s="1"/>
  <c r="B15" i="7"/>
  <c r="C15" i="7" s="1"/>
  <c r="B22" i="7"/>
  <c r="C22" i="7" s="1"/>
  <c r="L15" i="7"/>
  <c r="M15" i="7" s="1"/>
  <c r="L21" i="7"/>
  <c r="M21" i="7" s="1"/>
  <c r="L38" i="7"/>
  <c r="M38" i="7" s="1"/>
  <c r="B32" i="7"/>
  <c r="C32" i="7" s="1"/>
  <c r="L14" i="7"/>
  <c r="M14" i="7" s="1"/>
  <c r="B7" i="7"/>
  <c r="C7" i="7" s="1"/>
  <c r="B12" i="7"/>
  <c r="C12" i="7" s="1"/>
  <c r="B9" i="7"/>
  <c r="C9" i="7" s="1"/>
  <c r="B8" i="7"/>
  <c r="C8" i="7" s="1"/>
  <c r="L20" i="7"/>
  <c r="M20" i="7" s="1"/>
  <c r="L17" i="7"/>
  <c r="M17" i="7" s="1"/>
  <c r="L30" i="7"/>
  <c r="M30" i="7" s="1"/>
  <c r="L3" i="7"/>
  <c r="M3" i="7" s="1"/>
  <c r="B40" i="7"/>
  <c r="C40" i="7" s="1"/>
  <c r="B41" i="7"/>
  <c r="C41" i="7" s="1"/>
  <c r="B36" i="7"/>
  <c r="C36" i="7" s="1"/>
  <c r="B29" i="7"/>
  <c r="C29" i="7" s="1"/>
  <c r="L24" i="7"/>
  <c r="M24" i="7" s="1"/>
  <c r="B17" i="7"/>
  <c r="C17" i="7" s="1"/>
  <c r="B10" i="7"/>
  <c r="C10" i="7" s="1"/>
  <c r="B35" i="7"/>
  <c r="C35" i="7" s="1"/>
  <c r="B5" i="7"/>
  <c r="C5" i="7" s="1"/>
  <c r="L35" i="7"/>
  <c r="M35" i="7" s="1"/>
  <c r="B4" i="7"/>
  <c r="C4" i="7" s="1"/>
  <c r="B38" i="7"/>
  <c r="C38" i="7" s="1"/>
  <c r="L18" i="7"/>
  <c r="M18" i="7" s="1"/>
  <c r="B34" i="7"/>
  <c r="C34" i="7" s="1"/>
  <c r="L34" i="7"/>
  <c r="M34" i="7" s="1"/>
  <c r="L31" i="7"/>
  <c r="M31" i="7" s="1"/>
  <c r="B37" i="7"/>
  <c r="C37" i="7" s="1"/>
  <c r="L13" i="7"/>
  <c r="M13" i="7" s="1"/>
  <c r="L10" i="7"/>
  <c r="M10" i="7" s="1"/>
  <c r="D35" i="7"/>
  <c r="E35" i="7" s="1"/>
  <c r="B18" i="7"/>
  <c r="C18" i="7" s="1"/>
  <c r="L39" i="7"/>
  <c r="M39" i="7" s="1"/>
  <c r="B11" i="7"/>
  <c r="C11" i="7" s="1"/>
  <c r="B24" i="7"/>
  <c r="C24" i="7" s="1"/>
  <c r="B33" i="7"/>
  <c r="C33" i="7" s="1"/>
  <c r="B21" i="7"/>
  <c r="C21" i="7" s="1"/>
  <c r="L33" i="7"/>
  <c r="M33" i="7" s="1"/>
  <c r="B2" i="7"/>
  <c r="C2" i="7" s="1"/>
  <c r="L9" i="7"/>
  <c r="M9" i="7" s="1"/>
  <c r="B20" i="7"/>
  <c r="C20" i="7" s="1"/>
  <c r="L6" i="7"/>
  <c r="M6" i="7" s="1"/>
  <c r="B25" i="7"/>
  <c r="C25" i="7" s="1"/>
  <c r="L37" i="7"/>
  <c r="M37" i="7" s="1"/>
  <c r="L11" i="7"/>
  <c r="M11" i="7" s="1"/>
  <c r="L32" i="7"/>
  <c r="M32" i="7" s="1"/>
  <c r="L8" i="7"/>
  <c r="M8" i="7" s="1"/>
  <c r="L41" i="7"/>
  <c r="M41" i="7" s="1"/>
  <c r="L22" i="7"/>
  <c r="M22" i="7" s="1"/>
  <c r="B31" i="7"/>
  <c r="C31" i="7" s="1"/>
  <c r="B19" i="7"/>
  <c r="C19" i="7" s="1"/>
  <c r="L28" i="7"/>
  <c r="M28" i="7" s="1"/>
  <c r="B6" i="7"/>
  <c r="C6" i="7" s="1"/>
  <c r="E25" i="13"/>
  <c r="Z9" i="13"/>
  <c r="AP32" i="13"/>
  <c r="AM33" i="13"/>
  <c r="AL43" i="13" s="1"/>
  <c r="E70" i="9"/>
  <c r="I70" i="9"/>
  <c r="D70" i="9"/>
  <c r="C70" i="9"/>
  <c r="F70" i="9"/>
  <c r="A71" i="9"/>
  <c r="B70" i="9"/>
  <c r="N27" i="7"/>
  <c r="O27" i="7" s="1"/>
  <c r="K27" i="7"/>
  <c r="N32" i="7" l="1"/>
  <c r="O32" i="7" s="1"/>
  <c r="N10" i="7"/>
  <c r="O10" i="7" s="1"/>
  <c r="N5" i="7"/>
  <c r="O5" i="7" s="1"/>
  <c r="K33" i="7"/>
  <c r="N38" i="7"/>
  <c r="O38" i="7" s="1"/>
  <c r="N6" i="7"/>
  <c r="O6" i="7" s="1"/>
  <c r="N16" i="7"/>
  <c r="O16" i="7" s="1"/>
  <c r="N3" i="7"/>
  <c r="O3" i="7" s="1"/>
  <c r="P3" i="7" s="1"/>
  <c r="Q3" i="7" s="1"/>
  <c r="K4" i="7"/>
  <c r="P4" i="7" s="1"/>
  <c r="Q4" i="7" s="1"/>
  <c r="N11" i="7"/>
  <c r="O11" i="7" s="1"/>
  <c r="P11" i="7" s="1"/>
  <c r="Q11" i="7" s="1"/>
  <c r="N18" i="7"/>
  <c r="O18" i="7" s="1"/>
  <c r="P18" i="7" s="1"/>
  <c r="Q18" i="7" s="1"/>
  <c r="N9" i="7"/>
  <c r="O9" i="7" s="1"/>
  <c r="P9" i="7" s="1"/>
  <c r="Q9" i="7" s="1"/>
  <c r="N31" i="7"/>
  <c r="O31" i="7" s="1"/>
  <c r="P31" i="7" s="1"/>
  <c r="Q31" i="7" s="1"/>
  <c r="N40" i="7"/>
  <c r="O40" i="7" s="1"/>
  <c r="P40" i="7" s="1"/>
  <c r="Q40" i="7" s="1"/>
  <c r="N39" i="7"/>
  <c r="O39" i="7" s="1"/>
  <c r="P39" i="7" s="1"/>
  <c r="Q39" i="7" s="1"/>
  <c r="K34" i="7"/>
  <c r="P34" i="7" s="1"/>
  <c r="Q34" i="7" s="1"/>
  <c r="N2" i="7"/>
  <c r="O2" i="7" s="1"/>
  <c r="P2" i="7" s="1"/>
  <c r="Q2" i="7" s="1"/>
  <c r="K19" i="7"/>
  <c r="P19" i="7" s="1"/>
  <c r="Q19" i="7" s="1"/>
  <c r="K35" i="7"/>
  <c r="P35" i="7" s="1"/>
  <c r="Q35" i="7" s="1"/>
  <c r="N21" i="7"/>
  <c r="O21" i="7" s="1"/>
  <c r="P21" i="7" s="1"/>
  <c r="Q21" i="7" s="1"/>
  <c r="N23" i="7"/>
  <c r="O23" i="7" s="1"/>
  <c r="P23" i="7" s="1"/>
  <c r="Q23" i="7" s="1"/>
  <c r="N17" i="7"/>
  <c r="O17" i="7" s="1"/>
  <c r="P17" i="7" s="1"/>
  <c r="Q17" i="7" s="1"/>
  <c r="N14" i="7"/>
  <c r="O14" i="7" s="1"/>
  <c r="P14" i="7" s="1"/>
  <c r="Q14" i="7" s="1"/>
  <c r="N22" i="7"/>
  <c r="O22" i="7" s="1"/>
  <c r="P22" i="7" s="1"/>
  <c r="Q22" i="7" s="1"/>
  <c r="K29" i="7"/>
  <c r="P29" i="7" s="1"/>
  <c r="Q29" i="7" s="1"/>
  <c r="N28" i="7"/>
  <c r="O28" i="7" s="1"/>
  <c r="P28" i="7" s="1"/>
  <c r="Q28" i="7" s="1"/>
  <c r="N12" i="7"/>
  <c r="O12" i="7" s="1"/>
  <c r="P12" i="7" s="1"/>
  <c r="Q12" i="7" s="1"/>
  <c r="K13" i="7"/>
  <c r="P13" i="7" s="1"/>
  <c r="Q13" i="7" s="1"/>
  <c r="K7" i="7"/>
  <c r="P7" i="7" s="1"/>
  <c r="Q7" i="7" s="1"/>
  <c r="N25" i="7"/>
  <c r="O25" i="7" s="1"/>
  <c r="P25" i="7" s="1"/>
  <c r="Q25" i="7" s="1"/>
  <c r="N24" i="7"/>
  <c r="O24" i="7" s="1"/>
  <c r="P24" i="7" s="1"/>
  <c r="Q24" i="7" s="1"/>
  <c r="N41" i="7"/>
  <c r="O41" i="7" s="1"/>
  <c r="P41" i="7" s="1"/>
  <c r="Q41" i="7" s="1"/>
  <c r="N20" i="7"/>
  <c r="O20" i="7" s="1"/>
  <c r="P20" i="7" s="1"/>
  <c r="Q20" i="7" s="1"/>
  <c r="K26" i="7"/>
  <c r="P26" i="7" s="1"/>
  <c r="Q26" i="7" s="1"/>
  <c r="K37" i="7"/>
  <c r="P37" i="7" s="1"/>
  <c r="Q37" i="7" s="1"/>
  <c r="N30" i="7"/>
  <c r="O30" i="7" s="1"/>
  <c r="P30" i="7" s="1"/>
  <c r="Q30" i="7" s="1"/>
  <c r="K36" i="7"/>
  <c r="P36" i="7" s="1"/>
  <c r="Q36" i="7" s="1"/>
  <c r="N8" i="7"/>
  <c r="O8" i="7" s="1"/>
  <c r="P8" i="7" s="1"/>
  <c r="Q8" i="7" s="1"/>
  <c r="N15" i="7"/>
  <c r="O15" i="7" s="1"/>
  <c r="P15" i="7" s="1"/>
  <c r="Q15" i="7" s="1"/>
  <c r="K42" i="7"/>
  <c r="N42" i="7"/>
  <c r="O42" i="7" s="1"/>
  <c r="AP29" i="13"/>
  <c r="AP42" i="13"/>
  <c r="D71" i="9"/>
  <c r="I71" i="9"/>
  <c r="E71" i="9"/>
  <c r="P33" i="7"/>
  <c r="Q33" i="7" s="1"/>
  <c r="P32" i="7"/>
  <c r="Q32" i="7" s="1"/>
  <c r="P27" i="7"/>
  <c r="Q27" i="7" s="1"/>
  <c r="F71" i="9"/>
  <c r="C71" i="9"/>
  <c r="B71" i="9"/>
  <c r="P38" i="7"/>
  <c r="Q38" i="7" s="1"/>
  <c r="P5" i="7"/>
  <c r="Q5" i="7" s="1"/>
  <c r="P6" i="7"/>
  <c r="Q6" i="7" s="1"/>
  <c r="P10" i="7"/>
  <c r="Q10" i="7" s="1"/>
  <c r="P16" i="7"/>
  <c r="Q16" i="7" s="1"/>
  <c r="AF21" i="13"/>
  <c r="AF23" i="13" s="1"/>
  <c r="AF24" i="13" s="1"/>
  <c r="AF22" i="13"/>
  <c r="AF25" i="13"/>
  <c r="D7" i="13"/>
  <c r="Y34" i="13"/>
  <c r="W34" i="13" s="1"/>
  <c r="AD34" i="13" s="1"/>
  <c r="B10" i="13" s="1"/>
  <c r="D10" i="13" s="1"/>
  <c r="H23" i="13"/>
  <c r="P42" i="7" l="1"/>
  <c r="Q42" i="7" s="1"/>
  <c r="B63" i="7"/>
  <c r="C63" i="7" s="1"/>
  <c r="B62" i="7"/>
  <c r="C62" i="7" s="1"/>
  <c r="B17" i="13"/>
  <c r="B25" i="13" s="1"/>
  <c r="B24" i="13"/>
  <c r="B26" i="13"/>
  <c r="B12" i="13"/>
  <c r="B22" i="13" s="1"/>
  <c r="B14" i="13"/>
  <c r="F26" i="13" l="1"/>
  <c r="D26" i="13"/>
  <c r="D22" i="13"/>
  <c r="F22" i="13"/>
  <c r="F24" i="13"/>
  <c r="D24" i="13"/>
  <c r="D25" i="13"/>
  <c r="F25" i="13"/>
  <c r="B27" i="13"/>
  <c r="B23" i="13"/>
  <c r="D27" i="13" l="1"/>
  <c r="F27" i="13"/>
  <c r="AA39" i="13"/>
  <c r="F23" i="13"/>
  <c r="D23" i="13"/>
  <c r="C31" i="13"/>
  <c r="B31" i="13" s="1"/>
  <c r="AC24" i="13" s="1"/>
  <c r="AC20" i="13" s="1"/>
  <c r="Z14" i="13"/>
  <c r="AA40" i="13"/>
</calcChain>
</file>

<file path=xl/sharedStrings.xml><?xml version="1.0" encoding="utf-8"?>
<sst xmlns="http://schemas.openxmlformats.org/spreadsheetml/2006/main" count="1029" uniqueCount="522">
  <si>
    <t>Number of A/C</t>
  </si>
  <si>
    <t>Engineering (hrs)</t>
  </si>
  <si>
    <t>Engineering Cost (2022$)</t>
  </si>
  <si>
    <t>Tooling (hrs)</t>
  </si>
  <si>
    <t>Tooling Cost  (2022$)</t>
  </si>
  <si>
    <t>DT&amp;E Support (1998$)</t>
  </si>
  <si>
    <t>DT&amp;E Support (2022$)</t>
  </si>
  <si>
    <t>Flight Test (1999$)</t>
  </si>
  <si>
    <t>Flight Test (2022$)</t>
  </si>
  <si>
    <t>Mfg Labor (hrs)</t>
  </si>
  <si>
    <t>Mfg Labor Cost (2022$)</t>
  </si>
  <si>
    <t>Mfg Mat and Equip (1999$)</t>
  </si>
  <si>
    <t>Mfg Mat and Equip  (2022$)</t>
  </si>
  <si>
    <t>QC Labor Hours</t>
  </si>
  <si>
    <t>QC Cost (2022$)</t>
  </si>
  <si>
    <t>Total Cost (2022$)</t>
  </si>
  <si>
    <t>Unit Cost (2022$)</t>
  </si>
  <si>
    <t>Hourly Rates</t>
  </si>
  <si>
    <t>Engineering</t>
  </si>
  <si>
    <t>Tooling</t>
  </si>
  <si>
    <t>QC</t>
  </si>
  <si>
    <t>Manufacturing</t>
  </si>
  <si>
    <t>Crew</t>
  </si>
  <si>
    <t>Empty weight (lbs)</t>
  </si>
  <si>
    <t>Max speed @ best alt (kts)</t>
  </si>
  <si>
    <t>Test A/C</t>
  </si>
  <si>
    <t>Takeoff weight</t>
  </si>
  <si>
    <t>Cost per engine</t>
  </si>
  <si>
    <t>Crew hourly cost</t>
  </si>
  <si>
    <t>MH/FH</t>
  </si>
  <si>
    <t>MH/cycle</t>
  </si>
  <si>
    <t>Aircraft</t>
  </si>
  <si>
    <t>Wto (lbs)</t>
  </si>
  <si>
    <t>We (lbs)</t>
  </si>
  <si>
    <t>log10Wto</t>
  </si>
  <si>
    <t>log10We</t>
  </si>
  <si>
    <t>A=intercept(D2:DX,E2:EX)</t>
  </si>
  <si>
    <t>X-59 QueSST</t>
  </si>
  <si>
    <t>B=slope(D2:DX,E2:EX)</t>
  </si>
  <si>
    <t>http://concordesst.com/A45eu.pdf</t>
  </si>
  <si>
    <t>Aerion SBJ</t>
  </si>
  <si>
    <t>http://concordesst.com/weight.html</t>
  </si>
  <si>
    <t>Spike S-512</t>
  </si>
  <si>
    <t>A</t>
  </si>
  <si>
    <t>https://www.lockheedmartin.com/content/dam/lockheed-martin/aero/documents/quietSuperSonic/P22-01661%20Product%20Card%20X-59.pdf</t>
  </si>
  <si>
    <t>Concorde</t>
  </si>
  <si>
    <t>B</t>
  </si>
  <si>
    <t>https://web.archive.org/web/20171217014146/https://www.aerionsupersonic.com/</t>
  </si>
  <si>
    <t>Tu-144</t>
  </si>
  <si>
    <t>https://web.archive.org/web/20140103223046/http://aerioncorp.com/jet</t>
  </si>
  <si>
    <t>Sukhoi-Gulfstream S-21</t>
  </si>
  <si>
    <t>https://www.spikeaerospace.com/s-512-supersonic-jet/specifications-performance/</t>
  </si>
  <si>
    <t>SAI Quiet Supersonic Business Jet</t>
  </si>
  <si>
    <t>https://customer.janes.com/Janes/Display/jawaa251-jawa</t>
  </si>
  <si>
    <t>Hisac Project - Delta wing</t>
  </si>
  <si>
    <t>https://customer.janes.com/Janes/Display/jawaa651-jawa</t>
  </si>
  <si>
    <t>Hisac Project - Sweptback wing</t>
  </si>
  <si>
    <t>https://www.militaryfactory.com/aircraft/detail.php?aircraft_id=1662</t>
  </si>
  <si>
    <t>Boom Overture</t>
  </si>
  <si>
    <t>https://customer.janes.com/Janes/Display/JAWAA070-JAWA</t>
  </si>
  <si>
    <t>Aerion AS-2</t>
  </si>
  <si>
    <t>https://customer.janes.com/Janes/Display/jawa5885-jawa</t>
  </si>
  <si>
    <t>Tupolev Tu-444</t>
  </si>
  <si>
    <t>HyperMach HyperStar</t>
  </si>
  <si>
    <t>Trade Studies</t>
  </si>
  <si>
    <t>NOTE: NONE OF THESE HAVE ACTUALLY BEEN DONE</t>
  </si>
  <si>
    <t>Project 1</t>
  </si>
  <si>
    <t xml:space="preserve">Key: </t>
  </si>
  <si>
    <t>Default</t>
  </si>
  <si>
    <t>Default: 50 passengers</t>
  </si>
  <si>
    <t>Default: W/S = 110</t>
  </si>
  <si>
    <t>Default: TSFC Eta = 0.9</t>
  </si>
  <si>
    <t>Default: Main Cruise Range = 3000 nm</t>
  </si>
  <si>
    <t>chosen alt: 60,000 ft</t>
  </si>
  <si>
    <t>Passengers</t>
  </si>
  <si>
    <t>Wto</t>
  </si>
  <si>
    <t>W/S (Wing Loading)</t>
  </si>
  <si>
    <t>TSFC Eta</t>
  </si>
  <si>
    <t>Range</t>
  </si>
  <si>
    <t>Supersonic cruise altitude</t>
  </si>
  <si>
    <t>thickness to chord</t>
  </si>
  <si>
    <t>Wto (alternate mission)</t>
  </si>
  <si>
    <t>Alt (ft)</t>
  </si>
  <si>
    <t>density to plug in (slug/ft3)</t>
  </si>
  <si>
    <t>t/c</t>
  </si>
  <si>
    <t>Inputs</t>
  </si>
  <si>
    <t>Outputs</t>
  </si>
  <si>
    <t>TSFC Calculations</t>
  </si>
  <si>
    <t>Thrust Lapse for Constraint Sizing</t>
  </si>
  <si>
    <t>Segment</t>
  </si>
  <si>
    <t>FF</t>
  </si>
  <si>
    <t>Start Weight</t>
  </si>
  <si>
    <t>Used Fuel</t>
  </si>
  <si>
    <t>Climb</t>
  </si>
  <si>
    <t>Engines</t>
  </si>
  <si>
    <t>Climb Gradient</t>
  </si>
  <si>
    <t>Reserve Cruise</t>
  </si>
  <si>
    <t>TSFC_pred</t>
  </si>
  <si>
    <t>Thrust_lapse</t>
  </si>
  <si>
    <t>Start</t>
  </si>
  <si>
    <t>alt</t>
  </si>
  <si>
    <t>E</t>
  </si>
  <si>
    <t>L/D</t>
  </si>
  <si>
    <t>TSFC or cj</t>
  </si>
  <si>
    <t>a (25,000ft)</t>
  </si>
  <si>
    <t>climb rate</t>
  </si>
  <si>
    <t>Mff_cl</t>
  </si>
  <si>
    <t>Velocity</t>
  </si>
  <si>
    <t>a (15,000 ft)</t>
  </si>
  <si>
    <t>Mach</t>
  </si>
  <si>
    <t>Altitude</t>
  </si>
  <si>
    <t>PowerCode</t>
  </si>
  <si>
    <t>lb/lb/hr</t>
  </si>
  <si>
    <t>% of SLS</t>
  </si>
  <si>
    <t>Taxi</t>
  </si>
  <si>
    <t>ft</t>
  </si>
  <si>
    <t>hr</t>
  </si>
  <si>
    <t>~</t>
  </si>
  <si>
    <t>lbs/lbs/hr</t>
  </si>
  <si>
    <t>kts</t>
  </si>
  <si>
    <t>fpm</t>
  </si>
  <si>
    <t>nm</t>
  </si>
  <si>
    <t>Mff_reserveCruise</t>
  </si>
  <si>
    <t>Takeoff</t>
  </si>
  <si>
    <t>Cruise</t>
  </si>
  <si>
    <t>Standard</t>
  </si>
  <si>
    <t>Slow Cruise 1</t>
  </si>
  <si>
    <t>Alternative</t>
  </si>
  <si>
    <t>Cruise (Alternate Mission)</t>
  </si>
  <si>
    <t>Descent</t>
  </si>
  <si>
    <t>Cruise (Max Range)</t>
  </si>
  <si>
    <t>Slow Cruise (Alternate Mission)</t>
  </si>
  <si>
    <t>Slow Cruise 2</t>
  </si>
  <si>
    <t>Mff_cruise</t>
  </si>
  <si>
    <t>Average Cruise Weight</t>
  </si>
  <si>
    <t>Loiter</t>
  </si>
  <si>
    <t>Land</t>
  </si>
  <si>
    <t>Cruise Mach</t>
  </si>
  <si>
    <t>a</t>
  </si>
  <si>
    <t>Mff</t>
  </si>
  <si>
    <t>a (55,000ft)</t>
  </si>
  <si>
    <t>Slow Cruise 1 (Alternate Mission)</t>
  </si>
  <si>
    <t>Slow Cruise 2 (Alternate Mission)</t>
  </si>
  <si>
    <t>Assume M = .4</t>
  </si>
  <si>
    <t>Mff_slowCruise1</t>
  </si>
  <si>
    <t>Mff_slowCruise2</t>
  </si>
  <si>
    <t>Mff_loiter</t>
  </si>
  <si>
    <t>Standard Mission</t>
  </si>
  <si>
    <t>Alternative Mission</t>
  </si>
  <si>
    <t>i.e. "ramp weight"</t>
  </si>
  <si>
    <t>Wto_guess</t>
  </si>
  <si>
    <t>Wcrew</t>
  </si>
  <si>
    <t>Wpl</t>
  </si>
  <si>
    <t>Wff_res</t>
  </si>
  <si>
    <t>Mff_tfo</t>
  </si>
  <si>
    <t>&lt; What If? -&gt; Goal Seek -&gt; Set difference betwee We_allow and We_calc to zero -&gt; Done</t>
  </si>
  <si>
    <t>Number of Passengers</t>
  </si>
  <si>
    <t>We_allow</t>
  </si>
  <si>
    <t>Difference between We_allow and We_calc</t>
  </si>
  <si>
    <t>Wf</t>
  </si>
  <si>
    <t>We_calc</t>
  </si>
  <si>
    <t>Aold</t>
  </si>
  <si>
    <t>Eta (adjusts for advanced materials)</t>
  </si>
  <si>
    <t>Anew</t>
  </si>
  <si>
    <t>Speed of sound (kts) @ 55000 ft</t>
  </si>
  <si>
    <t>concorde t/w .37</t>
  </si>
  <si>
    <t>cruise avg W</t>
  </si>
  <si>
    <t>loiter avg W</t>
  </si>
  <si>
    <t>takeoff avg W</t>
  </si>
  <si>
    <t>slow 1 avg W</t>
  </si>
  <si>
    <t>slow 2 avg W</t>
  </si>
  <si>
    <t>diam</t>
  </si>
  <si>
    <t>length</t>
  </si>
  <si>
    <t>t/c avg</t>
  </si>
  <si>
    <t>Clean Drag Polar Estimation</t>
  </si>
  <si>
    <t>NOTE: Since Standard and Alternate have different Wto, they will likely need separate drag polars</t>
  </si>
  <si>
    <t>assumed body geometry</t>
  </si>
  <si>
    <t>ignore</t>
  </si>
  <si>
    <t>manual input/ assumed</t>
  </si>
  <si>
    <t>Alternate Mission</t>
  </si>
  <si>
    <t>Drag polar for M = 2</t>
  </si>
  <si>
    <t>VSP wave drag</t>
  </si>
  <si>
    <t>Parasite</t>
  </si>
  <si>
    <t>sourced from sizing spreadsheet</t>
  </si>
  <si>
    <t>c</t>
  </si>
  <si>
    <t>d</t>
  </si>
  <si>
    <t>W/S</t>
  </si>
  <si>
    <t>Cf</t>
  </si>
  <si>
    <t>e</t>
  </si>
  <si>
    <t>Cd,wave (body) - constant</t>
  </si>
  <si>
    <t>M</t>
  </si>
  <si>
    <t>Cd,wave (wing</t>
  </si>
  <si>
    <t>CL</t>
  </si>
  <si>
    <t>CD0</t>
  </si>
  <si>
    <t>K</t>
  </si>
  <si>
    <t>CD</t>
  </si>
  <si>
    <t>dCl/dalpha</t>
  </si>
  <si>
    <t>Cd, wave</t>
  </si>
  <si>
    <t>lb</t>
  </si>
  <si>
    <t>psf OR slug/(s^2*ft)</t>
  </si>
  <si>
    <t>Notes:</t>
  </si>
  <si>
    <t>0.85 for clean config</t>
  </si>
  <si>
    <t>0.003 most closely fit the jet transports (see equivalent cf figure below)</t>
  </si>
  <si>
    <t>Swet</t>
  </si>
  <si>
    <t>S</t>
  </si>
  <si>
    <t>CD,0</t>
  </si>
  <si>
    <t>Swet/S Check</t>
  </si>
  <si>
    <t>ft2</t>
  </si>
  <si>
    <t>Cruise L/D Check</t>
  </si>
  <si>
    <t>Main cruise</t>
  </si>
  <si>
    <t>V cruise</t>
  </si>
  <si>
    <t>W cruise</t>
  </si>
  <si>
    <t>density</t>
  </si>
  <si>
    <t>CL cruise</t>
  </si>
  <si>
    <t>CD cruise</t>
  </si>
  <si>
    <t>slug/ft3</t>
  </si>
  <si>
    <t>lb/ft3</t>
  </si>
  <si>
    <t>ft/s</t>
  </si>
  <si>
    <t>50k ft rho</t>
  </si>
  <si>
    <t>Other segments</t>
  </si>
  <si>
    <t>V cruise (kts)</t>
  </si>
  <si>
    <t>takeoff/climb* (25k ft alt)</t>
  </si>
  <si>
    <t>Loiter (15k ft alt)</t>
  </si>
  <si>
    <t>Reserve (15k ft alt)</t>
  </si>
  <si>
    <t>*Source for vtakeoff/climb (see Mach hold): https://books.google.com/books?id=uF5RDwAAQBAJ&amp;pg=PA62&amp;lpg=PA62&amp;dq=why+was+the+concorde+only+allowed+to+go+400+kts&amp;source=bl&amp;ots=0t3PW0IhPw&amp;sig=ACfU3U1oaKVT2xCm1GuHmzDvm3FK1t7POw&amp;hl=en&amp;sa=X&amp;ved=2ahUKEwjX0p7rwL_2AhXOMd8KHQMiAuYQ6AF6BAgVEAM#v=onepage&amp;q=why%20was%20the%20concorde%20only%20allowed%20to%20go%20400%20kts&amp;f=false</t>
  </si>
  <si>
    <t xml:space="preserve"> </t>
  </si>
  <si>
    <t>V cruise (ft/s)</t>
  </si>
  <si>
    <t>Calculated wave drag (alt)</t>
  </si>
  <si>
    <t>VSP values:</t>
  </si>
  <si>
    <t>Cdwave</t>
  </si>
  <si>
    <t>Re</t>
  </si>
  <si>
    <t>required lift coeff</t>
  </si>
  <si>
    <t>(M=2, W=118335,S=1786)</t>
  </si>
  <si>
    <t>(M = .95, W=150000,S=1786)</t>
  </si>
  <si>
    <t>Parasite drag</t>
  </si>
  <si>
    <t>(M = .66, W = 146647,S=1786)</t>
  </si>
  <si>
    <t>(M=.4, W=92994,S=1786)</t>
  </si>
  <si>
    <t>.95 (slow1)</t>
  </si>
  <si>
    <t>.95 (slow2)</t>
  </si>
  <si>
    <t>.95 (reserve)</t>
  </si>
  <si>
    <t xml:space="preserve">Badis, Abderrahmane. (2017). Subsonic Aircraft Wing Conceptual Design Synthesis and Analysis. International Journal of Sciences: Basic and Applied Research (IJSBAR). 35. 64-108. </t>
  </si>
  <si>
    <t>https://www.researchgate.net/publication/319325402_Subsonic_Aircraft_Wing_Conceptual_Design_Synthesis_and_Analysis</t>
  </si>
  <si>
    <t>AR</t>
  </si>
  <si>
    <t>K1</t>
  </si>
  <si>
    <t>K2</t>
  </si>
  <si>
    <t>g</t>
  </si>
  <si>
    <t>CD0 (alt)</t>
  </si>
  <si>
    <t>Irrelevant</t>
  </si>
  <si>
    <t>Standard Cruise</t>
  </si>
  <si>
    <t>Alter. Cruise</t>
  </si>
  <si>
    <t>Approach</t>
  </si>
  <si>
    <t>6500 Takeoff</t>
  </si>
  <si>
    <t>alpha</t>
  </si>
  <si>
    <t>beta</t>
  </si>
  <si>
    <t>Clmax_L</t>
  </si>
  <si>
    <t>Assumed Point</t>
  </si>
  <si>
    <t>T/W</t>
  </si>
  <si>
    <t>V (fps)</t>
  </si>
  <si>
    <t>Vt (fps)</t>
  </si>
  <si>
    <t>Vapp (fps)</t>
  </si>
  <si>
    <t>rho (slug/ft3)</t>
  </si>
  <si>
    <t>kL</t>
  </si>
  <si>
    <t>Sto (ft)</t>
  </si>
  <si>
    <t>dh/dt (fps)</t>
  </si>
  <si>
    <t>Clmax_TO</t>
  </si>
  <si>
    <t>n</t>
  </si>
  <si>
    <t>TOP25</t>
  </si>
  <si>
    <t>dV/dt (ft/s2)</t>
  </si>
  <si>
    <t>q(psf)</t>
  </si>
  <si>
    <t>q (psf)</t>
  </si>
  <si>
    <t>takeoff thrust</t>
  </si>
  <si>
    <t>Wt/S</t>
  </si>
  <si>
    <t>Takeoff 2</t>
  </si>
  <si>
    <t>standard cruise 2</t>
  </si>
  <si>
    <t>alternate cruise 2</t>
  </si>
  <si>
    <t>T/W (110 W/S)</t>
  </si>
  <si>
    <t>V(cruise)</t>
  </si>
  <si>
    <t>T/W (110 W/S) Standard</t>
  </si>
  <si>
    <t>T/W (110 W/S) Alternate</t>
  </si>
  <si>
    <t>h (ft)</t>
  </si>
  <si>
    <t>Note: Before any trade study changes (original)</t>
  </si>
  <si>
    <t>Note: After increasing takeoff distance from 6500 to 8500 ft</t>
  </si>
  <si>
    <t>Design Point: 0.53, 110</t>
  </si>
  <si>
    <t>Note: After adjusting cruise altitude from 60000 to 55000 ft</t>
  </si>
  <si>
    <t>Design Point: 0.45, 110</t>
  </si>
  <si>
    <t>Gross Weight</t>
  </si>
  <si>
    <t>Wing Span</t>
  </si>
  <si>
    <t>Total Length</t>
  </si>
  <si>
    <t>e=(b+L)/2</t>
  </si>
  <si>
    <t>R_bar_x</t>
  </si>
  <si>
    <t>R_bar_y</t>
  </si>
  <si>
    <t>R_bar_z</t>
  </si>
  <si>
    <t>AST-100</t>
  </si>
  <si>
    <t>SSXJET</t>
  </si>
  <si>
    <t>Super-cruiser</t>
  </si>
  <si>
    <t>Average</t>
  </si>
  <si>
    <t>1st Estimate</t>
  </si>
  <si>
    <t>Adjustment</t>
  </si>
  <si>
    <t>Weight (lb)</t>
  </si>
  <si>
    <t>Gross Weight (lb)</t>
  </si>
  <si>
    <t>Wing</t>
  </si>
  <si>
    <t>NAA A3J-1</t>
  </si>
  <si>
    <t>Wing/GW</t>
  </si>
  <si>
    <t>Empennage</t>
  </si>
  <si>
    <t>Empenn/GW</t>
  </si>
  <si>
    <t>Fuselage</t>
  </si>
  <si>
    <t>Fuse/GW</t>
  </si>
  <si>
    <t>Nacelles</t>
  </si>
  <si>
    <t>Nacelle/GW</t>
  </si>
  <si>
    <t>Landing Gear</t>
  </si>
  <si>
    <t>Landing Gear/GW</t>
  </si>
  <si>
    <t>Power Plant</t>
  </si>
  <si>
    <t>Propulsion/GW</t>
  </si>
  <si>
    <t>Fixed Eqp.</t>
  </si>
  <si>
    <t>Ixx</t>
  </si>
  <si>
    <t>Iyy</t>
  </si>
  <si>
    <t>Izz</t>
  </si>
  <si>
    <t>Fixed Equip/GW</t>
  </si>
  <si>
    <t>Empty</t>
  </si>
  <si>
    <t>slug-ft2</t>
  </si>
  <si>
    <t>Operating Empty</t>
  </si>
  <si>
    <t>^ Alternate Mission</t>
  </si>
  <si>
    <t xml:space="preserve">Payload </t>
  </si>
  <si>
    <t>Fuel</t>
  </si>
  <si>
    <t>Unused Calcs</t>
  </si>
  <si>
    <t>X Loc (ft)</t>
  </si>
  <si>
    <t>Xi*Wi (ft-lb)</t>
  </si>
  <si>
    <t>Z Loc (ft)</t>
  </si>
  <si>
    <t>Zi*Wi (ft-lb)</t>
  </si>
  <si>
    <t>Equivalent Wing</t>
  </si>
  <si>
    <t>b</t>
  </si>
  <si>
    <t>w=b/2</t>
  </si>
  <si>
    <t>tip chord</t>
  </si>
  <si>
    <t>root chord</t>
  </si>
  <si>
    <t>X</t>
  </si>
  <si>
    <t>Y</t>
  </si>
  <si>
    <t>Nose</t>
  </si>
  <si>
    <t>Assumed</t>
  </si>
  <si>
    <t>Center</t>
  </si>
  <si>
    <t>xbar1</t>
  </si>
  <si>
    <t>ybar1</t>
  </si>
  <si>
    <t>Nose Gear</t>
  </si>
  <si>
    <t>Zcg (ft)</t>
  </si>
  <si>
    <t>Main Gear</t>
  </si>
  <si>
    <t>Tip</t>
  </si>
  <si>
    <t>xbar2</t>
  </si>
  <si>
    <t>ybar2</t>
  </si>
  <si>
    <t>LG Tipover Angle (deg)</t>
  </si>
  <si>
    <t>???</t>
  </si>
  <si>
    <t>LE Root</t>
  </si>
  <si>
    <t>LE Tip</t>
  </si>
  <si>
    <t>TE Tip</t>
  </si>
  <si>
    <t>TE Root</t>
  </si>
  <si>
    <t>Wing CG</t>
  </si>
  <si>
    <t>strut length</t>
  </si>
  <si>
    <t>xCG</t>
  </si>
  <si>
    <t>yCG</t>
  </si>
  <si>
    <t>zCG</t>
  </si>
  <si>
    <t>number of main gear struts</t>
  </si>
  <si>
    <t>number of wheels per strut</t>
  </si>
  <si>
    <t>weight per wheel</t>
  </si>
  <si>
    <t>diameter</t>
  </si>
  <si>
    <t>total height</t>
  </si>
  <si>
    <t>Main Landing Gear</t>
  </si>
  <si>
    <t>Tail</t>
  </si>
  <si>
    <t>CG Envelope</t>
  </si>
  <si>
    <t>Name</t>
  </si>
  <si>
    <t>Xcg (ft)</t>
  </si>
  <si>
    <t>% MAC Subsonic</t>
  </si>
  <si>
    <t>% MAC Supersonic</t>
  </si>
  <si>
    <t>Front</t>
  </si>
  <si>
    <t>Empty Weight</t>
  </si>
  <si>
    <t>Nacelle CG</t>
  </si>
  <si>
    <t>Operating Empty Weight</t>
  </si>
  <si>
    <t>weight on nose gear wheel</t>
  </si>
  <si>
    <t>Operating Empty Weight + Payload</t>
  </si>
  <si>
    <t>Takeoff Gross Weight</t>
  </si>
  <si>
    <t>Operating Empty Weight + Fuel</t>
  </si>
  <si>
    <t>Main Gear CG</t>
  </si>
  <si>
    <t>MGC Calcs</t>
  </si>
  <si>
    <t>MGC</t>
  </si>
  <si>
    <t>xMG Subsonic</t>
  </si>
  <si>
    <t>xMG Supersonic</t>
  </si>
  <si>
    <t>Crew CG</t>
  </si>
  <si>
    <t>Fixed Equipment CG</t>
  </si>
  <si>
    <t>LE MGC</t>
  </si>
  <si>
    <t>At most aft CG</t>
  </si>
  <si>
    <t>Load on NG</t>
  </si>
  <si>
    <t>Load on MG</t>
  </si>
  <si>
    <t>Tipover Angle</t>
  </si>
  <si>
    <t>%</t>
  </si>
  <si>
    <t>Actual (deg)</t>
  </si>
  <si>
    <t>Required (deg)</t>
  </si>
  <si>
    <t>Main Gear Contact</t>
  </si>
  <si>
    <t>&lt;15</t>
  </si>
  <si>
    <t>Fuse updated length : 140</t>
  </si>
  <si>
    <t>TE MGC</t>
  </si>
  <si>
    <t>Fuselage CG</t>
  </si>
  <si>
    <t>Longitudinal Ground Clearance</t>
  </si>
  <si>
    <t>Lateral Tipover</t>
  </si>
  <si>
    <t>Lateral Ground Clearance</t>
  </si>
  <si>
    <t>Range: 0.42-0.45</t>
  </si>
  <si>
    <t>nacelle start</t>
  </si>
  <si>
    <t>xCg (movable)</t>
  </si>
  <si>
    <t>yCG (guess)</t>
  </si>
  <si>
    <t>zCG (guess)</t>
  </si>
  <si>
    <t>x offset from nacelle start</t>
  </si>
  <si>
    <t>weight</t>
  </si>
  <si>
    <t>xCG_relToEngineFront</t>
  </si>
  <si>
    <t>body length</t>
  </si>
  <si>
    <t>&gt;15</t>
  </si>
  <si>
    <t>&lt;55</t>
  </si>
  <si>
    <t>&gt;5</t>
  </si>
  <si>
    <t>Fuselage Parameters</t>
  </si>
  <si>
    <t>lf</t>
  </si>
  <si>
    <t>lfc</t>
  </si>
  <si>
    <t>df</t>
  </si>
  <si>
    <t>lfc/df</t>
  </si>
  <si>
    <t>expected lfc/df</t>
  </si>
  <si>
    <t>lf/df</t>
  </si>
  <si>
    <t>expected lf/df</t>
  </si>
  <si>
    <t>theta_fc</t>
  </si>
  <si>
    <t>expected theta_fc</t>
  </si>
  <si>
    <t>Neutral Point Estimation</t>
  </si>
  <si>
    <t>6-8</t>
  </si>
  <si>
    <t>12-25</t>
  </si>
  <si>
    <t>2-9</t>
  </si>
  <si>
    <t>Neutral Point</t>
  </si>
  <si>
    <t>cbar</t>
  </si>
  <si>
    <t>CLa,wing</t>
  </si>
  <si>
    <t>Sh</t>
  </si>
  <si>
    <t>CLa,h</t>
  </si>
  <si>
    <t>xbar,wf</t>
  </si>
  <si>
    <t>xbar,h</t>
  </si>
  <si>
    <t>de/da</t>
  </si>
  <si>
    <t>del_np_fus</t>
  </si>
  <si>
    <t>cref or MAC</t>
  </si>
  <si>
    <t>xLE_MAC</t>
  </si>
  <si>
    <t>xNP</t>
  </si>
  <si>
    <t>NP in % MAC</t>
  </si>
  <si>
    <t>Empennage (Tail) CG</t>
  </si>
  <si>
    <t>M 0.95</t>
  </si>
  <si>
    <t>tail start</t>
  </si>
  <si>
    <t>start to CG</t>
  </si>
  <si>
    <t>M 2</t>
  </si>
  <si>
    <t>xbar,NP</t>
  </si>
  <si>
    <t>NP in % MGC</t>
  </si>
  <si>
    <t>Neutral Point in %MGC</t>
  </si>
  <si>
    <t>Subsonic</t>
  </si>
  <si>
    <t>Supersonic</t>
  </si>
  <si>
    <t>Payload</t>
  </si>
  <si>
    <t>WING CG - One Side</t>
  </si>
  <si>
    <t>Updated total S: 2100 ft2</t>
  </si>
  <si>
    <t>Baggage (below front cabin)</t>
  </si>
  <si>
    <t>Baggage (tail cone, NOT CHOSEN)</t>
  </si>
  <si>
    <t>Section 1</t>
  </si>
  <si>
    <t>pax weight</t>
  </si>
  <si>
    <t>cabin length</t>
  </si>
  <si>
    <t>cabin start</t>
  </si>
  <si>
    <t>fraction of cabin length where the baggage CG is</t>
  </si>
  <si>
    <t>CG loc as frac of tail cone length from cone start</t>
  </si>
  <si>
    <t>tail cone length</t>
  </si>
  <si>
    <t>tail cone start</t>
  </si>
  <si>
    <t>baggage weight</t>
  </si>
  <si>
    <t>wing start</t>
  </si>
  <si>
    <t>wing end</t>
  </si>
  <si>
    <t>fuse radius</t>
  </si>
  <si>
    <t>cCG</t>
  </si>
  <si>
    <t>Total Payload CG</t>
  </si>
  <si>
    <t>total weight</t>
  </si>
  <si>
    <t>Cw:</t>
  </si>
  <si>
    <t>Section 2</t>
  </si>
  <si>
    <t>^0 for both sides</t>
  </si>
  <si>
    <t>Main tank root</t>
  </si>
  <si>
    <t>Main tank tip</t>
  </si>
  <si>
    <t>tank end</t>
  </si>
  <si>
    <t>Main Tank xCG</t>
  </si>
  <si>
    <t>Main Tank volume</t>
  </si>
  <si>
    <t>Rear Inboard Tank xCG</t>
  </si>
  <si>
    <t>Rear Inboard volume</t>
  </si>
  <si>
    <t>Rear Outboard Tank xCG</t>
  </si>
  <si>
    <t>Rear Outboard volume</t>
  </si>
  <si>
    <t>tank length</t>
  </si>
  <si>
    <t>tank start</t>
  </si>
  <si>
    <t>x-sec area</t>
  </si>
  <si>
    <t>volume</t>
  </si>
  <si>
    <t>Total CG</t>
  </si>
  <si>
    <t>Fuel Manual Override</t>
  </si>
  <si>
    <t>Value</t>
  </si>
  <si>
    <t>Units</t>
  </si>
  <si>
    <t>n lim pos</t>
  </si>
  <si>
    <t>n lim neg</t>
  </si>
  <si>
    <t>W</t>
  </si>
  <si>
    <t>lbs</t>
  </si>
  <si>
    <t>Clmax</t>
  </si>
  <si>
    <t>rho50K</t>
  </si>
  <si>
    <t>rhoSL</t>
  </si>
  <si>
    <t>KTAS</t>
  </si>
  <si>
    <t>fps</t>
  </si>
  <si>
    <t>Ve</t>
  </si>
  <si>
    <t>Safety factor</t>
  </si>
  <si>
    <t>nmax+</t>
  </si>
  <si>
    <t>nmax-</t>
  </si>
  <si>
    <t>stall</t>
  </si>
  <si>
    <t>stall neg</t>
  </si>
  <si>
    <t>connecting these</t>
  </si>
  <si>
    <t>Ve,stall-</t>
  </si>
  <si>
    <t>Ve,stall+</t>
  </si>
  <si>
    <t>Va</t>
  </si>
  <si>
    <t>n limit</t>
  </si>
  <si>
    <t>U</t>
  </si>
  <si>
    <t>ngust</t>
  </si>
  <si>
    <t>ngust-</t>
  </si>
  <si>
    <t>connecting</t>
  </si>
  <si>
    <t>gust</t>
  </si>
  <si>
    <t>mach alt trade</t>
  </si>
  <si>
    <t>cref</t>
  </si>
  <si>
    <t>mach</t>
  </si>
  <si>
    <t>re</t>
  </si>
  <si>
    <t>rho</t>
  </si>
  <si>
    <t>eta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</si>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</sst>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00000"/>
    <numFmt numFmtId="166" formatCode="_(* #,##0_);_(* \(#,##0\);_(* &quot;-&quot;??_);_(@_)"/>
    <numFmt numFmtId="167" formatCode="_(&quot;$&quot;* #,##0_);_(&quot;$&quot;* \(#,##0\);_(&quot;$&quot;* &quot;-&quot;??_);_(@_)"/>
    <numFmt numFmtId="168" formatCode="0.000"/>
    <numFmt numFmtId="169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7F7F7F"/>
      </right>
      <top style="thin">
        <color rgb="FFB2B2B2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1">
    <xf numFmtId="0" fontId="0" fillId="0" borderId="0"/>
    <xf numFmtId="0" fontId="6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1" applyNumberFormat="0" applyAlignment="0" applyProtection="0"/>
    <xf numFmtId="0" fontId="12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14" fillId="0" borderId="13" applyNumberFormat="0" applyFill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7" fillId="15" borderId="0" applyNumberFormat="0" applyBorder="0" applyAlignment="0" applyProtection="0"/>
    <xf numFmtId="0" fontId="15" fillId="16" borderId="0" applyNumberFormat="0" applyBorder="0" applyAlignment="0" applyProtection="0"/>
    <xf numFmtId="0" fontId="7" fillId="17" borderId="16" applyNumberFormat="0" applyFont="0" applyAlignment="0" applyProtection="0"/>
    <xf numFmtId="9" fontId="7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7" fillId="18" borderId="0" applyNumberFormat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5" fillId="26" borderId="0" applyNumberFormat="0" applyBorder="0" applyAlignment="0" applyProtection="0"/>
    <xf numFmtId="0" fontId="4" fillId="27" borderId="0" applyNumberFormat="0" applyBorder="0" applyAlignment="0" applyProtection="0"/>
    <xf numFmtId="0" fontId="3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9">
    <xf numFmtId="0" fontId="0" fillId="0" borderId="0" xfId="0"/>
    <xf numFmtId="0" fontId="6" fillId="0" borderId="0" xfId="1"/>
    <xf numFmtId="0" fontId="11" fillId="0" borderId="0" xfId="0" applyFont="1"/>
    <xf numFmtId="0" fontId="0" fillId="0" borderId="3" xfId="0" applyBorder="1"/>
    <xf numFmtId="0" fontId="0" fillId="0" borderId="4" xfId="0" applyBorder="1"/>
    <xf numFmtId="0" fontId="10" fillId="4" borderId="1" xfId="4"/>
    <xf numFmtId="0" fontId="0" fillId="0" borderId="5" xfId="0" applyBorder="1"/>
    <xf numFmtId="0" fontId="0" fillId="0" borderId="6" xfId="0" applyBorder="1"/>
    <xf numFmtId="0" fontId="10" fillId="4" borderId="7" xfId="4" applyBorder="1"/>
    <xf numFmtId="0" fontId="10" fillId="4" borderId="8" xfId="4" applyBorder="1"/>
    <xf numFmtId="0" fontId="0" fillId="0" borderId="9" xfId="0" applyBorder="1"/>
    <xf numFmtId="0" fontId="7" fillId="11" borderId="10" xfId="11" applyBorder="1"/>
    <xf numFmtId="0" fontId="7" fillId="11" borderId="0" xfId="11"/>
    <xf numFmtId="0" fontId="7" fillId="10" borderId="0" xfId="10"/>
    <xf numFmtId="0" fontId="7" fillId="8" borderId="1" xfId="8" applyBorder="1"/>
    <xf numFmtId="0" fontId="7" fillId="6" borderId="1" xfId="6" applyBorder="1"/>
    <xf numFmtId="0" fontId="10" fillId="4" borderId="5" xfId="4" applyBorder="1"/>
    <xf numFmtId="0" fontId="10" fillId="4" borderId="0" xfId="4" applyBorder="1"/>
    <xf numFmtId="0" fontId="7" fillId="10" borderId="0" xfId="10" applyBorder="1"/>
    <xf numFmtId="0" fontId="10" fillId="4" borderId="11" xfId="4" applyBorder="1"/>
    <xf numFmtId="0" fontId="10" fillId="4" borderId="9" xfId="4" applyBorder="1"/>
    <xf numFmtId="0" fontId="7" fillId="8" borderId="10" xfId="8" applyBorder="1"/>
    <xf numFmtId="0" fontId="0" fillId="0" borderId="11" xfId="0" applyBorder="1"/>
    <xf numFmtId="0" fontId="7" fillId="6" borderId="10" xfId="6" applyBorder="1"/>
    <xf numFmtId="0" fontId="13" fillId="0" borderId="0" xfId="0" applyFont="1"/>
    <xf numFmtId="164" fontId="0" fillId="0" borderId="0" xfId="0" applyNumberFormat="1"/>
    <xf numFmtId="0" fontId="8" fillId="2" borderId="0" xfId="2"/>
    <xf numFmtId="0" fontId="9" fillId="3" borderId="0" xfId="3"/>
    <xf numFmtId="0" fontId="12" fillId="5" borderId="0" xfId="5"/>
    <xf numFmtId="0" fontId="10" fillId="4" borderId="12" xfId="4" applyBorder="1"/>
    <xf numFmtId="0" fontId="14" fillId="0" borderId="13" xfId="13"/>
    <xf numFmtId="0" fontId="0" fillId="0" borderId="2" xfId="0" applyBorder="1"/>
    <xf numFmtId="164" fontId="0" fillId="0" borderId="11" xfId="0" applyNumberFormat="1" applyBorder="1"/>
    <xf numFmtId="0" fontId="0" fillId="0" borderId="10" xfId="0" applyBorder="1"/>
    <xf numFmtId="0" fontId="10" fillId="4" borderId="14" xfId="4" applyBorder="1"/>
    <xf numFmtId="2" fontId="0" fillId="0" borderId="0" xfId="0" applyNumberFormat="1"/>
    <xf numFmtId="0" fontId="7" fillId="15" borderId="0" xfId="16" applyBorder="1"/>
    <xf numFmtId="0" fontId="7" fillId="15" borderId="0" xfId="16"/>
    <xf numFmtId="0" fontId="15" fillId="16" borderId="0" xfId="17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0" fontId="15" fillId="16" borderId="0" xfId="17" applyAlignment="1">
      <alignment horizontal="center"/>
    </xf>
    <xf numFmtId="0" fontId="15" fillId="16" borderId="16" xfId="17" applyBorder="1"/>
    <xf numFmtId="0" fontId="0" fillId="0" borderId="15" xfId="0" applyBorder="1" applyAlignment="1">
      <alignment horizontal="center"/>
    </xf>
    <xf numFmtId="0" fontId="8" fillId="2" borderId="15" xfId="2" applyBorder="1" applyAlignment="1">
      <alignment horizontal="center"/>
    </xf>
    <xf numFmtId="0" fontId="8" fillId="17" borderId="16" xfId="18" applyFont="1"/>
    <xf numFmtId="0" fontId="0" fillId="17" borderId="16" xfId="18" applyFont="1"/>
    <xf numFmtId="0" fontId="8" fillId="17" borderId="15" xfId="18" applyFont="1" applyBorder="1"/>
    <xf numFmtId="164" fontId="10" fillId="4" borderId="8" xfId="4" applyNumberFormat="1" applyBorder="1"/>
    <xf numFmtId="164" fontId="10" fillId="4" borderId="0" xfId="4" applyNumberFormat="1" applyBorder="1"/>
    <xf numFmtId="0" fontId="14" fillId="0" borderId="0" xfId="20"/>
    <xf numFmtId="0" fontId="14" fillId="0" borderId="0" xfId="13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19" applyNumberFormat="1" applyFont="1" applyBorder="1" applyAlignment="1">
      <alignment horizontal="center"/>
    </xf>
    <xf numFmtId="0" fontId="0" fillId="0" borderId="24" xfId="19" applyNumberFormat="1" applyFont="1" applyBorder="1" applyAlignment="1">
      <alignment horizontal="center"/>
    </xf>
    <xf numFmtId="0" fontId="7" fillId="12" borderId="25" xfId="12" applyBorder="1"/>
    <xf numFmtId="0" fontId="7" fillId="18" borderId="24" xfId="21" applyBorder="1"/>
    <xf numFmtId="165" fontId="10" fillId="4" borderId="1" xfId="4" applyNumberFormat="1"/>
    <xf numFmtId="0" fontId="0" fillId="0" borderId="14" xfId="0" applyBorder="1"/>
    <xf numFmtId="0" fontId="0" fillId="17" borderId="27" xfId="18" applyFont="1" applyBorder="1"/>
    <xf numFmtId="0" fontId="0" fillId="17" borderId="28" xfId="18" applyFont="1" applyBorder="1"/>
    <xf numFmtId="0" fontId="10" fillId="17" borderId="27" xfId="18" applyFont="1" applyBorder="1"/>
    <xf numFmtId="0" fontId="0" fillId="17" borderId="29" xfId="18" applyFont="1" applyBorder="1"/>
    <xf numFmtId="11" fontId="0" fillId="0" borderId="22" xfId="0" applyNumberFormat="1" applyBorder="1"/>
    <xf numFmtId="11" fontId="0" fillId="0" borderId="15" xfId="0" applyNumberFormat="1" applyBorder="1"/>
    <xf numFmtId="44" fontId="0" fillId="0" borderId="0" xfId="23" applyFont="1"/>
    <xf numFmtId="167" fontId="0" fillId="0" borderId="0" xfId="23" applyNumberFormat="1" applyFont="1"/>
    <xf numFmtId="0" fontId="0" fillId="0" borderId="0" xfId="0" applyAlignment="1">
      <alignment horizontal="center" vertical="center"/>
    </xf>
    <xf numFmtId="167" fontId="0" fillId="0" borderId="0" xfId="23" applyNumberFormat="1" applyFont="1" applyAlignment="1">
      <alignment horizontal="center" vertical="center"/>
    </xf>
    <xf numFmtId="164" fontId="0" fillId="0" borderId="15" xfId="0" applyNumberFormat="1" applyBorder="1"/>
    <xf numFmtId="166" fontId="0" fillId="0" borderId="0" xfId="22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66" fontId="11" fillId="0" borderId="0" xfId="22" applyNumberFormat="1" applyFont="1" applyAlignment="1">
      <alignment horizontal="center" vertical="center"/>
    </xf>
    <xf numFmtId="167" fontId="11" fillId="0" borderId="0" xfId="23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11" fontId="0" fillId="20" borderId="0" xfId="0" applyNumberFormat="1" applyFill="1" applyAlignment="1">
      <alignment horizontal="center"/>
    </xf>
    <xf numFmtId="0" fontId="0" fillId="21" borderId="0" xfId="0" applyFill="1"/>
    <xf numFmtId="164" fontId="0" fillId="0" borderId="9" xfId="0" applyNumberFormat="1" applyBorder="1"/>
    <xf numFmtId="168" fontId="0" fillId="0" borderId="0" xfId="0" applyNumberFormat="1" applyAlignment="1">
      <alignment horizontal="center" vertical="center"/>
    </xf>
    <xf numFmtId="0" fontId="8" fillId="2" borderId="5" xfId="2" applyBorder="1"/>
    <xf numFmtId="0" fontId="8" fillId="2" borderId="15" xfId="2" applyBorder="1"/>
    <xf numFmtId="169" fontId="0" fillId="0" borderId="15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25" borderId="15" xfId="0" applyFill="1" applyBorder="1" applyAlignment="1">
      <alignment horizontal="center"/>
    </xf>
    <xf numFmtId="0" fontId="11" fillId="0" borderId="15" xfId="0" applyFont="1" applyBorder="1"/>
    <xf numFmtId="2" fontId="11" fillId="0" borderId="15" xfId="0" applyNumberFormat="1" applyFont="1" applyBorder="1" applyAlignment="1">
      <alignment horizontal="center"/>
    </xf>
    <xf numFmtId="169" fontId="11" fillId="0" borderId="15" xfId="0" applyNumberFormat="1" applyFont="1" applyBorder="1" applyAlignment="1">
      <alignment horizontal="center"/>
    </xf>
    <xf numFmtId="0" fontId="0" fillId="25" borderId="0" xfId="0" applyFill="1"/>
    <xf numFmtId="0" fontId="0" fillId="25" borderId="0" xfId="0" applyFill="1" applyAlignment="1">
      <alignment horizontal="center"/>
    </xf>
    <xf numFmtId="169" fontId="0" fillId="0" borderId="0" xfId="0" applyNumberFormat="1"/>
    <xf numFmtId="11" fontId="0" fillId="0" borderId="0" xfId="0" applyNumberFormat="1"/>
    <xf numFmtId="0" fontId="0" fillId="0" borderId="0" xfId="0" quotePrefix="1"/>
    <xf numFmtId="0" fontId="8" fillId="2" borderId="0" xfId="2" applyBorder="1"/>
    <xf numFmtId="0" fontId="0" fillId="0" borderId="30" xfId="0" applyBorder="1"/>
    <xf numFmtId="0" fontId="0" fillId="0" borderId="31" xfId="0" applyBorder="1"/>
    <xf numFmtId="168" fontId="0" fillId="0" borderId="31" xfId="0" applyNumberFormat="1" applyBorder="1"/>
    <xf numFmtId="2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7" fillId="15" borderId="34" xfId="16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7" fillId="8" borderId="0" xfId="8"/>
    <xf numFmtId="0" fontId="15" fillId="17" borderId="16" xfId="18" applyFont="1"/>
    <xf numFmtId="0" fontId="5" fillId="26" borderId="0" xfId="24"/>
    <xf numFmtId="0" fontId="7" fillId="6" borderId="0" xfId="6"/>
    <xf numFmtId="49" fontId="0" fillId="0" borderId="0" xfId="0" applyNumberFormat="1"/>
    <xf numFmtId="0" fontId="7" fillId="25" borderId="0" xfId="10" applyFill="1"/>
    <xf numFmtId="0" fontId="4" fillId="27" borderId="0" xfId="25"/>
    <xf numFmtId="0" fontId="11" fillId="0" borderId="0" xfId="0" applyFont="1" applyAlignment="1">
      <alignment horizontal="center" vertical="center"/>
    </xf>
    <xf numFmtId="2" fontId="12" fillId="14" borderId="32" xfId="15" applyNumberFormat="1" applyBorder="1"/>
    <xf numFmtId="2" fontId="12" fillId="14" borderId="38" xfId="15" applyNumberFormat="1" applyBorder="1"/>
    <xf numFmtId="0" fontId="3" fillId="28" borderId="0" xfId="26"/>
    <xf numFmtId="168" fontId="16" fillId="29" borderId="31" xfId="27" applyNumberFormat="1" applyBorder="1"/>
    <xf numFmtId="0" fontId="16" fillId="30" borderId="0" xfId="28" applyBorder="1"/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31" borderId="0" xfId="29"/>
    <xf numFmtId="0" fontId="7" fillId="12" borderId="0" xfId="12"/>
    <xf numFmtId="0" fontId="1" fillId="32" borderId="0" xfId="30"/>
    <xf numFmtId="0" fontId="7" fillId="18" borderId="0" xfId="21"/>
    <xf numFmtId="2" fontId="8" fillId="2" borderId="15" xfId="2" applyNumberFormat="1" applyBorder="1" applyAlignment="1">
      <alignment horizontal="center"/>
    </xf>
    <xf numFmtId="44" fontId="0" fillId="0" borderId="0" xfId="0" applyNumberFormat="1"/>
    <xf numFmtId="0" fontId="0" fillId="0" borderId="0" xfId="0" applyAlignment="1">
      <alignment vertical="center"/>
    </xf>
    <xf numFmtId="0" fontId="7" fillId="7" borderId="5" xfId="7" applyBorder="1" applyAlignment="1">
      <alignment horizontal="center"/>
    </xf>
    <xf numFmtId="0" fontId="7" fillId="7" borderId="0" xfId="7" applyBorder="1" applyAlignment="1">
      <alignment horizontal="center"/>
    </xf>
    <xf numFmtId="0" fontId="12" fillId="14" borderId="0" xfId="15" applyAlignment="1">
      <alignment horizontal="center"/>
    </xf>
    <xf numFmtId="0" fontId="12" fillId="13" borderId="9" xfId="14" applyBorder="1" applyAlignment="1">
      <alignment horizontal="center"/>
    </xf>
    <xf numFmtId="0" fontId="7" fillId="7" borderId="2" xfId="7" applyBorder="1" applyAlignment="1">
      <alignment horizontal="center"/>
    </xf>
    <xf numFmtId="0" fontId="7" fillId="7" borderId="3" xfId="7" applyBorder="1" applyAlignment="1">
      <alignment horizontal="center"/>
    </xf>
    <xf numFmtId="0" fontId="7" fillId="12" borderId="2" xfId="12" applyBorder="1" applyAlignment="1">
      <alignment horizontal="center"/>
    </xf>
    <xf numFmtId="0" fontId="7" fillId="12" borderId="3" xfId="12" applyBorder="1" applyAlignment="1">
      <alignment horizontal="center"/>
    </xf>
    <xf numFmtId="0" fontId="7" fillId="9" borderId="2" xfId="9" applyBorder="1" applyAlignment="1">
      <alignment horizontal="center"/>
    </xf>
    <xf numFmtId="0" fontId="7" fillId="9" borderId="3" xfId="9" applyBorder="1" applyAlignment="1">
      <alignment horizontal="center"/>
    </xf>
    <xf numFmtId="0" fontId="7" fillId="10" borderId="3" xfId="10" applyBorder="1" applyAlignment="1">
      <alignment horizontal="center"/>
    </xf>
    <xf numFmtId="0" fontId="7" fillId="10" borderId="2" xfId="10" applyBorder="1" applyAlignment="1">
      <alignment horizontal="center"/>
    </xf>
    <xf numFmtId="0" fontId="7" fillId="8" borderId="5" xfId="8" applyBorder="1" applyAlignment="1">
      <alignment horizontal="center"/>
    </xf>
    <xf numFmtId="0" fontId="7" fillId="8" borderId="0" xfId="8" applyBorder="1" applyAlignment="1">
      <alignment horizontal="center"/>
    </xf>
    <xf numFmtId="0" fontId="7" fillId="10" borderId="5" xfId="10" applyBorder="1" applyAlignment="1">
      <alignment horizontal="center"/>
    </xf>
    <xf numFmtId="0" fontId="7" fillId="10" borderId="0" xfId="10" applyBorder="1" applyAlignment="1">
      <alignment horizontal="center"/>
    </xf>
    <xf numFmtId="0" fontId="7" fillId="11" borderId="2" xfId="11" applyBorder="1" applyAlignment="1">
      <alignment horizontal="center"/>
    </xf>
    <xf numFmtId="0" fontId="7" fillId="11" borderId="3" xfId="11" applyBorder="1" applyAlignment="1">
      <alignment horizontal="center"/>
    </xf>
    <xf numFmtId="11" fontId="0" fillId="0" borderId="25" xfId="0" applyNumberFormat="1" applyBorder="1" applyAlignment="1">
      <alignment horizontal="center" vertical="center"/>
    </xf>
    <xf numFmtId="11" fontId="0" fillId="0" borderId="26" xfId="0" applyNumberFormat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0" fontId="12" fillId="14" borderId="17" xfId="15" applyBorder="1" applyAlignment="1">
      <alignment horizontal="center"/>
    </xf>
    <xf numFmtId="0" fontId="12" fillId="14" borderId="18" xfId="15" applyBorder="1" applyAlignment="1">
      <alignment horizontal="center"/>
    </xf>
    <xf numFmtId="0" fontId="12" fillId="13" borderId="17" xfId="14" applyBorder="1" applyAlignment="1">
      <alignment horizontal="center"/>
    </xf>
    <xf numFmtId="0" fontId="12" fillId="13" borderId="18" xfId="14" applyBorder="1" applyAlignment="1">
      <alignment horizontal="center"/>
    </xf>
    <xf numFmtId="0" fontId="9" fillId="3" borderId="0" xfId="3" applyAlignment="1">
      <alignment horizontal="center"/>
    </xf>
    <xf numFmtId="0" fontId="0" fillId="0" borderId="0" xfId="0" applyAlignment="1">
      <alignment horizontal="center"/>
    </xf>
  </cellXfs>
  <cellStyles count="31">
    <cellStyle name="20% - Accent1" xfId="16" builtinId="30"/>
    <cellStyle name="20% - Accent2" xfId="24" builtinId="34"/>
    <cellStyle name="20% - Accent3" xfId="6" builtinId="38"/>
    <cellStyle name="20% - Accent4" xfId="8" builtinId="42"/>
    <cellStyle name="20% - Accent5" xfId="10" builtinId="46"/>
    <cellStyle name="20% - Accent6" xfId="11" builtinId="50"/>
    <cellStyle name="40% - Accent1" xfId="26" builtinId="31"/>
    <cellStyle name="40% - Accent2" xfId="29" builtinId="35"/>
    <cellStyle name="40% - Accent3" xfId="7" builtinId="39"/>
    <cellStyle name="40% - Accent4" xfId="9" builtinId="43"/>
    <cellStyle name="40% - Accent5" xfId="21" builtinId="47"/>
    <cellStyle name="40% - Accent6" xfId="12" builtinId="51"/>
    <cellStyle name="60% - Accent4" xfId="25" builtinId="44"/>
    <cellStyle name="60% - Accent5" xfId="30" builtinId="48"/>
    <cellStyle name="Accent1" xfId="27" builtinId="29"/>
    <cellStyle name="Accent2" xfId="28" builtinId="33"/>
    <cellStyle name="Accent3" xfId="5" builtinId="37"/>
    <cellStyle name="Accent5" xfId="14" builtinId="45"/>
    <cellStyle name="Accent6" xfId="15" builtinId="49"/>
    <cellStyle name="Bad" xfId="3" builtinId="27"/>
    <cellStyle name="Comma" xfId="22" builtinId="3"/>
    <cellStyle name="Currency" xfId="23" builtinId="4"/>
    <cellStyle name="Good" xfId="2" builtinId="26"/>
    <cellStyle name="Heading 3" xfId="13" builtinId="18"/>
    <cellStyle name="Heading 4" xfId="20" builtinId="19"/>
    <cellStyle name="Hyperlink" xfId="1" builtinId="8"/>
    <cellStyle name="Input" xfId="4" builtinId="20"/>
    <cellStyle name="Neutral" xfId="17" builtinId="28"/>
    <cellStyle name="Normal" xfId="0" builtinId="0"/>
    <cellStyle name="Note" xfId="18" builtinId="10"/>
    <cellStyle name="Percent" xfId="19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'Cost Modeling'!$A$2:$A$41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'Cost Modeling'!$Q$2:$Q$41</c:f>
              <c:numCache>
                <c:formatCode>_("$"* #,##0.00_);_("$"* \(#,##0.00\);_("$"* "-"??_);_(@_)</c:formatCode>
                <c:ptCount val="40"/>
                <c:pt idx="0">
                  <c:v>928749335.35474229</c:v>
                </c:pt>
                <c:pt idx="1">
                  <c:v>550461091.02698779</c:v>
                </c:pt>
                <c:pt idx="2">
                  <c:v>413232117.27089441</c:v>
                </c:pt>
                <c:pt idx="3">
                  <c:v>340084608.33572304</c:v>
                </c:pt>
                <c:pt idx="4">
                  <c:v>293833227.68034631</c:v>
                </c:pt>
                <c:pt idx="5">
                  <c:v>261584728.66544995</c:v>
                </c:pt>
                <c:pt idx="6">
                  <c:v>237624506.22074947</c:v>
                </c:pt>
                <c:pt idx="7">
                  <c:v>219009348.58711562</c:v>
                </c:pt>
                <c:pt idx="8">
                  <c:v>204060010.98300916</c:v>
                </c:pt>
                <c:pt idx="9">
                  <c:v>191744188.99263081</c:v>
                </c:pt>
                <c:pt idx="10">
                  <c:v>181390106.13005251</c:v>
                </c:pt>
                <c:pt idx="11">
                  <c:v>172540512.58101729</c:v>
                </c:pt>
                <c:pt idx="12">
                  <c:v>164872643.61447376</c:v>
                </c:pt>
                <c:pt idx="13">
                  <c:v>158151705.56190106</c:v>
                </c:pt>
                <c:pt idx="14">
                  <c:v>152202521.8726984</c:v>
                </c:pt>
                <c:pt idx="15">
                  <c:v>146891544.43630129</c:v>
                </c:pt>
                <c:pt idx="16">
                  <c:v>142115047.09801656</c:v>
                </c:pt>
                <c:pt idx="17">
                  <c:v>137791147.27063483</c:v>
                </c:pt>
                <c:pt idx="18">
                  <c:v>133854275.88084821</c:v>
                </c:pt>
                <c:pt idx="19">
                  <c:v>130251258.00248979</c:v>
                </c:pt>
                <c:pt idx="20">
                  <c:v>126938479.75414017</c:v>
                </c:pt>
                <c:pt idx="21">
                  <c:v>123879804.10305436</c:v>
                </c:pt>
                <c:pt idx="22">
                  <c:v>121045013.25238542</c:v>
                </c:pt>
                <c:pt idx="23">
                  <c:v>118408627.89746527</c:v>
                </c:pt>
                <c:pt idx="24">
                  <c:v>115949000.55079965</c:v>
                </c:pt>
                <c:pt idx="25">
                  <c:v>113647611.09351803</c:v>
                </c:pt>
                <c:pt idx="26">
                  <c:v>111488513.53455214</c:v>
                </c:pt>
                <c:pt idx="27">
                  <c:v>109457897.21177664</c:v>
                </c:pt>
                <c:pt idx="28">
                  <c:v>107543735.58185066</c:v>
                </c:pt>
                <c:pt idx="29">
                  <c:v>105735502.74111842</c:v>
                </c:pt>
                <c:pt idx="30">
                  <c:v>104023942.82415168</c:v>
                </c:pt>
                <c:pt idx="31">
                  <c:v>102400881.05123553</c:v>
                </c:pt>
                <c:pt idx="32">
                  <c:v>100859067.85221814</c:v>
                </c:pt>
                <c:pt idx="33">
                  <c:v>99392049.461598516</c:v>
                </c:pt>
                <c:pt idx="34">
                  <c:v>97994059.85180293</c:v>
                </c:pt>
                <c:pt idx="35">
                  <c:v>96659929.983437523</c:v>
                </c:pt>
                <c:pt idx="36">
                  <c:v>95385011.198493198</c:v>
                </c:pt>
                <c:pt idx="37">
                  <c:v>94165110.233372077</c:v>
                </c:pt>
                <c:pt idx="38">
                  <c:v>92996433.832599059</c:v>
                </c:pt>
                <c:pt idx="39">
                  <c:v>91875541.337198988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F-41BC-AABD-11B70F3DA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61375"/>
        <c:axId val="168853471"/>
      </c:scatterChart>
      <c:valAx>
        <c:axId val="168861375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Units Produced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68853471"/>
        <c:crosses val="autoZero"/>
        <c:crossBetween val="midCat"/>
      </c:valAx>
      <c:valAx>
        <c:axId val="16885347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Unit Cost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r>
                  <a:rPr lang="en-US" baseline="0"/>
                  <a:t>(2022$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68861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imes New Roman" panose="02020603050405020304" pitchFamily="18" charset="0"/>
          <a:ea typeface="Tahoma" panose="020B0604030504040204" pitchFamily="34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'Weight Regression'!$B$2:$B$14</c:f>
              <c:numCache>
                <c:formatCode>General</c:formatCode>
                <c:ptCount val="13"/>
                <c:pt idx="0">
                  <c:v>25000</c:v>
                </c:pt>
                <c:pt idx="1">
                  <c:v>90000</c:v>
                </c:pt>
                <c:pt idx="2">
                  <c:v>115000</c:v>
                </c:pt>
                <c:pt idx="3">
                  <c:v>408000</c:v>
                </c:pt>
                <c:pt idx="4">
                  <c:v>456357</c:v>
                </c:pt>
                <c:pt idx="5">
                  <c:v>114200</c:v>
                </c:pt>
                <c:pt idx="6">
                  <c:v>153000</c:v>
                </c:pt>
                <c:pt idx="7">
                  <c:v>102160</c:v>
                </c:pt>
                <c:pt idx="8">
                  <c:v>98438</c:v>
                </c:pt>
                <c:pt idx="9">
                  <c:v>264555</c:v>
                </c:pt>
                <c:pt idx="10">
                  <c:v>133000</c:v>
                </c:pt>
                <c:pt idx="11">
                  <c:v>90389</c:v>
                </c:pt>
                <c:pt idx="12">
                  <c:v>183000</c:v>
                </c:pt>
              </c:numCache>
            </c:numRef>
          </c:xVal>
          <c:yVal>
            <c:numRef>
              <c:f>'Weight Regression'!$C$2:$C$14</c:f>
              <c:numCache>
                <c:formatCode>General</c:formatCode>
                <c:ptCount val="13"/>
                <c:pt idx="0">
                  <c:v>14990</c:v>
                </c:pt>
                <c:pt idx="1">
                  <c:v>45100</c:v>
                </c:pt>
                <c:pt idx="2">
                  <c:v>47250</c:v>
                </c:pt>
                <c:pt idx="3">
                  <c:v>173500</c:v>
                </c:pt>
                <c:pt idx="4">
                  <c:v>218699</c:v>
                </c:pt>
                <c:pt idx="5">
                  <c:v>54167</c:v>
                </c:pt>
                <c:pt idx="6">
                  <c:v>70000</c:v>
                </c:pt>
                <c:pt idx="7">
                  <c:v>45215</c:v>
                </c:pt>
                <c:pt idx="8">
                  <c:v>48444</c:v>
                </c:pt>
                <c:pt idx="9">
                  <c:v>132277</c:v>
                </c:pt>
                <c:pt idx="10">
                  <c:v>57800</c:v>
                </c:pt>
                <c:pt idx="11">
                  <c:v>42549</c:v>
                </c:pt>
                <c:pt idx="12">
                  <c:v>87000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'Weight Regression'!#REF!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9B1-4B9F-A6E8-A5065BB0C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316959"/>
        <c:axId val="1506317375"/>
      </c:scatterChart>
      <c:valAx>
        <c:axId val="1506316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Maximum Takeoff 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506317375"/>
        <c:crosses val="autoZero"/>
        <c:crossBetween val="midCat"/>
      </c:valAx>
      <c:valAx>
        <c:axId val="150631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Maximum Empty Weight (lbs)</a:t>
                </a:r>
              </a:p>
            </c:rich>
          </c:tx>
          <c:layout>
            <c:manualLayout>
              <c:xMode val="edge"/>
              <c:yMode val="edge"/>
              <c:x val="2.074074074074074E-2"/>
              <c:y val="8.88892534266549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in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506316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ea typeface="Tahoma" panose="020B0604030504040204" pitchFamily="34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'Weight Regression'!$D$2:$D$14</c:f>
              <c:numCache>
                <c:formatCode>General</c:formatCode>
                <c:ptCount val="13"/>
                <c:pt idx="0">
                  <c:v>4.3979400086720375</c:v>
                </c:pt>
                <c:pt idx="1">
                  <c:v>4.9542425094393252</c:v>
                </c:pt>
                <c:pt idx="2">
                  <c:v>5.0606978403536118</c:v>
                </c:pt>
                <c:pt idx="3">
                  <c:v>5.6106601630898796</c:v>
                </c:pt>
                <c:pt idx="4">
                  <c:v>5.6593047165031898</c:v>
                </c:pt>
                <c:pt idx="5">
                  <c:v>5.0576661039098294</c:v>
                </c:pt>
                <c:pt idx="6">
                  <c:v>5.1846914308175984</c:v>
                </c:pt>
                <c:pt idx="7">
                  <c:v>5.0092808842553591</c:v>
                </c:pt>
                <c:pt idx="8">
                  <c:v>4.993162781404318</c:v>
                </c:pt>
                <c:pt idx="9">
                  <c:v>5.4225159739644253</c:v>
                </c:pt>
                <c:pt idx="10">
                  <c:v>5.1238516409670858</c:v>
                </c:pt>
                <c:pt idx="11">
                  <c:v>4.9561155816924529</c:v>
                </c:pt>
                <c:pt idx="12">
                  <c:v>5.2624510897304297</c:v>
                </c:pt>
              </c:numCache>
            </c:numRef>
          </c:xVal>
          <c:yVal>
            <c:numRef>
              <c:f>'Weight Regression'!$E$2:$E$14</c:f>
              <c:numCache>
                <c:formatCode>General</c:formatCode>
                <c:ptCount val="13"/>
                <c:pt idx="0">
                  <c:v>4.1758016328482794</c:v>
                </c:pt>
                <c:pt idx="1">
                  <c:v>4.6541765418779608</c:v>
                </c:pt>
                <c:pt idx="2">
                  <c:v>4.6744018128452813</c:v>
                </c:pt>
                <c:pt idx="3">
                  <c:v>5.2392994791268928</c:v>
                </c:pt>
                <c:pt idx="4">
                  <c:v>5.3398467972329966</c:v>
                </c:pt>
                <c:pt idx="5">
                  <c:v>4.7337347831684342</c:v>
                </c:pt>
                <c:pt idx="6">
                  <c:v>4.8450980400142569</c:v>
                </c:pt>
                <c:pt idx="7">
                  <c:v>4.6552825351772134</c:v>
                </c:pt>
                <c:pt idx="8">
                  <c:v>4.6852399954579393</c:v>
                </c:pt>
                <c:pt idx="9">
                  <c:v>5.1214843366935847</c:v>
                </c:pt>
                <c:pt idx="10">
                  <c:v>4.7619278384205295</c:v>
                </c:pt>
                <c:pt idx="11">
                  <c:v>4.6288893576148409</c:v>
                </c:pt>
                <c:pt idx="12">
                  <c:v>4.9395192526186182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'Weight Regression'!#REF!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F582-4B85-8570-12F6B0503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316959"/>
        <c:axId val="1506317375"/>
      </c:scatterChart>
      <c:valAx>
        <c:axId val="1506316959"/>
        <c:scaling>
          <c:orientation val="minMax"/>
          <c:min val="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Log of Maximum Takeoff 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506317375"/>
        <c:crosses val="autoZero"/>
        <c:crossBetween val="midCat"/>
      </c:valAx>
      <c:valAx>
        <c:axId val="1506317375"/>
        <c:scaling>
          <c:orientation val="minMax"/>
          <c:min val="4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Log of Maximum Empty Weight (lbs)</a:t>
                </a:r>
              </a:p>
            </c:rich>
          </c:tx>
          <c:layout>
            <c:manualLayout>
              <c:xMode val="edge"/>
              <c:yMode val="edge"/>
              <c:x val="2.074074074074074E-2"/>
              <c:y val="8.88892534266549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1506316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ea typeface="Tahoma" panose="020B0604030504040204" pitchFamily="34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Takeoff Weight Sensitivity to Number of Passengers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Takeoff Weight Sensitivity to Aspect Ratio 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Studies'!$B$5:$B$15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</c:numCache>
            </c:numRef>
          </c:xVal>
          <c:yVal>
            <c:numRef>
              <c:f>'Weight Sizing Trade Studies'!$C$5:$C$15</c:f>
              <c:numCache>
                <c:formatCode>General</c:formatCode>
                <c:ptCount val="11"/>
                <c:pt idx="0">
                  <c:v>183026.23406979232</c:v>
                </c:pt>
                <c:pt idx="1">
                  <c:v>202714.16941032343</c:v>
                </c:pt>
                <c:pt idx="2">
                  <c:v>221920.23031199438</c:v>
                </c:pt>
                <c:pt idx="3">
                  <c:v>240717.04238504436</c:v>
                </c:pt>
                <c:pt idx="4">
                  <c:v>259160.50765958775</c:v>
                </c:pt>
                <c:pt idx="5">
                  <c:v>277294.30108447216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CB-40BD-8461-0EF6F654D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312448"/>
        <c:axId val="799314112"/>
      </c:scatterChart>
      <c:valAx>
        <c:axId val="799312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</a:t>
                </a:r>
                <a:r>
                  <a:rPr lang="en-US" baseline="0"/>
                  <a:t> Passengers Carried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314112"/>
        <c:crosses val="autoZero"/>
        <c:crossBetween val="midCat"/>
      </c:valAx>
      <c:valAx>
        <c:axId val="7993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Takeoff Weight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31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Takeoff Weight </a:t>
            </a:r>
            <a:r>
              <a:rPr lang="en-US"/>
              <a:t>Sensitivity to </a:t>
            </a:r>
            <a:r>
              <a:rPr lang="en-US" sz="1400" b="0" i="0" u="none" strike="noStrike" baseline="0">
                <a:effectLst/>
              </a:rPr>
              <a:t>Wing Loading 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Wing Loading Sensitivity to Takeoff Weight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Studies'!$F$5:$F$15</c:f>
              <c:numCache>
                <c:formatCode>General</c:formatCode>
                <c:ptCount val="11"/>
                <c:pt idx="0">
                  <c:v>90</c:v>
                </c:pt>
                <c:pt idx="1">
                  <c:v>95</c:v>
                </c:pt>
                <c:pt idx="2">
                  <c:v>100</c:v>
                </c:pt>
                <c:pt idx="3">
                  <c:v>105</c:v>
                </c:pt>
                <c:pt idx="4">
                  <c:v>110</c:v>
                </c:pt>
                <c:pt idx="5">
                  <c:v>115</c:v>
                </c:pt>
                <c:pt idx="6">
                  <c:v>120</c:v>
                </c:pt>
                <c:pt idx="7">
                  <c:v>125</c:v>
                </c:pt>
              </c:numCache>
            </c:numRef>
          </c:xVal>
          <c:yVal>
            <c:numRef>
              <c:f>'Weight Sizing Trade Studies'!$G$5:$G$15</c:f>
              <c:numCache>
                <c:formatCode>General</c:formatCode>
                <c:ptCount val="11"/>
                <c:pt idx="0">
                  <c:v>167245.0524844949</c:v>
                </c:pt>
                <c:pt idx="1">
                  <c:v>170485.30051202173</c:v>
                </c:pt>
                <c:pt idx="2">
                  <c:v>174209.13362311234</c:v>
                </c:pt>
                <c:pt idx="3">
                  <c:v>178394.72483125838</c:v>
                </c:pt>
                <c:pt idx="4">
                  <c:v>183026.01176267292</c:v>
                </c:pt>
                <c:pt idx="5">
                  <c:v>188112.37419147429</c:v>
                </c:pt>
                <c:pt idx="6">
                  <c:v>193643.96234957146</c:v>
                </c:pt>
                <c:pt idx="7">
                  <c:v>199633.91963595856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46-42FD-BE0B-C81308E75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790832"/>
        <c:axId val="854788336"/>
      </c:scatterChart>
      <c:valAx>
        <c:axId val="854790832"/>
        <c:scaling>
          <c:orientation val="minMax"/>
          <c:max val="125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Wing Loading (psf)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788336"/>
        <c:crosses val="autoZero"/>
        <c:crossBetween val="midCat"/>
      </c:valAx>
      <c:valAx>
        <c:axId val="8547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Takeoff Weight (lb)</a:t>
                </a:r>
                <a:endParaRPr lang="en-US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79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Takeoff Weight Sensitivity to TSFC</a:t>
            </a:r>
            <a:r>
              <a:rPr lang="en-US" baseline="0"/>
              <a:t> Technology Adjustment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Takeoff Weight Sensitivity to Cruise L/D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Studies'!$J$5:$J$15</c:f>
              <c:numCache>
                <c:formatCode>General</c:formatCode>
                <c:ptCount val="11"/>
                <c:pt idx="0">
                  <c:v>1</c:v>
                </c:pt>
                <c:pt idx="1">
                  <c:v>0.98</c:v>
                </c:pt>
                <c:pt idx="2">
                  <c:v>0.96</c:v>
                </c:pt>
                <c:pt idx="3">
                  <c:v>0.94</c:v>
                </c:pt>
                <c:pt idx="4">
                  <c:v>0.92</c:v>
                </c:pt>
                <c:pt idx="5">
                  <c:v>0.9</c:v>
                </c:pt>
              </c:numCache>
            </c:numRef>
          </c:xVal>
          <c:yVal>
            <c:numRef>
              <c:f>'Weight Sizing Trade Studies'!$K$5:$K$15</c:f>
              <c:numCache>
                <c:formatCode>General</c:formatCode>
                <c:ptCount val="11"/>
                <c:pt idx="0">
                  <c:v>268766.6596629761</c:v>
                </c:pt>
                <c:pt idx="1">
                  <c:v>247322.34936633718</c:v>
                </c:pt>
                <c:pt idx="2">
                  <c:v>228354.94809861219</c:v>
                </c:pt>
                <c:pt idx="3">
                  <c:v>211507.03261659772</c:v>
                </c:pt>
                <c:pt idx="4">
                  <c:v>196464.90573116348</c:v>
                </c:pt>
                <c:pt idx="5">
                  <c:v>183026.01176267292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F-45F0-9911-41E3FAB9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116528"/>
        <c:axId val="798117360"/>
      </c:scatterChart>
      <c:valAx>
        <c:axId val="798116528"/>
        <c:scaling>
          <c:orientation val="minMax"/>
          <c:max val="1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Advanced Materials Technological Factor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117360"/>
        <c:crosses val="autoZero"/>
        <c:crossBetween val="midCat"/>
      </c:valAx>
      <c:valAx>
        <c:axId val="7981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Takeoff Weight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11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Takeoff Weight Sensitivity to Main Cruise 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Takeoff Weight Sensitivity to Range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Studies'!$N$5:$N$15</c:f>
              <c:numCache>
                <c:formatCode>General</c:formatCode>
                <c:ptCount val="11"/>
                <c:pt idx="0">
                  <c:v>1500</c:v>
                </c:pt>
                <c:pt idx="1">
                  <c:v>2000</c:v>
                </c:pt>
                <c:pt idx="2">
                  <c:v>2500</c:v>
                </c:pt>
                <c:pt idx="3">
                  <c:v>3000</c:v>
                </c:pt>
                <c:pt idx="4">
                  <c:v>3500</c:v>
                </c:pt>
                <c:pt idx="5">
                  <c:v>4000</c:v>
                </c:pt>
                <c:pt idx="6">
                  <c:v>4500</c:v>
                </c:pt>
              </c:numCache>
            </c:numRef>
          </c:xVal>
          <c:yVal>
            <c:numRef>
              <c:f>'Weight Sizing Trade Studies'!$O$5:$O$15</c:f>
              <c:numCache>
                <c:formatCode>General</c:formatCode>
                <c:ptCount val="11"/>
                <c:pt idx="0">
                  <c:v>85598.261696333138</c:v>
                </c:pt>
                <c:pt idx="1">
                  <c:v>106821.08240467419</c:v>
                </c:pt>
                <c:pt idx="2">
                  <c:v>137209.05705562292</c:v>
                </c:pt>
                <c:pt idx="3">
                  <c:v>183026.0213639501</c:v>
                </c:pt>
                <c:pt idx="4">
                  <c:v>256672.55768752599</c:v>
                </c:pt>
                <c:pt idx="5">
                  <c:v>384608.93640722317</c:v>
                </c:pt>
                <c:pt idx="6">
                  <c:v>627562.9041078022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56-4754-ACBC-46B434599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112000"/>
        <c:axId val="970113248"/>
      </c:scatterChart>
      <c:valAx>
        <c:axId val="970112000"/>
        <c:scaling>
          <c:orientation val="minMax"/>
          <c:max val="4500"/>
          <c:min val="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Main</a:t>
                </a:r>
                <a:r>
                  <a:rPr lang="en-US" baseline="0"/>
                  <a:t> Cruise </a:t>
                </a:r>
                <a:r>
                  <a:rPr lang="en-US"/>
                  <a:t>Range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13248"/>
        <c:crosses val="autoZero"/>
        <c:crossBetween val="midCat"/>
      </c:valAx>
      <c:valAx>
        <c:axId val="97011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Takeoff Weight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1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to t/c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Studies'!$AH$6:$AH$10</c:f>
              <c:numCache>
                <c:formatCode>General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xVal>
          <c:yVal>
            <c:numRef>
              <c:f>'Weight Sizing Trade Studies'!$AI$6:$AI$10</c:f>
              <c:numCache>
                <c:formatCode>General</c:formatCode>
                <c:ptCount val="5"/>
                <c:pt idx="0">
                  <c:v>161192.64418164021</c:v>
                </c:pt>
                <c:pt idx="1">
                  <c:v>195745.75208439818</c:v>
                </c:pt>
                <c:pt idx="2">
                  <c:v>263363.18088112271</c:v>
                </c:pt>
                <c:pt idx="3">
                  <c:v>417745.84512935206</c:v>
                </c:pt>
                <c:pt idx="4">
                  <c:v>883091.14342315891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6-864A-823F-AE9D2FF13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613024"/>
        <c:axId val="1746818704"/>
      </c:scatterChart>
      <c:valAx>
        <c:axId val="1790613024"/>
        <c:scaling>
          <c:orientation val="minMax"/>
          <c:max val="7.0000000000000007E-2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18704"/>
        <c:crosses val="autoZero"/>
        <c:crossBetween val="midCat"/>
      </c:valAx>
      <c:valAx>
        <c:axId val="1746818704"/>
        <c:scaling>
          <c:orientation val="minMax"/>
          <c:max val="8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Wto (lbs -</a:t>
                </a:r>
                <a:r>
                  <a:rPr lang="en-US" baseline="0"/>
                  <a:t> </a:t>
                </a:r>
                <a:r>
                  <a:rPr lang="en-US"/>
                  <a:t>alternate</a:t>
                </a:r>
                <a:r>
                  <a:rPr lang="en-US" baseline="0"/>
                  <a:t> mission)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613024"/>
        <c:crosses val="autoZero"/>
        <c:crossBetween val="midCat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</a:t>
            </a:r>
            <a:r>
              <a:rPr lang="en-US" baseline="0"/>
              <a:t> to Supersonic Cruise Altitude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'Weight Sizing Trade Studies'!$Z$6:$Z$10</c:f>
              <c:numCache>
                <c:formatCode>General</c:formatCode>
                <c:ptCount val="5"/>
                <c:pt idx="0">
                  <c:v>45000</c:v>
                </c:pt>
                <c:pt idx="1">
                  <c:v>50000</c:v>
                </c:pt>
                <c:pt idx="2">
                  <c:v>55000</c:v>
                </c:pt>
                <c:pt idx="3">
                  <c:v>60000</c:v>
                </c:pt>
                <c:pt idx="4">
                  <c:v>65000</c:v>
                </c:pt>
              </c:numCache>
            </c:numRef>
          </c:xVal>
          <c:yVal>
            <c:numRef>
              <c:f>'Weight Sizing Trade Studies'!$Y$6:$Y$10</c:f>
              <c:numCache>
                <c:formatCode>General</c:formatCode>
                <c:ptCount val="5"/>
                <c:pt idx="0">
                  <c:v>501271.47268835106</c:v>
                </c:pt>
                <c:pt idx="1">
                  <c:v>265020.62645332504</c:v>
                </c:pt>
                <c:pt idx="2">
                  <c:v>183026</c:v>
                </c:pt>
                <c:pt idx="3">
                  <c:v>146937.81604767355</c:v>
                </c:pt>
                <c:pt idx="4">
                  <c:v>130400.07496942567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D-1B4C-8AEF-8E9CBAEB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792"/>
        <c:axId val="1450572176"/>
      </c:scatterChart>
      <c:valAx>
        <c:axId val="1450569792"/>
        <c:scaling>
          <c:orientation val="minMax"/>
          <c:max val="65000"/>
          <c:min val="4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Cruise 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572176"/>
        <c:crosses val="autoZero"/>
        <c:crossBetween val="midCat"/>
      </c:valAx>
      <c:valAx>
        <c:axId val="1450572176"/>
        <c:scaling>
          <c:orientation val="minMax"/>
          <c:max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Wto (lbs - alternate</a:t>
                </a:r>
                <a:r>
                  <a:rPr lang="en-US" baseline="0"/>
                  <a:t> mission)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56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Clean Cruise</a:t>
            </a:r>
            <a:r>
              <a:rPr lang="en-US" baseline="0"/>
              <a:t> </a:t>
            </a:r>
            <a:r>
              <a:rPr lang="en-US"/>
              <a:t>Drag Polar (Standard Mission)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'Drag Polar'!$AE$5:$AE$15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'Drag Polar'!$AB$5:$AB$15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8A-4416-8F10-403EB6A2C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231055"/>
        <c:axId val="904235215"/>
      </c:scatterChart>
      <c:valAx>
        <c:axId val="90423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35215"/>
        <c:crosses val="autoZero"/>
        <c:crossBetween val="midCat"/>
      </c:valAx>
      <c:valAx>
        <c:axId val="90423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3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Clean Cruise</a:t>
            </a:r>
            <a:r>
              <a:rPr lang="en-US" baseline="0"/>
              <a:t> </a:t>
            </a:r>
            <a:r>
              <a:rPr lang="en-US"/>
              <a:t>Drag Polar (Alternate Mission)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'Drag Polar'!$AE$19:$AE$29</c:f>
              <c:numCache>
                <c:formatCode>0.0000</c:formatCode>
                <c:ptCount val="11"/>
                <c:pt idx="0">
                  <c:v>1.4728356233957041E-2</c:v>
                </c:pt>
                <c:pt idx="1">
                  <c:v>1.6648777870058345E-2</c:v>
                </c:pt>
                <c:pt idx="2">
                  <c:v>2.2410042778362251E-2</c:v>
                </c:pt>
                <c:pt idx="3">
                  <c:v>3.2012150958868758E-2</c:v>
                </c:pt>
                <c:pt idx="4">
                  <c:v>4.5455102411577873E-2</c:v>
                </c:pt>
                <c:pt idx="5">
                  <c:v>6.2738897136489571E-2</c:v>
                </c:pt>
                <c:pt idx="6">
                  <c:v>8.3863535133603895E-2</c:v>
                </c:pt>
                <c:pt idx="7">
                  <c:v>0.10882901640292081</c:v>
                </c:pt>
                <c:pt idx="8">
                  <c:v>0.13763534094444033</c:v>
                </c:pt>
                <c:pt idx="9">
                  <c:v>0.17028250875816245</c:v>
                </c:pt>
                <c:pt idx="10">
                  <c:v>0.20677051984408715</c:v>
                </c:pt>
              </c:numCache>
            </c:numRef>
          </c:xVal>
          <c:yVal>
            <c:numRef>
              <c:f>'Drag Polar'!$AB$19:$AB$29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60-4EB6-B968-050D1B3ED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231055"/>
        <c:axId val="904235215"/>
      </c:scatterChart>
      <c:valAx>
        <c:axId val="90423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35215"/>
        <c:crosses val="autoZero"/>
        <c:crossBetween val="midCat"/>
      </c:valAx>
      <c:valAx>
        <c:axId val="90423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3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</a:t>
            </a:r>
            <a:r>
              <a:rPr lang="en-US" baseline="0"/>
              <a:t>-to-Weight Ratio (~) vs. Wing Loading (psf), All Performance Constraints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1 - Standard Cruise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  <c:extLst xmlns:c15="http://schemas.microsoft.com/office/drawing/2012/chart"/>
            </c:numRef>
          </c:xVal>
          <c:yVal>
            <c:numRef>
              <c:f>'Constraint Sizing'!$B$31:$B$71</c:f>
              <c:numCache>
                <c:formatCode>0.000</c:formatCode>
                <c:ptCount val="41"/>
                <c:pt idx="0">
                  <c:v>0.66935955183052265</c:v>
                </c:pt>
                <c:pt idx="1">
                  <c:v>0.64146939404334335</c:v>
                </c:pt>
                <c:pt idx="2">
                  <c:v>0.61625889739456496</c:v>
                </c:pt>
                <c:pt idx="3">
                  <c:v>0.59337854086613517</c:v>
                </c:pt>
                <c:pt idx="4">
                  <c:v>0.57253705694301049</c:v>
                </c:pt>
                <c:pt idx="5">
                  <c:v>0.55348978091255396</c:v>
                </c:pt>
                <c:pt idx="6">
                  <c:v>0.53602968878715029</c:v>
                </c:pt>
                <c:pt idx="7">
                  <c:v>0.51998042679957135</c:v>
                </c:pt>
                <c:pt idx="8">
                  <c:v>0.50519083457790737</c:v>
                </c:pt>
                <c:pt idx="9">
                  <c:v>0.49153060145671873</c:v>
                </c:pt>
                <c:pt idx="10">
                  <c:v>0.4788867915259582</c:v>
                </c:pt>
                <c:pt idx="11">
                  <c:v>0.467161041251068</c:v>
                </c:pt>
                <c:pt idx="12">
                  <c:v>0.4562672825393102</c:v>
                </c:pt>
                <c:pt idx="13">
                  <c:v>0.44612987979403662</c:v>
                </c:pt>
                <c:pt idx="14">
                  <c:v>0.43668209572408673</c:v>
                </c:pt>
                <c:pt idx="15">
                  <c:v>0.42786482015728994</c:v>
                </c:pt>
                <c:pt idx="16">
                  <c:v>0.41962551071838361</c:v>
                </c:pt>
                <c:pt idx="17">
                  <c:v>0.41191730528888998</c:v>
                </c:pt>
                <c:pt idx="18">
                  <c:v>0.4046982746049082</c:v>
                </c:pt>
                <c:pt idx="19">
                  <c:v>0.39793078983986035</c:v>
                </c:pt>
                <c:pt idx="20">
                  <c:v>0.39158098504982636</c:v>
                </c:pt>
                <c:pt idx="21">
                  <c:v>0.38561829828541511</c:v>
                </c:pt>
                <c:pt idx="22">
                  <c:v>0.38001507825908182</c:v>
                </c:pt>
                <c:pt idx="23">
                  <c:v>0.37474624589607725</c:v>
                </c:pt>
                <c:pt idx="24">
                  <c:v>0.36978900203753778</c:v>
                </c:pt>
                <c:pt idx="25">
                  <c:v>0.36512257411649923</c:v>
                </c:pt>
                <c:pt idx="26">
                  <c:v>0.36072799587616799</c:v>
                </c:pt>
                <c:pt idx="27">
                  <c:v>0.35658791520926486</c:v>
                </c:pt>
                <c:pt idx="28">
                  <c:v>0.35268642601745065</c:v>
                </c:pt>
                <c:pt idx="29">
                  <c:v>0.34900892065939337</c:v>
                </c:pt>
                <c:pt idx="30">
                  <c:v>0.3455419601050676</c:v>
                </c:pt>
                <c:pt idx="31">
                  <c:v>0.34227315936601843</c:v>
                </c:pt>
                <c:pt idx="32">
                  <c:v>0.33919108614521087</c:v>
                </c:pt>
                <c:pt idx="33">
                  <c:v>0.33628517096048011</c:v>
                </c:pt>
                <c:pt idx="34">
                  <c:v>0.33354562725426651</c:v>
                </c:pt>
                <c:pt idx="35">
                  <c:v>0.33096338021865085</c:v>
                </c:pt>
                <c:pt idx="36">
                  <c:v>0.32853000324627962</c:v>
                </c:pt>
                <c:pt idx="37">
                  <c:v>0.32623766107066643</c:v>
                </c:pt>
                <c:pt idx="38">
                  <c:v>0.32407905878853044</c:v>
                </c:pt>
                <c:pt idx="39">
                  <c:v>0.32204739606630528</c:v>
                </c:pt>
                <c:pt idx="40">
                  <c:v>0.32013632592599534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FA5-485C-9542-2E6DCA0704C1}"/>
            </c:ext>
          </c:extLst>
        </c:ser>
        <c:ser>
          <c:idx val="1"/>
          <c:order val="1"/>
          <c:tx>
            <c:v>2 - Alternate Cruise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Sizing'!$D$31:$D$71</c:f>
              <c:numCache>
                <c:formatCode>General</c:formatCode>
                <c:ptCount val="41"/>
                <c:pt idx="0">
                  <c:v>0.65102723599557888</c:v>
                </c:pt>
                <c:pt idx="1">
                  <c:v>0.623420637690005</c:v>
                </c:pt>
                <c:pt idx="2">
                  <c:v>0.59844405245197452</c:v>
                </c:pt>
                <c:pt idx="3">
                  <c:v>0.57575443509876456</c:v>
                </c:pt>
                <c:pt idx="4">
                  <c:v>0.5550659146447724</c:v>
                </c:pt>
                <c:pt idx="5">
                  <c:v>0.53613835946209165</c:v>
                </c:pt>
                <c:pt idx="6">
                  <c:v>0.51876858125018677</c:v>
                </c:pt>
                <c:pt idx="7">
                  <c:v>0.50278349367897124</c:v>
                </c:pt>
                <c:pt idx="8">
                  <c:v>0.48803473703694294</c:v>
                </c:pt>
                <c:pt idx="9">
                  <c:v>0.47439441502108221</c:v>
                </c:pt>
                <c:pt idx="10">
                  <c:v>0.46175168416877255</c:v>
                </c:pt>
                <c:pt idx="11">
                  <c:v>0.45001000339967012</c:v>
                </c:pt>
                <c:pt idx="12">
                  <c:v>0.43908489926847422</c:v>
                </c:pt>
                <c:pt idx="13">
                  <c:v>0.42890213753537543</c:v>
                </c:pt>
                <c:pt idx="14">
                  <c:v>0.41939621740054139</c:v>
                </c:pt>
                <c:pt idx="15">
                  <c:v>0.41050912386983518</c:v>
                </c:pt>
                <c:pt idx="16">
                  <c:v>0.40218928805957954</c:v>
                </c:pt>
                <c:pt idx="17">
                  <c:v>0.39439071610054866</c:v>
                </c:pt>
                <c:pt idx="18">
                  <c:v>0.38707225558343539</c:v>
                </c:pt>
                <c:pt idx="19">
                  <c:v>0.38019697485886139</c:v>
                </c:pt>
                <c:pt idx="20">
                  <c:v>0.37373163544238636</c:v>
                </c:pt>
                <c:pt idx="21">
                  <c:v>0.36764624162853948</c:v>
                </c:pt>
                <c:pt idx="22">
                  <c:v>0.36191365444570461</c:v>
                </c:pt>
                <c:pt idx="23">
                  <c:v>0.35650925947776435</c:v>
                </c:pt>
                <c:pt idx="24">
                  <c:v>0.3514106799827944</c:v>
                </c:pt>
                <c:pt idx="25">
                  <c:v>0.3465975282625966</c:v>
                </c:pt>
                <c:pt idx="26">
                  <c:v>0.34205118946229446</c:v>
                </c:pt>
                <c:pt idx="27">
                  <c:v>0.33775463296997982</c:v>
                </c:pt>
                <c:pt idx="28">
                  <c:v>0.33369224739140341</c:v>
                </c:pt>
                <c:pt idx="29">
                  <c:v>0.32984969573184664</c:v>
                </c:pt>
                <c:pt idx="30">
                  <c:v>0.32621378795616818</c:v>
                </c:pt>
                <c:pt idx="31">
                  <c:v>0.32277236854178709</c:v>
                </c:pt>
                <c:pt idx="32">
                  <c:v>0.31951421700632071</c:v>
                </c:pt>
                <c:pt idx="33">
                  <c:v>0.31642895969624574</c:v>
                </c:pt>
                <c:pt idx="34">
                  <c:v>0.31350699137681814</c:v>
                </c:pt>
                <c:pt idx="35">
                  <c:v>0.31073940537582073</c:v>
                </c:pt>
                <c:pt idx="36">
                  <c:v>0.30811793121190906</c:v>
                </c:pt>
                <c:pt idx="37">
                  <c:v>0.3056348787883944</c:v>
                </c:pt>
                <c:pt idx="38">
                  <c:v>0.30328308836008377</c:v>
                </c:pt>
                <c:pt idx="39">
                  <c:v>0.30105588558823804</c:v>
                </c:pt>
                <c:pt idx="40">
                  <c:v>0.298947041090034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5-485C-9542-2E6DCA0704C1}"/>
            </c:ext>
          </c:extLst>
        </c:ser>
        <c:ser>
          <c:idx val="2"/>
          <c:order val="2"/>
          <c:tx>
            <c:v>3 - Slow Cruise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Sizing'!$I$31:$I$71</c:f>
              <c:numCache>
                <c:formatCode>0.000</c:formatCode>
                <c:ptCount val="41"/>
                <c:pt idx="0">
                  <c:v>0.32699604896990103</c:v>
                </c:pt>
                <c:pt idx="1">
                  <c:v>0.31707651824125949</c:v>
                </c:pt>
                <c:pt idx="2">
                  <c:v>0.30828387358594006</c:v>
                </c:pt>
                <c:pt idx="3">
                  <c:v>0.30047112986394414</c:v>
                </c:pt>
                <c:pt idx="4">
                  <c:v>0.29351579945860651</c:v>
                </c:pt>
                <c:pt idx="5">
                  <c:v>0.28731499277192807</c:v>
                </c:pt>
                <c:pt idx="6">
                  <c:v>0.28178164937483263</c:v>
                </c:pt>
                <c:pt idx="7">
                  <c:v>0.27684160667958896</c:v>
                </c:pt>
                <c:pt idx="8">
                  <c:v>0.27243129675385558</c:v>
                </c:pt>
                <c:pt idx="9">
                  <c:v>0.26849591965595915</c:v>
                </c:pt>
                <c:pt idx="10">
                  <c:v>0.26498798210311603</c:v>
                </c:pt>
                <c:pt idx="11">
                  <c:v>0.26186611897806289</c:v>
                </c:pt>
                <c:pt idx="12">
                  <c:v>0.2590941358031944</c:v>
                </c:pt>
                <c:pt idx="13">
                  <c:v>0.25664022531031205</c:v>
                </c:pt>
                <c:pt idx="14">
                  <c:v>0.25447632226276995</c:v>
                </c:pt>
                <c:pt idx="15">
                  <c:v>0.25257756887953897</c:v>
                </c:pt>
                <c:pt idx="16">
                  <c:v>0.25092186935525979</c:v>
                </c:pt>
                <c:pt idx="17">
                  <c:v>0.24948951662028765</c:v>
                </c:pt>
                <c:pt idx="18">
                  <c:v>0.24826287803336156</c:v>
                </c:pt>
                <c:pt idx="19">
                  <c:v>0.24722612942924721</c:v>
                </c:pt>
                <c:pt idx="20">
                  <c:v>0.24636502905923363</c:v>
                </c:pt>
                <c:pt idx="21">
                  <c:v>0.24566672461350858</c:v>
                </c:pt>
                <c:pt idx="22">
                  <c:v>0.24511958781176579</c:v>
                </c:pt>
                <c:pt idx="23">
                  <c:v>0.24471307207419263</c:v>
                </c:pt>
                <c:pt idx="24">
                  <c:v>0.24443758960095918</c:v>
                </c:pt>
                <c:pt idx="25">
                  <c:v>0.2442844048411095</c:v>
                </c:pt>
                <c:pt idx="26">
                  <c:v>0.24424554185681421</c:v>
                </c:pt>
                <c:pt idx="27">
                  <c:v>0.24431370351346357</c:v>
                </c:pt>
                <c:pt idx="28">
                  <c:v>0.24448220077099844</c:v>
                </c:pt>
                <c:pt idx="29">
                  <c:v>0.24474489063344623</c:v>
                </c:pt>
                <c:pt idx="30">
                  <c:v>0.24509612154451221</c:v>
                </c:pt>
                <c:pt idx="31">
                  <c:v>0.24553068520721877</c:v>
                </c:pt>
                <c:pt idx="32">
                  <c:v>0.24604377396281754</c:v>
                </c:pt>
                <c:pt idx="33">
                  <c:v>0.2466309429947296</c:v>
                </c:pt>
                <c:pt idx="34">
                  <c:v>0.24728807673204869</c:v>
                </c:pt>
                <c:pt idx="35">
                  <c:v>0.24801135891811626</c:v>
                </c:pt>
                <c:pt idx="36">
                  <c:v>0.24879724588603505</c:v>
                </c:pt>
                <c:pt idx="37">
                  <c:v>0.24964244264728661</c:v>
                </c:pt>
                <c:pt idx="38">
                  <c:v>0.25054388145393985</c:v>
                </c:pt>
                <c:pt idx="39">
                  <c:v>0.25149870254097451</c:v>
                </c:pt>
                <c:pt idx="40">
                  <c:v>0.25250423679437128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5-485C-9542-2E6DCA0704C1}"/>
            </c:ext>
          </c:extLst>
        </c:ser>
        <c:ser>
          <c:idx val="3"/>
          <c:order val="3"/>
          <c:tx>
            <c:v>4 - Slow Cruise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Sizing'!$E$31:$E$71</c:f>
              <c:numCache>
                <c:formatCode>General</c:formatCode>
                <c:ptCount val="41"/>
                <c:pt idx="0">
                  <c:v>0.29683446408871039</c:v>
                </c:pt>
                <c:pt idx="1">
                  <c:v>0.28566185183151055</c:v>
                </c:pt>
                <c:pt idx="2">
                  <c:v>0.27561612564763299</c:v>
                </c:pt>
                <c:pt idx="3">
                  <c:v>0.26655030039707894</c:v>
                </c:pt>
                <c:pt idx="4">
                  <c:v>0.25834188846318312</c:v>
                </c:pt>
                <c:pt idx="5">
                  <c:v>0.25088800024794639</c:v>
                </c:pt>
                <c:pt idx="6">
                  <c:v>0.24410157532229279</c:v>
                </c:pt>
                <c:pt idx="7">
                  <c:v>0.23790845109849082</c:v>
                </c:pt>
                <c:pt idx="8">
                  <c:v>0.23224505964419934</c:v>
                </c:pt>
                <c:pt idx="9">
                  <c:v>0.22705660101774472</c:v>
                </c:pt>
                <c:pt idx="10">
                  <c:v>0.22229558193634338</c:v>
                </c:pt>
                <c:pt idx="11">
                  <c:v>0.21792063728273203</c:v>
                </c:pt>
                <c:pt idx="12">
                  <c:v>0.21389557257930536</c:v>
                </c:pt>
                <c:pt idx="13">
                  <c:v>0.21018858055786482</c:v>
                </c:pt>
                <c:pt idx="14">
                  <c:v>0.20677159598176448</c:v>
                </c:pt>
                <c:pt idx="15">
                  <c:v>0.20361976106997526</c:v>
                </c:pt>
                <c:pt idx="16">
                  <c:v>0.20071098001713786</c:v>
                </c:pt>
                <c:pt idx="17">
                  <c:v>0.19802554575360756</c:v>
                </c:pt>
                <c:pt idx="18">
                  <c:v>0.19554582563812328</c:v>
                </c:pt>
                <c:pt idx="19">
                  <c:v>0.19325599550545072</c:v>
                </c:pt>
                <c:pt idx="20">
                  <c:v>0.1911418136068789</c:v>
                </c:pt>
                <c:pt idx="21">
                  <c:v>0.18919042763259575</c:v>
                </c:pt>
                <c:pt idx="22">
                  <c:v>0.18739020930229475</c:v>
                </c:pt>
                <c:pt idx="23">
                  <c:v>0.18573061203616331</c:v>
                </c:pt>
                <c:pt idx="24">
                  <c:v>0.18420204803437165</c:v>
                </c:pt>
                <c:pt idx="25">
                  <c:v>0.18279578174596381</c:v>
                </c:pt>
                <c:pt idx="26">
                  <c:v>0.18150383723311037</c:v>
                </c:pt>
                <c:pt idx="27">
                  <c:v>0.18031891736120151</c:v>
                </c:pt>
                <c:pt idx="28">
                  <c:v>0.17923433309017819</c:v>
                </c:pt>
                <c:pt idx="29">
                  <c:v>0.17824394142406774</c:v>
                </c:pt>
                <c:pt idx="30">
                  <c:v>0.17734209080657554</c:v>
                </c:pt>
                <c:pt idx="31">
                  <c:v>0.17652357294072388</c:v>
                </c:pt>
                <c:pt idx="32">
                  <c:v>0.17578358016776444</c:v>
                </c:pt>
                <c:pt idx="33">
                  <c:v>0.1751176676711183</c:v>
                </c:pt>
                <c:pt idx="34">
                  <c:v>0.17452171987987919</c:v>
                </c:pt>
                <c:pt idx="35">
                  <c:v>0.1739919205373886</c:v>
                </c:pt>
                <c:pt idx="36">
                  <c:v>0.17352472597674914</c:v>
                </c:pt>
                <c:pt idx="37">
                  <c:v>0.17311684120944251</c:v>
                </c:pt>
                <c:pt idx="38">
                  <c:v>0.17276519848753757</c:v>
                </c:pt>
                <c:pt idx="39">
                  <c:v>0.17246693804601398</c:v>
                </c:pt>
                <c:pt idx="40">
                  <c:v>0.17221939077085263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5-485C-9542-2E6DCA0704C1}"/>
            </c:ext>
          </c:extLst>
        </c:ser>
        <c:ser>
          <c:idx val="4"/>
          <c:order val="4"/>
          <c:tx>
            <c:v>5 - Climb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Sizing'!$C$31:$C$71</c:f>
              <c:numCache>
                <c:formatCode>0.000</c:formatCode>
                <c:ptCount val="41"/>
                <c:pt idx="0">
                  <c:v>0.4003446462906845</c:v>
                </c:pt>
                <c:pt idx="1">
                  <c:v>0.38786317856296487</c:v>
                </c:pt>
                <c:pt idx="2">
                  <c:v>0.37665210030818164</c:v>
                </c:pt>
                <c:pt idx="3">
                  <c:v>0.36654570855160401</c:v>
                </c:pt>
                <c:pt idx="4">
                  <c:v>0.35740591748095629</c:v>
                </c:pt>
                <c:pt idx="5">
                  <c:v>0.34911673501392682</c:v>
                </c:pt>
                <c:pt idx="6">
                  <c:v>0.34158001400394422</c:v>
                </c:pt>
                <c:pt idx="7">
                  <c:v>0.33471214762244783</c:v>
                </c:pt>
                <c:pt idx="8">
                  <c:v>0.32844147287352843</c:v>
                </c:pt>
                <c:pt idx="9">
                  <c:v>0.3227062113124366</c:v>
                </c:pt>
                <c:pt idx="10">
                  <c:v>0.31745282162038957</c:v>
                </c:pt>
                <c:pt idx="11">
                  <c:v>0.31263467103586701</c:v>
                </c:pt>
                <c:pt idx="12">
                  <c:v>0.30821095589253827</c:v>
                </c:pt>
                <c:pt idx="13">
                  <c:v>0.30414581842302241</c:v>
                </c:pt>
                <c:pt idx="14">
                  <c:v>0.30040761942080624</c:v>
                </c:pt>
                <c:pt idx="15">
                  <c:v>0.29696833558869284</c:v>
                </c:pt>
                <c:pt idx="16">
                  <c:v>0.29380305732917344</c:v>
                </c:pt>
                <c:pt idx="17">
                  <c:v>0.29088956797420001</c:v>
                </c:pt>
                <c:pt idx="18">
                  <c:v>0.28820798945236109</c:v>
                </c:pt>
                <c:pt idx="19">
                  <c:v>0.28574048246880007</c:v>
                </c:pt>
                <c:pt idx="20">
                  <c:v>0.28347099165814615</c:v>
                </c:pt>
                <c:pt idx="21">
                  <c:v>0.28138502803213783</c:v>
                </c:pt>
                <c:pt idx="22">
                  <c:v>0.27946948250615755</c:v>
                </c:pt>
                <c:pt idx="23">
                  <c:v>0.27771246544531969</c:v>
                </c:pt>
                <c:pt idx="24">
                  <c:v>0.27610316809063712</c:v>
                </c:pt>
                <c:pt idx="25">
                  <c:v>0.27463174246169963</c:v>
                </c:pt>
                <c:pt idx="26">
                  <c:v>0.27328919692421949</c:v>
                </c:pt>
                <c:pt idx="27">
                  <c:v>0.27206730508938021</c:v>
                </c:pt>
                <c:pt idx="28">
                  <c:v>0.27095852610076682</c:v>
                </c:pt>
                <c:pt idx="29">
                  <c:v>0.26995593468207968</c:v>
                </c:pt>
                <c:pt idx="30">
                  <c:v>0.26905315957912335</c:v>
                </c:pt>
                <c:pt idx="31">
                  <c:v>0.26824432924391334</c:v>
                </c:pt>
                <c:pt idx="32">
                  <c:v>0.26752402378600321</c:v>
                </c:pt>
                <c:pt idx="33">
                  <c:v>0.26688723236328132</c:v>
                </c:pt>
                <c:pt idx="34">
                  <c:v>0.26632931530712622</c:v>
                </c:pt>
                <c:pt idx="35">
                  <c:v>0.26584597037936142</c:v>
                </c:pt>
                <c:pt idx="36">
                  <c:v>0.26543320264453768</c:v>
                </c:pt>
                <c:pt idx="37">
                  <c:v>0.26508729751355259</c:v>
                </c:pt>
                <c:pt idx="38">
                  <c:v>0.26480479657586292</c:v>
                </c:pt>
                <c:pt idx="39">
                  <c:v>0.26458247588943667</c:v>
                </c:pt>
                <c:pt idx="40">
                  <c:v>0.26441732644171062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A5-485C-9542-2E6DCA0704C1}"/>
            </c:ext>
          </c:extLst>
        </c:ser>
        <c:ser>
          <c:idx val="5"/>
          <c:order val="5"/>
          <c:tx>
            <c:v>6 - Takeoff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Sizing'!$F$31:$F$71</c:f>
              <c:numCache>
                <c:formatCode>0.000</c:formatCode>
                <c:ptCount val="41"/>
                <c:pt idx="0">
                  <c:v>0.1788166628519112</c:v>
                </c:pt>
                <c:pt idx="1">
                  <c:v>0.18775749599450675</c:v>
                </c:pt>
                <c:pt idx="2">
                  <c:v>0.19669832913710231</c:v>
                </c:pt>
                <c:pt idx="3">
                  <c:v>0.20563916227969786</c:v>
                </c:pt>
                <c:pt idx="4">
                  <c:v>0.21457999542229342</c:v>
                </c:pt>
                <c:pt idx="5">
                  <c:v>0.22352082856488897</c:v>
                </c:pt>
                <c:pt idx="6">
                  <c:v>0.23246166170748453</c:v>
                </c:pt>
                <c:pt idx="7">
                  <c:v>0.24140249485008011</c:v>
                </c:pt>
                <c:pt idx="8">
                  <c:v>0.25034332799267567</c:v>
                </c:pt>
                <c:pt idx="9">
                  <c:v>0.2592841611352712</c:v>
                </c:pt>
                <c:pt idx="10">
                  <c:v>0.26822499427786678</c:v>
                </c:pt>
                <c:pt idx="11">
                  <c:v>0.27716582742046236</c:v>
                </c:pt>
                <c:pt idx="12">
                  <c:v>0.28610666056305789</c:v>
                </c:pt>
                <c:pt idx="13">
                  <c:v>0.29504749370565347</c:v>
                </c:pt>
                <c:pt idx="14">
                  <c:v>0.303988326848249</c:v>
                </c:pt>
                <c:pt idx="15">
                  <c:v>0.31292915999084459</c:v>
                </c:pt>
                <c:pt idx="16">
                  <c:v>0.32186999313344011</c:v>
                </c:pt>
                <c:pt idx="17">
                  <c:v>0.3308108262760357</c:v>
                </c:pt>
                <c:pt idx="18">
                  <c:v>0.33975165941863128</c:v>
                </c:pt>
                <c:pt idx="19">
                  <c:v>0.34869249256122681</c:v>
                </c:pt>
                <c:pt idx="20">
                  <c:v>0.35763332570382239</c:v>
                </c:pt>
                <c:pt idx="21">
                  <c:v>0.36657415884641792</c:v>
                </c:pt>
                <c:pt idx="22">
                  <c:v>0.3755149919890135</c:v>
                </c:pt>
                <c:pt idx="23">
                  <c:v>0.38445582513160903</c:v>
                </c:pt>
                <c:pt idx="24">
                  <c:v>0.39339665827420461</c:v>
                </c:pt>
                <c:pt idx="25">
                  <c:v>0.40233749141680014</c:v>
                </c:pt>
                <c:pt idx="26">
                  <c:v>0.41127832455939572</c:v>
                </c:pt>
                <c:pt idx="27">
                  <c:v>0.42021915770199131</c:v>
                </c:pt>
                <c:pt idx="28">
                  <c:v>0.42915999084458684</c:v>
                </c:pt>
                <c:pt idx="29">
                  <c:v>0.43810082398718242</c:v>
                </c:pt>
                <c:pt idx="30">
                  <c:v>0.44704165712977795</c:v>
                </c:pt>
                <c:pt idx="31">
                  <c:v>0.45598249027237353</c:v>
                </c:pt>
                <c:pt idx="32">
                  <c:v>0.46492332341496906</c:v>
                </c:pt>
                <c:pt idx="33">
                  <c:v>0.47386415655756464</c:v>
                </c:pt>
                <c:pt idx="34">
                  <c:v>0.48280498970016023</c:v>
                </c:pt>
                <c:pt idx="35">
                  <c:v>0.49174582284275575</c:v>
                </c:pt>
                <c:pt idx="36">
                  <c:v>0.50068665598535134</c:v>
                </c:pt>
                <c:pt idx="37">
                  <c:v>0.50962748912794686</c:v>
                </c:pt>
                <c:pt idx="38">
                  <c:v>0.51856832227054239</c:v>
                </c:pt>
                <c:pt idx="39">
                  <c:v>0.52750915541313803</c:v>
                </c:pt>
                <c:pt idx="40">
                  <c:v>0.53644998855573356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A5-485C-9542-2E6DCA0704C1}"/>
            </c:ext>
          </c:extLst>
        </c:ser>
        <c:ser>
          <c:idx val="6"/>
          <c:order val="6"/>
          <c:tx>
            <c:v>7- Approach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Sizing'!$G$31:$G$36</c:f>
              <c:numCache>
                <c:formatCode>0.000</c:formatCode>
                <c:ptCount val="6"/>
                <c:pt idx="0">
                  <c:v>136.25491820942017</c:v>
                </c:pt>
                <c:pt idx="1">
                  <c:v>136.25491820942017</c:v>
                </c:pt>
                <c:pt idx="2">
                  <c:v>136.25491820942017</c:v>
                </c:pt>
                <c:pt idx="3">
                  <c:v>136.25491820942017</c:v>
                </c:pt>
                <c:pt idx="4">
                  <c:v>136.25491820942017</c:v>
                </c:pt>
                <c:pt idx="5">
                  <c:v>136.25491820942017</c:v>
                </c:pt>
              </c:numCache>
            </c:numRef>
          </c:xVal>
          <c:yVal>
            <c:numRef>
              <c:f>'Constraint Sizing'!$J$31:$J$36</c:f>
              <c:numCache>
                <c:formatCode>General</c:formatCode>
                <c:ptCount val="6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FA5-485C-9542-2E6DCA0704C1}"/>
            </c:ext>
          </c:extLst>
        </c:ser>
        <c:ser>
          <c:idx val="8"/>
          <c:order val="7"/>
          <c:tx>
            <c:v>Design Point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'Constraint Sizing'!$J$11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Ref>
              <c:f>'Constraint Sizing'!$I$11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FA5-485C-9542-2E6DCA0704C1}"/>
            </c:ext>
          </c:extLst>
        </c:ser>
        <c:ser>
          <c:idx val="7"/>
          <c:order val="8"/>
          <c:tx>
            <c:v>6500 Ft Takeoff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Sizing'!$H$31:$H$71</c:f>
              <c:numCache>
                <c:formatCode>0.000</c:formatCode>
                <c:ptCount val="41"/>
                <c:pt idx="0">
                  <c:v>0.23383717449865307</c:v>
                </c:pt>
                <c:pt idx="1">
                  <c:v>0.24552903322358574</c:v>
                </c:pt>
                <c:pt idx="2">
                  <c:v>0.25722089194851838</c:v>
                </c:pt>
                <c:pt idx="3">
                  <c:v>0.26891275067345105</c:v>
                </c:pt>
                <c:pt idx="4">
                  <c:v>0.28060460939838372</c:v>
                </c:pt>
                <c:pt idx="5">
                  <c:v>0.29229646812331633</c:v>
                </c:pt>
                <c:pt idx="6">
                  <c:v>0.303988326848249</c:v>
                </c:pt>
                <c:pt idx="7">
                  <c:v>0.31568018557318167</c:v>
                </c:pt>
                <c:pt idx="8">
                  <c:v>0.32737204429811434</c:v>
                </c:pt>
                <c:pt idx="9">
                  <c:v>0.33906390302304695</c:v>
                </c:pt>
                <c:pt idx="10">
                  <c:v>0.35075576174797962</c:v>
                </c:pt>
                <c:pt idx="11">
                  <c:v>0.36244762047291229</c:v>
                </c:pt>
                <c:pt idx="12">
                  <c:v>0.3741394791978449</c:v>
                </c:pt>
                <c:pt idx="13">
                  <c:v>0.38583133792277757</c:v>
                </c:pt>
                <c:pt idx="14">
                  <c:v>0.39752319664771024</c:v>
                </c:pt>
                <c:pt idx="15">
                  <c:v>0.40921505537264291</c:v>
                </c:pt>
                <c:pt idx="16">
                  <c:v>0.42090691409757552</c:v>
                </c:pt>
                <c:pt idx="17">
                  <c:v>0.43259877282250819</c:v>
                </c:pt>
                <c:pt idx="18">
                  <c:v>0.44429063154744086</c:v>
                </c:pt>
                <c:pt idx="19">
                  <c:v>0.45598249027237353</c:v>
                </c:pt>
                <c:pt idx="20">
                  <c:v>0.46767434899730614</c:v>
                </c:pt>
                <c:pt idx="21">
                  <c:v>0.47936620772223881</c:v>
                </c:pt>
                <c:pt idx="22">
                  <c:v>0.49105806644717148</c:v>
                </c:pt>
                <c:pt idx="23">
                  <c:v>0.50274992517210415</c:v>
                </c:pt>
                <c:pt idx="24">
                  <c:v>0.51444178389703676</c:v>
                </c:pt>
                <c:pt idx="25">
                  <c:v>0.52613364262196949</c:v>
                </c:pt>
                <c:pt idx="26">
                  <c:v>0.5378255013469021</c:v>
                </c:pt>
                <c:pt idx="27">
                  <c:v>0.54951736007183472</c:v>
                </c:pt>
                <c:pt idx="28">
                  <c:v>0.56120921879676744</c:v>
                </c:pt>
                <c:pt idx="29">
                  <c:v>0.57290107752170005</c:v>
                </c:pt>
                <c:pt idx="30">
                  <c:v>0.58459293624663267</c:v>
                </c:pt>
                <c:pt idx="31">
                  <c:v>0.59628479497156539</c:v>
                </c:pt>
                <c:pt idx="32">
                  <c:v>0.607976653696498</c:v>
                </c:pt>
                <c:pt idx="33">
                  <c:v>0.61966851242143062</c:v>
                </c:pt>
                <c:pt idx="34">
                  <c:v>0.63136037114636334</c:v>
                </c:pt>
                <c:pt idx="35">
                  <c:v>0.64305222987129596</c:v>
                </c:pt>
                <c:pt idx="36">
                  <c:v>0.65474408859622868</c:v>
                </c:pt>
                <c:pt idx="37">
                  <c:v>0.66643594732116129</c:v>
                </c:pt>
                <c:pt idx="38">
                  <c:v>0.67812780604609391</c:v>
                </c:pt>
                <c:pt idx="39">
                  <c:v>0.68981966477102663</c:v>
                </c:pt>
                <c:pt idx="40">
                  <c:v>0.70151152349595924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0B-4A61-BCF5-050F52B05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35208"/>
        <c:axId val="327503408"/>
        <c:extLst/>
      </c:scatterChart>
      <c:valAx>
        <c:axId val="511935208"/>
        <c:scaling>
          <c:orientation val="minMax"/>
          <c:max val="150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Wing</a:t>
                </a:r>
                <a:r>
                  <a:rPr lang="en-US" baseline="0"/>
                  <a:t> Loading Wto/S, (psf)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408"/>
        <c:crosses val="autoZero"/>
        <c:crossBetween val="midCat"/>
      </c:valAx>
      <c:valAx>
        <c:axId val="327503408"/>
        <c:scaling>
          <c:orientation val="minMax"/>
          <c:max val="0.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Thrust-to-Weight</a:t>
                </a:r>
                <a:r>
                  <a:rPr lang="en-US" baseline="0"/>
                  <a:t> Ratio Tsl/Wto (~)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Climb Constraint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Sizing'!$C$31:$C$71</c:f>
              <c:numCache>
                <c:formatCode>0.000</c:formatCode>
                <c:ptCount val="41"/>
                <c:pt idx="0">
                  <c:v>0.4003446462906845</c:v>
                </c:pt>
                <c:pt idx="1">
                  <c:v>0.38786317856296487</c:v>
                </c:pt>
                <c:pt idx="2">
                  <c:v>0.37665210030818164</c:v>
                </c:pt>
                <c:pt idx="3">
                  <c:v>0.36654570855160401</c:v>
                </c:pt>
                <c:pt idx="4">
                  <c:v>0.35740591748095629</c:v>
                </c:pt>
                <c:pt idx="5">
                  <c:v>0.34911673501392682</c:v>
                </c:pt>
                <c:pt idx="6">
                  <c:v>0.34158001400394422</c:v>
                </c:pt>
                <c:pt idx="7">
                  <c:v>0.33471214762244783</c:v>
                </c:pt>
                <c:pt idx="8">
                  <c:v>0.32844147287352843</c:v>
                </c:pt>
                <c:pt idx="9">
                  <c:v>0.3227062113124366</c:v>
                </c:pt>
                <c:pt idx="10">
                  <c:v>0.31745282162038957</c:v>
                </c:pt>
                <c:pt idx="11">
                  <c:v>0.31263467103586701</c:v>
                </c:pt>
                <c:pt idx="12">
                  <c:v>0.30821095589253827</c:v>
                </c:pt>
                <c:pt idx="13">
                  <c:v>0.30414581842302241</c:v>
                </c:pt>
                <c:pt idx="14">
                  <c:v>0.30040761942080624</c:v>
                </c:pt>
                <c:pt idx="15">
                  <c:v>0.29696833558869284</c:v>
                </c:pt>
                <c:pt idx="16">
                  <c:v>0.29380305732917344</c:v>
                </c:pt>
                <c:pt idx="17">
                  <c:v>0.29088956797420001</c:v>
                </c:pt>
                <c:pt idx="18">
                  <c:v>0.28820798945236109</c:v>
                </c:pt>
                <c:pt idx="19">
                  <c:v>0.28574048246880007</c:v>
                </c:pt>
                <c:pt idx="20">
                  <c:v>0.28347099165814615</c:v>
                </c:pt>
                <c:pt idx="21">
                  <c:v>0.28138502803213783</c:v>
                </c:pt>
                <c:pt idx="22">
                  <c:v>0.27946948250615755</c:v>
                </c:pt>
                <c:pt idx="23">
                  <c:v>0.27771246544531969</c:v>
                </c:pt>
                <c:pt idx="24">
                  <c:v>0.27610316809063712</c:v>
                </c:pt>
                <c:pt idx="25">
                  <c:v>0.27463174246169963</c:v>
                </c:pt>
                <c:pt idx="26">
                  <c:v>0.27328919692421949</c:v>
                </c:pt>
                <c:pt idx="27">
                  <c:v>0.27206730508938021</c:v>
                </c:pt>
                <c:pt idx="28">
                  <c:v>0.27095852610076682</c:v>
                </c:pt>
                <c:pt idx="29">
                  <c:v>0.26995593468207968</c:v>
                </c:pt>
                <c:pt idx="30">
                  <c:v>0.26905315957912335</c:v>
                </c:pt>
                <c:pt idx="31">
                  <c:v>0.26824432924391334</c:v>
                </c:pt>
                <c:pt idx="32">
                  <c:v>0.26752402378600321</c:v>
                </c:pt>
                <c:pt idx="33">
                  <c:v>0.26688723236328132</c:v>
                </c:pt>
                <c:pt idx="34">
                  <c:v>0.26632931530712622</c:v>
                </c:pt>
                <c:pt idx="35">
                  <c:v>0.26584597037936142</c:v>
                </c:pt>
                <c:pt idx="36">
                  <c:v>0.26543320264453768</c:v>
                </c:pt>
                <c:pt idx="37">
                  <c:v>0.26508729751355259</c:v>
                </c:pt>
                <c:pt idx="38">
                  <c:v>0.26480479657586292</c:v>
                </c:pt>
                <c:pt idx="39">
                  <c:v>0.26458247588943667</c:v>
                </c:pt>
                <c:pt idx="40">
                  <c:v>0.26441732644171062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7-4760-AA97-BE8EF18EC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03592"/>
        <c:axId val="547310808"/>
      </c:scatterChart>
      <c:valAx>
        <c:axId val="54730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10808"/>
        <c:crosses val="autoZero"/>
        <c:crossBetween val="midCat"/>
      </c:valAx>
      <c:valAx>
        <c:axId val="54731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0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Takeoff</a:t>
            </a:r>
            <a:r>
              <a:rPr lang="en-US" baseline="0"/>
              <a:t> </a:t>
            </a:r>
            <a:r>
              <a:rPr lang="en-US"/>
              <a:t>Thrust-to-Weight</a:t>
            </a:r>
            <a:r>
              <a:rPr lang="en-US" baseline="0"/>
              <a:t> Ratio Constraint @110 W/S (psf) vs. Takeoff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'Constraint Sizing Trade Studies'!$B$1</c:f>
              <c:strCache>
                <c:ptCount val="1"/>
                <c:pt idx="0">
                  <c:v>T/W (110 W/S)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 Trade Studies'!$A$2:$A$7</c:f>
              <c:numCache>
                <c:formatCode>General</c:formatCode>
                <c:ptCount val="6"/>
                <c:pt idx="0">
                  <c:v>6500</c:v>
                </c:pt>
                <c:pt idx="1">
                  <c:v>8000</c:v>
                </c:pt>
                <c:pt idx="2">
                  <c:v>9500</c:v>
                </c:pt>
                <c:pt idx="3">
                  <c:v>11000</c:v>
                </c:pt>
                <c:pt idx="4">
                  <c:v>12500</c:v>
                </c:pt>
                <c:pt idx="5">
                  <c:v>14000</c:v>
                </c:pt>
              </c:numCache>
            </c:numRef>
          </c:xVal>
          <c:yVal>
            <c:numRef>
              <c:f>'Constraint Sizing Trade Studies'!$B$2:$B$7</c:f>
              <c:numCache>
                <c:formatCode>0.000</c:formatCode>
                <c:ptCount val="6"/>
                <c:pt idx="0">
                  <c:v>0.51444178389703676</c:v>
                </c:pt>
                <c:pt idx="1">
                  <c:v>0.41798394941634237</c:v>
                </c:pt>
                <c:pt idx="2">
                  <c:v>0.35198648371902519</c:v>
                </c:pt>
                <c:pt idx="3">
                  <c:v>0.303988326848249</c:v>
                </c:pt>
                <c:pt idx="4">
                  <c:v>0.26750972762645914</c:v>
                </c:pt>
                <c:pt idx="5">
                  <c:v>0.23884797109505279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09-4DAA-9A30-4EF267CC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817920"/>
        <c:axId val="1254815008"/>
      </c:scatterChart>
      <c:valAx>
        <c:axId val="1254817920"/>
        <c:scaling>
          <c:orientation val="minMax"/>
          <c:min val="6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Takeoff Distance</a:t>
                </a:r>
                <a:r>
                  <a:rPr lang="en-US" baseline="0"/>
                  <a:t> Sto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5008"/>
        <c:crosses val="autoZero"/>
        <c:crossBetween val="midCat"/>
      </c:valAx>
      <c:valAx>
        <c:axId val="1254815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T/W (~)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Cruise</a:t>
            </a:r>
            <a:r>
              <a:rPr lang="en-US" baseline="0"/>
              <a:t> </a:t>
            </a:r>
            <a:r>
              <a:rPr lang="en-US"/>
              <a:t>Thrust-to-Weight</a:t>
            </a:r>
            <a:r>
              <a:rPr lang="en-US" baseline="0"/>
              <a:t> Ratio Constraint @110 W/S (psf) vs. Cruise Mach Number @55000 ft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Standard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 Trade Studies'!$D$2:$D$6</c:f>
              <c:numCache>
                <c:formatCode>General</c:formatCode>
                <c:ptCount val="5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</c:numCache>
            </c:numRef>
          </c:xVal>
          <c:yVal>
            <c:numRef>
              <c:f>'Constraint Sizing Trade Studies'!$E$2:$E$6</c:f>
              <c:numCache>
                <c:formatCode>0.000</c:formatCode>
                <c:ptCount val="5"/>
                <c:pt idx="0">
                  <c:v>0.56200000000000006</c:v>
                </c:pt>
                <c:pt idx="1">
                  <c:v>0.46800000000000003</c:v>
                </c:pt>
                <c:pt idx="2">
                  <c:v>0.42399999999999999</c:v>
                </c:pt>
                <c:pt idx="3">
                  <c:v>0.41</c:v>
                </c:pt>
                <c:pt idx="4">
                  <c:v>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9D-44AA-8703-F6C7FFB493AF}"/>
            </c:ext>
          </c:extLst>
        </c:ser>
        <c:ser>
          <c:idx val="1"/>
          <c:order val="1"/>
          <c:tx>
            <c:v>Alternate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 Trade Studies'!$D$2:$D$6</c:f>
              <c:numCache>
                <c:formatCode>General</c:formatCode>
                <c:ptCount val="5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</c:numCache>
            </c:numRef>
          </c:xVal>
          <c:yVal>
            <c:numRef>
              <c:f>'Constraint Sizing Trade Studies'!$F$2:$F$6</c:f>
              <c:numCache>
                <c:formatCode>0.000</c:formatCode>
                <c:ptCount val="5"/>
                <c:pt idx="0">
                  <c:v>0.502</c:v>
                </c:pt>
                <c:pt idx="1">
                  <c:v>0.42299999999999999</c:v>
                </c:pt>
                <c:pt idx="2" formatCode="General">
                  <c:v>0.38800000000000001</c:v>
                </c:pt>
                <c:pt idx="3" formatCode="General">
                  <c:v>0.38</c:v>
                </c:pt>
                <c:pt idx="4">
                  <c:v>0.39200000000000002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9D-44AA-8703-F6C7FFB49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817920"/>
        <c:axId val="1254815008"/>
      </c:scatterChart>
      <c:valAx>
        <c:axId val="1254817920"/>
        <c:scaling>
          <c:orientation val="minMax"/>
          <c:max val="2"/>
          <c:min val="1.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 M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5008"/>
        <c:crosses val="autoZero"/>
        <c:crossBetween val="midCat"/>
      </c:valAx>
      <c:valAx>
        <c:axId val="125481500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T/W (~)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Cruise</a:t>
            </a:r>
            <a:r>
              <a:rPr lang="en-US" baseline="0"/>
              <a:t> </a:t>
            </a:r>
            <a:r>
              <a:rPr lang="en-US"/>
              <a:t>Thrust-to-Weight</a:t>
            </a:r>
            <a:r>
              <a:rPr lang="en-US" baseline="0"/>
              <a:t> Ratio Constraint @110 W/S (psf) vs. Cruise Altitude (ft)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Standard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 Trade Studies'!$H$2:$H$5</c:f>
              <c:numCache>
                <c:formatCode>General</c:formatCode>
                <c:ptCount val="4"/>
                <c:pt idx="0">
                  <c:v>45000</c:v>
                </c:pt>
                <c:pt idx="1">
                  <c:v>50000</c:v>
                </c:pt>
                <c:pt idx="2">
                  <c:v>55000</c:v>
                </c:pt>
                <c:pt idx="3">
                  <c:v>60000</c:v>
                </c:pt>
              </c:numCache>
            </c:numRef>
          </c:xVal>
          <c:yVal>
            <c:numRef>
              <c:f>'Constraint Sizing Trade Studies'!$I$2:$I$5</c:f>
              <c:numCache>
                <c:formatCode>0.000</c:formatCode>
                <c:ptCount val="4"/>
                <c:pt idx="0">
                  <c:v>0.28100000000000003</c:v>
                </c:pt>
                <c:pt idx="1">
                  <c:v>0.35399999999999998</c:v>
                </c:pt>
                <c:pt idx="2">
                  <c:v>0.44700000000000001</c:v>
                </c:pt>
                <c:pt idx="3">
                  <c:v>0.58074880774873205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F5-49F4-A8C1-BD63ADC9D068}"/>
            </c:ext>
          </c:extLst>
        </c:ser>
        <c:ser>
          <c:idx val="1"/>
          <c:order val="1"/>
          <c:tx>
            <c:v>Alternate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 Trade Studies'!$H$2:$H$5</c:f>
              <c:numCache>
                <c:formatCode>General</c:formatCode>
                <c:ptCount val="4"/>
                <c:pt idx="0">
                  <c:v>45000</c:v>
                </c:pt>
                <c:pt idx="1">
                  <c:v>50000</c:v>
                </c:pt>
                <c:pt idx="2">
                  <c:v>55000</c:v>
                </c:pt>
                <c:pt idx="3">
                  <c:v>60000</c:v>
                </c:pt>
              </c:numCache>
            </c:numRef>
          </c:xVal>
          <c:yVal>
            <c:numRef>
              <c:f>'Constraint Sizing Trade Studies'!$J$2:$J$5</c:f>
              <c:numCache>
                <c:formatCode>0.000</c:formatCode>
                <c:ptCount val="4"/>
                <c:pt idx="0">
                  <c:v>0.26500000000000001</c:v>
                </c:pt>
                <c:pt idx="1">
                  <c:v>0.33299999999999996</c:v>
                </c:pt>
                <c:pt idx="2">
                  <c:v>0.42499999999999999</c:v>
                </c:pt>
                <c:pt idx="3">
                  <c:v>0.54407421746564999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F5-49F4-A8C1-BD63ADC9D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817920"/>
        <c:axId val="1254815008"/>
      </c:scatterChart>
      <c:valAx>
        <c:axId val="1254817920"/>
        <c:scaling>
          <c:orientation val="minMax"/>
          <c:max val="60000"/>
          <c:min val="45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h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5008"/>
        <c:crosses val="autoZero"/>
        <c:crossBetween val="midCat"/>
      </c:valAx>
      <c:valAx>
        <c:axId val="1254815008"/>
        <c:scaling>
          <c:orientation val="minMax"/>
          <c:max val="0.60000000000000009"/>
          <c:min val="0.2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T/W (~)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1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</a:t>
            </a:r>
            <a:r>
              <a:rPr lang="en-US" baseline="0"/>
              <a:t>-to-Weight Ratio (~) vs. Wing Loading (psf), All Performance Constraints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Standard Cruise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Sizing'!$B$31:$B$71</c:f>
              <c:numCache>
                <c:formatCode>General</c:formatCode>
                <c:ptCount val="41"/>
                <c:pt idx="0">
                  <c:v>0.92560840349830864</c:v>
                </c:pt>
                <c:pt idx="1">
                  <c:v>0.88618743297393021</c:v>
                </c:pt>
                <c:pt idx="2">
                  <c:v>0.85056696758034056</c:v>
                </c:pt>
                <c:pt idx="3">
                  <c:v>0.8182512892570023</c:v>
                </c:pt>
                <c:pt idx="4">
                  <c:v>0.7888272996201342</c:v>
                </c:pt>
                <c:pt idx="5">
                  <c:v>0.76194799602735941</c:v>
                </c:pt>
                <c:pt idx="6">
                  <c:v>0.73731976085820616</c:v>
                </c:pt>
                <c:pt idx="7">
                  <c:v>0.7146924753989381</c:v>
                </c:pt>
                <c:pt idx="8">
                  <c:v>0.69385175218063966</c:v>
                </c:pt>
                <c:pt idx="9">
                  <c:v>0.67461277441976164</c:v>
                </c:pt>
                <c:pt idx="10">
                  <c:v>0.65681536757056225</c:v>
                </c:pt>
                <c:pt idx="11">
                  <c:v>0.64032002477062122</c:v>
                </c:pt>
                <c:pt idx="12">
                  <c:v>0.62500467751532007</c:v>
                </c:pt>
                <c:pt idx="13">
                  <c:v>0.61076205348241908</c:v>
                </c:pt>
                <c:pt idx="14">
                  <c:v>0.59749750062288309</c:v>
                </c:pt>
                <c:pt idx="15">
                  <c:v>0.58512718426470911</c:v>
                </c:pt>
                <c:pt idx="16">
                  <c:v>0.5735765846994505</c:v>
                </c:pt>
                <c:pt idx="17">
                  <c:v>0.56277923840335742</c:v>
                </c:pt>
                <c:pt idx="18">
                  <c:v>0.55267567801307438</c:v>
                </c:pt>
                <c:pt idx="19">
                  <c:v>0.54321253538200076</c:v>
                </c:pt>
                <c:pt idx="20">
                  <c:v>0.53434177917819603</c:v>
                </c:pt>
                <c:pt idx="21">
                  <c:v>0.52602006405332324</c:v>
                </c:pt>
                <c:pt idx="22">
                  <c:v>0.5182081727874589</c:v>
                </c:pt>
                <c:pt idx="23">
                  <c:v>0.51087053627416013</c:v>
                </c:pt>
                <c:pt idx="24">
                  <c:v>0.50397481896211604</c:v>
                </c:pt>
                <c:pt idx="25">
                  <c:v>0.49749155957124286</c:v>
                </c:pt>
                <c:pt idx="26">
                  <c:v>0.49139385867189922</c:v>
                </c:pt>
                <c:pt idx="27">
                  <c:v>0.4856571061476041</c:v>
                </c:pt>
                <c:pt idx="28">
                  <c:v>0.48025874272491709</c:v>
                </c:pt>
                <c:pt idx="29">
                  <c:v>0.47517805070373986</c:v>
                </c:pt>
                <c:pt idx="30">
                  <c:v>0.47039596979998177</c:v>
                </c:pt>
                <c:pt idx="31">
                  <c:v>0.46589493465379467</c:v>
                </c:pt>
                <c:pt idx="32">
                  <c:v>0.46165873108685729</c:v>
                </c:pt>
                <c:pt idx="33">
                  <c:v>0.45767236863241934</c:v>
                </c:pt>
                <c:pt idx="34">
                  <c:v>0.45392196722867528</c:v>
                </c:pt>
                <c:pt idx="35">
                  <c:v>0.45039465627286029</c:v>
                </c:pt>
                <c:pt idx="36">
                  <c:v>0.4470784844909782</c:v>
                </c:pt>
                <c:pt idx="37">
                  <c:v>0.44396233929492684</c:v>
                </c:pt>
                <c:pt idx="38">
                  <c:v>0.44103587448199122</c:v>
                </c:pt>
                <c:pt idx="39">
                  <c:v>0.43828944528692804</c:v>
                </c:pt>
                <c:pt idx="40">
                  <c:v>0.43571404992884366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3-4212-BEFB-FC3F936B6AC0}"/>
            </c:ext>
          </c:extLst>
        </c:ser>
        <c:ser>
          <c:idx val="1"/>
          <c:order val="1"/>
          <c:tx>
            <c:v>Alternate Cruise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Sizing'!$D$31:$D$71</c:f>
              <c:numCache>
                <c:formatCode>General</c:formatCode>
                <c:ptCount val="41"/>
                <c:pt idx="0">
                  <c:v>0.9036993909214569</c:v>
                </c:pt>
                <c:pt idx="1">
                  <c:v>0.86475350335395829</c:v>
                </c:pt>
                <c:pt idx="2">
                  <c:v>0.82953847419504334</c:v>
                </c:pt>
                <c:pt idx="3">
                  <c:v>0.79756766973924531</c:v>
                </c:pt>
                <c:pt idx="4">
                  <c:v>0.7684355618986739</c:v>
                </c:pt>
                <c:pt idx="5">
                  <c:v>0.74180150707950288</c:v>
                </c:pt>
                <c:pt idx="6">
                  <c:v>0.71737726839464677</c:v>
                </c:pt>
                <c:pt idx="7">
                  <c:v>0.69491731071807084</c:v>
                </c:pt>
                <c:pt idx="8">
                  <c:v>0.67421117537031638</c:v>
                </c:pt>
                <c:pt idx="9">
                  <c:v>0.6550774324552987</c:v>
                </c:pt>
                <c:pt idx="10">
                  <c:v>0.63735884272974375</c:v>
                </c:pt>
                <c:pt idx="11">
                  <c:v>0.62091845588499428</c:v>
                </c:pt>
                <c:pt idx="12">
                  <c:v>0.60563644040097442</c:v>
                </c:pt>
                <c:pt idx="13">
                  <c:v>0.5914074897903453</c:v>
                </c:pt>
                <c:pt idx="14">
                  <c:v>0.57813868656427847</c:v>
                </c:pt>
                <c:pt idx="15">
                  <c:v>0.56574773237552511</c:v>
                </c:pt>
                <c:pt idx="16">
                  <c:v>0.55416147313764308</c:v>
                </c:pt>
                <c:pt idx="17">
                  <c:v>0.54331466331407485</c:v>
                </c:pt>
                <c:pt idx="18">
                  <c:v>0.53314892531948044</c:v>
                </c:pt>
                <c:pt idx="19">
                  <c:v>0.5236118690131687</c:v>
                </c:pt>
                <c:pt idx="20">
                  <c:v>0.51465634326851917</c:v>
                </c:pt>
                <c:pt idx="21">
                  <c:v>0.50623979706882427</c:v>
                </c:pt>
                <c:pt idx="22">
                  <c:v>0.49832373187515921</c:v>
                </c:pt>
                <c:pt idx="23">
                  <c:v>0.4908732304080331</c:v>
                </c:pt>
                <c:pt idx="24">
                  <c:v>0.48385654968609132</c:v>
                </c:pt>
                <c:pt idx="25">
                  <c:v>0.47724476832632129</c:v>
                </c:pt>
                <c:pt idx="26">
                  <c:v>0.47101147984858172</c:v>
                </c:pt>
                <c:pt idx="27">
                  <c:v>0.46513252513274289</c:v>
                </c:pt>
                <c:pt idx="28">
                  <c:v>0.45958575831868576</c:v>
                </c:pt>
                <c:pt idx="29">
                  <c:v>0.45435084137160758</c:v>
                </c:pt>
                <c:pt idx="30">
                  <c:v>0.44940906329948965</c:v>
                </c:pt>
                <c:pt idx="31">
                  <c:v>0.44474318063909879</c:v>
                </c:pt>
                <c:pt idx="32">
                  <c:v>0.44033727634745112</c:v>
                </c:pt>
                <c:pt idx="33">
                  <c:v>0.43617663466782497</c:v>
                </c:pt>
                <c:pt idx="34">
                  <c:v>0.43224762989955257</c:v>
                </c:pt>
                <c:pt idx="35">
                  <c:v>0.42853762730201478</c:v>
                </c:pt>
                <c:pt idx="36">
                  <c:v>0.42503489461606492</c:v>
                </c:pt>
                <c:pt idx="37">
                  <c:v>0.42172852289898805</c:v>
                </c:pt>
                <c:pt idx="38">
                  <c:v>0.41860835554894565</c:v>
                </c:pt>
                <c:pt idx="39">
                  <c:v>0.41566492454727505</c:v>
                </c:pt>
                <c:pt idx="40">
                  <c:v>0.41288939307655781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3-4212-BEFB-FC3F936B6AC0}"/>
            </c:ext>
          </c:extLst>
        </c:ser>
        <c:ser>
          <c:idx val="2"/>
          <c:order val="2"/>
          <c:tx>
            <c:v>Slow Cruise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Sizing'!$I$31:$I$71</c:f>
              <c:numCache>
                <c:formatCode>General</c:formatCode>
                <c:ptCount val="41"/>
                <c:pt idx="0">
                  <c:v>0.34246645010614796</c:v>
                </c:pt>
                <c:pt idx="1">
                  <c:v>0.33540126136338844</c:v>
                </c:pt>
                <c:pt idx="2">
                  <c:v>0.32940873387331471</c:v>
                </c:pt>
                <c:pt idx="3">
                  <c:v>0.32434895529861996</c:v>
                </c:pt>
                <c:pt idx="4">
                  <c:v>0.32010533202488195</c:v>
                </c:pt>
                <c:pt idx="5">
                  <c:v>0.31657992541598579</c:v>
                </c:pt>
                <c:pt idx="6">
                  <c:v>0.31368986431829587</c:v>
                </c:pt>
                <c:pt idx="7">
                  <c:v>0.31136455478612268</c:v>
                </c:pt>
                <c:pt idx="8">
                  <c:v>0.30954348772316076</c:v>
                </c:pt>
                <c:pt idx="9">
                  <c:v>0.30817450011535386</c:v>
                </c:pt>
                <c:pt idx="10">
                  <c:v>0.30721238401718648</c:v>
                </c:pt>
                <c:pt idx="11">
                  <c:v>0.30661776476643537</c:v>
                </c:pt>
                <c:pt idx="12">
                  <c:v>0.30635618953365523</c:v>
                </c:pt>
                <c:pt idx="13">
                  <c:v>0.30639738158993973</c:v>
                </c:pt>
                <c:pt idx="14">
                  <c:v>0.30671462617448897</c:v>
                </c:pt>
                <c:pt idx="15">
                  <c:v>0.30728426164202299</c:v>
                </c:pt>
                <c:pt idx="16">
                  <c:v>0.30808525541896004</c:v>
                </c:pt>
                <c:pt idx="17">
                  <c:v>0.30909884872345639</c:v>
                </c:pt>
                <c:pt idx="18">
                  <c:v>0.31030825738228374</c:v>
                </c:pt>
                <c:pt idx="19">
                  <c:v>0.31169841867587811</c:v>
                </c:pt>
                <c:pt idx="20">
                  <c:v>0.31325577615663208</c:v>
                </c:pt>
                <c:pt idx="21">
                  <c:v>0.31496809595719238</c:v>
                </c:pt>
                <c:pt idx="22">
                  <c:v>0.31682430934043021</c:v>
                </c:pt>
                <c:pt idx="23">
                  <c:v>0.31881437721918171</c:v>
                </c:pt>
                <c:pt idx="24">
                  <c:v>0.32092917315057118</c:v>
                </c:pt>
                <c:pt idx="25">
                  <c:v>0.32316038193108937</c:v>
                </c:pt>
                <c:pt idx="26">
                  <c:v>0.32550041141840175</c:v>
                </c:pt>
                <c:pt idx="27">
                  <c:v>0.32794231560994702</c:v>
                </c:pt>
                <c:pt idx="28">
                  <c:v>0.3304797273367106</c:v>
                </c:pt>
                <c:pt idx="29">
                  <c:v>0.33310679919857716</c:v>
                </c:pt>
                <c:pt idx="30">
                  <c:v>0.33581815158744038</c:v>
                </c:pt>
                <c:pt idx="31">
                  <c:v>0.33860882682524185</c:v>
                </c:pt>
                <c:pt idx="32">
                  <c:v>0.34147424859377334</c:v>
                </c:pt>
                <c:pt idx="33">
                  <c:v>0.34441018595733336</c:v>
                </c:pt>
                <c:pt idx="34">
                  <c:v>0.34741272138286461</c:v>
                </c:pt>
                <c:pt idx="35">
                  <c:v>0.35047822224880526</c:v>
                </c:pt>
                <c:pt idx="36">
                  <c:v>0.35360331540656159</c:v>
                </c:pt>
                <c:pt idx="37">
                  <c:v>0.35678486441972257</c:v>
                </c:pt>
                <c:pt idx="38">
                  <c:v>0.36001994915783608</c:v>
                </c:pt>
                <c:pt idx="39">
                  <c:v>0.36330584746539618</c:v>
                </c:pt>
                <c:pt idx="40">
                  <c:v>0.36664001866393026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3-4212-BEFB-FC3F936B6AC0}"/>
            </c:ext>
          </c:extLst>
        </c:ser>
        <c:ser>
          <c:idx val="3"/>
          <c:order val="3"/>
          <c:tx>
            <c:v>Slow Cruise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Sizing'!$E$31:$E$71</c:f>
              <c:numCache>
                <c:formatCode>General</c:formatCode>
                <c:ptCount val="41"/>
                <c:pt idx="0">
                  <c:v>0.28774395712411777</c:v>
                </c:pt>
                <c:pt idx="1">
                  <c:v>0.27794264373225663</c:v>
                </c:pt>
                <c:pt idx="2">
                  <c:v>0.2692139915930814</c:v>
                </c:pt>
                <c:pt idx="3">
                  <c:v>0.26141808836928526</c:v>
                </c:pt>
                <c:pt idx="4">
                  <c:v>0.2544383404464457</c:v>
                </c:pt>
                <c:pt idx="5">
                  <c:v>0.24817680918844803</c:v>
                </c:pt>
                <c:pt idx="6">
                  <c:v>0.24255062344165662</c:v>
                </c:pt>
                <c:pt idx="7">
                  <c:v>0.23748918926038184</c:v>
                </c:pt>
                <c:pt idx="8">
                  <c:v>0.2329319975483185</c:v>
                </c:pt>
                <c:pt idx="9">
                  <c:v>0.22882688529141007</c:v>
                </c:pt>
                <c:pt idx="10">
                  <c:v>0.22512864454414111</c:v>
                </c:pt>
                <c:pt idx="11">
                  <c:v>0.2217979006442885</c:v>
                </c:pt>
                <c:pt idx="12">
                  <c:v>0.21880020076240689</c:v>
                </c:pt>
                <c:pt idx="13">
                  <c:v>0.21610526816958983</c:v>
                </c:pt>
                <c:pt idx="14">
                  <c:v>0.21368638810503754</c:v>
                </c:pt>
                <c:pt idx="15">
                  <c:v>0.21151989892347012</c:v>
                </c:pt>
                <c:pt idx="16">
                  <c:v>0.2095847680513056</c:v>
                </c:pt>
                <c:pt idx="17">
                  <c:v>0.20786223670670045</c:v>
                </c:pt>
                <c:pt idx="18">
                  <c:v>0.20633552071642627</c:v>
                </c:pt>
                <c:pt idx="19">
                  <c:v>0.2049895573609192</c:v>
                </c:pt>
                <c:pt idx="20">
                  <c:v>0.20381079019257159</c:v>
                </c:pt>
                <c:pt idx="21">
                  <c:v>0.20278698534403045</c:v>
                </c:pt>
                <c:pt idx="22">
                  <c:v>0.20190707407816666</c:v>
                </c:pt>
                <c:pt idx="23">
                  <c:v>0.20116101730781674</c:v>
                </c:pt>
                <c:pt idx="24">
                  <c:v>0.20053968859010471</c:v>
                </c:pt>
                <c:pt idx="25">
                  <c:v>0.20003477272152137</c:v>
                </c:pt>
                <c:pt idx="26">
                  <c:v>0.19963867755973227</c:v>
                </c:pt>
                <c:pt idx="27">
                  <c:v>0.19934445710217594</c:v>
                </c:pt>
                <c:pt idx="28">
                  <c:v>0.1991457441798381</c:v>
                </c:pt>
                <c:pt idx="29">
                  <c:v>0.19903669139260319</c:v>
                </c:pt>
                <c:pt idx="30">
                  <c:v>0.19901191913236493</c:v>
                </c:pt>
                <c:pt idx="31">
                  <c:v>0.19906646972106476</c:v>
                </c:pt>
                <c:pt idx="32">
                  <c:v>0.19919576684049484</c:v>
                </c:pt>
                <c:pt idx="33">
                  <c:v>0.19939557955495335</c:v>
                </c:pt>
                <c:pt idx="34">
                  <c:v>0.19966199033138307</c:v>
                </c:pt>
                <c:pt idx="35">
                  <c:v>0.19999136654822217</c:v>
                </c:pt>
                <c:pt idx="36">
                  <c:v>0.20038033505687702</c:v>
                </c:pt>
                <c:pt idx="37">
                  <c:v>0.20082575942093647</c:v>
                </c:pt>
                <c:pt idx="38">
                  <c:v>0.20132471950994846</c:v>
                </c:pt>
                <c:pt idx="39">
                  <c:v>0.201874493168407</c:v>
                </c:pt>
                <c:pt idx="40">
                  <c:v>0.20247253971783963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93-4212-BEFB-FC3F936B6AC0}"/>
            </c:ext>
          </c:extLst>
        </c:ser>
        <c:ser>
          <c:idx val="4"/>
          <c:order val="4"/>
          <c:tx>
            <c:v>Climb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Sizing'!$C$31:$C$71</c:f>
              <c:numCache>
                <c:formatCode>General</c:formatCode>
                <c:ptCount val="41"/>
                <c:pt idx="0">
                  <c:v>0.47952272042477251</c:v>
                </c:pt>
                <c:pt idx="1">
                  <c:v>0.46874839768881799</c:v>
                </c:pt>
                <c:pt idx="2">
                  <c:v>0.4591864699395336</c:v>
                </c:pt>
                <c:pt idx="3">
                  <c:v>0.45067879870039701</c:v>
                </c:pt>
                <c:pt idx="4">
                  <c:v>0.4430936019076398</c:v>
                </c:pt>
                <c:pt idx="5">
                  <c:v>0.43632018262769651</c:v>
                </c:pt>
                <c:pt idx="6">
                  <c:v>0.43026487422447296</c:v>
                </c:pt>
                <c:pt idx="7">
                  <c:v>0.42484788660055617</c:v>
                </c:pt>
                <c:pt idx="8">
                  <c:v>0.42000082824387741</c:v>
                </c:pt>
                <c:pt idx="9">
                  <c:v>0.41566474095437744</c:v>
                </c:pt>
                <c:pt idx="10">
                  <c:v>0.41178852762533869</c:v>
                </c:pt>
                <c:pt idx="11">
                  <c:v>0.40832768432510336</c:v>
                </c:pt>
                <c:pt idx="12">
                  <c:v>0.40524327011347122</c:v>
                </c:pt>
                <c:pt idx="13">
                  <c:v>0.40250106416420572</c:v>
                </c:pt>
                <c:pt idx="14">
                  <c:v>0.40007087163062721</c:v>
                </c:pt>
                <c:pt idx="15">
                  <c:v>0.39792594850567709</c:v>
                </c:pt>
                <c:pt idx="16">
                  <c:v>0.39604252233863607</c:v>
                </c:pt>
                <c:pt idx="17">
                  <c:v>0.39439939067345758</c:v>
                </c:pt>
                <c:pt idx="18">
                  <c:v>0.39297758289157358</c:v>
                </c:pt>
                <c:pt idx="19">
                  <c:v>0.39176007407888436</c:v>
                </c:pt>
                <c:pt idx="20">
                  <c:v>0.39073154181270048</c:v>
                </c:pt>
                <c:pt idx="21">
                  <c:v>0.38987815854083852</c:v>
                </c:pt>
                <c:pt idx="22">
                  <c:v>0.38918741362084691</c:v>
                </c:pt>
                <c:pt idx="23">
                  <c:v>0.38864796019096731</c:v>
                </c:pt>
                <c:pt idx="24">
                  <c:v>0.38824948292232836</c:v>
                </c:pt>
                <c:pt idx="25">
                  <c:v>0.38798258340418074</c:v>
                </c:pt>
                <c:pt idx="26">
                  <c:v>0.38783868047888365</c:v>
                </c:pt>
                <c:pt idx="27">
                  <c:v>0.38780992330008507</c:v>
                </c:pt>
                <c:pt idx="28">
                  <c:v>0.38788911525862868</c:v>
                </c:pt>
                <c:pt idx="29">
                  <c:v>0.38806964722365689</c:v>
                </c:pt>
                <c:pt idx="30">
                  <c:v>0.38834543879478067</c:v>
                </c:pt>
                <c:pt idx="31">
                  <c:v>0.38871088646575891</c:v>
                </c:pt>
                <c:pt idx="32">
                  <c:v>0.38916081776929257</c:v>
                </c:pt>
                <c:pt idx="33">
                  <c:v>0.38969045061297269</c:v>
                </c:pt>
                <c:pt idx="34">
                  <c:v>0.39029535713345781</c:v>
                </c:pt>
                <c:pt idx="35">
                  <c:v>0.39097143149383135</c:v>
                </c:pt>
                <c:pt idx="36">
                  <c:v>0.39171486113124204</c:v>
                </c:pt>
                <c:pt idx="37">
                  <c:v>0.39252210103110907</c:v>
                </c:pt>
                <c:pt idx="38">
                  <c:v>0.39338985066261567</c:v>
                </c:pt>
                <c:pt idx="39">
                  <c:v>0.39431503325974637</c:v>
                </c:pt>
                <c:pt idx="40">
                  <c:v>0.3952947771742199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93-4212-BEFB-FC3F936B6AC0}"/>
            </c:ext>
          </c:extLst>
        </c:ser>
        <c:ser>
          <c:idx val="5"/>
          <c:order val="5"/>
          <c:tx>
            <c:v>6500 ft Takeoff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Sizing'!$H$31:$H$71</c:f>
              <c:numCache>
                <c:formatCode>0.000</c:formatCode>
                <c:ptCount val="41"/>
                <c:pt idx="0">
                  <c:v>0.23383717449865307</c:v>
                </c:pt>
                <c:pt idx="1">
                  <c:v>0.24552903322358574</c:v>
                </c:pt>
                <c:pt idx="2">
                  <c:v>0.25722089194851838</c:v>
                </c:pt>
                <c:pt idx="3">
                  <c:v>0.26891275067345105</c:v>
                </c:pt>
                <c:pt idx="4">
                  <c:v>0.28060460939838372</c:v>
                </c:pt>
                <c:pt idx="5">
                  <c:v>0.29229646812331633</c:v>
                </c:pt>
                <c:pt idx="6">
                  <c:v>0.303988326848249</c:v>
                </c:pt>
                <c:pt idx="7">
                  <c:v>0.31568018557318167</c:v>
                </c:pt>
                <c:pt idx="8">
                  <c:v>0.32737204429811434</c:v>
                </c:pt>
                <c:pt idx="9">
                  <c:v>0.33906390302304695</c:v>
                </c:pt>
                <c:pt idx="10">
                  <c:v>0.35075576174797962</c:v>
                </c:pt>
                <c:pt idx="11">
                  <c:v>0.36244762047291229</c:v>
                </c:pt>
                <c:pt idx="12">
                  <c:v>0.3741394791978449</c:v>
                </c:pt>
                <c:pt idx="13">
                  <c:v>0.38583133792277757</c:v>
                </c:pt>
                <c:pt idx="14">
                  <c:v>0.39752319664771024</c:v>
                </c:pt>
                <c:pt idx="15">
                  <c:v>0.40921505537264291</c:v>
                </c:pt>
                <c:pt idx="16">
                  <c:v>0.42090691409757552</c:v>
                </c:pt>
                <c:pt idx="17">
                  <c:v>0.43259877282250819</c:v>
                </c:pt>
                <c:pt idx="18">
                  <c:v>0.44429063154744086</c:v>
                </c:pt>
                <c:pt idx="19">
                  <c:v>0.45598249027237353</c:v>
                </c:pt>
                <c:pt idx="20">
                  <c:v>0.46767434899730614</c:v>
                </c:pt>
                <c:pt idx="21">
                  <c:v>0.47936620772223881</c:v>
                </c:pt>
                <c:pt idx="22">
                  <c:v>0.49105806644717148</c:v>
                </c:pt>
                <c:pt idx="23">
                  <c:v>0.50274992517210415</c:v>
                </c:pt>
                <c:pt idx="24">
                  <c:v>0.51444178389703676</c:v>
                </c:pt>
                <c:pt idx="25">
                  <c:v>0.52613364262196949</c:v>
                </c:pt>
                <c:pt idx="26">
                  <c:v>0.5378255013469021</c:v>
                </c:pt>
                <c:pt idx="27">
                  <c:v>0.54951736007183472</c:v>
                </c:pt>
                <c:pt idx="28">
                  <c:v>0.56120921879676744</c:v>
                </c:pt>
                <c:pt idx="29">
                  <c:v>0.57290107752170005</c:v>
                </c:pt>
                <c:pt idx="30">
                  <c:v>0.58459293624663267</c:v>
                </c:pt>
                <c:pt idx="31">
                  <c:v>0.59628479497156539</c:v>
                </c:pt>
                <c:pt idx="32">
                  <c:v>0.607976653696498</c:v>
                </c:pt>
                <c:pt idx="33">
                  <c:v>0.61966851242143062</c:v>
                </c:pt>
                <c:pt idx="34">
                  <c:v>0.63136037114636334</c:v>
                </c:pt>
                <c:pt idx="35">
                  <c:v>0.64305222987129596</c:v>
                </c:pt>
                <c:pt idx="36">
                  <c:v>0.65474408859622868</c:v>
                </c:pt>
                <c:pt idx="37">
                  <c:v>0.66643594732116129</c:v>
                </c:pt>
                <c:pt idx="38">
                  <c:v>0.67812780604609391</c:v>
                </c:pt>
                <c:pt idx="39">
                  <c:v>0.68981966477102663</c:v>
                </c:pt>
                <c:pt idx="40">
                  <c:v>0.70151152349595924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93-4212-BEFB-FC3F936B6AC0}"/>
            </c:ext>
          </c:extLst>
        </c:ser>
        <c:ser>
          <c:idx val="7"/>
          <c:order val="6"/>
          <c:tx>
            <c:v>8500 ft Takeoff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Sizing'!$F$31:$F$71</c:f>
              <c:numCache>
                <c:formatCode>0.000</c:formatCode>
                <c:ptCount val="41"/>
                <c:pt idx="0">
                  <c:v>0.1788166628519112</c:v>
                </c:pt>
                <c:pt idx="1">
                  <c:v>0.18775749599450675</c:v>
                </c:pt>
                <c:pt idx="2">
                  <c:v>0.19669832913710231</c:v>
                </c:pt>
                <c:pt idx="3">
                  <c:v>0.20563916227969786</c:v>
                </c:pt>
                <c:pt idx="4">
                  <c:v>0.21457999542229342</c:v>
                </c:pt>
                <c:pt idx="5">
                  <c:v>0.22352082856488897</c:v>
                </c:pt>
                <c:pt idx="6">
                  <c:v>0.23246166170748453</c:v>
                </c:pt>
                <c:pt idx="7">
                  <c:v>0.24140249485008011</c:v>
                </c:pt>
                <c:pt idx="8">
                  <c:v>0.25034332799267567</c:v>
                </c:pt>
                <c:pt idx="9">
                  <c:v>0.2592841611352712</c:v>
                </c:pt>
                <c:pt idx="10">
                  <c:v>0.26822499427786678</c:v>
                </c:pt>
                <c:pt idx="11">
                  <c:v>0.27716582742046236</c:v>
                </c:pt>
                <c:pt idx="12">
                  <c:v>0.28610666056305789</c:v>
                </c:pt>
                <c:pt idx="13">
                  <c:v>0.29504749370565347</c:v>
                </c:pt>
                <c:pt idx="14">
                  <c:v>0.303988326848249</c:v>
                </c:pt>
                <c:pt idx="15">
                  <c:v>0.31292915999084459</c:v>
                </c:pt>
                <c:pt idx="16">
                  <c:v>0.32186999313344011</c:v>
                </c:pt>
                <c:pt idx="17">
                  <c:v>0.3308108262760357</c:v>
                </c:pt>
                <c:pt idx="18">
                  <c:v>0.33975165941863128</c:v>
                </c:pt>
                <c:pt idx="19">
                  <c:v>0.34869249256122681</c:v>
                </c:pt>
                <c:pt idx="20">
                  <c:v>0.35763332570382239</c:v>
                </c:pt>
                <c:pt idx="21">
                  <c:v>0.36657415884641792</c:v>
                </c:pt>
                <c:pt idx="22">
                  <c:v>0.3755149919890135</c:v>
                </c:pt>
                <c:pt idx="23">
                  <c:v>0.38445582513160903</c:v>
                </c:pt>
                <c:pt idx="24">
                  <c:v>0.39339665827420461</c:v>
                </c:pt>
                <c:pt idx="25">
                  <c:v>0.40233749141680014</c:v>
                </c:pt>
                <c:pt idx="26">
                  <c:v>0.41127832455939572</c:v>
                </c:pt>
                <c:pt idx="27">
                  <c:v>0.42021915770199131</c:v>
                </c:pt>
                <c:pt idx="28">
                  <c:v>0.42915999084458684</c:v>
                </c:pt>
                <c:pt idx="29">
                  <c:v>0.43810082398718242</c:v>
                </c:pt>
                <c:pt idx="30">
                  <c:v>0.44704165712977795</c:v>
                </c:pt>
                <c:pt idx="31">
                  <c:v>0.45598249027237353</c:v>
                </c:pt>
                <c:pt idx="32">
                  <c:v>0.46492332341496906</c:v>
                </c:pt>
                <c:pt idx="33">
                  <c:v>0.47386415655756464</c:v>
                </c:pt>
                <c:pt idx="34">
                  <c:v>0.48280498970016023</c:v>
                </c:pt>
                <c:pt idx="35">
                  <c:v>0.49174582284275575</c:v>
                </c:pt>
                <c:pt idx="36">
                  <c:v>0.50068665598535134</c:v>
                </c:pt>
                <c:pt idx="37">
                  <c:v>0.50962748912794686</c:v>
                </c:pt>
                <c:pt idx="38">
                  <c:v>0.51856832227054239</c:v>
                </c:pt>
                <c:pt idx="39">
                  <c:v>0.52750915541313803</c:v>
                </c:pt>
                <c:pt idx="40">
                  <c:v>0.53644998855573356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5F-4BF8-A4D6-D21E81B892AE}"/>
            </c:ext>
          </c:extLst>
        </c:ser>
        <c:ser>
          <c:idx val="6"/>
          <c:order val="7"/>
          <c:tx>
            <c:v>Approach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Sizing'!$G$31:$G$36</c:f>
              <c:numCache>
                <c:formatCode>General</c:formatCode>
                <c:ptCount val="6"/>
                <c:pt idx="0">
                  <c:v>120.26542050516562</c:v>
                </c:pt>
                <c:pt idx="1">
                  <c:v>120.26542050516562</c:v>
                </c:pt>
                <c:pt idx="2">
                  <c:v>120.26542050516562</c:v>
                </c:pt>
                <c:pt idx="3">
                  <c:v>120.26542050516562</c:v>
                </c:pt>
                <c:pt idx="4">
                  <c:v>120.26542050516562</c:v>
                </c:pt>
                <c:pt idx="5">
                  <c:v>120.26542050516562</c:v>
                </c:pt>
              </c:numCache>
            </c:numRef>
          </c:xVal>
          <c:yVal>
            <c:numRef>
              <c:f>'[1]Constraint Sizing'!$J$31:$J$36</c:f>
              <c:numCache>
                <c:formatCode>General</c:formatCode>
                <c:ptCount val="6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93-4212-BEFB-FC3F936B6AC0}"/>
            </c:ext>
          </c:extLst>
        </c:ser>
        <c:ser>
          <c:idx val="8"/>
          <c:order val="8"/>
          <c:tx>
            <c:v>Design Point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'[1]Constraint Sizing'!$J$11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Ref>
              <c:f>'[1]Constraint Sizing'!$I$11</c:f>
              <c:numCache>
                <c:formatCode>General</c:formatCode>
                <c:ptCount val="1"/>
                <c:pt idx="0">
                  <c:v>0.52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93-4212-BEFB-FC3F936B6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35208"/>
        <c:axId val="327503408"/>
      </c:scatterChart>
      <c:valAx>
        <c:axId val="511935208"/>
        <c:scaling>
          <c:orientation val="minMax"/>
          <c:max val="150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Wing</a:t>
                </a:r>
                <a:r>
                  <a:rPr lang="en-US" baseline="0"/>
                  <a:t> Loading Wto/S, (psf)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408"/>
        <c:crosses val="autoZero"/>
        <c:crossBetween val="midCat"/>
      </c:valAx>
      <c:valAx>
        <c:axId val="327503408"/>
        <c:scaling>
          <c:orientation val="minMax"/>
          <c:max val="0.7500000000000001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Thrust-to-Weight</a:t>
                </a:r>
                <a:r>
                  <a:rPr lang="en-US" baseline="0"/>
                  <a:t> Ratio Tsl/Wto (~)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</a:t>
            </a:r>
            <a:r>
              <a:rPr lang="en-US" baseline="0"/>
              <a:t>-to-Weight Ratio (~) vs. Wing Loading (psf), All Performance Constraints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Standard Cruise at 60,000 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(2)'!$B$31:$B$71</c:f>
              <c:numCache>
                <c:formatCode>General</c:formatCode>
                <c:ptCount val="41"/>
                <c:pt idx="0">
                  <c:v>0.92560840349830864</c:v>
                </c:pt>
                <c:pt idx="1">
                  <c:v>0.88618743297393021</c:v>
                </c:pt>
                <c:pt idx="2">
                  <c:v>0.85056696758034056</c:v>
                </c:pt>
                <c:pt idx="3">
                  <c:v>0.8182512892570023</c:v>
                </c:pt>
                <c:pt idx="4">
                  <c:v>0.7888272996201342</c:v>
                </c:pt>
                <c:pt idx="5">
                  <c:v>0.76194799602735941</c:v>
                </c:pt>
                <c:pt idx="6">
                  <c:v>0.73731976085820616</c:v>
                </c:pt>
                <c:pt idx="7">
                  <c:v>0.7146924753989381</c:v>
                </c:pt>
                <c:pt idx="8">
                  <c:v>0.69385175218063966</c:v>
                </c:pt>
                <c:pt idx="9">
                  <c:v>0.67461277441976164</c:v>
                </c:pt>
                <c:pt idx="10">
                  <c:v>0.65681536757056225</c:v>
                </c:pt>
                <c:pt idx="11">
                  <c:v>0.64032002477062122</c:v>
                </c:pt>
                <c:pt idx="12">
                  <c:v>0.62500467751532007</c:v>
                </c:pt>
                <c:pt idx="13">
                  <c:v>0.61076205348241908</c:v>
                </c:pt>
                <c:pt idx="14">
                  <c:v>0.59749750062288309</c:v>
                </c:pt>
                <c:pt idx="15">
                  <c:v>0.58512718426470911</c:v>
                </c:pt>
                <c:pt idx="16">
                  <c:v>0.5735765846994505</c:v>
                </c:pt>
                <c:pt idx="17">
                  <c:v>0.56277923840335742</c:v>
                </c:pt>
                <c:pt idx="18">
                  <c:v>0.55267567801307438</c:v>
                </c:pt>
                <c:pt idx="19">
                  <c:v>0.54321253538200076</c:v>
                </c:pt>
                <c:pt idx="20">
                  <c:v>0.53434177917819603</c:v>
                </c:pt>
                <c:pt idx="21">
                  <c:v>0.52602006405332324</c:v>
                </c:pt>
                <c:pt idx="22">
                  <c:v>0.5182081727874589</c:v>
                </c:pt>
                <c:pt idx="23">
                  <c:v>0.51087053627416013</c:v>
                </c:pt>
                <c:pt idx="24">
                  <c:v>0.50397481896211604</c:v>
                </c:pt>
                <c:pt idx="25">
                  <c:v>0.49749155957124286</c:v>
                </c:pt>
                <c:pt idx="26">
                  <c:v>0.49139385867189922</c:v>
                </c:pt>
                <c:pt idx="27">
                  <c:v>0.4856571061476041</c:v>
                </c:pt>
                <c:pt idx="28">
                  <c:v>0.48025874272491709</c:v>
                </c:pt>
                <c:pt idx="29">
                  <c:v>0.47517805070373986</c:v>
                </c:pt>
                <c:pt idx="30">
                  <c:v>0.47039596979998177</c:v>
                </c:pt>
                <c:pt idx="31">
                  <c:v>0.46589493465379467</c:v>
                </c:pt>
                <c:pt idx="32">
                  <c:v>0.46165873108685729</c:v>
                </c:pt>
                <c:pt idx="33">
                  <c:v>0.45767236863241934</c:v>
                </c:pt>
                <c:pt idx="34">
                  <c:v>0.45392196722867528</c:v>
                </c:pt>
                <c:pt idx="35">
                  <c:v>0.45039465627286029</c:v>
                </c:pt>
                <c:pt idx="36">
                  <c:v>0.4470784844909782</c:v>
                </c:pt>
                <c:pt idx="37">
                  <c:v>0.44396233929492684</c:v>
                </c:pt>
                <c:pt idx="38">
                  <c:v>0.44103587448199122</c:v>
                </c:pt>
                <c:pt idx="39">
                  <c:v>0.43828944528692804</c:v>
                </c:pt>
                <c:pt idx="40">
                  <c:v>0.43571404992884366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7C-4F21-A98C-0D68EF59C0CC}"/>
            </c:ext>
          </c:extLst>
        </c:ser>
        <c:ser>
          <c:idx val="1"/>
          <c:order val="1"/>
          <c:tx>
            <c:v>Alternate Cruise at 60,000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(2)'!$D$31:$D$71</c:f>
              <c:numCache>
                <c:formatCode>General</c:formatCode>
                <c:ptCount val="41"/>
                <c:pt idx="0">
                  <c:v>0.9036993909214569</c:v>
                </c:pt>
                <c:pt idx="1">
                  <c:v>0.86475350335395829</c:v>
                </c:pt>
                <c:pt idx="2">
                  <c:v>0.82953847419504334</c:v>
                </c:pt>
                <c:pt idx="3">
                  <c:v>0.79756766973924531</c:v>
                </c:pt>
                <c:pt idx="4">
                  <c:v>0.7684355618986739</c:v>
                </c:pt>
                <c:pt idx="5">
                  <c:v>0.74180150707950288</c:v>
                </c:pt>
                <c:pt idx="6">
                  <c:v>0.71737726839464677</c:v>
                </c:pt>
                <c:pt idx="7">
                  <c:v>0.69491731071807084</c:v>
                </c:pt>
                <c:pt idx="8">
                  <c:v>0.67421117537031638</c:v>
                </c:pt>
                <c:pt idx="9">
                  <c:v>0.6550774324552987</c:v>
                </c:pt>
                <c:pt idx="10">
                  <c:v>0.63735884272974375</c:v>
                </c:pt>
                <c:pt idx="11">
                  <c:v>0.62091845588499428</c:v>
                </c:pt>
                <c:pt idx="12">
                  <c:v>0.60563644040097442</c:v>
                </c:pt>
                <c:pt idx="13">
                  <c:v>0.5914074897903453</c:v>
                </c:pt>
                <c:pt idx="14">
                  <c:v>0.57813868656427847</c:v>
                </c:pt>
                <c:pt idx="15">
                  <c:v>0.56574773237552511</c:v>
                </c:pt>
                <c:pt idx="16">
                  <c:v>0.55416147313764308</c:v>
                </c:pt>
                <c:pt idx="17">
                  <c:v>0.54331466331407485</c:v>
                </c:pt>
                <c:pt idx="18">
                  <c:v>0.53314892531948044</c:v>
                </c:pt>
                <c:pt idx="19">
                  <c:v>0.5236118690131687</c:v>
                </c:pt>
                <c:pt idx="20">
                  <c:v>0.51465634326851917</c:v>
                </c:pt>
                <c:pt idx="21">
                  <c:v>0.50623979706882427</c:v>
                </c:pt>
                <c:pt idx="22">
                  <c:v>0.49832373187515921</c:v>
                </c:pt>
                <c:pt idx="23">
                  <c:v>0.4908732304080331</c:v>
                </c:pt>
                <c:pt idx="24">
                  <c:v>0.48385654968609132</c:v>
                </c:pt>
                <c:pt idx="25">
                  <c:v>0.47724476832632129</c:v>
                </c:pt>
                <c:pt idx="26">
                  <c:v>0.47101147984858172</c:v>
                </c:pt>
                <c:pt idx="27">
                  <c:v>0.46513252513274289</c:v>
                </c:pt>
                <c:pt idx="28">
                  <c:v>0.45958575831868576</c:v>
                </c:pt>
                <c:pt idx="29">
                  <c:v>0.45435084137160758</c:v>
                </c:pt>
                <c:pt idx="30">
                  <c:v>0.44940906329948965</c:v>
                </c:pt>
                <c:pt idx="31">
                  <c:v>0.44474318063909879</c:v>
                </c:pt>
                <c:pt idx="32">
                  <c:v>0.44033727634745112</c:v>
                </c:pt>
                <c:pt idx="33">
                  <c:v>0.43617663466782497</c:v>
                </c:pt>
                <c:pt idx="34">
                  <c:v>0.43224762989955257</c:v>
                </c:pt>
                <c:pt idx="35">
                  <c:v>0.42853762730201478</c:v>
                </c:pt>
                <c:pt idx="36">
                  <c:v>0.42503489461606492</c:v>
                </c:pt>
                <c:pt idx="37">
                  <c:v>0.42172852289898805</c:v>
                </c:pt>
                <c:pt idx="38">
                  <c:v>0.41860835554894565</c:v>
                </c:pt>
                <c:pt idx="39">
                  <c:v>0.41566492454727505</c:v>
                </c:pt>
                <c:pt idx="40">
                  <c:v>0.41288939307655781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7C-4F21-A98C-0D68EF59C0CC}"/>
            </c:ext>
          </c:extLst>
        </c:ser>
        <c:ser>
          <c:idx val="9"/>
          <c:order val="2"/>
          <c:tx>
            <c:v>Alternate Cruise at 55,000 ft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Sizing'!$D$31:$D$71</c:f>
              <c:numCache>
                <c:formatCode>General</c:formatCode>
                <c:ptCount val="41"/>
                <c:pt idx="0">
                  <c:v>0.65102723599557888</c:v>
                </c:pt>
                <c:pt idx="1">
                  <c:v>0.623420637690005</c:v>
                </c:pt>
                <c:pt idx="2">
                  <c:v>0.59844405245197452</c:v>
                </c:pt>
                <c:pt idx="3">
                  <c:v>0.57575443509876456</c:v>
                </c:pt>
                <c:pt idx="4">
                  <c:v>0.5550659146447724</c:v>
                </c:pt>
                <c:pt idx="5">
                  <c:v>0.53613835946209165</c:v>
                </c:pt>
                <c:pt idx="6">
                  <c:v>0.51876858125018677</c:v>
                </c:pt>
                <c:pt idx="7">
                  <c:v>0.50278349367897124</c:v>
                </c:pt>
                <c:pt idx="8">
                  <c:v>0.48803473703694294</c:v>
                </c:pt>
                <c:pt idx="9">
                  <c:v>0.47439441502108221</c:v>
                </c:pt>
                <c:pt idx="10">
                  <c:v>0.46175168416877255</c:v>
                </c:pt>
                <c:pt idx="11">
                  <c:v>0.45001000339967012</c:v>
                </c:pt>
                <c:pt idx="12">
                  <c:v>0.43908489926847422</c:v>
                </c:pt>
                <c:pt idx="13">
                  <c:v>0.42890213753537543</c:v>
                </c:pt>
                <c:pt idx="14">
                  <c:v>0.41939621740054139</c:v>
                </c:pt>
                <c:pt idx="15">
                  <c:v>0.41050912386983518</c:v>
                </c:pt>
                <c:pt idx="16">
                  <c:v>0.40218928805957954</c:v>
                </c:pt>
                <c:pt idx="17">
                  <c:v>0.39439071610054866</c:v>
                </c:pt>
                <c:pt idx="18">
                  <c:v>0.38707225558343539</c:v>
                </c:pt>
                <c:pt idx="19">
                  <c:v>0.38019697485886139</c:v>
                </c:pt>
                <c:pt idx="20">
                  <c:v>0.37373163544238636</c:v>
                </c:pt>
                <c:pt idx="21">
                  <c:v>0.36764624162853948</c:v>
                </c:pt>
                <c:pt idx="22">
                  <c:v>0.36191365444570461</c:v>
                </c:pt>
                <c:pt idx="23">
                  <c:v>0.35650925947776435</c:v>
                </c:pt>
                <c:pt idx="24">
                  <c:v>0.3514106799827944</c:v>
                </c:pt>
                <c:pt idx="25">
                  <c:v>0.3465975282625966</c:v>
                </c:pt>
                <c:pt idx="26">
                  <c:v>0.34205118946229446</c:v>
                </c:pt>
                <c:pt idx="27">
                  <c:v>0.33775463296997982</c:v>
                </c:pt>
                <c:pt idx="28">
                  <c:v>0.33369224739140341</c:v>
                </c:pt>
                <c:pt idx="29">
                  <c:v>0.32984969573184664</c:v>
                </c:pt>
                <c:pt idx="30">
                  <c:v>0.32621378795616818</c:v>
                </c:pt>
                <c:pt idx="31">
                  <c:v>0.32277236854178709</c:v>
                </c:pt>
                <c:pt idx="32">
                  <c:v>0.31951421700632071</c:v>
                </c:pt>
                <c:pt idx="33">
                  <c:v>0.31642895969624574</c:v>
                </c:pt>
                <c:pt idx="34">
                  <c:v>0.31350699137681814</c:v>
                </c:pt>
                <c:pt idx="35">
                  <c:v>0.31073940537582073</c:v>
                </c:pt>
                <c:pt idx="36">
                  <c:v>0.30811793121190906</c:v>
                </c:pt>
                <c:pt idx="37">
                  <c:v>0.3056348787883944</c:v>
                </c:pt>
                <c:pt idx="38">
                  <c:v>0.30328308836008377</c:v>
                </c:pt>
                <c:pt idx="39">
                  <c:v>0.30105588558823804</c:v>
                </c:pt>
                <c:pt idx="40">
                  <c:v>0.298947041090034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D5-4629-A62D-9C49AEB843CF}"/>
            </c:ext>
          </c:extLst>
        </c:ser>
        <c:ser>
          <c:idx val="7"/>
          <c:order val="3"/>
          <c:tx>
            <c:v>Standard Cruise at 55,000 ft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Sizing'!$B$31:$B$71</c:f>
              <c:numCache>
                <c:formatCode>0.000</c:formatCode>
                <c:ptCount val="41"/>
                <c:pt idx="0">
                  <c:v>0.66935955183052265</c:v>
                </c:pt>
                <c:pt idx="1">
                  <c:v>0.64146939404334335</c:v>
                </c:pt>
                <c:pt idx="2">
                  <c:v>0.61625889739456496</c:v>
                </c:pt>
                <c:pt idx="3">
                  <c:v>0.59337854086613517</c:v>
                </c:pt>
                <c:pt idx="4">
                  <c:v>0.57253705694301049</c:v>
                </c:pt>
                <c:pt idx="5">
                  <c:v>0.55348978091255396</c:v>
                </c:pt>
                <c:pt idx="6">
                  <c:v>0.53602968878715029</c:v>
                </c:pt>
                <c:pt idx="7">
                  <c:v>0.51998042679957135</c:v>
                </c:pt>
                <c:pt idx="8">
                  <c:v>0.50519083457790737</c:v>
                </c:pt>
                <c:pt idx="9">
                  <c:v>0.49153060145671873</c:v>
                </c:pt>
                <c:pt idx="10">
                  <c:v>0.4788867915259582</c:v>
                </c:pt>
                <c:pt idx="11">
                  <c:v>0.467161041251068</c:v>
                </c:pt>
                <c:pt idx="12">
                  <c:v>0.4562672825393102</c:v>
                </c:pt>
                <c:pt idx="13">
                  <c:v>0.44612987979403662</c:v>
                </c:pt>
                <c:pt idx="14">
                  <c:v>0.43668209572408673</c:v>
                </c:pt>
                <c:pt idx="15">
                  <c:v>0.42786482015728994</c:v>
                </c:pt>
                <c:pt idx="16">
                  <c:v>0.41962551071838361</c:v>
                </c:pt>
                <c:pt idx="17">
                  <c:v>0.41191730528888998</c:v>
                </c:pt>
                <c:pt idx="18">
                  <c:v>0.4046982746049082</c:v>
                </c:pt>
                <c:pt idx="19">
                  <c:v>0.39793078983986035</c:v>
                </c:pt>
                <c:pt idx="20">
                  <c:v>0.39158098504982636</c:v>
                </c:pt>
                <c:pt idx="21">
                  <c:v>0.38561829828541511</c:v>
                </c:pt>
                <c:pt idx="22">
                  <c:v>0.38001507825908182</c:v>
                </c:pt>
                <c:pt idx="23">
                  <c:v>0.37474624589607725</c:v>
                </c:pt>
                <c:pt idx="24">
                  <c:v>0.36978900203753778</c:v>
                </c:pt>
                <c:pt idx="25">
                  <c:v>0.36512257411649923</c:v>
                </c:pt>
                <c:pt idx="26">
                  <c:v>0.36072799587616799</c:v>
                </c:pt>
                <c:pt idx="27">
                  <c:v>0.35658791520926486</c:v>
                </c:pt>
                <c:pt idx="28">
                  <c:v>0.35268642601745065</c:v>
                </c:pt>
                <c:pt idx="29">
                  <c:v>0.34900892065939337</c:v>
                </c:pt>
                <c:pt idx="30">
                  <c:v>0.3455419601050676</c:v>
                </c:pt>
                <c:pt idx="31">
                  <c:v>0.34227315936601843</c:v>
                </c:pt>
                <c:pt idx="32">
                  <c:v>0.33919108614521087</c:v>
                </c:pt>
                <c:pt idx="33">
                  <c:v>0.33628517096048011</c:v>
                </c:pt>
                <c:pt idx="34">
                  <c:v>0.33354562725426651</c:v>
                </c:pt>
                <c:pt idx="35">
                  <c:v>0.33096338021865085</c:v>
                </c:pt>
                <c:pt idx="36">
                  <c:v>0.32853000324627962</c:v>
                </c:pt>
                <c:pt idx="37">
                  <c:v>0.32623766107066643</c:v>
                </c:pt>
                <c:pt idx="38">
                  <c:v>0.32407905878853044</c:v>
                </c:pt>
                <c:pt idx="39">
                  <c:v>0.32204739606630528</c:v>
                </c:pt>
                <c:pt idx="40">
                  <c:v>0.32013632592599534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D5-4629-A62D-9C49AEB843CF}"/>
            </c:ext>
          </c:extLst>
        </c:ser>
        <c:ser>
          <c:idx val="2"/>
          <c:order val="4"/>
          <c:tx>
            <c:v>Slow Cruise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(2)'!$I$31:$I$71</c:f>
              <c:numCache>
                <c:formatCode>General</c:formatCode>
                <c:ptCount val="41"/>
                <c:pt idx="0">
                  <c:v>0.34246645010614796</c:v>
                </c:pt>
                <c:pt idx="1">
                  <c:v>0.33540126136338844</c:v>
                </c:pt>
                <c:pt idx="2">
                  <c:v>0.32940873387331471</c:v>
                </c:pt>
                <c:pt idx="3">
                  <c:v>0.32434895529861996</c:v>
                </c:pt>
                <c:pt idx="4">
                  <c:v>0.32010533202488195</c:v>
                </c:pt>
                <c:pt idx="5">
                  <c:v>0.31657992541598579</c:v>
                </c:pt>
                <c:pt idx="6">
                  <c:v>0.31368986431829587</c:v>
                </c:pt>
                <c:pt idx="7">
                  <c:v>0.31136455478612268</c:v>
                </c:pt>
                <c:pt idx="8">
                  <c:v>0.30954348772316076</c:v>
                </c:pt>
                <c:pt idx="9">
                  <c:v>0.30817450011535386</c:v>
                </c:pt>
                <c:pt idx="10">
                  <c:v>0.30721238401718648</c:v>
                </c:pt>
                <c:pt idx="11">
                  <c:v>0.30661776476643537</c:v>
                </c:pt>
                <c:pt idx="12">
                  <c:v>0.30635618953365523</c:v>
                </c:pt>
                <c:pt idx="13">
                  <c:v>0.30639738158993973</c:v>
                </c:pt>
                <c:pt idx="14">
                  <c:v>0.30671462617448897</c:v>
                </c:pt>
                <c:pt idx="15">
                  <c:v>0.30728426164202299</c:v>
                </c:pt>
                <c:pt idx="16">
                  <c:v>0.30808525541896004</c:v>
                </c:pt>
                <c:pt idx="17">
                  <c:v>0.30909884872345639</c:v>
                </c:pt>
                <c:pt idx="18">
                  <c:v>0.31030825738228374</c:v>
                </c:pt>
                <c:pt idx="19">
                  <c:v>0.31169841867587811</c:v>
                </c:pt>
                <c:pt idx="20">
                  <c:v>0.31325577615663208</c:v>
                </c:pt>
                <c:pt idx="21">
                  <c:v>0.31496809595719238</c:v>
                </c:pt>
                <c:pt idx="22">
                  <c:v>0.31682430934043021</c:v>
                </c:pt>
                <c:pt idx="23">
                  <c:v>0.31881437721918171</c:v>
                </c:pt>
                <c:pt idx="24">
                  <c:v>0.32092917315057118</c:v>
                </c:pt>
                <c:pt idx="25">
                  <c:v>0.32316038193108937</c:v>
                </c:pt>
                <c:pt idx="26">
                  <c:v>0.32550041141840175</c:v>
                </c:pt>
                <c:pt idx="27">
                  <c:v>0.32794231560994702</c:v>
                </c:pt>
                <c:pt idx="28">
                  <c:v>0.3304797273367106</c:v>
                </c:pt>
                <c:pt idx="29">
                  <c:v>0.33310679919857716</c:v>
                </c:pt>
                <c:pt idx="30">
                  <c:v>0.33581815158744038</c:v>
                </c:pt>
                <c:pt idx="31">
                  <c:v>0.33860882682524185</c:v>
                </c:pt>
                <c:pt idx="32">
                  <c:v>0.34147424859377334</c:v>
                </c:pt>
                <c:pt idx="33">
                  <c:v>0.34441018595733336</c:v>
                </c:pt>
                <c:pt idx="34">
                  <c:v>0.34741272138286461</c:v>
                </c:pt>
                <c:pt idx="35">
                  <c:v>0.35047822224880526</c:v>
                </c:pt>
                <c:pt idx="36">
                  <c:v>0.35360331540656159</c:v>
                </c:pt>
                <c:pt idx="37">
                  <c:v>0.35678486441972257</c:v>
                </c:pt>
                <c:pt idx="38">
                  <c:v>0.36001994915783608</c:v>
                </c:pt>
                <c:pt idx="39">
                  <c:v>0.36330584746539618</c:v>
                </c:pt>
                <c:pt idx="40">
                  <c:v>0.36664001866393026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7C-4F21-A98C-0D68EF59C0CC}"/>
            </c:ext>
          </c:extLst>
        </c:ser>
        <c:ser>
          <c:idx val="3"/>
          <c:order val="5"/>
          <c:tx>
            <c:v>Slow Cruise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(2)'!$E$31:$E$71</c:f>
              <c:numCache>
                <c:formatCode>General</c:formatCode>
                <c:ptCount val="41"/>
                <c:pt idx="0">
                  <c:v>0.28774395712411777</c:v>
                </c:pt>
                <c:pt idx="1">
                  <c:v>0.27794264373225663</c:v>
                </c:pt>
                <c:pt idx="2">
                  <c:v>0.2692139915930814</c:v>
                </c:pt>
                <c:pt idx="3">
                  <c:v>0.26141808836928526</c:v>
                </c:pt>
                <c:pt idx="4">
                  <c:v>0.2544383404464457</c:v>
                </c:pt>
                <c:pt idx="5">
                  <c:v>0.24817680918844803</c:v>
                </c:pt>
                <c:pt idx="6">
                  <c:v>0.24255062344165662</c:v>
                </c:pt>
                <c:pt idx="7">
                  <c:v>0.23748918926038184</c:v>
                </c:pt>
                <c:pt idx="8">
                  <c:v>0.2329319975483185</c:v>
                </c:pt>
                <c:pt idx="9">
                  <c:v>0.22882688529141007</c:v>
                </c:pt>
                <c:pt idx="10">
                  <c:v>0.22512864454414111</c:v>
                </c:pt>
                <c:pt idx="11">
                  <c:v>0.2217979006442885</c:v>
                </c:pt>
                <c:pt idx="12">
                  <c:v>0.21880020076240689</c:v>
                </c:pt>
                <c:pt idx="13">
                  <c:v>0.21610526816958983</c:v>
                </c:pt>
                <c:pt idx="14">
                  <c:v>0.21368638810503754</c:v>
                </c:pt>
                <c:pt idx="15">
                  <c:v>0.21151989892347012</c:v>
                </c:pt>
                <c:pt idx="16">
                  <c:v>0.2095847680513056</c:v>
                </c:pt>
                <c:pt idx="17">
                  <c:v>0.20786223670670045</c:v>
                </c:pt>
                <c:pt idx="18">
                  <c:v>0.20633552071642627</c:v>
                </c:pt>
                <c:pt idx="19">
                  <c:v>0.2049895573609192</c:v>
                </c:pt>
                <c:pt idx="20">
                  <c:v>0.20381079019257159</c:v>
                </c:pt>
                <c:pt idx="21">
                  <c:v>0.20278698534403045</c:v>
                </c:pt>
                <c:pt idx="22">
                  <c:v>0.20190707407816666</c:v>
                </c:pt>
                <c:pt idx="23">
                  <c:v>0.20116101730781674</c:v>
                </c:pt>
                <c:pt idx="24">
                  <c:v>0.20053968859010471</c:v>
                </c:pt>
                <c:pt idx="25">
                  <c:v>0.20003477272152137</c:v>
                </c:pt>
                <c:pt idx="26">
                  <c:v>0.19963867755973227</c:v>
                </c:pt>
                <c:pt idx="27">
                  <c:v>0.19934445710217594</c:v>
                </c:pt>
                <c:pt idx="28">
                  <c:v>0.1991457441798381</c:v>
                </c:pt>
                <c:pt idx="29">
                  <c:v>0.19903669139260319</c:v>
                </c:pt>
                <c:pt idx="30">
                  <c:v>0.19901191913236493</c:v>
                </c:pt>
                <c:pt idx="31">
                  <c:v>0.19906646972106476</c:v>
                </c:pt>
                <c:pt idx="32">
                  <c:v>0.19919576684049484</c:v>
                </c:pt>
                <c:pt idx="33">
                  <c:v>0.19939557955495335</c:v>
                </c:pt>
                <c:pt idx="34">
                  <c:v>0.19966199033138307</c:v>
                </c:pt>
                <c:pt idx="35">
                  <c:v>0.19999136654822217</c:v>
                </c:pt>
                <c:pt idx="36">
                  <c:v>0.20038033505687702</c:v>
                </c:pt>
                <c:pt idx="37">
                  <c:v>0.20082575942093647</c:v>
                </c:pt>
                <c:pt idx="38">
                  <c:v>0.20132471950994846</c:v>
                </c:pt>
                <c:pt idx="39">
                  <c:v>0.201874493168407</c:v>
                </c:pt>
                <c:pt idx="40">
                  <c:v>0.20247253971783963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7C-4F21-A98C-0D68EF59C0CC}"/>
            </c:ext>
          </c:extLst>
        </c:ser>
        <c:ser>
          <c:idx val="4"/>
          <c:order val="6"/>
          <c:tx>
            <c:v>Climb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(2)'!$C$31:$C$71</c:f>
              <c:numCache>
                <c:formatCode>General</c:formatCode>
                <c:ptCount val="41"/>
                <c:pt idx="0">
                  <c:v>0.47952272042477251</c:v>
                </c:pt>
                <c:pt idx="1">
                  <c:v>0.46874839768881799</c:v>
                </c:pt>
                <c:pt idx="2">
                  <c:v>0.4591864699395336</c:v>
                </c:pt>
                <c:pt idx="3">
                  <c:v>0.45067879870039701</c:v>
                </c:pt>
                <c:pt idx="4">
                  <c:v>0.4430936019076398</c:v>
                </c:pt>
                <c:pt idx="5">
                  <c:v>0.43632018262769651</c:v>
                </c:pt>
                <c:pt idx="6">
                  <c:v>0.43026487422447296</c:v>
                </c:pt>
                <c:pt idx="7">
                  <c:v>0.42484788660055617</c:v>
                </c:pt>
                <c:pt idx="8">
                  <c:v>0.42000082824387741</c:v>
                </c:pt>
                <c:pt idx="9">
                  <c:v>0.41566474095437744</c:v>
                </c:pt>
                <c:pt idx="10">
                  <c:v>0.41178852762533869</c:v>
                </c:pt>
                <c:pt idx="11">
                  <c:v>0.40832768432510336</c:v>
                </c:pt>
                <c:pt idx="12">
                  <c:v>0.40524327011347122</c:v>
                </c:pt>
                <c:pt idx="13">
                  <c:v>0.40250106416420572</c:v>
                </c:pt>
                <c:pt idx="14">
                  <c:v>0.40007087163062721</c:v>
                </c:pt>
                <c:pt idx="15">
                  <c:v>0.39792594850567709</c:v>
                </c:pt>
                <c:pt idx="16">
                  <c:v>0.39604252233863607</c:v>
                </c:pt>
                <c:pt idx="17">
                  <c:v>0.39439939067345758</c:v>
                </c:pt>
                <c:pt idx="18">
                  <c:v>0.39297758289157358</c:v>
                </c:pt>
                <c:pt idx="19">
                  <c:v>0.39176007407888436</c:v>
                </c:pt>
                <c:pt idx="20">
                  <c:v>0.39073154181270048</c:v>
                </c:pt>
                <c:pt idx="21">
                  <c:v>0.38987815854083852</c:v>
                </c:pt>
                <c:pt idx="22">
                  <c:v>0.38918741362084691</c:v>
                </c:pt>
                <c:pt idx="23">
                  <c:v>0.38864796019096731</c:v>
                </c:pt>
                <c:pt idx="24">
                  <c:v>0.38824948292232836</c:v>
                </c:pt>
                <c:pt idx="25">
                  <c:v>0.38798258340418074</c:v>
                </c:pt>
                <c:pt idx="26">
                  <c:v>0.38783868047888365</c:v>
                </c:pt>
                <c:pt idx="27">
                  <c:v>0.38780992330008507</c:v>
                </c:pt>
                <c:pt idx="28">
                  <c:v>0.38788911525862868</c:v>
                </c:pt>
                <c:pt idx="29">
                  <c:v>0.38806964722365689</c:v>
                </c:pt>
                <c:pt idx="30">
                  <c:v>0.38834543879478067</c:v>
                </c:pt>
                <c:pt idx="31">
                  <c:v>0.38871088646575891</c:v>
                </c:pt>
                <c:pt idx="32">
                  <c:v>0.38916081776929257</c:v>
                </c:pt>
                <c:pt idx="33">
                  <c:v>0.38969045061297269</c:v>
                </c:pt>
                <c:pt idx="34">
                  <c:v>0.39029535713345781</c:v>
                </c:pt>
                <c:pt idx="35">
                  <c:v>0.39097143149383135</c:v>
                </c:pt>
                <c:pt idx="36">
                  <c:v>0.39171486113124204</c:v>
                </c:pt>
                <c:pt idx="37">
                  <c:v>0.39252210103110907</c:v>
                </c:pt>
                <c:pt idx="38">
                  <c:v>0.39338985066261567</c:v>
                </c:pt>
                <c:pt idx="39">
                  <c:v>0.39431503325974637</c:v>
                </c:pt>
                <c:pt idx="40">
                  <c:v>0.3952947771742199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7C-4F21-A98C-0D68EF59C0CC}"/>
            </c:ext>
          </c:extLst>
        </c:ser>
        <c:ser>
          <c:idx val="5"/>
          <c:order val="7"/>
          <c:tx>
            <c:v>Takeoff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'[1]Constraint Sizing (2)'!$F$31:$F$71</c:f>
              <c:numCache>
                <c:formatCode>General</c:formatCode>
                <c:ptCount val="41"/>
                <c:pt idx="0">
                  <c:v>0.23383717449865307</c:v>
                </c:pt>
                <c:pt idx="1">
                  <c:v>0.24552903322358574</c:v>
                </c:pt>
                <c:pt idx="2">
                  <c:v>0.25722089194851838</c:v>
                </c:pt>
                <c:pt idx="3">
                  <c:v>0.26891275067345105</c:v>
                </c:pt>
                <c:pt idx="4">
                  <c:v>0.28060460939838372</c:v>
                </c:pt>
                <c:pt idx="5">
                  <c:v>0.29229646812331633</c:v>
                </c:pt>
                <c:pt idx="6">
                  <c:v>0.303988326848249</c:v>
                </c:pt>
                <c:pt idx="7">
                  <c:v>0.31568018557318167</c:v>
                </c:pt>
                <c:pt idx="8">
                  <c:v>0.32737204429811434</c:v>
                </c:pt>
                <c:pt idx="9">
                  <c:v>0.33906390302304695</c:v>
                </c:pt>
                <c:pt idx="10">
                  <c:v>0.35075576174797962</c:v>
                </c:pt>
                <c:pt idx="11">
                  <c:v>0.36244762047291229</c:v>
                </c:pt>
                <c:pt idx="12">
                  <c:v>0.3741394791978449</c:v>
                </c:pt>
                <c:pt idx="13">
                  <c:v>0.38583133792277757</c:v>
                </c:pt>
                <c:pt idx="14">
                  <c:v>0.39752319664771024</c:v>
                </c:pt>
                <c:pt idx="15">
                  <c:v>0.40921505537264291</c:v>
                </c:pt>
                <c:pt idx="16">
                  <c:v>0.42090691409757552</c:v>
                </c:pt>
                <c:pt idx="17">
                  <c:v>0.43259877282250819</c:v>
                </c:pt>
                <c:pt idx="18">
                  <c:v>0.44429063154744086</c:v>
                </c:pt>
                <c:pt idx="19">
                  <c:v>0.45598249027237353</c:v>
                </c:pt>
                <c:pt idx="20">
                  <c:v>0.46767434899730614</c:v>
                </c:pt>
                <c:pt idx="21">
                  <c:v>0.47936620772223881</c:v>
                </c:pt>
                <c:pt idx="22">
                  <c:v>0.49105806644717148</c:v>
                </c:pt>
                <c:pt idx="23">
                  <c:v>0.50274992517210415</c:v>
                </c:pt>
                <c:pt idx="24">
                  <c:v>0.51444178389703676</c:v>
                </c:pt>
                <c:pt idx="25">
                  <c:v>0.52613364262196949</c:v>
                </c:pt>
                <c:pt idx="26">
                  <c:v>0.5378255013469021</c:v>
                </c:pt>
                <c:pt idx="27">
                  <c:v>0.54951736007183472</c:v>
                </c:pt>
                <c:pt idx="28">
                  <c:v>0.56120921879676744</c:v>
                </c:pt>
                <c:pt idx="29">
                  <c:v>0.57290107752170005</c:v>
                </c:pt>
                <c:pt idx="30">
                  <c:v>0.58459293624663267</c:v>
                </c:pt>
                <c:pt idx="31">
                  <c:v>0.59628479497156539</c:v>
                </c:pt>
                <c:pt idx="32">
                  <c:v>0.607976653696498</c:v>
                </c:pt>
                <c:pt idx="33">
                  <c:v>0.61966851242143062</c:v>
                </c:pt>
                <c:pt idx="34">
                  <c:v>0.63136037114636334</c:v>
                </c:pt>
                <c:pt idx="35">
                  <c:v>0.64305222987129596</c:v>
                </c:pt>
                <c:pt idx="36">
                  <c:v>0.65474408859622868</c:v>
                </c:pt>
                <c:pt idx="37">
                  <c:v>0.66643594732116129</c:v>
                </c:pt>
                <c:pt idx="38">
                  <c:v>0.67812780604609391</c:v>
                </c:pt>
                <c:pt idx="39">
                  <c:v>0.68981966477102663</c:v>
                </c:pt>
                <c:pt idx="40">
                  <c:v>0.70151152349595924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7C-4F21-A98C-0D68EF59C0CC}"/>
            </c:ext>
          </c:extLst>
        </c:ser>
        <c:ser>
          <c:idx val="6"/>
          <c:order val="8"/>
          <c:tx>
            <c:v>Approach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'[1]Constraint Sizing (2)'!$G$31:$G$36</c:f>
              <c:numCache>
                <c:formatCode>General</c:formatCode>
                <c:ptCount val="6"/>
                <c:pt idx="0">
                  <c:v>120.26542050516562</c:v>
                </c:pt>
                <c:pt idx="1">
                  <c:v>120.26542050516562</c:v>
                </c:pt>
                <c:pt idx="2">
                  <c:v>120.26542050516562</c:v>
                </c:pt>
                <c:pt idx="3">
                  <c:v>120.26542050516562</c:v>
                </c:pt>
                <c:pt idx="4">
                  <c:v>120.26542050516562</c:v>
                </c:pt>
                <c:pt idx="5">
                  <c:v>120.26542050516562</c:v>
                </c:pt>
              </c:numCache>
            </c:numRef>
          </c:xVal>
          <c:yVal>
            <c:numRef>
              <c:f>'[1]Constraint Sizing (2)'!$J$31:$J$36</c:f>
              <c:numCache>
                <c:formatCode>General</c:formatCode>
                <c:ptCount val="6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A7C-4F21-A98C-0D68EF59C0CC}"/>
            </c:ext>
          </c:extLst>
        </c:ser>
        <c:ser>
          <c:idx val="8"/>
          <c:order val="9"/>
          <c:tx>
            <c:v>Design Point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'[1]Constraint Sizing (2)'!$J$11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Ref>
              <c:f>'[1]Constraint Sizing (2)'!$I$11</c:f>
              <c:numCache>
                <c:formatCode>General</c:formatCode>
                <c:ptCount val="1"/>
                <c:pt idx="0">
                  <c:v>0.53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A7C-4F21-A98C-0D68EF59C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35208"/>
        <c:axId val="327503408"/>
      </c:scatterChart>
      <c:valAx>
        <c:axId val="511935208"/>
        <c:scaling>
          <c:orientation val="minMax"/>
          <c:max val="150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Wing</a:t>
                </a:r>
                <a:r>
                  <a:rPr lang="en-US" baseline="0"/>
                  <a:t> Loading Wto/S, (psf)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408"/>
        <c:crosses val="autoZero"/>
        <c:crossBetween val="midCat"/>
      </c:valAx>
      <c:valAx>
        <c:axId val="327503408"/>
        <c:scaling>
          <c:orientation val="minMax"/>
          <c:max val="0.7500000000000001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Thrust-to-Weight</a:t>
                </a:r>
                <a:r>
                  <a:rPr lang="en-US" baseline="0"/>
                  <a:t> Ratio Tsl/Wto (~)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6313680059576"/>
          <c:y val="0.22987353142362782"/>
          <c:w val="0.28030712503755995"/>
          <c:h val="0.66370493632072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</a:t>
            </a:r>
            <a:r>
              <a:rPr lang="en-US" baseline="0"/>
              <a:t>-to-Weight Ratio (~) vs. Wing Loading (psf), All Performance Constraints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Standard Cruise at 55,000 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Sizing'!$B$31:$B$71</c:f>
              <c:numCache>
                <c:formatCode>0.000</c:formatCode>
                <c:ptCount val="41"/>
                <c:pt idx="0">
                  <c:v>0.66935955183052265</c:v>
                </c:pt>
                <c:pt idx="1">
                  <c:v>0.64146939404334335</c:v>
                </c:pt>
                <c:pt idx="2">
                  <c:v>0.61625889739456496</c:v>
                </c:pt>
                <c:pt idx="3">
                  <c:v>0.59337854086613517</c:v>
                </c:pt>
                <c:pt idx="4">
                  <c:v>0.57253705694301049</c:v>
                </c:pt>
                <c:pt idx="5">
                  <c:v>0.55348978091255396</c:v>
                </c:pt>
                <c:pt idx="6">
                  <c:v>0.53602968878715029</c:v>
                </c:pt>
                <c:pt idx="7">
                  <c:v>0.51998042679957135</c:v>
                </c:pt>
                <c:pt idx="8">
                  <c:v>0.50519083457790737</c:v>
                </c:pt>
                <c:pt idx="9">
                  <c:v>0.49153060145671873</c:v>
                </c:pt>
                <c:pt idx="10">
                  <c:v>0.4788867915259582</c:v>
                </c:pt>
                <c:pt idx="11">
                  <c:v>0.467161041251068</c:v>
                </c:pt>
                <c:pt idx="12">
                  <c:v>0.4562672825393102</c:v>
                </c:pt>
                <c:pt idx="13">
                  <c:v>0.44612987979403662</c:v>
                </c:pt>
                <c:pt idx="14">
                  <c:v>0.43668209572408673</c:v>
                </c:pt>
                <c:pt idx="15">
                  <c:v>0.42786482015728994</c:v>
                </c:pt>
                <c:pt idx="16">
                  <c:v>0.41962551071838361</c:v>
                </c:pt>
                <c:pt idx="17">
                  <c:v>0.41191730528888998</c:v>
                </c:pt>
                <c:pt idx="18">
                  <c:v>0.4046982746049082</c:v>
                </c:pt>
                <c:pt idx="19">
                  <c:v>0.39793078983986035</c:v>
                </c:pt>
                <c:pt idx="20">
                  <c:v>0.39158098504982636</c:v>
                </c:pt>
                <c:pt idx="21">
                  <c:v>0.38561829828541511</c:v>
                </c:pt>
                <c:pt idx="22">
                  <c:v>0.38001507825908182</c:v>
                </c:pt>
                <c:pt idx="23">
                  <c:v>0.37474624589607725</c:v>
                </c:pt>
                <c:pt idx="24">
                  <c:v>0.36978900203753778</c:v>
                </c:pt>
                <c:pt idx="25">
                  <c:v>0.36512257411649923</c:v>
                </c:pt>
                <c:pt idx="26">
                  <c:v>0.36072799587616799</c:v>
                </c:pt>
                <c:pt idx="27">
                  <c:v>0.35658791520926486</c:v>
                </c:pt>
                <c:pt idx="28">
                  <c:v>0.35268642601745065</c:v>
                </c:pt>
                <c:pt idx="29">
                  <c:v>0.34900892065939337</c:v>
                </c:pt>
                <c:pt idx="30">
                  <c:v>0.3455419601050676</c:v>
                </c:pt>
                <c:pt idx="31">
                  <c:v>0.34227315936601843</c:v>
                </c:pt>
                <c:pt idx="32">
                  <c:v>0.33919108614521087</c:v>
                </c:pt>
                <c:pt idx="33">
                  <c:v>0.33628517096048011</c:v>
                </c:pt>
                <c:pt idx="34">
                  <c:v>0.33354562725426651</c:v>
                </c:pt>
                <c:pt idx="35">
                  <c:v>0.33096338021865085</c:v>
                </c:pt>
                <c:pt idx="36">
                  <c:v>0.32853000324627962</c:v>
                </c:pt>
                <c:pt idx="37">
                  <c:v>0.32623766107066643</c:v>
                </c:pt>
                <c:pt idx="38">
                  <c:v>0.32407905878853044</c:v>
                </c:pt>
                <c:pt idx="39">
                  <c:v>0.32204739606630528</c:v>
                </c:pt>
                <c:pt idx="40">
                  <c:v>0.32013632592599534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12-4C33-80BF-899048C5332C}"/>
            </c:ext>
          </c:extLst>
        </c:ser>
        <c:ser>
          <c:idx val="1"/>
          <c:order val="1"/>
          <c:tx>
            <c:v>Alternate Cruise at 55,000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Sizing'!$D$31:$D$71</c:f>
              <c:numCache>
                <c:formatCode>General</c:formatCode>
                <c:ptCount val="41"/>
                <c:pt idx="0">
                  <c:v>0.65102723599557888</c:v>
                </c:pt>
                <c:pt idx="1">
                  <c:v>0.623420637690005</c:v>
                </c:pt>
                <c:pt idx="2">
                  <c:v>0.59844405245197452</c:v>
                </c:pt>
                <c:pt idx="3">
                  <c:v>0.57575443509876456</c:v>
                </c:pt>
                <c:pt idx="4">
                  <c:v>0.5550659146447724</c:v>
                </c:pt>
                <c:pt idx="5">
                  <c:v>0.53613835946209165</c:v>
                </c:pt>
                <c:pt idx="6">
                  <c:v>0.51876858125018677</c:v>
                </c:pt>
                <c:pt idx="7">
                  <c:v>0.50278349367897124</c:v>
                </c:pt>
                <c:pt idx="8">
                  <c:v>0.48803473703694294</c:v>
                </c:pt>
                <c:pt idx="9">
                  <c:v>0.47439441502108221</c:v>
                </c:pt>
                <c:pt idx="10">
                  <c:v>0.46175168416877255</c:v>
                </c:pt>
                <c:pt idx="11">
                  <c:v>0.45001000339967012</c:v>
                </c:pt>
                <c:pt idx="12">
                  <c:v>0.43908489926847422</c:v>
                </c:pt>
                <c:pt idx="13">
                  <c:v>0.42890213753537543</c:v>
                </c:pt>
                <c:pt idx="14">
                  <c:v>0.41939621740054139</c:v>
                </c:pt>
                <c:pt idx="15">
                  <c:v>0.41050912386983518</c:v>
                </c:pt>
                <c:pt idx="16">
                  <c:v>0.40218928805957954</c:v>
                </c:pt>
                <c:pt idx="17">
                  <c:v>0.39439071610054866</c:v>
                </c:pt>
                <c:pt idx="18">
                  <c:v>0.38707225558343539</c:v>
                </c:pt>
                <c:pt idx="19">
                  <c:v>0.38019697485886139</c:v>
                </c:pt>
                <c:pt idx="20">
                  <c:v>0.37373163544238636</c:v>
                </c:pt>
                <c:pt idx="21">
                  <c:v>0.36764624162853948</c:v>
                </c:pt>
                <c:pt idx="22">
                  <c:v>0.36191365444570461</c:v>
                </c:pt>
                <c:pt idx="23">
                  <c:v>0.35650925947776435</c:v>
                </c:pt>
                <c:pt idx="24">
                  <c:v>0.3514106799827944</c:v>
                </c:pt>
                <c:pt idx="25">
                  <c:v>0.3465975282625966</c:v>
                </c:pt>
                <c:pt idx="26">
                  <c:v>0.34205118946229446</c:v>
                </c:pt>
                <c:pt idx="27">
                  <c:v>0.33775463296997982</c:v>
                </c:pt>
                <c:pt idx="28">
                  <c:v>0.33369224739140341</c:v>
                </c:pt>
                <c:pt idx="29">
                  <c:v>0.32984969573184664</c:v>
                </c:pt>
                <c:pt idx="30">
                  <c:v>0.32621378795616818</c:v>
                </c:pt>
                <c:pt idx="31">
                  <c:v>0.32277236854178709</c:v>
                </c:pt>
                <c:pt idx="32">
                  <c:v>0.31951421700632071</c:v>
                </c:pt>
                <c:pt idx="33">
                  <c:v>0.31642895969624574</c:v>
                </c:pt>
                <c:pt idx="34">
                  <c:v>0.31350699137681814</c:v>
                </c:pt>
                <c:pt idx="35">
                  <c:v>0.31073940537582073</c:v>
                </c:pt>
                <c:pt idx="36">
                  <c:v>0.30811793121190906</c:v>
                </c:pt>
                <c:pt idx="37">
                  <c:v>0.3056348787883944</c:v>
                </c:pt>
                <c:pt idx="38">
                  <c:v>0.30328308836008377</c:v>
                </c:pt>
                <c:pt idx="39">
                  <c:v>0.30105588558823804</c:v>
                </c:pt>
                <c:pt idx="40">
                  <c:v>0.298947041090034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12-4C33-80BF-899048C5332C}"/>
            </c:ext>
          </c:extLst>
        </c:ser>
        <c:ser>
          <c:idx val="2"/>
          <c:order val="2"/>
          <c:tx>
            <c:v>3 - Slow Cruise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Sizing'!$I$31:$I$71</c:f>
              <c:numCache>
                <c:formatCode>0.000</c:formatCode>
                <c:ptCount val="41"/>
                <c:pt idx="0">
                  <c:v>0.32699604896990103</c:v>
                </c:pt>
                <c:pt idx="1">
                  <c:v>0.31707651824125949</c:v>
                </c:pt>
                <c:pt idx="2">
                  <c:v>0.30828387358594006</c:v>
                </c:pt>
                <c:pt idx="3">
                  <c:v>0.30047112986394414</c:v>
                </c:pt>
                <c:pt idx="4">
                  <c:v>0.29351579945860651</c:v>
                </c:pt>
                <c:pt idx="5">
                  <c:v>0.28731499277192807</c:v>
                </c:pt>
                <c:pt idx="6">
                  <c:v>0.28178164937483263</c:v>
                </c:pt>
                <c:pt idx="7">
                  <c:v>0.27684160667958896</c:v>
                </c:pt>
                <c:pt idx="8">
                  <c:v>0.27243129675385558</c:v>
                </c:pt>
                <c:pt idx="9">
                  <c:v>0.26849591965595915</c:v>
                </c:pt>
                <c:pt idx="10">
                  <c:v>0.26498798210311603</c:v>
                </c:pt>
                <c:pt idx="11">
                  <c:v>0.26186611897806289</c:v>
                </c:pt>
                <c:pt idx="12">
                  <c:v>0.2590941358031944</c:v>
                </c:pt>
                <c:pt idx="13">
                  <c:v>0.25664022531031205</c:v>
                </c:pt>
                <c:pt idx="14">
                  <c:v>0.25447632226276995</c:v>
                </c:pt>
                <c:pt idx="15">
                  <c:v>0.25257756887953897</c:v>
                </c:pt>
                <c:pt idx="16">
                  <c:v>0.25092186935525979</c:v>
                </c:pt>
                <c:pt idx="17">
                  <c:v>0.24948951662028765</c:v>
                </c:pt>
                <c:pt idx="18">
                  <c:v>0.24826287803336156</c:v>
                </c:pt>
                <c:pt idx="19">
                  <c:v>0.24722612942924721</c:v>
                </c:pt>
                <c:pt idx="20">
                  <c:v>0.24636502905923363</c:v>
                </c:pt>
                <c:pt idx="21">
                  <c:v>0.24566672461350858</c:v>
                </c:pt>
                <c:pt idx="22">
                  <c:v>0.24511958781176579</c:v>
                </c:pt>
                <c:pt idx="23">
                  <c:v>0.24471307207419263</c:v>
                </c:pt>
                <c:pt idx="24">
                  <c:v>0.24443758960095918</c:v>
                </c:pt>
                <c:pt idx="25">
                  <c:v>0.2442844048411095</c:v>
                </c:pt>
                <c:pt idx="26">
                  <c:v>0.24424554185681421</c:v>
                </c:pt>
                <c:pt idx="27">
                  <c:v>0.24431370351346357</c:v>
                </c:pt>
                <c:pt idx="28">
                  <c:v>0.24448220077099844</c:v>
                </c:pt>
                <c:pt idx="29">
                  <c:v>0.24474489063344623</c:v>
                </c:pt>
                <c:pt idx="30">
                  <c:v>0.24509612154451221</c:v>
                </c:pt>
                <c:pt idx="31">
                  <c:v>0.24553068520721877</c:v>
                </c:pt>
                <c:pt idx="32">
                  <c:v>0.24604377396281754</c:v>
                </c:pt>
                <c:pt idx="33">
                  <c:v>0.2466309429947296</c:v>
                </c:pt>
                <c:pt idx="34">
                  <c:v>0.24728807673204869</c:v>
                </c:pt>
                <c:pt idx="35">
                  <c:v>0.24801135891811626</c:v>
                </c:pt>
                <c:pt idx="36">
                  <c:v>0.24879724588603505</c:v>
                </c:pt>
                <c:pt idx="37">
                  <c:v>0.24964244264728661</c:v>
                </c:pt>
                <c:pt idx="38">
                  <c:v>0.25054388145393985</c:v>
                </c:pt>
                <c:pt idx="39">
                  <c:v>0.25149870254097451</c:v>
                </c:pt>
                <c:pt idx="40">
                  <c:v>0.25250423679437128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12-4C33-80BF-899048C5332C}"/>
            </c:ext>
          </c:extLst>
        </c:ser>
        <c:ser>
          <c:idx val="3"/>
          <c:order val="3"/>
          <c:tx>
            <c:v>4 - Slow Cruise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Sizing'!$E$31:$E$71</c:f>
              <c:numCache>
                <c:formatCode>General</c:formatCode>
                <c:ptCount val="41"/>
                <c:pt idx="0">
                  <c:v>0.29683446408871039</c:v>
                </c:pt>
                <c:pt idx="1">
                  <c:v>0.28566185183151055</c:v>
                </c:pt>
                <c:pt idx="2">
                  <c:v>0.27561612564763299</c:v>
                </c:pt>
                <c:pt idx="3">
                  <c:v>0.26655030039707894</c:v>
                </c:pt>
                <c:pt idx="4">
                  <c:v>0.25834188846318312</c:v>
                </c:pt>
                <c:pt idx="5">
                  <c:v>0.25088800024794639</c:v>
                </c:pt>
                <c:pt idx="6">
                  <c:v>0.24410157532229279</c:v>
                </c:pt>
                <c:pt idx="7">
                  <c:v>0.23790845109849082</c:v>
                </c:pt>
                <c:pt idx="8">
                  <c:v>0.23224505964419934</c:v>
                </c:pt>
                <c:pt idx="9">
                  <c:v>0.22705660101774472</c:v>
                </c:pt>
                <c:pt idx="10">
                  <c:v>0.22229558193634338</c:v>
                </c:pt>
                <c:pt idx="11">
                  <c:v>0.21792063728273203</c:v>
                </c:pt>
                <c:pt idx="12">
                  <c:v>0.21389557257930536</c:v>
                </c:pt>
                <c:pt idx="13">
                  <c:v>0.21018858055786482</c:v>
                </c:pt>
                <c:pt idx="14">
                  <c:v>0.20677159598176448</c:v>
                </c:pt>
                <c:pt idx="15">
                  <c:v>0.20361976106997526</c:v>
                </c:pt>
                <c:pt idx="16">
                  <c:v>0.20071098001713786</c:v>
                </c:pt>
                <c:pt idx="17">
                  <c:v>0.19802554575360756</c:v>
                </c:pt>
                <c:pt idx="18">
                  <c:v>0.19554582563812328</c:v>
                </c:pt>
                <c:pt idx="19">
                  <c:v>0.19325599550545072</c:v>
                </c:pt>
                <c:pt idx="20">
                  <c:v>0.1911418136068789</c:v>
                </c:pt>
                <c:pt idx="21">
                  <c:v>0.18919042763259575</c:v>
                </c:pt>
                <c:pt idx="22">
                  <c:v>0.18739020930229475</c:v>
                </c:pt>
                <c:pt idx="23">
                  <c:v>0.18573061203616331</c:v>
                </c:pt>
                <c:pt idx="24">
                  <c:v>0.18420204803437165</c:v>
                </c:pt>
                <c:pt idx="25">
                  <c:v>0.18279578174596381</c:v>
                </c:pt>
                <c:pt idx="26">
                  <c:v>0.18150383723311037</c:v>
                </c:pt>
                <c:pt idx="27">
                  <c:v>0.18031891736120151</c:v>
                </c:pt>
                <c:pt idx="28">
                  <c:v>0.17923433309017819</c:v>
                </c:pt>
                <c:pt idx="29">
                  <c:v>0.17824394142406774</c:v>
                </c:pt>
                <c:pt idx="30">
                  <c:v>0.17734209080657554</c:v>
                </c:pt>
                <c:pt idx="31">
                  <c:v>0.17652357294072388</c:v>
                </c:pt>
                <c:pt idx="32">
                  <c:v>0.17578358016776444</c:v>
                </c:pt>
                <c:pt idx="33">
                  <c:v>0.1751176676711183</c:v>
                </c:pt>
                <c:pt idx="34">
                  <c:v>0.17452171987987919</c:v>
                </c:pt>
                <c:pt idx="35">
                  <c:v>0.1739919205373886</c:v>
                </c:pt>
                <c:pt idx="36">
                  <c:v>0.17352472597674914</c:v>
                </c:pt>
                <c:pt idx="37">
                  <c:v>0.17311684120944251</c:v>
                </c:pt>
                <c:pt idx="38">
                  <c:v>0.17276519848753757</c:v>
                </c:pt>
                <c:pt idx="39">
                  <c:v>0.17246693804601398</c:v>
                </c:pt>
                <c:pt idx="40">
                  <c:v>0.17221939077085263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12-4C33-80BF-899048C5332C}"/>
            </c:ext>
          </c:extLst>
        </c:ser>
        <c:ser>
          <c:idx val="4"/>
          <c:order val="4"/>
          <c:tx>
            <c:v>5 - Climb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Sizing'!$C$31:$C$71</c:f>
              <c:numCache>
                <c:formatCode>0.000</c:formatCode>
                <c:ptCount val="41"/>
                <c:pt idx="0">
                  <c:v>0.4003446462906845</c:v>
                </c:pt>
                <c:pt idx="1">
                  <c:v>0.38786317856296487</c:v>
                </c:pt>
                <c:pt idx="2">
                  <c:v>0.37665210030818164</c:v>
                </c:pt>
                <c:pt idx="3">
                  <c:v>0.36654570855160401</c:v>
                </c:pt>
                <c:pt idx="4">
                  <c:v>0.35740591748095629</c:v>
                </c:pt>
                <c:pt idx="5">
                  <c:v>0.34911673501392682</c:v>
                </c:pt>
                <c:pt idx="6">
                  <c:v>0.34158001400394422</c:v>
                </c:pt>
                <c:pt idx="7">
                  <c:v>0.33471214762244783</c:v>
                </c:pt>
                <c:pt idx="8">
                  <c:v>0.32844147287352843</c:v>
                </c:pt>
                <c:pt idx="9">
                  <c:v>0.3227062113124366</c:v>
                </c:pt>
                <c:pt idx="10">
                  <c:v>0.31745282162038957</c:v>
                </c:pt>
                <c:pt idx="11">
                  <c:v>0.31263467103586701</c:v>
                </c:pt>
                <c:pt idx="12">
                  <c:v>0.30821095589253827</c:v>
                </c:pt>
                <c:pt idx="13">
                  <c:v>0.30414581842302241</c:v>
                </c:pt>
                <c:pt idx="14">
                  <c:v>0.30040761942080624</c:v>
                </c:pt>
                <c:pt idx="15">
                  <c:v>0.29696833558869284</c:v>
                </c:pt>
                <c:pt idx="16">
                  <c:v>0.29380305732917344</c:v>
                </c:pt>
                <c:pt idx="17">
                  <c:v>0.29088956797420001</c:v>
                </c:pt>
                <c:pt idx="18">
                  <c:v>0.28820798945236109</c:v>
                </c:pt>
                <c:pt idx="19">
                  <c:v>0.28574048246880007</c:v>
                </c:pt>
                <c:pt idx="20">
                  <c:v>0.28347099165814615</c:v>
                </c:pt>
                <c:pt idx="21">
                  <c:v>0.28138502803213783</c:v>
                </c:pt>
                <c:pt idx="22">
                  <c:v>0.27946948250615755</c:v>
                </c:pt>
                <c:pt idx="23">
                  <c:v>0.27771246544531969</c:v>
                </c:pt>
                <c:pt idx="24">
                  <c:v>0.27610316809063712</c:v>
                </c:pt>
                <c:pt idx="25">
                  <c:v>0.27463174246169963</c:v>
                </c:pt>
                <c:pt idx="26">
                  <c:v>0.27328919692421949</c:v>
                </c:pt>
                <c:pt idx="27">
                  <c:v>0.27206730508938021</c:v>
                </c:pt>
                <c:pt idx="28">
                  <c:v>0.27095852610076682</c:v>
                </c:pt>
                <c:pt idx="29">
                  <c:v>0.26995593468207968</c:v>
                </c:pt>
                <c:pt idx="30">
                  <c:v>0.26905315957912335</c:v>
                </c:pt>
                <c:pt idx="31">
                  <c:v>0.26824432924391334</c:v>
                </c:pt>
                <c:pt idx="32">
                  <c:v>0.26752402378600321</c:v>
                </c:pt>
                <c:pt idx="33">
                  <c:v>0.26688723236328132</c:v>
                </c:pt>
                <c:pt idx="34">
                  <c:v>0.26632931530712622</c:v>
                </c:pt>
                <c:pt idx="35">
                  <c:v>0.26584597037936142</c:v>
                </c:pt>
                <c:pt idx="36">
                  <c:v>0.26543320264453768</c:v>
                </c:pt>
                <c:pt idx="37">
                  <c:v>0.26508729751355259</c:v>
                </c:pt>
                <c:pt idx="38">
                  <c:v>0.26480479657586292</c:v>
                </c:pt>
                <c:pt idx="39">
                  <c:v>0.26458247588943667</c:v>
                </c:pt>
                <c:pt idx="40">
                  <c:v>0.26441732644171062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12-4C33-80BF-899048C5332C}"/>
            </c:ext>
          </c:extLst>
        </c:ser>
        <c:ser>
          <c:idx val="5"/>
          <c:order val="5"/>
          <c:tx>
            <c:v>6 - Takeoff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Sizing'!$A$31:$A$71</c:f>
              <c:numCache>
                <c:formatCode>General</c:formatCode>
                <c:ptCount val="41"/>
                <c:pt idx="0">
                  <c:v>50</c:v>
                </c:pt>
                <c:pt idx="1">
                  <c:v>52.5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  <c:pt idx="7">
                  <c:v>67.5</c:v>
                </c:pt>
                <c:pt idx="8">
                  <c:v>70</c:v>
                </c:pt>
                <c:pt idx="9">
                  <c:v>72.5</c:v>
                </c:pt>
                <c:pt idx="10">
                  <c:v>75</c:v>
                </c:pt>
                <c:pt idx="11">
                  <c:v>77.5</c:v>
                </c:pt>
                <c:pt idx="12">
                  <c:v>80</c:v>
                </c:pt>
                <c:pt idx="13">
                  <c:v>82.5</c:v>
                </c:pt>
                <c:pt idx="14">
                  <c:v>85</c:v>
                </c:pt>
                <c:pt idx="15">
                  <c:v>87.5</c:v>
                </c:pt>
                <c:pt idx="16">
                  <c:v>90</c:v>
                </c:pt>
                <c:pt idx="17">
                  <c:v>92.5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102.5</c:v>
                </c:pt>
                <c:pt idx="22">
                  <c:v>105</c:v>
                </c:pt>
                <c:pt idx="23">
                  <c:v>107.5</c:v>
                </c:pt>
                <c:pt idx="24">
                  <c:v>110</c:v>
                </c:pt>
                <c:pt idx="25">
                  <c:v>112.5</c:v>
                </c:pt>
                <c:pt idx="26">
                  <c:v>115</c:v>
                </c:pt>
                <c:pt idx="27">
                  <c:v>117.5</c:v>
                </c:pt>
                <c:pt idx="28">
                  <c:v>120</c:v>
                </c:pt>
                <c:pt idx="29">
                  <c:v>122.5</c:v>
                </c:pt>
                <c:pt idx="30">
                  <c:v>125</c:v>
                </c:pt>
                <c:pt idx="31">
                  <c:v>127.5</c:v>
                </c:pt>
                <c:pt idx="32">
                  <c:v>130</c:v>
                </c:pt>
                <c:pt idx="33">
                  <c:v>132.5</c:v>
                </c:pt>
                <c:pt idx="34">
                  <c:v>135</c:v>
                </c:pt>
                <c:pt idx="35">
                  <c:v>137.5</c:v>
                </c:pt>
                <c:pt idx="36">
                  <c:v>140</c:v>
                </c:pt>
                <c:pt idx="37">
                  <c:v>142.5</c:v>
                </c:pt>
                <c:pt idx="38">
                  <c:v>145</c:v>
                </c:pt>
                <c:pt idx="39">
                  <c:v>147.5</c:v>
                </c:pt>
                <c:pt idx="40">
                  <c:v>150</c:v>
                </c:pt>
              </c:numCache>
            </c:numRef>
          </c:xVal>
          <c:yVal>
            <c:numRef>
              <c:f>'Constraint Sizing'!$H$31:$H$71</c:f>
              <c:numCache>
                <c:formatCode>0.000</c:formatCode>
                <c:ptCount val="41"/>
                <c:pt idx="0">
                  <c:v>0.23383717449865307</c:v>
                </c:pt>
                <c:pt idx="1">
                  <c:v>0.24552903322358574</c:v>
                </c:pt>
                <c:pt idx="2">
                  <c:v>0.25722089194851838</c:v>
                </c:pt>
                <c:pt idx="3">
                  <c:v>0.26891275067345105</c:v>
                </c:pt>
                <c:pt idx="4">
                  <c:v>0.28060460939838372</c:v>
                </c:pt>
                <c:pt idx="5">
                  <c:v>0.29229646812331633</c:v>
                </c:pt>
                <c:pt idx="6">
                  <c:v>0.303988326848249</c:v>
                </c:pt>
                <c:pt idx="7">
                  <c:v>0.31568018557318167</c:v>
                </c:pt>
                <c:pt idx="8">
                  <c:v>0.32737204429811434</c:v>
                </c:pt>
                <c:pt idx="9">
                  <c:v>0.33906390302304695</c:v>
                </c:pt>
                <c:pt idx="10">
                  <c:v>0.35075576174797962</c:v>
                </c:pt>
                <c:pt idx="11">
                  <c:v>0.36244762047291229</c:v>
                </c:pt>
                <c:pt idx="12">
                  <c:v>0.3741394791978449</c:v>
                </c:pt>
                <c:pt idx="13">
                  <c:v>0.38583133792277757</c:v>
                </c:pt>
                <c:pt idx="14">
                  <c:v>0.39752319664771024</c:v>
                </c:pt>
                <c:pt idx="15">
                  <c:v>0.40921505537264291</c:v>
                </c:pt>
                <c:pt idx="16">
                  <c:v>0.42090691409757552</c:v>
                </c:pt>
                <c:pt idx="17">
                  <c:v>0.43259877282250819</c:v>
                </c:pt>
                <c:pt idx="18">
                  <c:v>0.44429063154744086</c:v>
                </c:pt>
                <c:pt idx="19">
                  <c:v>0.45598249027237353</c:v>
                </c:pt>
                <c:pt idx="20">
                  <c:v>0.46767434899730614</c:v>
                </c:pt>
                <c:pt idx="21">
                  <c:v>0.47936620772223881</c:v>
                </c:pt>
                <c:pt idx="22">
                  <c:v>0.49105806644717148</c:v>
                </c:pt>
                <c:pt idx="23">
                  <c:v>0.50274992517210415</c:v>
                </c:pt>
                <c:pt idx="24">
                  <c:v>0.51444178389703676</c:v>
                </c:pt>
                <c:pt idx="25">
                  <c:v>0.52613364262196949</c:v>
                </c:pt>
                <c:pt idx="26">
                  <c:v>0.5378255013469021</c:v>
                </c:pt>
                <c:pt idx="27">
                  <c:v>0.54951736007183472</c:v>
                </c:pt>
                <c:pt idx="28">
                  <c:v>0.56120921879676744</c:v>
                </c:pt>
                <c:pt idx="29">
                  <c:v>0.57290107752170005</c:v>
                </c:pt>
                <c:pt idx="30">
                  <c:v>0.58459293624663267</c:v>
                </c:pt>
                <c:pt idx="31">
                  <c:v>0.59628479497156539</c:v>
                </c:pt>
                <c:pt idx="32">
                  <c:v>0.607976653696498</c:v>
                </c:pt>
                <c:pt idx="33">
                  <c:v>0.61966851242143062</c:v>
                </c:pt>
                <c:pt idx="34">
                  <c:v>0.63136037114636334</c:v>
                </c:pt>
                <c:pt idx="35">
                  <c:v>0.64305222987129596</c:v>
                </c:pt>
                <c:pt idx="36">
                  <c:v>0.65474408859622868</c:v>
                </c:pt>
                <c:pt idx="37">
                  <c:v>0.66643594732116129</c:v>
                </c:pt>
                <c:pt idx="38">
                  <c:v>0.67812780604609391</c:v>
                </c:pt>
                <c:pt idx="39">
                  <c:v>0.68981966477102663</c:v>
                </c:pt>
                <c:pt idx="40">
                  <c:v>0.70151152349595924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12-4C33-80BF-899048C5332C}"/>
            </c:ext>
          </c:extLst>
        </c:ser>
        <c:ser>
          <c:idx val="6"/>
          <c:order val="6"/>
          <c:tx>
            <c:v>Approach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'Constraint Sizing'!$H$23:$H$24</c:f>
              <c:numCache>
                <c:formatCode>General</c:formatCode>
                <c:ptCount val="2"/>
                <c:pt idx="0">
                  <c:v>120.265</c:v>
                </c:pt>
                <c:pt idx="1">
                  <c:v>120.265</c:v>
                </c:pt>
              </c:numCache>
            </c:numRef>
          </c:xVal>
          <c:yVal>
            <c:numRef>
              <c:f>'Constraint Sizing'!$G$23:$G$24</c:f>
              <c:numCache>
                <c:formatCode>General</c:formatCode>
                <c:ptCount val="2"/>
                <c:pt idx="0">
                  <c:v>0.7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A12-4C33-80BF-899048C5332C}"/>
            </c:ext>
          </c:extLst>
        </c:ser>
        <c:ser>
          <c:idx val="8"/>
          <c:order val="7"/>
          <c:tx>
            <c:v>Design Point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>
                  <a:lumMod val="95000"/>
                  <a:lumOff val="5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'Constraint Sizing'!$J$11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Ref>
              <c:f>'Constraint Sizing'!$I$11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A12-4C33-80BF-899048C53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935208"/>
        <c:axId val="327503408"/>
      </c:scatterChart>
      <c:valAx>
        <c:axId val="511935208"/>
        <c:scaling>
          <c:orientation val="minMax"/>
          <c:max val="150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Wing</a:t>
                </a:r>
                <a:r>
                  <a:rPr lang="en-US" baseline="0"/>
                  <a:t> Loading Wto/S, (psf)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408"/>
        <c:crosses val="autoZero"/>
        <c:crossBetween val="midCat"/>
      </c:valAx>
      <c:valAx>
        <c:axId val="327503408"/>
        <c:scaling>
          <c:orientation val="minMax"/>
          <c:max val="0.70000000000000007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Thrust-to-Weight</a:t>
                </a:r>
                <a:r>
                  <a:rPr lang="en-US" baseline="0"/>
                  <a:t> Ratio Tsl/Wto (~)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91426071741033E-2"/>
          <c:y val="0.11574074074074074"/>
          <c:w val="0.86441907261592299"/>
          <c:h val="0.665748760571595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'Class I W&amp;B'!$AF$4</c:f>
              <c:strCache>
                <c:ptCount val="1"/>
                <c:pt idx="0">
                  <c:v>Fuselage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W&amp;B'!$AF$6:$AF$10</c:f>
              <c:numCache>
                <c:formatCode>General</c:formatCode>
                <c:ptCount val="5"/>
                <c:pt idx="0">
                  <c:v>0</c:v>
                </c:pt>
                <c:pt idx="1">
                  <c:v>45</c:v>
                </c:pt>
                <c:pt idx="2">
                  <c:v>100</c:v>
                </c:pt>
                <c:pt idx="3">
                  <c:v>160</c:v>
                </c:pt>
                <c:pt idx="4">
                  <c:v>0</c:v>
                </c:pt>
              </c:numCache>
            </c:numRef>
          </c:xVal>
          <c:yVal>
            <c:numRef>
              <c:f>'Class I W&amp;B'!$AG$6:$AG$10</c:f>
              <c:numCache>
                <c:formatCode>General</c:formatCode>
                <c:ptCount val="5"/>
                <c:pt idx="0">
                  <c:v>0</c:v>
                </c:pt>
                <c:pt idx="1">
                  <c:v>3.915</c:v>
                </c:pt>
                <c:pt idx="2">
                  <c:v>3.915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1-40C4-937C-D3003C853EA2}"/>
            </c:ext>
          </c:extLst>
        </c:ser>
        <c:ser>
          <c:idx val="1"/>
          <c:order val="1"/>
          <c:tx>
            <c:strRef>
              <c:f>'Class I W&amp;B'!$AF$12</c:f>
              <c:strCache>
                <c:ptCount val="1"/>
                <c:pt idx="0">
                  <c:v>Wing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W&amp;B'!$AF$14:$AF$17</c:f>
              <c:numCache>
                <c:formatCode>General</c:formatCode>
                <c:ptCount val="4"/>
                <c:pt idx="0">
                  <c:v>97.745904950371184</c:v>
                </c:pt>
                <c:pt idx="1">
                  <c:v>163.06903888259097</c:v>
                </c:pt>
                <c:pt idx="2">
                  <c:v>168.19903888259097</c:v>
                </c:pt>
                <c:pt idx="3">
                  <c:v>117.47590495037119</c:v>
                </c:pt>
              </c:numCache>
            </c:numRef>
          </c:xVal>
          <c:yVal>
            <c:numRef>
              <c:f>'Class I W&amp;B'!$AG$14:$AG$17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58.817213978780181</c:v>
                </c:pt>
                <c:pt idx="2">
                  <c:v>58.817213978780181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1-40C4-937C-D3003C853EA2}"/>
            </c:ext>
          </c:extLst>
        </c:ser>
        <c:ser>
          <c:idx val="2"/>
          <c:order val="2"/>
          <c:tx>
            <c:strRef>
              <c:f>'Class I W&amp;B'!$AF$19</c:f>
              <c:strCache>
                <c:ptCount val="1"/>
                <c:pt idx="0">
                  <c:v>Nacelles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W&amp;B'!$AF$21:$AF$25</c:f>
              <c:numCache>
                <c:formatCode>General</c:formatCode>
                <c:ptCount val="5"/>
                <c:pt idx="0">
                  <c:v>105</c:v>
                </c:pt>
                <c:pt idx="1">
                  <c:v>105</c:v>
                </c:pt>
                <c:pt idx="2">
                  <c:v>121.24</c:v>
                </c:pt>
                <c:pt idx="3">
                  <c:v>121.24</c:v>
                </c:pt>
                <c:pt idx="4">
                  <c:v>105</c:v>
                </c:pt>
              </c:numCache>
            </c:numRef>
          </c:xVal>
          <c:yVal>
            <c:numRef>
              <c:f>'Class I W&amp;B'!$AG$21:$AG$25</c:f>
              <c:numCache>
                <c:formatCode>General</c:formatCode>
                <c:ptCount val="5"/>
                <c:pt idx="0">
                  <c:v>7.5</c:v>
                </c:pt>
                <c:pt idx="1">
                  <c:v>13.1</c:v>
                </c:pt>
                <c:pt idx="2">
                  <c:v>13.1</c:v>
                </c:pt>
                <c:pt idx="3">
                  <c:v>7.5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51-40C4-937C-D3003C853EA2}"/>
            </c:ext>
          </c:extLst>
        </c:ser>
        <c:ser>
          <c:idx val="3"/>
          <c:order val="3"/>
          <c:tx>
            <c:strRef>
              <c:f>'Class I W&amp;B'!$AN$19</c:f>
              <c:strCache>
                <c:ptCount val="1"/>
                <c:pt idx="0">
                  <c:v>Tail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W&amp;B'!$AN$21:$AN$24</c:f>
              <c:numCache>
                <c:formatCode>General</c:formatCode>
                <c:ptCount val="4"/>
                <c:pt idx="0">
                  <c:v>110</c:v>
                </c:pt>
                <c:pt idx="1">
                  <c:v>119.3474518086088</c:v>
                </c:pt>
                <c:pt idx="2">
                  <c:v>123.39745180860879</c:v>
                </c:pt>
                <c:pt idx="3">
                  <c:v>119.88</c:v>
                </c:pt>
              </c:numCache>
            </c:numRef>
          </c:xVal>
          <c:yVal>
            <c:numRef>
              <c:f>'Class I W&amp;B'!$AO$21:$AO$24</c:f>
              <c:numCache>
                <c:formatCode>General</c:formatCode>
                <c:ptCount val="4"/>
                <c:pt idx="0">
                  <c:v>0</c:v>
                </c:pt>
                <c:pt idx="1">
                  <c:v>17.579999999999998</c:v>
                </c:pt>
                <c:pt idx="2">
                  <c:v>17.579999999999998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51-40C4-937C-D3003C853EA2}"/>
            </c:ext>
          </c:extLst>
        </c:ser>
        <c:ser>
          <c:idx val="4"/>
          <c:order val="4"/>
          <c:tx>
            <c:strRef>
              <c:f>'Class I W&amp;B'!$AI$19</c:f>
              <c:strCache>
                <c:ptCount val="1"/>
                <c:pt idx="0">
                  <c:v>Main Landing Gear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W&amp;B'!$AI$21:$AI$25</c:f>
              <c:numCache>
                <c:formatCode>General</c:formatCode>
                <c:ptCount val="5"/>
                <c:pt idx="0">
                  <c:v>108</c:v>
                </c:pt>
                <c:pt idx="1">
                  <c:v>108</c:v>
                </c:pt>
                <c:pt idx="2">
                  <c:v>111</c:v>
                </c:pt>
                <c:pt idx="3">
                  <c:v>111</c:v>
                </c:pt>
                <c:pt idx="4">
                  <c:v>108</c:v>
                </c:pt>
              </c:numCache>
            </c:numRef>
          </c:xVal>
          <c:yVal>
            <c:numRef>
              <c:f>'Class I W&amp;B'!$AJ$21:$AJ$25</c:f>
              <c:numCache>
                <c:formatCode>General</c:formatCode>
                <c:ptCount val="5"/>
                <c:pt idx="0">
                  <c:v>9</c:v>
                </c:pt>
                <c:pt idx="1">
                  <c:v>11</c:v>
                </c:pt>
                <c:pt idx="2">
                  <c:v>11</c:v>
                </c:pt>
                <c:pt idx="3">
                  <c:v>9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51-40C4-937C-D3003C853EA2}"/>
            </c:ext>
          </c:extLst>
        </c:ser>
        <c:ser>
          <c:idx val="5"/>
          <c:order val="5"/>
          <c:tx>
            <c:v>mgc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W&amp;B'!$AI$29:$AI$30</c:f>
              <c:numCache>
                <c:formatCode>General</c:formatCode>
                <c:ptCount val="2"/>
                <c:pt idx="0">
                  <c:v>83.111542225028856</c:v>
                </c:pt>
                <c:pt idx="1">
                  <c:v>109.67354222502885</c:v>
                </c:pt>
              </c:numCache>
            </c:numRef>
          </c:xVal>
          <c:yVal>
            <c:numRef>
              <c:f>'Class I W&amp;B'!$AJ$29:$AJ$30</c:f>
              <c:numCache>
                <c:formatCode>General</c:formatCode>
                <c:ptCount val="2"/>
                <c:pt idx="0">
                  <c:v>-27.523233281029192</c:v>
                </c:pt>
                <c:pt idx="1">
                  <c:v>-27.523233281029192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51-40C4-937C-D3003C853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558760"/>
        <c:axId val="652564664"/>
      </c:scatterChart>
      <c:valAx>
        <c:axId val="652558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Fuselage Station</a:t>
                </a:r>
                <a:r>
                  <a:rPr lang="en-US" baseline="0">
                    <a:solidFill>
                      <a:sysClr val="windowText" lastClr="000000"/>
                    </a:solidFill>
                  </a:rPr>
                  <a:t> (ft)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4664"/>
        <c:crosses val="autoZero"/>
        <c:crossBetween val="midCat"/>
      </c:valAx>
      <c:valAx>
        <c:axId val="652564664"/>
        <c:scaling>
          <c:orientation val="minMax"/>
          <c:max val="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Buttock Line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5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03054638308991"/>
          <c:y val="3.2537182852143486E-2"/>
          <c:w val="0.30977590573322583"/>
          <c:h val="0.55066284558953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CG Excursion at Mach 0.95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617778068197906"/>
          <c:y val="0.13650002418929663"/>
          <c:w val="0.75193544759973863"/>
          <c:h val="0.62125500939209555"/>
        </c:manualLayout>
      </c:layout>
      <c:scatterChart>
        <c:scatterStyle val="lineMarker"/>
        <c:varyColors val="0"/>
        <c:ser>
          <c:idx val="6"/>
          <c:order val="0"/>
          <c:tx>
            <c:v>CG Envelope</c:v>
          </c:tx>
          <c:marker>
            <c:symbol val="none"/>
          </c:marker>
          <c:xVal>
            <c:numRef>
              <c:f>'Class I W&amp;B'!$B$22:$B$27</c:f>
              <c:numCache>
                <c:formatCode>0.00</c:formatCode>
                <c:ptCount val="6"/>
                <c:pt idx="0">
                  <c:v>98.5077511153237</c:v>
                </c:pt>
                <c:pt idx="1">
                  <c:v>97.580693874376905</c:v>
                </c:pt>
                <c:pt idx="2">
                  <c:v>96.210466371806277</c:v>
                </c:pt>
                <c:pt idx="3">
                  <c:v>105.50713101633252</c:v>
                </c:pt>
                <c:pt idx="4">
                  <c:v>106.73909662109146</c:v>
                </c:pt>
                <c:pt idx="5">
                  <c:v>97.580693874376905</c:v>
                </c:pt>
              </c:numCache>
            </c:numRef>
          </c:xVal>
          <c:yVal>
            <c:numRef>
              <c:f>'Class I W&amp;B'!$C$22:$C$27</c:f>
              <c:numCache>
                <c:formatCode>0.0</c:formatCode>
                <c:ptCount val="6"/>
                <c:pt idx="0">
                  <c:v>85713.53961432504</c:v>
                </c:pt>
                <c:pt idx="1">
                  <c:v>87093.53961432504</c:v>
                </c:pt>
                <c:pt idx="2">
                  <c:v>98593.53961432504</c:v>
                </c:pt>
                <c:pt idx="3">
                  <c:v>195149.28852554748</c:v>
                </c:pt>
                <c:pt idx="4">
                  <c:v>183649.2885244785</c:v>
                </c:pt>
                <c:pt idx="5">
                  <c:v>87093.53961432504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FDC-442B-9A2C-7025DC0D9F54}"/>
            </c:ext>
          </c:extLst>
        </c:ser>
        <c:ser>
          <c:idx val="7"/>
          <c:order val="1"/>
          <c:tx>
            <c:strRef>
              <c:f>'Class I W&amp;B'!$AO$30</c:f>
              <c:strCache>
                <c:ptCount val="1"/>
                <c:pt idx="0">
                  <c:v>Main Gear Contact</c:v>
                </c:pt>
              </c:strCache>
            </c:strRef>
          </c:tx>
          <c:marker>
            <c:symbol val="none"/>
          </c:marker>
          <c:xVal>
            <c:numRef>
              <c:f>'Class I W&amp;B'!$AO$31:$AO$32</c:f>
              <c:numCache>
                <c:formatCode>General</c:formatCode>
                <c:ptCount val="2"/>
                <c:pt idx="0">
                  <c:v>109.5</c:v>
                </c:pt>
                <c:pt idx="1">
                  <c:v>109.5</c:v>
                </c:pt>
              </c:numCache>
            </c:numRef>
          </c:xVal>
          <c:yVal>
            <c:numRef>
              <c:f>'Class I W&amp;B'!$AP$31:$AP$32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FDC-442B-9A2C-7025DC0D9F54}"/>
            </c:ext>
          </c:extLst>
        </c:ser>
        <c:ser>
          <c:idx val="8"/>
          <c:order val="2"/>
          <c:tx>
            <c:strRef>
              <c:f>'Class I W&amp;B'!$AK$40</c:f>
              <c:strCache>
                <c:ptCount val="1"/>
                <c:pt idx="0">
                  <c:v>Neutral Point</c:v>
                </c:pt>
              </c:strCache>
            </c:strRef>
          </c:tx>
          <c:marker>
            <c:symbol val="none"/>
          </c:marker>
          <c:xVal>
            <c:numRef>
              <c:f>'Class I W&amp;B'!$AK$42:$AK$43</c:f>
              <c:numCache>
                <c:formatCode>0.00</c:formatCode>
                <c:ptCount val="2"/>
                <c:pt idx="0">
                  <c:v>105.53</c:v>
                </c:pt>
                <c:pt idx="1">
                  <c:v>105.53</c:v>
                </c:pt>
              </c:numCache>
            </c:numRef>
          </c:xVal>
          <c:yVal>
            <c:numRef>
              <c:f>'Class I W&amp;B'!$AL$42:$AL$43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FDC-442B-9A2C-7025DC0D9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68360"/>
        <c:axId val="647165080"/>
        <c:extLst>
          <c:ext xmlns:c15="http://schemas.microsoft.com/office/drawing/2012/chart" uri="{02D57815-91ED-43cb-92C2-25804820EDAC}">
            <c15:filteredScatterSeries>
              <c15:ser>
                <c:idx val="9"/>
                <c:order val="3"/>
                <c:tx>
                  <c:v>CG Envelope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2-7FDC-442B-9A2C-7025DC0D9F54}"/>
                  </c:ext>
                </c:extLst>
              </c15:ser>
            </c15:filteredScatterSeries>
            <c15:filteredScatterSeries>
              <c15:ser>
                <c:idx val="1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FDC-442B-9A2C-7025DC0D9F54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FDC-442B-9A2C-7025DC0D9F54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v>CG Envelope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FDC-442B-9A2C-7025DC0D9F54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FDC-442B-9A2C-7025DC0D9F54}"/>
                  </c:ext>
                </c:extLst>
              </c15:ser>
            </c15:filteredScatterSeries>
            <c15:filteredScatter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FDC-442B-9A2C-7025DC0D9F54}"/>
                  </c:ext>
                </c:extLst>
              </c15:ser>
            </c15:filteredScatterSeries>
            <c15:filteredScatterSeries>
              <c15:ser>
                <c:idx val="0"/>
                <c:order val="9"/>
                <c:tx>
                  <c:v>CG Envelope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FDC-442B-9A2C-7025DC0D9F54}"/>
                  </c:ext>
                </c:extLst>
              </c15:ser>
            </c15:filteredScatterSeries>
            <c15:filteredScatte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FDC-442B-9A2C-7025DC0D9F54}"/>
                  </c:ext>
                </c:extLst>
              </c15:ser>
            </c15:filteredScatterSeries>
            <c15:filteredScatterSeries>
              <c15:ser>
                <c:idx val="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FDC-442B-9A2C-7025DC0D9F54}"/>
                  </c:ext>
                </c:extLst>
              </c15:ser>
            </c15:filteredScatterSeries>
          </c:ext>
        </c:extLst>
      </c:scatterChart>
      <c:valAx>
        <c:axId val="64716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 CG Location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5080"/>
        <c:crosses val="autoZero"/>
        <c:crossBetween val="midCat"/>
      </c:valAx>
      <c:valAx>
        <c:axId val="647165080"/>
        <c:scaling>
          <c:orientation val="minMax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Weight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8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136864116051884"/>
          <c:y val="0.15431959039928581"/>
          <c:w val="0.29474477516036635"/>
          <c:h val="0.2432910014757236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CG Excursion at Mach 0.95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17768623063843"/>
          <c:y val="0.17237798052196851"/>
          <c:w val="0.75864470760358005"/>
          <c:h val="0.62125500939209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'Class I W&amp;B'!$C$21</c:f>
              <c:strCache>
                <c:ptCount val="1"/>
                <c:pt idx="0">
                  <c:v>Weight (lb)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W&amp;B'!$D$22:$D$27</c:f>
              <c:numCache>
                <c:formatCode>0.00</c:formatCode>
                <c:ptCount val="6"/>
                <c:pt idx="0">
                  <c:v>21.547250336533601</c:v>
                </c:pt>
                <c:pt idx="1">
                  <c:v>24.391856783133154</c:v>
                </c:pt>
                <c:pt idx="2">
                  <c:v>28.596298337507591</c:v>
                </c:pt>
                <c:pt idx="3">
                  <c:v>7.017178173513014E-2</c:v>
                </c:pt>
                <c:pt idx="4">
                  <c:v>-3.7100233847544075</c:v>
                </c:pt>
                <c:pt idx="5">
                  <c:v>24.391856783133154</c:v>
                </c:pt>
              </c:numCache>
            </c:numRef>
          </c:xVal>
          <c:yVal>
            <c:numRef>
              <c:f>'Class I W&amp;B'!$C$22:$C$27</c:f>
              <c:numCache>
                <c:formatCode>0.0</c:formatCode>
                <c:ptCount val="6"/>
                <c:pt idx="0">
                  <c:v>85713.53961432504</c:v>
                </c:pt>
                <c:pt idx="1">
                  <c:v>87093.53961432504</c:v>
                </c:pt>
                <c:pt idx="2">
                  <c:v>98593.53961432504</c:v>
                </c:pt>
                <c:pt idx="3">
                  <c:v>195149.28852554748</c:v>
                </c:pt>
                <c:pt idx="4">
                  <c:v>183649.2885244785</c:v>
                </c:pt>
                <c:pt idx="5">
                  <c:v>87093.53961432504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9-4C72-9491-C759EDAB715E}"/>
            </c:ext>
          </c:extLst>
        </c:ser>
        <c:ser>
          <c:idx val="1"/>
          <c:order val="1"/>
          <c:tx>
            <c:strRef>
              <c:f>'Class I W&amp;B'!$AO$30</c:f>
              <c:strCache>
                <c:ptCount val="1"/>
                <c:pt idx="0">
                  <c:v>Main Gear Contact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W&amp;B'!$AO$28:$AO$29</c:f>
              <c:numCache>
                <c:formatCode>General</c:formatCode>
                <c:ptCount val="2"/>
                <c:pt idx="0">
                  <c:v>-12.181650813132858</c:v>
                </c:pt>
                <c:pt idx="1">
                  <c:v>-12.181650813132858</c:v>
                </c:pt>
              </c:numCache>
            </c:numRef>
          </c:xVal>
          <c:yVal>
            <c:numRef>
              <c:f>'Class I W&amp;B'!$AP$28:$AP$29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99-4C72-9491-C759EDAB715E}"/>
            </c:ext>
          </c:extLst>
        </c:ser>
        <c:ser>
          <c:idx val="2"/>
          <c:order val="2"/>
          <c:tx>
            <c:strRef>
              <c:f>'Class I W&amp;B'!$AK$40</c:f>
              <c:strCache>
                <c:ptCount val="1"/>
                <c:pt idx="0">
                  <c:v>Neutral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W&amp;B'!$AO$41:$AO$42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'Class I W&amp;B'!$AP$41:$AP$42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99-4C72-9491-C759EDAB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68360"/>
        <c:axId val="647165080"/>
      </c:scatterChart>
      <c:valAx>
        <c:axId val="64716836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 CG Location (in % MAC from Neutral Point))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5080"/>
        <c:crosses val="autoZero"/>
        <c:crossBetween val="midCat"/>
      </c:valAx>
      <c:valAx>
        <c:axId val="647165080"/>
        <c:scaling>
          <c:orientation val="minMax"/>
          <c:min val="400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Weight (lb)</a:t>
                </a:r>
              </a:p>
            </c:rich>
          </c:tx>
          <c:layout>
            <c:manualLayout>
              <c:xMode val="edge"/>
              <c:yMode val="edge"/>
              <c:x val="2.5284770668403473E-2"/>
              <c:y val="0.3609094946677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17308187951253"/>
          <c:y val="0.19116172264284767"/>
          <c:w val="0.27476552591016901"/>
          <c:h val="0.23528434464105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CG Excursion at Mach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17768623063843"/>
          <c:y val="0.17237798052196851"/>
          <c:w val="0.75864470760358005"/>
          <c:h val="0.62125500939209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'Class I W&amp;B'!$C$21</c:f>
              <c:strCache>
                <c:ptCount val="1"/>
                <c:pt idx="0">
                  <c:v>Weight (lb)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W&amp;B'!$F$22:$F$27</c:f>
              <c:numCache>
                <c:formatCode>0.00</c:formatCode>
                <c:ptCount val="6"/>
                <c:pt idx="0">
                  <c:v>29.678578964947246</c:v>
                </c:pt>
                <c:pt idx="1">
                  <c:v>32.523185411546798</c:v>
                </c:pt>
                <c:pt idx="2">
                  <c:v>36.727626965921232</c:v>
                </c:pt>
                <c:pt idx="3">
                  <c:v>8.2015004101487712</c:v>
                </c:pt>
                <c:pt idx="4">
                  <c:v>4.4213052436592326</c:v>
                </c:pt>
                <c:pt idx="5">
                  <c:v>32.523185411546798</c:v>
                </c:pt>
              </c:numCache>
            </c:numRef>
          </c:xVal>
          <c:yVal>
            <c:numRef>
              <c:f>'Class I W&amp;B'!$C$22:$C$27</c:f>
              <c:numCache>
                <c:formatCode>0.0</c:formatCode>
                <c:ptCount val="6"/>
                <c:pt idx="0">
                  <c:v>85713.53961432504</c:v>
                </c:pt>
                <c:pt idx="1">
                  <c:v>87093.53961432504</c:v>
                </c:pt>
                <c:pt idx="2">
                  <c:v>98593.53961432504</c:v>
                </c:pt>
                <c:pt idx="3">
                  <c:v>195149.28852554748</c:v>
                </c:pt>
                <c:pt idx="4">
                  <c:v>183649.2885244785</c:v>
                </c:pt>
                <c:pt idx="5">
                  <c:v>87093.53961432504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6B-4862-B6EE-476DE17FAA9E}"/>
            </c:ext>
          </c:extLst>
        </c:ser>
        <c:ser>
          <c:idx val="1"/>
          <c:order val="1"/>
          <c:tx>
            <c:strRef>
              <c:f>'Class I W&amp;B'!$AO$30</c:f>
              <c:strCache>
                <c:ptCount val="1"/>
                <c:pt idx="0">
                  <c:v>Main Gear Contact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W&amp;B'!$AQ$28:$AQ$29</c:f>
              <c:numCache>
                <c:formatCode>General</c:formatCode>
                <c:ptCount val="2"/>
                <c:pt idx="0">
                  <c:v>-4.0503221847192172</c:v>
                </c:pt>
                <c:pt idx="1">
                  <c:v>-4.0503221847192172</c:v>
                </c:pt>
              </c:numCache>
            </c:numRef>
          </c:xVal>
          <c:yVal>
            <c:numRef>
              <c:f>'Class I W&amp;B'!$AP$28:$AP$29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6B-4862-B6EE-476DE17FAA9E}"/>
            </c:ext>
          </c:extLst>
        </c:ser>
        <c:ser>
          <c:idx val="2"/>
          <c:order val="2"/>
          <c:tx>
            <c:strRef>
              <c:f>'Class I W&amp;B'!$AK$40</c:f>
              <c:strCache>
                <c:ptCount val="1"/>
                <c:pt idx="0">
                  <c:v>Neutral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'Class I W&amp;B'!$AO$41:$AO$42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'Class I W&amp;B'!$AP$41:$AP$42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6B-4862-B6EE-476DE17FA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68360"/>
        <c:axId val="647165080"/>
      </c:scatterChart>
      <c:valAx>
        <c:axId val="64716836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 CG Location (in % MAC from Neutral Point))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5080"/>
        <c:crosses val="autoZero"/>
        <c:crossBetween val="midCat"/>
      </c:valAx>
      <c:valAx>
        <c:axId val="647165080"/>
        <c:scaling>
          <c:orientation val="minMax"/>
          <c:min val="400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Weight (lb)</a:t>
                </a:r>
              </a:p>
            </c:rich>
          </c:tx>
          <c:layout>
            <c:manualLayout>
              <c:xMode val="edge"/>
              <c:yMode val="edge"/>
              <c:x val="2.5284770668403473E-2"/>
              <c:y val="0.3609094946677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749797991759456"/>
          <c:y val="0.1673821751507848"/>
          <c:w val="0.27476552591016901"/>
          <c:h val="0.23528434464105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CG Excursion at Mach 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617778068197906"/>
          <c:y val="0.13650002418929663"/>
          <c:w val="0.75193544759973863"/>
          <c:h val="0.62125500939209555"/>
        </c:manualLayout>
      </c:layout>
      <c:scatterChart>
        <c:scatterStyle val="lineMarker"/>
        <c:varyColors val="0"/>
        <c:ser>
          <c:idx val="6"/>
          <c:order val="0"/>
          <c:tx>
            <c:v>CG Envelope</c:v>
          </c:tx>
          <c:marker>
            <c:symbol val="none"/>
          </c:marker>
          <c:xVal>
            <c:numRef>
              <c:f>'Class I W&amp;B'!$B$22:$B$27</c:f>
              <c:numCache>
                <c:formatCode>0.00</c:formatCode>
                <c:ptCount val="6"/>
                <c:pt idx="0">
                  <c:v>98.5077511153237</c:v>
                </c:pt>
                <c:pt idx="1">
                  <c:v>97.580693874376905</c:v>
                </c:pt>
                <c:pt idx="2">
                  <c:v>96.210466371806277</c:v>
                </c:pt>
                <c:pt idx="3">
                  <c:v>105.50713101633252</c:v>
                </c:pt>
                <c:pt idx="4">
                  <c:v>106.73909662109146</c:v>
                </c:pt>
                <c:pt idx="5">
                  <c:v>97.580693874376905</c:v>
                </c:pt>
              </c:numCache>
            </c:numRef>
          </c:xVal>
          <c:yVal>
            <c:numRef>
              <c:f>'Class I W&amp;B'!$C$22:$C$27</c:f>
              <c:numCache>
                <c:formatCode>0.0</c:formatCode>
                <c:ptCount val="6"/>
                <c:pt idx="0">
                  <c:v>85713.53961432504</c:v>
                </c:pt>
                <c:pt idx="1">
                  <c:v>87093.53961432504</c:v>
                </c:pt>
                <c:pt idx="2">
                  <c:v>98593.53961432504</c:v>
                </c:pt>
                <c:pt idx="3">
                  <c:v>195149.28852554748</c:v>
                </c:pt>
                <c:pt idx="4">
                  <c:v>183649.2885244785</c:v>
                </c:pt>
                <c:pt idx="5">
                  <c:v>87093.53961432504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7-4B7B-A0FC-C8DCFF962A0D}"/>
            </c:ext>
          </c:extLst>
        </c:ser>
        <c:ser>
          <c:idx val="7"/>
          <c:order val="1"/>
          <c:tx>
            <c:strRef>
              <c:f>'Class I W&amp;B'!$AO$30</c:f>
              <c:strCache>
                <c:ptCount val="1"/>
                <c:pt idx="0">
                  <c:v>Main Gear Contact</c:v>
                </c:pt>
              </c:strCache>
            </c:strRef>
          </c:tx>
          <c:marker>
            <c:symbol val="none"/>
          </c:marker>
          <c:xVal>
            <c:numRef>
              <c:f>'Class I W&amp;B'!$AO$31:$AO$32</c:f>
              <c:numCache>
                <c:formatCode>General</c:formatCode>
                <c:ptCount val="2"/>
                <c:pt idx="0">
                  <c:v>109.5</c:v>
                </c:pt>
                <c:pt idx="1">
                  <c:v>109.5</c:v>
                </c:pt>
              </c:numCache>
            </c:numRef>
          </c:xVal>
          <c:yVal>
            <c:numRef>
              <c:f>'Class I W&amp;B'!$AP$31:$AP$32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7-4B7B-A0FC-C8DCFF962A0D}"/>
            </c:ext>
          </c:extLst>
        </c:ser>
        <c:ser>
          <c:idx val="8"/>
          <c:order val="2"/>
          <c:tx>
            <c:strRef>
              <c:f>'Class I W&amp;B'!$AK$40</c:f>
              <c:strCache>
                <c:ptCount val="1"/>
                <c:pt idx="0">
                  <c:v>Neutral Point</c:v>
                </c:pt>
              </c:strCache>
            </c:strRef>
          </c:tx>
          <c:marker>
            <c:symbol val="none"/>
          </c:marker>
          <c:xVal>
            <c:numRef>
              <c:f>'Class I W&amp;B'!$AM$42:$AM$43</c:f>
              <c:numCache>
                <c:formatCode>General</c:formatCode>
                <c:ptCount val="2"/>
                <c:pt idx="0">
                  <c:v>108.18</c:v>
                </c:pt>
                <c:pt idx="1">
                  <c:v>108.18</c:v>
                </c:pt>
              </c:numCache>
            </c:numRef>
          </c:xVal>
          <c:yVal>
            <c:numRef>
              <c:f>'Class I W&amp;B'!$AL$42:$AL$43</c:f>
              <c:numCache>
                <c:formatCode>0.0</c:formatCode>
                <c:ptCount val="2"/>
                <c:pt idx="0" formatCode="General">
                  <c:v>0</c:v>
                </c:pt>
                <c:pt idx="1">
                  <c:v>195149.28852554748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7-4B7B-A0FC-C8DCFF962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68360"/>
        <c:axId val="647165080"/>
        <c:extLst>
          <c:ext xmlns:c15="http://schemas.microsoft.com/office/drawing/2012/chart" uri="{02D57815-91ED-43cb-92C2-25804820EDAC}">
            <c15:filteredScatterSeries>
              <c15:ser>
                <c:idx val="9"/>
                <c:order val="3"/>
                <c:tx>
                  <c:v>CG Envelope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1777-4B7B-A0FC-C8DCFF962A0D}"/>
                  </c:ext>
                </c:extLst>
              </c15:ser>
            </c15:filteredScatterSeries>
            <c15:filteredScatterSeries>
              <c15:ser>
                <c:idx val="1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777-4B7B-A0FC-C8DCFF962A0D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777-4B7B-A0FC-C8DCFF962A0D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v>CG Envelope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777-4B7B-A0FC-C8DCFF962A0D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777-4B7B-A0FC-C8DCFF962A0D}"/>
                  </c:ext>
                </c:extLst>
              </c15:ser>
            </c15:filteredScatterSeries>
            <c15:filteredScatter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777-4B7B-A0FC-C8DCFF962A0D}"/>
                  </c:ext>
                </c:extLst>
              </c15:ser>
            </c15:filteredScatterSeries>
            <c15:filteredScatterSeries>
              <c15:ser>
                <c:idx val="0"/>
                <c:order val="9"/>
                <c:tx>
                  <c:v>CG Envelope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W&amp;B'!$B$22:$B$27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98.5077511153237</c:v>
                      </c:pt>
                      <c:pt idx="1">
                        <c:v>97.580693874376905</c:v>
                      </c:pt>
                      <c:pt idx="2">
                        <c:v>96.210466371806277</c:v>
                      </c:pt>
                      <c:pt idx="3">
                        <c:v>105.50713101633252</c:v>
                      </c:pt>
                      <c:pt idx="4">
                        <c:v>106.73909662109146</c:v>
                      </c:pt>
                      <c:pt idx="5">
                        <c:v>97.580693874376905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W&amp;B'!$C$22:$C$27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85713.53961432504</c:v>
                      </c:pt>
                      <c:pt idx="1">
                        <c:v>87093.53961432504</c:v>
                      </c:pt>
                      <c:pt idx="2">
                        <c:v>98593.53961432504</c:v>
                      </c:pt>
                      <c:pt idx="3">
                        <c:v>195149.28852554748</c:v>
                      </c:pt>
                      <c:pt idx="4">
                        <c:v>183649.2885244785</c:v>
                      </c:pt>
                      <c:pt idx="5">
                        <c:v>87093.53961432504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777-4B7B-A0FC-C8DCFF962A0D}"/>
                  </c:ext>
                </c:extLst>
              </c15:ser>
            </c15:filteredScatterSeries>
            <c15:filteredScatte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W&amp;B'!$AO$30</c15:sqref>
                        </c15:formulaRef>
                      </c:ext>
                    </c:extLst>
                    <c:strCache>
                      <c:ptCount val="1"/>
                      <c:pt idx="0">
                        <c:v>Main Gear Contact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W&amp;B'!$AO$31:$AO$32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109.5</c:v>
                      </c:pt>
                      <c:pt idx="1">
                        <c:v>109.5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W&amp;B'!$AP$31:$AP$32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777-4B7B-A0FC-C8DCFF962A0D}"/>
                  </c:ext>
                </c:extLst>
              </c15:ser>
            </c15:filteredScatterSeries>
            <c15:filteredScatterSeries>
              <c15:ser>
                <c:idx val="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W&amp;B'!$AK$40</c15:sqref>
                        </c15:formulaRef>
                      </c:ext>
                    </c:extLst>
                    <c:strCache>
                      <c:ptCount val="1"/>
                      <c:pt idx="0">
                        <c:v>Neutral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105.53</c:v>
                      </c:pt>
                      <c:pt idx="1">
                        <c:v>105.53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 I W&amp;B'!$AL$42:$AL$43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 formatCode="General">
                        <c:v>0</c:v>
                      </c:pt>
                      <c:pt idx="1">
                        <c:v>195149.28852554748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777-4B7B-A0FC-C8DCFF962A0D}"/>
                  </c:ext>
                </c:extLst>
              </c15:ser>
            </c15:filteredScatterSeries>
          </c:ext>
        </c:extLst>
      </c:scatterChart>
      <c:valAx>
        <c:axId val="64716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 CG Location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5080"/>
        <c:crosses val="autoZero"/>
        <c:crossBetween val="midCat"/>
      </c:valAx>
      <c:valAx>
        <c:axId val="647165080"/>
        <c:scaling>
          <c:orientation val="minMax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Weight (lb)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68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690114461833351"/>
          <c:y val="0.14535012859171328"/>
          <c:w val="0.29474477516036635"/>
          <c:h val="0.2432910014757236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027581049575498E-2"/>
          <c:y val="5.2710892710892708E-2"/>
          <c:w val="0.88189776176403545"/>
          <c:h val="0.82802661295245072"/>
        </c:manualLayout>
      </c:layout>
      <c:scatterChart>
        <c:scatterStyle val="smoothMarker"/>
        <c:varyColors val="0"/>
        <c:ser>
          <c:idx val="0"/>
          <c:order val="0"/>
          <c:tx>
            <c:v>stall_pos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Diagram'!$E$24:$E$25</c:f>
              <c:numCache>
                <c:formatCode>General</c:formatCode>
                <c:ptCount val="2"/>
                <c:pt idx="0">
                  <c:v>244.86134207374593</c:v>
                </c:pt>
                <c:pt idx="1">
                  <c:v>244.86134207374593</c:v>
                </c:pt>
              </c:numCache>
            </c:numRef>
          </c:xVal>
          <c:yVal>
            <c:numRef>
              <c:f>'V-n Diagram'!$F$24:$F$25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7C-4DFB-85A8-06A56AEF38A8}"/>
            </c:ext>
          </c:extLst>
        </c:ser>
        <c:ser>
          <c:idx val="1"/>
          <c:order val="1"/>
          <c:tx>
            <c:v>stall_neg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Diagram'!$H$24:$H$25</c:f>
              <c:numCache>
                <c:formatCode>General</c:formatCode>
                <c:ptCount val="2"/>
                <c:pt idx="0">
                  <c:v>273.7633029693626</c:v>
                </c:pt>
                <c:pt idx="1">
                  <c:v>273.7633029693626</c:v>
                </c:pt>
              </c:numCache>
            </c:numRef>
          </c:xVal>
          <c:yVal>
            <c:numRef>
              <c:f>'V-n Diagram'!$I$24:$I$25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7C-4DFB-85A8-06A56AEF38A8}"/>
            </c:ext>
          </c:extLst>
        </c:ser>
        <c:ser>
          <c:idx val="2"/>
          <c:order val="2"/>
          <c:tx>
            <c:v>connect_stall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Diagram'!$K$24:$K$25</c:f>
              <c:numCache>
                <c:formatCode>General</c:formatCode>
                <c:ptCount val="2"/>
                <c:pt idx="0">
                  <c:v>244.86134207374593</c:v>
                </c:pt>
                <c:pt idx="1">
                  <c:v>273.7633029693626</c:v>
                </c:pt>
              </c:numCache>
            </c:numRef>
          </c:xVal>
          <c:yVal>
            <c:numRef>
              <c:f>'V-n Diagram'!$L$24:$L$25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7C-4DFB-85A8-06A56AEF38A8}"/>
            </c:ext>
          </c:extLst>
        </c:ser>
        <c:ser>
          <c:idx val="3"/>
          <c:order val="3"/>
          <c:tx>
            <c:v>stall_before_va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Diagram'!$A$19:$A$29</c:f>
              <c:numCache>
                <c:formatCode>General</c:formatCode>
                <c:ptCount val="11"/>
                <c:pt idx="0">
                  <c:v>244.86134207374593</c:v>
                </c:pt>
                <c:pt idx="1">
                  <c:v>250</c:v>
                </c:pt>
                <c:pt idx="2">
                  <c:v>273.7633029693626</c:v>
                </c:pt>
                <c:pt idx="3">
                  <c:v>300</c:v>
                </c:pt>
                <c:pt idx="4">
                  <c:v>306</c:v>
                </c:pt>
                <c:pt idx="5">
                  <c:v>335</c:v>
                </c:pt>
                <c:pt idx="6">
                  <c:v>350</c:v>
                </c:pt>
                <c:pt idx="7">
                  <c:v>361.85</c:v>
                </c:pt>
                <c:pt idx="8">
                  <c:v>387.5</c:v>
                </c:pt>
                <c:pt idx="9">
                  <c:v>400</c:v>
                </c:pt>
                <c:pt idx="10">
                  <c:v>424.5</c:v>
                </c:pt>
              </c:numCache>
            </c:numRef>
          </c:xVal>
          <c:yVal>
            <c:numRef>
              <c:f>'V-n Diagram'!$B$19:$B$29</c:f>
              <c:numCache>
                <c:formatCode>General</c:formatCode>
                <c:ptCount val="11"/>
                <c:pt idx="0">
                  <c:v>1</c:v>
                </c:pt>
                <c:pt idx="1">
                  <c:v>1.0424123938620045</c:v>
                </c:pt>
                <c:pt idx="2">
                  <c:v>1.25</c:v>
                </c:pt>
                <c:pt idx="3">
                  <c:v>1.5010738471612863</c:v>
                </c:pt>
                <c:pt idx="4">
                  <c:v>1.5617172305866025</c:v>
                </c:pt>
                <c:pt idx="5">
                  <c:v>1.8717556944186151</c:v>
                </c:pt>
                <c:pt idx="6">
                  <c:v>2.0431282919695288</c:v>
                </c:pt>
                <c:pt idx="7">
                  <c:v>2.1838193153529275</c:v>
                </c:pt>
                <c:pt idx="8">
                  <c:v>2.5043957762534657</c:v>
                </c:pt>
                <c:pt idx="9">
                  <c:v>2.6685757282867315</c:v>
                </c:pt>
                <c:pt idx="10">
                  <c:v>3.0054875836325068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7C-4DFB-85A8-06A56AEF38A8}"/>
            </c:ext>
          </c:extLst>
        </c:ser>
        <c:ser>
          <c:idx val="4"/>
          <c:order val="4"/>
          <c:tx>
            <c:v>stall_before_va_neg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Diagram'!$A$21:$A$27</c:f>
              <c:numCache>
                <c:formatCode>General</c:formatCode>
                <c:ptCount val="7"/>
                <c:pt idx="0">
                  <c:v>273.7633029693626</c:v>
                </c:pt>
                <c:pt idx="1">
                  <c:v>300</c:v>
                </c:pt>
                <c:pt idx="2">
                  <c:v>306</c:v>
                </c:pt>
                <c:pt idx="3">
                  <c:v>335</c:v>
                </c:pt>
                <c:pt idx="4">
                  <c:v>350</c:v>
                </c:pt>
                <c:pt idx="5">
                  <c:v>361.85</c:v>
                </c:pt>
                <c:pt idx="6">
                  <c:v>387.5</c:v>
                </c:pt>
              </c:numCache>
            </c:numRef>
          </c:xVal>
          <c:yVal>
            <c:numRef>
              <c:f>'V-n Diagram'!$C$21:$C$27</c:f>
              <c:numCache>
                <c:formatCode>General</c:formatCode>
                <c:ptCount val="7"/>
                <c:pt idx="0">
                  <c:v>-1</c:v>
                </c:pt>
                <c:pt idx="1">
                  <c:v>-1.2008590777290291</c:v>
                </c:pt>
                <c:pt idx="2">
                  <c:v>-1.249373784469282</c:v>
                </c:pt>
                <c:pt idx="3">
                  <c:v>-1.4974045555348923</c:v>
                </c:pt>
                <c:pt idx="4">
                  <c:v>-1.6345026335756232</c:v>
                </c:pt>
                <c:pt idx="5">
                  <c:v>-1.747055452282342</c:v>
                </c:pt>
                <c:pt idx="6">
                  <c:v>-2.0035166210027726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7C-4DFB-85A8-06A56AEF38A8}"/>
            </c:ext>
          </c:extLst>
        </c:ser>
        <c:ser>
          <c:idx val="5"/>
          <c:order val="5"/>
          <c:tx>
            <c:v>n_pos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CA7-4B36-AD86-CD3E8419EF7E}"/>
              </c:ext>
            </c:extLst>
          </c:dPt>
          <c:xVal>
            <c:numRef>
              <c:f>'V-n Diagram'!$A$40:$A$41</c:f>
              <c:numCache>
                <c:formatCode>General</c:formatCode>
                <c:ptCount val="2"/>
                <c:pt idx="0">
                  <c:v>424.11228528123075</c:v>
                </c:pt>
                <c:pt idx="1">
                  <c:v>600</c:v>
                </c:pt>
              </c:numCache>
            </c:numRef>
          </c:xVal>
          <c:yVal>
            <c:numRef>
              <c:f>'V-n Diagram'!$B$40:$B$41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7C-4DFB-85A8-06A56AEF38A8}"/>
            </c:ext>
          </c:extLst>
        </c:ser>
        <c:ser>
          <c:idx val="6"/>
          <c:order val="6"/>
          <c:tx>
            <c:v>n_neg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Diagram'!$A$42:$A$43</c:f>
              <c:numCache>
                <c:formatCode>General</c:formatCode>
                <c:ptCount val="2"/>
                <c:pt idx="0">
                  <c:v>387.5</c:v>
                </c:pt>
                <c:pt idx="1">
                  <c:v>600</c:v>
                </c:pt>
              </c:numCache>
            </c:numRef>
          </c:xVal>
          <c:yVal>
            <c:numRef>
              <c:f>'V-n Diagram'!$B$42:$B$43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7C-4DFB-85A8-06A56AEF38A8}"/>
            </c:ext>
          </c:extLst>
        </c:ser>
        <c:ser>
          <c:idx val="7"/>
          <c:order val="7"/>
          <c:tx>
            <c:v>speed_lim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('V-n Diagram'!$A$41,'V-n Diagram'!$A$43)</c:f>
              <c:numCache>
                <c:formatCode>General</c:formatCode>
                <c:ptCount val="2"/>
                <c:pt idx="0">
                  <c:v>600</c:v>
                </c:pt>
                <c:pt idx="1">
                  <c:v>600</c:v>
                </c:pt>
              </c:numCache>
            </c:numRef>
          </c:xVal>
          <c:yVal>
            <c:numRef>
              <c:f>('V-n Diagram'!$B$41,'V-n Diagram'!$B$43)</c:f>
              <c:numCache>
                <c:formatCode>General</c:formatCode>
                <c:ptCount val="2"/>
                <c:pt idx="0">
                  <c:v>3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7C-4DFB-85A8-06A56AEF3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49536"/>
        <c:axId val="785751200"/>
      </c:scatterChart>
      <c:valAx>
        <c:axId val="785749536"/>
        <c:scaling>
          <c:orientation val="minMax"/>
          <c:max val="650"/>
          <c:min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Equivalent Airspeed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785751200"/>
        <c:crosses val="autoZero"/>
        <c:crossBetween val="midCat"/>
        <c:majorUnit val="100"/>
      </c:valAx>
      <c:valAx>
        <c:axId val="785751200"/>
        <c:scaling>
          <c:orientation val="minMax"/>
          <c:max val="3.5"/>
          <c:min val="-2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Load Factor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78574953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ea typeface="Tahoma" panose="020B0604030504040204" pitchFamily="34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027581049575498E-2"/>
          <c:y val="5.2710892710892708E-2"/>
          <c:w val="0.88189776176403545"/>
          <c:h val="0.82802661295245072"/>
        </c:manualLayout>
      </c:layout>
      <c:scatterChart>
        <c:scatterStyle val="smoothMarker"/>
        <c:varyColors val="0"/>
        <c:ser>
          <c:idx val="0"/>
          <c:order val="0"/>
          <c:tx>
            <c:v>stall_pos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Diagram'!$E$24:$E$25</c:f>
              <c:numCache>
                <c:formatCode>General</c:formatCode>
                <c:ptCount val="2"/>
                <c:pt idx="0">
                  <c:v>244.86134207374593</c:v>
                </c:pt>
                <c:pt idx="1">
                  <c:v>244.86134207374593</c:v>
                </c:pt>
              </c:numCache>
            </c:numRef>
          </c:xVal>
          <c:yVal>
            <c:numRef>
              <c:f>'V-n Diagram'!$F$24:$F$25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21-41FD-829E-5CA75D52CC6F}"/>
            </c:ext>
          </c:extLst>
        </c:ser>
        <c:ser>
          <c:idx val="1"/>
          <c:order val="1"/>
          <c:tx>
            <c:v>stall_neg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Diagram'!$H$24:$H$25</c:f>
              <c:numCache>
                <c:formatCode>General</c:formatCode>
                <c:ptCount val="2"/>
                <c:pt idx="0">
                  <c:v>273.7633029693626</c:v>
                </c:pt>
                <c:pt idx="1">
                  <c:v>273.7633029693626</c:v>
                </c:pt>
              </c:numCache>
            </c:numRef>
          </c:xVal>
          <c:yVal>
            <c:numRef>
              <c:f>'V-n Diagram'!$I$24:$I$25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21-41FD-829E-5CA75D52CC6F}"/>
            </c:ext>
          </c:extLst>
        </c:ser>
        <c:ser>
          <c:idx val="2"/>
          <c:order val="2"/>
          <c:tx>
            <c:v>connect_stall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Diagram'!$K$24:$K$25</c:f>
              <c:numCache>
                <c:formatCode>General</c:formatCode>
                <c:ptCount val="2"/>
                <c:pt idx="0">
                  <c:v>244.86134207374593</c:v>
                </c:pt>
                <c:pt idx="1">
                  <c:v>273.7633029693626</c:v>
                </c:pt>
              </c:numCache>
            </c:numRef>
          </c:xVal>
          <c:yVal>
            <c:numRef>
              <c:f>'V-n Diagram'!$L$24:$L$25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21-41FD-829E-5CA75D52CC6F}"/>
            </c:ext>
          </c:extLst>
        </c:ser>
        <c:ser>
          <c:idx val="3"/>
          <c:order val="3"/>
          <c:tx>
            <c:v>stall_before_va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Diagram'!$A$19:$A$29</c:f>
              <c:numCache>
                <c:formatCode>General</c:formatCode>
                <c:ptCount val="11"/>
                <c:pt idx="0">
                  <c:v>244.86134207374593</c:v>
                </c:pt>
                <c:pt idx="1">
                  <c:v>250</c:v>
                </c:pt>
                <c:pt idx="2">
                  <c:v>273.7633029693626</c:v>
                </c:pt>
                <c:pt idx="3">
                  <c:v>300</c:v>
                </c:pt>
                <c:pt idx="4">
                  <c:v>306</c:v>
                </c:pt>
                <c:pt idx="5">
                  <c:v>335</c:v>
                </c:pt>
                <c:pt idx="6">
                  <c:v>350</c:v>
                </c:pt>
                <c:pt idx="7">
                  <c:v>361.85</c:v>
                </c:pt>
                <c:pt idx="8">
                  <c:v>387.5</c:v>
                </c:pt>
                <c:pt idx="9">
                  <c:v>400</c:v>
                </c:pt>
                <c:pt idx="10">
                  <c:v>424.5</c:v>
                </c:pt>
              </c:numCache>
            </c:numRef>
          </c:xVal>
          <c:yVal>
            <c:numRef>
              <c:f>'V-n Diagram'!$B$19:$B$29</c:f>
              <c:numCache>
                <c:formatCode>General</c:formatCode>
                <c:ptCount val="11"/>
                <c:pt idx="0">
                  <c:v>1</c:v>
                </c:pt>
                <c:pt idx="1">
                  <c:v>1.0424123938620045</c:v>
                </c:pt>
                <c:pt idx="2">
                  <c:v>1.25</c:v>
                </c:pt>
                <c:pt idx="3">
                  <c:v>1.5010738471612863</c:v>
                </c:pt>
                <c:pt idx="4">
                  <c:v>1.5617172305866025</c:v>
                </c:pt>
                <c:pt idx="5">
                  <c:v>1.8717556944186151</c:v>
                </c:pt>
                <c:pt idx="6">
                  <c:v>2.0431282919695288</c:v>
                </c:pt>
                <c:pt idx="7">
                  <c:v>2.1838193153529275</c:v>
                </c:pt>
                <c:pt idx="8">
                  <c:v>2.5043957762534657</c:v>
                </c:pt>
                <c:pt idx="9">
                  <c:v>2.6685757282867315</c:v>
                </c:pt>
                <c:pt idx="10">
                  <c:v>3.0054875836325068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21-41FD-829E-5CA75D52CC6F}"/>
            </c:ext>
          </c:extLst>
        </c:ser>
        <c:ser>
          <c:idx val="4"/>
          <c:order val="4"/>
          <c:tx>
            <c:v>stall_before_va_neg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Diagram'!$A$21:$A$27</c:f>
              <c:numCache>
                <c:formatCode>General</c:formatCode>
                <c:ptCount val="7"/>
                <c:pt idx="0">
                  <c:v>273.7633029693626</c:v>
                </c:pt>
                <c:pt idx="1">
                  <c:v>300</c:v>
                </c:pt>
                <c:pt idx="2">
                  <c:v>306</c:v>
                </c:pt>
                <c:pt idx="3">
                  <c:v>335</c:v>
                </c:pt>
                <c:pt idx="4">
                  <c:v>350</c:v>
                </c:pt>
                <c:pt idx="5">
                  <c:v>361.85</c:v>
                </c:pt>
                <c:pt idx="6">
                  <c:v>387.5</c:v>
                </c:pt>
              </c:numCache>
            </c:numRef>
          </c:xVal>
          <c:yVal>
            <c:numRef>
              <c:f>'V-n Diagram'!$C$21:$C$27</c:f>
              <c:numCache>
                <c:formatCode>General</c:formatCode>
                <c:ptCount val="7"/>
                <c:pt idx="0">
                  <c:v>-1</c:v>
                </c:pt>
                <c:pt idx="1">
                  <c:v>-1.2008590777290291</c:v>
                </c:pt>
                <c:pt idx="2">
                  <c:v>-1.249373784469282</c:v>
                </c:pt>
                <c:pt idx="3">
                  <c:v>-1.4974045555348923</c:v>
                </c:pt>
                <c:pt idx="4">
                  <c:v>-1.6345026335756232</c:v>
                </c:pt>
                <c:pt idx="5">
                  <c:v>-1.747055452282342</c:v>
                </c:pt>
                <c:pt idx="6">
                  <c:v>-2.0035166210027726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21-41FD-829E-5CA75D52CC6F}"/>
            </c:ext>
          </c:extLst>
        </c:ser>
        <c:ser>
          <c:idx val="5"/>
          <c:order val="5"/>
          <c:tx>
            <c:v>n_pos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A221-41FD-829E-5CA75D52CC6F}"/>
              </c:ext>
            </c:extLst>
          </c:dPt>
          <c:xVal>
            <c:numRef>
              <c:f>'V-n Diagram'!$A$40:$A$41</c:f>
              <c:numCache>
                <c:formatCode>General</c:formatCode>
                <c:ptCount val="2"/>
                <c:pt idx="0">
                  <c:v>424.11228528123075</c:v>
                </c:pt>
                <c:pt idx="1">
                  <c:v>600</c:v>
                </c:pt>
              </c:numCache>
            </c:numRef>
          </c:xVal>
          <c:yVal>
            <c:numRef>
              <c:f>'V-n Diagram'!$B$40:$B$41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221-41FD-829E-5CA75D52CC6F}"/>
            </c:ext>
          </c:extLst>
        </c:ser>
        <c:ser>
          <c:idx val="6"/>
          <c:order val="6"/>
          <c:tx>
            <c:v>n_neg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'V-n Diagram'!$A$42:$A$43</c:f>
              <c:numCache>
                <c:formatCode>General</c:formatCode>
                <c:ptCount val="2"/>
                <c:pt idx="0">
                  <c:v>387.5</c:v>
                </c:pt>
                <c:pt idx="1">
                  <c:v>600</c:v>
                </c:pt>
              </c:numCache>
            </c:numRef>
          </c:xVal>
          <c:yVal>
            <c:numRef>
              <c:f>'V-n Diagram'!$B$42:$B$43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221-41FD-829E-5CA75D52CC6F}"/>
            </c:ext>
          </c:extLst>
        </c:ser>
        <c:ser>
          <c:idx val="7"/>
          <c:order val="7"/>
          <c:tx>
            <c:v>speed_lim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('V-n Diagram'!$A$41,'V-n Diagram'!$A$43)</c:f>
              <c:numCache>
                <c:formatCode>General</c:formatCode>
                <c:ptCount val="2"/>
                <c:pt idx="0">
                  <c:v>600</c:v>
                </c:pt>
                <c:pt idx="1">
                  <c:v>600</c:v>
                </c:pt>
              </c:numCache>
            </c:numRef>
          </c:xVal>
          <c:yVal>
            <c:numRef>
              <c:f>('V-n Diagram'!$B$41,'V-n Diagram'!$B$43)</c:f>
              <c:numCache>
                <c:formatCode>General</c:formatCode>
                <c:ptCount val="2"/>
                <c:pt idx="0">
                  <c:v>3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221-41FD-829E-5CA75D52CC6F}"/>
            </c:ext>
          </c:extLst>
        </c:ser>
        <c:ser>
          <c:idx val="8"/>
          <c:order val="8"/>
          <c:tx>
            <c:v>n_gust_pos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'V-n Diagram'!$A$51:$A$65</c:f>
              <c:numCache>
                <c:formatCode>General</c:formatCode>
                <c:ptCount val="1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458</c:v>
                </c:pt>
                <c:pt idx="11">
                  <c:v>476.5</c:v>
                </c:pt>
                <c:pt idx="12">
                  <c:v>500</c:v>
                </c:pt>
                <c:pt idx="13">
                  <c:v>550</c:v>
                </c:pt>
                <c:pt idx="14">
                  <c:v>600</c:v>
                </c:pt>
              </c:numCache>
            </c:numRef>
          </c:xVal>
          <c:yVal>
            <c:numRef>
              <c:f>'V-n Diagram'!$B$51:$B$65</c:f>
              <c:numCache>
                <c:formatCode>General</c:formatCode>
                <c:ptCount val="15"/>
                <c:pt idx="0">
                  <c:v>1</c:v>
                </c:pt>
                <c:pt idx="1">
                  <c:v>1.1154929603958854</c:v>
                </c:pt>
                <c:pt idx="2">
                  <c:v>1.2309859207917708</c:v>
                </c:pt>
                <c:pt idx="3">
                  <c:v>1.346478881187656</c:v>
                </c:pt>
                <c:pt idx="4">
                  <c:v>1.4619718415835414</c:v>
                </c:pt>
                <c:pt idx="5">
                  <c:v>1.5774648019794268</c:v>
                </c:pt>
                <c:pt idx="6">
                  <c:v>1.6929577623753123</c:v>
                </c:pt>
                <c:pt idx="7">
                  <c:v>1.8084507227711974</c:v>
                </c:pt>
                <c:pt idx="8">
                  <c:v>1.9239436831670829</c:v>
                </c:pt>
                <c:pt idx="9">
                  <c:v>2.0394366435629685</c:v>
                </c:pt>
                <c:pt idx="10">
                  <c:v>2.0579155172263097</c:v>
                </c:pt>
                <c:pt idx="11">
                  <c:v>2.1006479125727875</c:v>
                </c:pt>
                <c:pt idx="12">
                  <c:v>2.1549296039588537</c:v>
                </c:pt>
                <c:pt idx="13">
                  <c:v>2.2704225643547389</c:v>
                </c:pt>
                <c:pt idx="14">
                  <c:v>2.3859155247506245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221-41FD-829E-5CA75D52CC6F}"/>
            </c:ext>
          </c:extLst>
        </c:ser>
        <c:ser>
          <c:idx val="9"/>
          <c:order val="9"/>
          <c:tx>
            <c:v>n_gust_neg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'V-n Diagram'!$A$51:$A$65</c:f>
              <c:numCache>
                <c:formatCode>General</c:formatCode>
                <c:ptCount val="1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458</c:v>
                </c:pt>
                <c:pt idx="11">
                  <c:v>476.5</c:v>
                </c:pt>
                <c:pt idx="12">
                  <c:v>500</c:v>
                </c:pt>
                <c:pt idx="13">
                  <c:v>550</c:v>
                </c:pt>
                <c:pt idx="14">
                  <c:v>600</c:v>
                </c:pt>
              </c:numCache>
            </c:numRef>
          </c:xVal>
          <c:yVal>
            <c:numRef>
              <c:f>'V-n Diagram'!$C$51:$C$65</c:f>
              <c:numCache>
                <c:formatCode>General</c:formatCode>
                <c:ptCount val="15"/>
                <c:pt idx="0">
                  <c:v>1</c:v>
                </c:pt>
                <c:pt idx="1">
                  <c:v>0.88450703960411459</c:v>
                </c:pt>
                <c:pt idx="2">
                  <c:v>0.76901407920822928</c:v>
                </c:pt>
                <c:pt idx="3">
                  <c:v>0.65352111881234387</c:v>
                </c:pt>
                <c:pt idx="4">
                  <c:v>0.53802815841645857</c:v>
                </c:pt>
                <c:pt idx="5">
                  <c:v>0.42253519802057316</c:v>
                </c:pt>
                <c:pt idx="6">
                  <c:v>0.30704223762468774</c:v>
                </c:pt>
                <c:pt idx="7">
                  <c:v>0.19154927722880255</c:v>
                </c:pt>
                <c:pt idx="8">
                  <c:v>7.6056316832917137E-2</c:v>
                </c:pt>
                <c:pt idx="9">
                  <c:v>-3.9436643562968277E-2</c:v>
                </c:pt>
                <c:pt idx="10">
                  <c:v>-5.7915517226309721E-2</c:v>
                </c:pt>
                <c:pt idx="11">
                  <c:v>-0.10064791257278749</c:v>
                </c:pt>
                <c:pt idx="12">
                  <c:v>-0.15492960395885369</c:v>
                </c:pt>
                <c:pt idx="13">
                  <c:v>-0.27042256435473888</c:v>
                </c:pt>
                <c:pt idx="14">
                  <c:v>-0.38591552475062452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221-41FD-829E-5CA75D52C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49536"/>
        <c:axId val="785751200"/>
      </c:scatterChart>
      <c:valAx>
        <c:axId val="785749536"/>
        <c:scaling>
          <c:orientation val="minMax"/>
          <c:max val="650"/>
          <c:min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Equivalent Airspeed (fps)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785751200"/>
        <c:crosses val="autoZero"/>
        <c:crossBetween val="midCat"/>
        <c:majorUnit val="100"/>
      </c:valAx>
      <c:valAx>
        <c:axId val="785751200"/>
        <c:scaling>
          <c:orientation val="minMax"/>
          <c:max val="3.5"/>
          <c:min val="-2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Tahoma" panose="020B0604030504040204" pitchFamily="34" charset="0"/>
                    <a:cs typeface="Times New Roman" panose="02020603050405020304" pitchFamily="18" charset="0"/>
                  </a:defRPr>
                </a:pPr>
                <a:r>
                  <a:rPr lang="en-US"/>
                  <a:t>Load Factor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Tahoma" panose="020B0604030504040204" pitchFamily="34" charset="0"/>
                <a:cs typeface="Times New Roman" panose="02020603050405020304" pitchFamily="18" charset="0"/>
              </a:defRPr>
            </a:pPr>
            <a:endParaRPr lang="en-US"/>
          </a:p>
        </c:txPr>
        <c:crossAx val="78574953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ea typeface="Tahoma" panose="020B0604030504040204" pitchFamily="34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55000 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Sheet1!$M$4:$M$6</c:f>
              <c:numCache>
                <c:formatCode>General</c:formatCode>
                <c:ptCount val="3"/>
                <c:pt idx="0">
                  <c:v>1.4</c:v>
                </c:pt>
                <c:pt idx="1">
                  <c:v>1.7</c:v>
                </c:pt>
                <c:pt idx="2">
                  <c:v>2</c:v>
                </c:pt>
              </c:numCache>
            </c:numRef>
          </c:xVal>
          <c:yVal>
            <c:numRef>
              <c:f>Sheet1!$L$4:$L$6</c:f>
              <c:numCache>
                <c:formatCode>General</c:formatCode>
                <c:ptCount val="3"/>
                <c:pt idx="0">
                  <c:v>323700</c:v>
                </c:pt>
                <c:pt idx="1">
                  <c:v>174000</c:v>
                </c:pt>
                <c:pt idx="2">
                  <c:v>195000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B3-43D6-BA60-13CA8ABC4B02}"/>
            </c:ext>
          </c:extLst>
        </c:ser>
        <c:ser>
          <c:idx val="1"/>
          <c:order val="1"/>
          <c:tx>
            <c:v>50000ft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Sheet1!$M$7:$M$9</c:f>
              <c:numCache>
                <c:formatCode>General</c:formatCode>
                <c:ptCount val="3"/>
                <c:pt idx="0">
                  <c:v>1.4</c:v>
                </c:pt>
                <c:pt idx="1">
                  <c:v>1.7</c:v>
                </c:pt>
                <c:pt idx="2">
                  <c:v>2</c:v>
                </c:pt>
              </c:numCache>
            </c:numRef>
          </c:xVal>
          <c:yVal>
            <c:numRef>
              <c:f>Sheet1!$L$7:$L$9</c:f>
              <c:numCache>
                <c:formatCode>General</c:formatCode>
                <c:ptCount val="3"/>
                <c:pt idx="0">
                  <c:v>320000</c:v>
                </c:pt>
                <c:pt idx="1">
                  <c:v>199000</c:v>
                </c:pt>
                <c:pt idx="2">
                  <c:v>216000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B3-43D6-BA60-13CA8ABC4B02}"/>
            </c:ext>
          </c:extLst>
        </c:ser>
        <c:ser>
          <c:idx val="2"/>
          <c:order val="2"/>
          <c:tx>
            <c:v>45000ft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Sheet1!$M$10:$M$12</c:f>
              <c:numCache>
                <c:formatCode>General</c:formatCode>
                <c:ptCount val="3"/>
                <c:pt idx="0">
                  <c:v>1.4</c:v>
                </c:pt>
                <c:pt idx="1">
                  <c:v>1.7</c:v>
                </c:pt>
                <c:pt idx="2">
                  <c:v>2</c:v>
                </c:pt>
              </c:numCache>
            </c:numRef>
          </c:xVal>
          <c:yVal>
            <c:numRef>
              <c:f>Sheet1!$L$10:$L$12</c:f>
              <c:numCache>
                <c:formatCode>General</c:formatCode>
                <c:ptCount val="3"/>
                <c:pt idx="0">
                  <c:v>350500</c:v>
                </c:pt>
                <c:pt idx="1">
                  <c:v>307700</c:v>
                </c:pt>
                <c:pt idx="2">
                  <c:v>291000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B3-43D6-BA60-13CA8ABC4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3100928"/>
        <c:axId val="1563101344"/>
      </c:scatterChart>
      <c:valAx>
        <c:axId val="1563100928"/>
        <c:scaling>
          <c:orientation val="minMax"/>
          <c:max val="2"/>
          <c:min val="1.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01344"/>
        <c:crosses val="autoZero"/>
        <c:crossBetween val="midCat"/>
      </c:valAx>
      <c:valAx>
        <c:axId val="1563101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MTOW</a:t>
                </a:r>
                <a:r>
                  <a:rPr lang="en-US" baseline="0"/>
                  <a:t> (lbs)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0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Sheet1!$S$4:$S$7</c:f>
              <c:numCache>
                <c:formatCode>General</c:formatCode>
                <c:ptCount val="4"/>
                <c:pt idx="0">
                  <c:v>0.85</c:v>
                </c:pt>
                <c:pt idx="1">
                  <c:v>0.9</c:v>
                </c:pt>
                <c:pt idx="2">
                  <c:v>0.95</c:v>
                </c:pt>
                <c:pt idx="3">
                  <c:v>1</c:v>
                </c:pt>
              </c:numCache>
            </c:numRef>
          </c:xVal>
          <c:yVal>
            <c:numRef>
              <c:f>Sheet1!$R$4:$R$7</c:f>
              <c:numCache>
                <c:formatCode>General</c:formatCode>
                <c:ptCount val="4"/>
                <c:pt idx="0">
                  <c:v>125822</c:v>
                </c:pt>
                <c:pt idx="1">
                  <c:v>154178</c:v>
                </c:pt>
                <c:pt idx="2">
                  <c:v>195149</c:v>
                </c:pt>
                <c:pt idx="3">
                  <c:v>257325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AC-4616-A7BE-0FAA473F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99311"/>
        <c:axId val="96207631"/>
      </c:scatterChart>
      <c:valAx>
        <c:axId val="9619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Technology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07631"/>
        <c:crosses val="autoZero"/>
        <c:crossBetween val="midCat"/>
      </c:valAx>
      <c:valAx>
        <c:axId val="9620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MTOW</a:t>
                </a:r>
                <a:r>
                  <a:rPr lang="en-US" baseline="0"/>
                  <a:t> (lbs)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99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Sheet1!$Z$4:$Z$7</c:f>
              <c:numCache>
                <c:formatCode>General</c:formatCode>
                <c:ptCount val="4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</c:numCache>
            </c:numRef>
          </c:xVal>
          <c:yVal>
            <c:numRef>
              <c:f>Sheet1!$Y$4:$Y$7</c:f>
              <c:numCache>
                <c:formatCode>General</c:formatCode>
                <c:ptCount val="4"/>
                <c:pt idx="0">
                  <c:v>89626</c:v>
                </c:pt>
                <c:pt idx="1">
                  <c:v>126612</c:v>
                </c:pt>
                <c:pt idx="2">
                  <c:v>195149</c:v>
                </c:pt>
                <c:pt idx="3">
                  <c:v>346000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F9-4B36-A197-9E62D7DA3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4175"/>
        <c:axId val="94790031"/>
      </c:scatterChart>
      <c:valAx>
        <c:axId val="94804175"/>
        <c:scaling>
          <c:orientation val="minMax"/>
          <c:max val="4000"/>
          <c:min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Supersonic</a:t>
                </a:r>
                <a:r>
                  <a:rPr lang="en-US" baseline="0"/>
                  <a:t> cruise range (nm)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90031"/>
        <c:crosses val="autoZero"/>
        <c:crossBetween val="midCat"/>
      </c:valAx>
      <c:valAx>
        <c:axId val="947900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MTOW</a:t>
                </a:r>
                <a:r>
                  <a:rPr lang="en-US" baseline="0"/>
                  <a:t> (lbs)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4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31" fmlaLink="$B$4" horiz="1" max="80" min="10" page="10" val="80"/>
</file>

<file path=xl/ctrlProps/ctrlProp8.xml><?xml version="1.0" encoding="utf-8"?>
<formControlPr xmlns="http://schemas.microsoft.com/office/spreadsheetml/2009/9/main" objectType="Scroll" dx="31" fmlaLink="$B$7" horiz="1" max="80" min="10" page="10" val="80"/>
</file>

<file path=xl/ctrlProps/ctrlProp9.xml><?xml version="1.0" encoding="utf-8"?>
<formControlPr xmlns="http://schemas.microsoft.com/office/spreadsheetml/2009/9/main" objectType="Scroll" dx="31" fmlaLink="$B$9" horiz="1" max="80" min="10" page="10" val="8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11.xml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4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3.xml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1002924</xdr:colOff>
      <xdr:row>43</xdr:row>
      <xdr:rowOff>174811</xdr:rowOff>
    </xdr:from>
    <xdr:to>
      <xdr:col>12</xdr:col>
      <xdr:colOff>1019734</xdr:colOff>
      <xdr:row>73</xdr:row>
      <xdr:rowOff>100852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828675</xdr:colOff>
      <xdr:row>17</xdr:row>
      <xdr:rowOff>142875</xdr:rowOff>
    </xdr:from>
    <xdr:to>
      <xdr:col>5</xdr:col>
      <xdr:colOff>200025</xdr:colOff>
      <xdr:row>32</xdr:row>
      <xdr:rowOff>28575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17</xdr:row>
      <xdr:rowOff>38100</xdr:rowOff>
    </xdr:from>
    <xdr:to>
      <xdr:col>13</xdr:col>
      <xdr:colOff>409575</xdr:colOff>
      <xdr:row>31</xdr:row>
      <xdr:rowOff>114300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15902</xdr:colOff>
      <xdr:row>15</xdr:row>
      <xdr:rowOff>84721</xdr:rowOff>
    </xdr:from>
    <xdr:to>
      <xdr:col>6</xdr:col>
      <xdr:colOff>302812</xdr:colOff>
      <xdr:row>33</xdr:row>
      <xdr:rowOff>184254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442707</xdr:colOff>
      <xdr:row>16</xdr:row>
      <xdr:rowOff>2690</xdr:rowOff>
    </xdr:from>
    <xdr:to>
      <xdr:col>12</xdr:col>
      <xdr:colOff>252207</xdr:colOff>
      <xdr:row>32</xdr:row>
      <xdr:rowOff>120874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  <a:ext uri="{147F2762-F138-4A5C-976F-8EAC2B608ADB}">
              <a16:predDERef xmlns:a16="http://schemas.microsoft.com/office/drawing/2014/main" pre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472440</xdr:colOff>
      <xdr:row>17</xdr:row>
      <xdr:rowOff>7620</xdr:rowOff>
    </xdr:from>
    <xdr:to>
      <xdr:col>18</xdr:col>
      <xdr:colOff>594360</xdr:colOff>
      <xdr:row>32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  <a:ext uri="{147F2762-F138-4A5C-976F-8EAC2B608ADB}">
              <a16:predDERef xmlns:a16="http://schemas.microsoft.com/office/drawing/2014/main" pre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202026</xdr:colOff>
      <xdr:row>1</xdr:row>
      <xdr:rowOff>105400</xdr:rowOff>
    </xdr:from>
    <xdr:to>
      <xdr:col>23</xdr:col>
      <xdr:colOff>232505</xdr:colOff>
      <xdr:row>16</xdr:row>
      <xdr:rowOff>105400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  <a:ext uri="{147F2762-F138-4A5C-976F-8EAC2B608ADB}">
              <a16:predDERef xmlns:a16="http://schemas.microsoft.com/office/drawing/2014/main" pre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393274</xdr:colOff>
      <xdr:row>10</xdr:row>
      <xdr:rowOff>169475</xdr:rowOff>
    </xdr:from>
    <xdr:to>
      <xdr:col>37</xdr:col>
      <xdr:colOff>393274</xdr:colOff>
      <xdr:row>24</xdr:row>
      <xdr:rowOff>118675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172357</xdr:colOff>
      <xdr:row>11</xdr:row>
      <xdr:rowOff>25399</xdr:rowOff>
    </xdr:from>
    <xdr:to>
      <xdr:col>30</xdr:col>
      <xdr:colOff>172357</xdr:colOff>
      <xdr:row>24</xdr:row>
      <xdr:rowOff>174171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142875</xdr:rowOff>
        </xdr:from>
        <xdr:to>
          <xdr:col>5</xdr:col>
          <xdr:colOff>600075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Converge Weight (Standard Mission)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219075</xdr:colOff>
          <xdr:row>23</xdr:row>
          <xdr:rowOff>66675</xdr:rowOff>
        </xdr:from>
        <xdr:to>
          <xdr:col>19</xdr:col>
          <xdr:colOff>371475</xdr:colOff>
          <xdr:row>30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SUPER Converge: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Weight &amp; L/D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(Standard Mission)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15</xdr:row>
          <xdr:rowOff>104775</xdr:rowOff>
        </xdr:from>
        <xdr:to>
          <xdr:col>11</xdr:col>
          <xdr:colOff>561975</xdr:colOff>
          <xdr:row>20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Converge Weight (Alternate Mission)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23</xdr:row>
          <xdr:rowOff>66675</xdr:rowOff>
        </xdr:from>
        <xdr:to>
          <xdr:col>22</xdr:col>
          <xdr:colOff>600075</xdr:colOff>
          <xdr:row>30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SUPER Converge: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Weight &amp; L/D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(Alternate Mission)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NOTE: Converges Cruise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561975</xdr:colOff>
          <xdr:row>23</xdr:row>
          <xdr:rowOff>85725</xdr:rowOff>
        </xdr:from>
        <xdr:to>
          <xdr:col>27</xdr:col>
          <xdr:colOff>142875</xdr:colOff>
          <xdr:row>30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SUPER Converge Pt.2: Standard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23</xdr:row>
          <xdr:rowOff>123825</xdr:rowOff>
        </xdr:from>
        <xdr:to>
          <xdr:col>31</xdr:col>
          <xdr:colOff>219075</xdr:colOff>
          <xdr:row>30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SUPER Converge Pt.2: Alternate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62367</xdr:rowOff>
    </xdr:from>
    <xdr:to>
      <xdr:col>10</xdr:col>
      <xdr:colOff>267026</xdr:colOff>
      <xdr:row>59</xdr:row>
      <xdr:rowOff>173742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5418779"/>
          <a:ext cx="7550850" cy="6016875"/>
          <a:chOff x="919412" y="-158496"/>
          <a:chExt cx="7541097" cy="66834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19412" y="-158496"/>
            <a:ext cx="7541097" cy="6683484"/>
          </a:xfrm>
          <a:prstGeom prst="rect">
            <a:avLst/>
          </a:prstGeom>
        </xdr:spPr>
      </xdr:pic>
      <xdr:sp macro="" textlink="">
        <xdr:nvSpPr>
          <xdr:cNvPr id="4" name="Isosceles Tri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4992386" y="333194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" name="Isosceles Tri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4950794" y="2923245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6" name="Isosceles Triangl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5343224" y="2985158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950793" y="353768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8" name="Isosceles Tri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127641" y="3379521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5152993" y="3284373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5237685" y="3215742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1" name="Isosceles Triangl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4683895" y="372056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2" name="Isosceles Triangle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4674369" y="390344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3" name="Isosceles Triangle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4462796" y="3815715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4" name="Isosceles Triangl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545981" y="3916680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5" name="Isosceles Triangl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4249436" y="426158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6" name="Isosceles Tri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723656" y="481403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7" name="Isosceles Triangle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736641" y="4895952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87736" y="2463267"/>
            <a:ext cx="83185" cy="95148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</xdr:grpSp>
    <xdr:clientData/>
  </xdr:twoCellAnchor>
  <xdr:twoCellAnchor>
    <xdr:from>
      <xdr:col>32</xdr:col>
      <xdr:colOff>307739</xdr:colOff>
      <xdr:row>5</xdr:row>
      <xdr:rowOff>180317</xdr:rowOff>
    </xdr:from>
    <xdr:to>
      <xdr:col>40</xdr:col>
      <xdr:colOff>154175</xdr:colOff>
      <xdr:row>21</xdr:row>
      <xdr:rowOff>175921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  <a:ext uri="{147F2762-F138-4A5C-976F-8EAC2B608ADB}">
              <a16:predDERef xmlns:a16="http://schemas.microsoft.com/office/drawing/2014/main" pre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200239</xdr:colOff>
      <xdr:row>42</xdr:row>
      <xdr:rowOff>53701</xdr:rowOff>
    </xdr:from>
    <xdr:to>
      <xdr:col>19</xdr:col>
      <xdr:colOff>192701</xdr:colOff>
      <xdr:row>65</xdr:row>
      <xdr:rowOff>83009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1244"/>
        <a:stretch/>
      </xdr:blipFill>
      <xdr:spPr>
        <a:xfrm>
          <a:off x="8896004" y="7601983"/>
          <a:ext cx="4474815" cy="4153073"/>
        </a:xfrm>
        <a:prstGeom prst="rect">
          <a:avLst/>
        </a:prstGeom>
      </xdr:spPr>
    </xdr:pic>
    <xdr:clientData/>
  </xdr:twoCellAnchor>
  <xdr:twoCellAnchor editAs="oneCell">
    <xdr:from>
      <xdr:col>19</xdr:col>
      <xdr:colOff>420536</xdr:colOff>
      <xdr:row>39</xdr:row>
      <xdr:rowOff>131482</xdr:rowOff>
    </xdr:from>
    <xdr:to>
      <xdr:col>24</xdr:col>
      <xdr:colOff>1514887</xdr:colOff>
      <xdr:row>62</xdr:row>
      <xdr:rowOff>34940</xdr:rowOff>
    </xdr:to>
    <xdr:pic>
      <xdr:nvPicPr>
        <xdr:cNvPr id="23" name="Picture 20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943360" y="7736541"/>
          <a:ext cx="4306703" cy="4370870"/>
        </a:xfrm>
        <a:prstGeom prst="rect">
          <a:avLst/>
        </a:prstGeom>
      </xdr:spPr>
    </xdr:pic>
    <xdr:clientData/>
  </xdr:twoCellAnchor>
  <xdr:twoCellAnchor>
    <xdr:from>
      <xdr:col>32</xdr:col>
      <xdr:colOff>324971</xdr:colOff>
      <xdr:row>22</xdr:row>
      <xdr:rowOff>127747</xdr:rowOff>
    </xdr:from>
    <xdr:to>
      <xdr:col>40</xdr:col>
      <xdr:colOff>171407</xdr:colOff>
      <xdr:row>38</xdr:row>
      <xdr:rowOff>132876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  <a:ext uri="{147F2762-F138-4A5C-976F-8EAC2B608ADB}">
              <a16:predDERef xmlns:a16="http://schemas.microsoft.com/office/drawing/2014/main" pre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0</xdr:colOff>
      <xdr:row>63</xdr:row>
      <xdr:rowOff>0</xdr:rowOff>
    </xdr:from>
    <xdr:to>
      <xdr:col>4</xdr:col>
      <xdr:colOff>560059</xdr:colOff>
      <xdr:row>71</xdr:row>
      <xdr:rowOff>56952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2028714"/>
          <a:ext cx="4438095" cy="1580952"/>
        </a:xfrm>
        <a:prstGeom prst="rect">
          <a:avLst/>
        </a:prstGeom>
      </xdr:spPr>
    </xdr:pic>
    <xdr:clientData/>
  </xdr:twoCellAnchor>
  <xdr:twoCellAnchor editAs="oneCell">
    <xdr:from>
      <xdr:col>27</xdr:col>
      <xdr:colOff>100853</xdr:colOff>
      <xdr:row>29</xdr:row>
      <xdr:rowOff>145676</xdr:rowOff>
    </xdr:from>
    <xdr:to>
      <xdr:col>30</xdr:col>
      <xdr:colOff>358588</xdr:colOff>
      <xdr:row>32</xdr:row>
      <xdr:rowOff>119629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825882" y="5692588"/>
          <a:ext cx="1938618" cy="5454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846454</xdr:colOff>
      <xdr:row>5</xdr:row>
      <xdr:rowOff>133285</xdr:rowOff>
    </xdr:from>
    <xdr:to>
      <xdr:col>18</xdr:col>
      <xdr:colOff>561340</xdr:colOff>
      <xdr:row>23</xdr:row>
      <xdr:rowOff>117410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479351</xdr:colOff>
      <xdr:row>8</xdr:row>
      <xdr:rowOff>68026</xdr:rowOff>
    </xdr:from>
    <xdr:to>
      <xdr:col>26</xdr:col>
      <xdr:colOff>113168</xdr:colOff>
      <xdr:row>23</xdr:row>
      <xdr:rowOff>74157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396875</xdr:colOff>
      <xdr:row>8</xdr:row>
      <xdr:rowOff>73025</xdr:rowOff>
    </xdr:from>
    <xdr:to>
      <xdr:col>5</xdr:col>
      <xdr:colOff>752475</xdr:colOff>
      <xdr:row>23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990600</xdr:colOff>
      <xdr:row>8</xdr:row>
      <xdr:rowOff>88900</xdr:rowOff>
    </xdr:from>
    <xdr:to>
      <xdr:col>9</xdr:col>
      <xdr:colOff>717550</xdr:colOff>
      <xdr:row>23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1016000</xdr:colOff>
      <xdr:row>8</xdr:row>
      <xdr:rowOff>95250</xdr:rowOff>
    </xdr:from>
    <xdr:to>
      <xdr:col>16</xdr:col>
      <xdr:colOff>317500</xdr:colOff>
      <xdr:row>23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944583</xdr:colOff>
      <xdr:row>23</xdr:row>
      <xdr:rowOff>125763</xdr:rowOff>
    </xdr:from>
    <xdr:to>
      <xdr:col>9</xdr:col>
      <xdr:colOff>709633</xdr:colOff>
      <xdr:row>39</xdr:row>
      <xdr:rowOff>138462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387350</xdr:colOff>
      <xdr:row>24</xdr:row>
      <xdr:rowOff>94921</xdr:rowOff>
    </xdr:from>
    <xdr:to>
      <xdr:col>5</xdr:col>
      <xdr:colOff>647700</xdr:colOff>
      <xdr:row>40</xdr:row>
      <xdr:rowOff>25071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984250</xdr:colOff>
      <xdr:row>23</xdr:row>
      <xdr:rowOff>120651</xdr:rowOff>
    </xdr:from>
    <xdr:to>
      <xdr:col>16</xdr:col>
      <xdr:colOff>336550</xdr:colOff>
      <xdr:row>40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184150</xdr:colOff>
      <xdr:row>0</xdr:row>
      <xdr:rowOff>166863</xdr:rowOff>
    </xdr:from>
    <xdr:to>
      <xdr:col>14</xdr:col>
      <xdr:colOff>17992</xdr:colOff>
      <xdr:row>15</xdr:row>
      <xdr:rowOff>147813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183008</xdr:colOff>
      <xdr:row>16</xdr:row>
      <xdr:rowOff>9981</xdr:rowOff>
    </xdr:from>
    <xdr:to>
      <xdr:col>21</xdr:col>
      <xdr:colOff>506858</xdr:colOff>
      <xdr:row>31</xdr:row>
      <xdr:rowOff>152400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00000000-0008-0000-0800-00000E000000}"/>
            </a:ext>
            <a:ext uri="{147F2762-F138-4A5C-976F-8EAC2B608ADB}">
              <a16:predDERef xmlns:a16="http://schemas.microsoft.com/office/drawing/2014/main" pre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55740</xdr:colOff>
      <xdr:row>0</xdr:row>
      <xdr:rowOff>115711</xdr:rowOff>
    </xdr:from>
    <xdr:to>
      <xdr:col>21</xdr:col>
      <xdr:colOff>382412</xdr:colOff>
      <xdr:row>15</xdr:row>
      <xdr:rowOff>96661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  <a:ext uri="{147F2762-F138-4A5C-976F-8EAC2B608ADB}">
              <a16:predDERef xmlns:a16="http://schemas.microsoft.com/office/drawing/2014/main" pre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17</xdr:row>
          <xdr:rowOff>66675</xdr:rowOff>
        </xdr:from>
        <xdr:to>
          <xdr:col>12</xdr:col>
          <xdr:colOff>419100</xdr:colOff>
          <xdr:row>18</xdr:row>
          <xdr:rowOff>104775</xdr:rowOff>
        </xdr:to>
        <xdr:sp macro="" textlink="">
          <xdr:nvSpPr>
            <xdr:cNvPr id="11265" name="Scroll Ba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21</xdr:row>
          <xdr:rowOff>28575</xdr:rowOff>
        </xdr:from>
        <xdr:to>
          <xdr:col>12</xdr:col>
          <xdr:colOff>419100</xdr:colOff>
          <xdr:row>22</xdr:row>
          <xdr:rowOff>66675</xdr:rowOff>
        </xdr:to>
        <xdr:sp macro="" textlink="">
          <xdr:nvSpPr>
            <xdr:cNvPr id="11266" name="Scroll Ba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25</xdr:row>
          <xdr:rowOff>28575</xdr:rowOff>
        </xdr:from>
        <xdr:to>
          <xdr:col>12</xdr:col>
          <xdr:colOff>419100</xdr:colOff>
          <xdr:row>26</xdr:row>
          <xdr:rowOff>66675</xdr:rowOff>
        </xdr:to>
        <xdr:sp macro="" textlink="">
          <xdr:nvSpPr>
            <xdr:cNvPr id="11267" name="Scroll Ba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43</xdr:col>
      <xdr:colOff>490818</xdr:colOff>
      <xdr:row>13</xdr:row>
      <xdr:rowOff>80682</xdr:rowOff>
    </xdr:from>
    <xdr:to>
      <xdr:col>47</xdr:col>
      <xdr:colOff>502024</xdr:colOff>
      <xdr:row>37</xdr:row>
      <xdr:rowOff>140533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  <a:ext uri="{147F2762-F138-4A5C-976F-8EAC2B608ADB}">
              <a16:predDERef xmlns:a16="http://schemas.microsoft.com/office/drawing/2014/main" pre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532043" y="2557182"/>
          <a:ext cx="2373406" cy="4631851"/>
        </a:xfrm>
        <a:prstGeom prst="rect">
          <a:avLst/>
        </a:prstGeom>
      </xdr:spPr>
    </xdr:pic>
    <xdr:clientData/>
  </xdr:twoCellAnchor>
  <xdr:twoCellAnchor editAs="oneCell">
    <xdr:from>
      <xdr:col>48</xdr:col>
      <xdr:colOff>196706</xdr:colOff>
      <xdr:row>7</xdr:row>
      <xdr:rowOff>58271</xdr:rowOff>
    </xdr:from>
    <xdr:to>
      <xdr:col>54</xdr:col>
      <xdr:colOff>431008</xdr:colOff>
      <xdr:row>22</xdr:row>
      <xdr:rowOff>91889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  <a:ext uri="{147F2762-F138-4A5C-976F-8EAC2B608ADB}">
              <a16:predDERef xmlns:a16="http://schemas.microsoft.com/office/drawing/2014/main" pre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190681" y="1391771"/>
          <a:ext cx="3777602" cy="2891118"/>
        </a:xfrm>
        <a:prstGeom prst="rect">
          <a:avLst/>
        </a:prstGeom>
      </xdr:spPr>
    </xdr:pic>
    <xdr:clientData/>
  </xdr:twoCellAnchor>
  <xdr:twoCellAnchor>
    <xdr:from>
      <xdr:col>6</xdr:col>
      <xdr:colOff>591668</xdr:colOff>
      <xdr:row>0</xdr:row>
      <xdr:rowOff>98611</xdr:rowOff>
    </xdr:from>
    <xdr:to>
      <xdr:col>14</xdr:col>
      <xdr:colOff>254952</xdr:colOff>
      <xdr:row>15</xdr:row>
      <xdr:rowOff>79561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  <a:ext uri="{147F2762-F138-4A5C-976F-8EAC2B608ADB}">
              <a16:predDERef xmlns:a16="http://schemas.microsoft.com/office/drawing/2014/main" pre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519953</xdr:colOff>
      <xdr:row>15</xdr:row>
      <xdr:rowOff>71718</xdr:rowOff>
    </xdr:from>
    <xdr:to>
      <xdr:col>14</xdr:col>
      <xdr:colOff>180415</xdr:colOff>
      <xdr:row>31</xdr:row>
      <xdr:rowOff>34843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00000000-0008-0000-0800-00000B000000}"/>
            </a:ext>
            <a:ext uri="{147F2762-F138-4A5C-976F-8EAC2B608ADB}">
              <a16:predDERef xmlns:a16="http://schemas.microsoft.com/office/drawing/2014/main" pre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1</xdr:row>
      <xdr:rowOff>161924</xdr:rowOff>
    </xdr:from>
    <xdr:to>
      <xdr:col>15</xdr:col>
      <xdr:colOff>12699</xdr:colOff>
      <xdr:row>22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200025</xdr:colOff>
      <xdr:row>48</xdr:row>
      <xdr:rowOff>38100</xdr:rowOff>
    </xdr:from>
    <xdr:to>
      <xdr:col>16</xdr:col>
      <xdr:colOff>546100</xdr:colOff>
      <xdr:row>68</xdr:row>
      <xdr:rowOff>66676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11</xdr:row>
      <xdr:rowOff>176212</xdr:rowOff>
    </xdr:from>
    <xdr:to>
      <xdr:col>10</xdr:col>
      <xdr:colOff>457200</xdr:colOff>
      <xdr:row>26</xdr:row>
      <xdr:rowOff>61912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352425</xdr:colOff>
      <xdr:row>13</xdr:row>
      <xdr:rowOff>33337</xdr:rowOff>
    </xdr:from>
    <xdr:to>
      <xdr:col>19</xdr:col>
      <xdr:colOff>47625</xdr:colOff>
      <xdr:row>27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A577E6-D926-4D64-B99D-D7F6183BE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504825</xdr:colOff>
      <xdr:row>10</xdr:row>
      <xdr:rowOff>80962</xdr:rowOff>
    </xdr:from>
    <xdr:to>
      <xdr:col>27</xdr:col>
      <xdr:colOff>200025</xdr:colOff>
      <xdr:row>24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6F703C-E37E-44B4-9633-87C6625DB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icq\Documents\fuck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t%204%20Morpheus%20Sizing%20iteration%20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Modeling"/>
      <sheetName val="Weight Regression"/>
      <sheetName val="Weight Sizing Trade Studies"/>
      <sheetName val="Sizing"/>
      <sheetName val="Drag Polar"/>
      <sheetName val="Constraint Sizing"/>
      <sheetName val="Constraint Sizing Trade Studies"/>
      <sheetName val="Constraint Sizing (2)"/>
    </sheetNames>
    <sheetDataSet>
      <sheetData sheetId="0"/>
      <sheetData sheetId="1"/>
      <sheetData sheetId="2"/>
      <sheetData sheetId="3"/>
      <sheetData sheetId="4"/>
      <sheetData sheetId="5">
        <row r="11">
          <cell r="I11">
            <v>0.52</v>
          </cell>
          <cell r="J11">
            <v>110</v>
          </cell>
        </row>
        <row r="31">
          <cell r="A31">
            <v>50</v>
          </cell>
          <cell r="B31">
            <v>0.92560840349830864</v>
          </cell>
          <cell r="C31">
            <v>0.47952272042477251</v>
          </cell>
          <cell r="D31">
            <v>0.9036993909214569</v>
          </cell>
          <cell r="E31">
            <v>0.28774395712411777</v>
          </cell>
          <cell r="G31">
            <v>120.26542050516562</v>
          </cell>
          <cell r="I31">
            <v>0.34246645010614796</v>
          </cell>
          <cell r="J31">
            <v>0</v>
          </cell>
        </row>
        <row r="32">
          <cell r="A32">
            <v>52.5</v>
          </cell>
          <cell r="B32">
            <v>0.88618743297393021</v>
          </cell>
          <cell r="C32">
            <v>0.46874839768881799</v>
          </cell>
          <cell r="D32">
            <v>0.86475350335395829</v>
          </cell>
          <cell r="E32">
            <v>0.27794264373225663</v>
          </cell>
          <cell r="G32">
            <v>120.26542050516562</v>
          </cell>
          <cell r="I32">
            <v>0.33540126136338844</v>
          </cell>
          <cell r="J32">
            <v>0.125</v>
          </cell>
        </row>
        <row r="33">
          <cell r="A33">
            <v>55</v>
          </cell>
          <cell r="B33">
            <v>0.85056696758034056</v>
          </cell>
          <cell r="C33">
            <v>0.4591864699395336</v>
          </cell>
          <cell r="D33">
            <v>0.82953847419504334</v>
          </cell>
          <cell r="E33">
            <v>0.2692139915930814</v>
          </cell>
          <cell r="G33">
            <v>120.26542050516562</v>
          </cell>
          <cell r="I33">
            <v>0.32940873387331471</v>
          </cell>
          <cell r="J33">
            <v>0.25</v>
          </cell>
        </row>
        <row r="34">
          <cell r="A34">
            <v>57.5</v>
          </cell>
          <cell r="B34">
            <v>0.8182512892570023</v>
          </cell>
          <cell r="C34">
            <v>0.45067879870039701</v>
          </cell>
          <cell r="D34">
            <v>0.79756766973924531</v>
          </cell>
          <cell r="E34">
            <v>0.26141808836928526</v>
          </cell>
          <cell r="G34">
            <v>120.26542050516562</v>
          </cell>
          <cell r="I34">
            <v>0.32434895529861996</v>
          </cell>
          <cell r="J34">
            <v>0.375</v>
          </cell>
        </row>
        <row r="35">
          <cell r="A35">
            <v>60</v>
          </cell>
          <cell r="B35">
            <v>0.7888272996201342</v>
          </cell>
          <cell r="C35">
            <v>0.4430936019076398</v>
          </cell>
          <cell r="D35">
            <v>0.7684355618986739</v>
          </cell>
          <cell r="E35">
            <v>0.2544383404464457</v>
          </cell>
          <cell r="G35">
            <v>120.26542050516562</v>
          </cell>
          <cell r="I35">
            <v>0.32010533202488195</v>
          </cell>
          <cell r="J35">
            <v>0.75</v>
          </cell>
        </row>
        <row r="36">
          <cell r="A36">
            <v>62.5</v>
          </cell>
          <cell r="B36">
            <v>0.76194799602735941</v>
          </cell>
          <cell r="C36">
            <v>0.43632018262769651</v>
          </cell>
          <cell r="D36">
            <v>0.74180150707950288</v>
          </cell>
          <cell r="E36">
            <v>0.24817680918844803</v>
          </cell>
          <cell r="G36">
            <v>120.26542050516562</v>
          </cell>
          <cell r="I36">
            <v>0.31657992541598579</v>
          </cell>
          <cell r="J36"/>
        </row>
        <row r="37">
          <cell r="A37">
            <v>65</v>
          </cell>
          <cell r="B37">
            <v>0.73731976085820616</v>
          </cell>
          <cell r="C37">
            <v>0.43026487422447296</v>
          </cell>
          <cell r="D37">
            <v>0.71737726839464677</v>
          </cell>
          <cell r="E37">
            <v>0.24255062344165662</v>
          </cell>
          <cell r="I37">
            <v>0.31368986431829587</v>
          </cell>
        </row>
        <row r="38">
          <cell r="A38">
            <v>67.5</v>
          </cell>
          <cell r="B38">
            <v>0.7146924753989381</v>
          </cell>
          <cell r="C38">
            <v>0.42484788660055617</v>
          </cell>
          <cell r="D38">
            <v>0.69491731071807084</v>
          </cell>
          <cell r="E38">
            <v>0.23748918926038184</v>
          </cell>
          <cell r="I38">
            <v>0.31136455478612268</v>
          </cell>
        </row>
        <row r="39">
          <cell r="A39">
            <v>70</v>
          </cell>
          <cell r="B39">
            <v>0.69385175218063966</v>
          </cell>
          <cell r="C39">
            <v>0.42000082824387741</v>
          </cell>
          <cell r="D39">
            <v>0.67421117537031638</v>
          </cell>
          <cell r="E39">
            <v>0.2329319975483185</v>
          </cell>
          <cell r="I39">
            <v>0.30954348772316076</v>
          </cell>
        </row>
        <row r="40">
          <cell r="A40">
            <v>72.5</v>
          </cell>
          <cell r="B40">
            <v>0.67461277441976164</v>
          </cell>
          <cell r="C40">
            <v>0.41566474095437744</v>
          </cell>
          <cell r="D40">
            <v>0.6550774324552987</v>
          </cell>
          <cell r="E40">
            <v>0.22882688529141007</v>
          </cell>
          <cell r="I40">
            <v>0.30817450011535386</v>
          </cell>
        </row>
        <row r="41">
          <cell r="A41">
            <v>75</v>
          </cell>
          <cell r="B41">
            <v>0.65681536757056225</v>
          </cell>
          <cell r="C41">
            <v>0.41178852762533869</v>
          </cell>
          <cell r="D41">
            <v>0.63735884272974375</v>
          </cell>
          <cell r="E41">
            <v>0.22512864454414111</v>
          </cell>
          <cell r="I41">
            <v>0.30721238401718648</v>
          </cell>
        </row>
        <row r="42">
          <cell r="A42">
            <v>77.5</v>
          </cell>
          <cell r="B42">
            <v>0.64032002477062122</v>
          </cell>
          <cell r="C42">
            <v>0.40832768432510336</v>
          </cell>
          <cell r="D42">
            <v>0.62091845588499428</v>
          </cell>
          <cell r="E42">
            <v>0.2217979006442885</v>
          </cell>
          <cell r="I42">
            <v>0.30661776476643537</v>
          </cell>
        </row>
        <row r="43">
          <cell r="A43">
            <v>80</v>
          </cell>
          <cell r="B43">
            <v>0.62500467751532007</v>
          </cell>
          <cell r="C43">
            <v>0.40524327011347122</v>
          </cell>
          <cell r="D43">
            <v>0.60563644040097442</v>
          </cell>
          <cell r="E43">
            <v>0.21880020076240689</v>
          </cell>
          <cell r="I43">
            <v>0.30635618953365523</v>
          </cell>
        </row>
        <row r="44">
          <cell r="A44">
            <v>82.5</v>
          </cell>
          <cell r="B44">
            <v>0.61076205348241908</v>
          </cell>
          <cell r="C44">
            <v>0.40250106416420572</v>
          </cell>
          <cell r="D44">
            <v>0.5914074897903453</v>
          </cell>
          <cell r="E44">
            <v>0.21610526816958983</v>
          </cell>
          <cell r="I44">
            <v>0.30639738158993973</v>
          </cell>
        </row>
        <row r="45">
          <cell r="A45">
            <v>85</v>
          </cell>
          <cell r="B45">
            <v>0.59749750062288309</v>
          </cell>
          <cell r="C45">
            <v>0.40007087163062721</v>
          </cell>
          <cell r="D45">
            <v>0.57813868656427847</v>
          </cell>
          <cell r="E45">
            <v>0.21368638810503754</v>
          </cell>
          <cell r="I45">
            <v>0.30671462617448897</v>
          </cell>
        </row>
        <row r="46">
          <cell r="A46">
            <v>87.5</v>
          </cell>
          <cell r="B46">
            <v>0.58512718426470911</v>
          </cell>
          <cell r="C46">
            <v>0.39792594850567709</v>
          </cell>
          <cell r="D46">
            <v>0.56574773237552511</v>
          </cell>
          <cell r="E46">
            <v>0.21151989892347012</v>
          </cell>
          <cell r="I46">
            <v>0.30728426164202299</v>
          </cell>
        </row>
        <row r="47">
          <cell r="A47">
            <v>90</v>
          </cell>
          <cell r="B47">
            <v>0.5735765846994505</v>
          </cell>
          <cell r="C47">
            <v>0.39604252233863607</v>
          </cell>
          <cell r="D47">
            <v>0.55416147313764308</v>
          </cell>
          <cell r="E47">
            <v>0.2095847680513056</v>
          </cell>
          <cell r="I47">
            <v>0.30808525541896004</v>
          </cell>
        </row>
        <row r="48">
          <cell r="A48">
            <v>92.5</v>
          </cell>
          <cell r="B48">
            <v>0.56277923840335742</v>
          </cell>
          <cell r="C48">
            <v>0.39439939067345758</v>
          </cell>
          <cell r="D48">
            <v>0.54331466331407485</v>
          </cell>
          <cell r="E48">
            <v>0.20786223670670045</v>
          </cell>
          <cell r="I48">
            <v>0.30909884872345639</v>
          </cell>
        </row>
        <row r="49">
          <cell r="A49">
            <v>95</v>
          </cell>
          <cell r="B49">
            <v>0.55267567801307438</v>
          </cell>
          <cell r="C49">
            <v>0.39297758289157358</v>
          </cell>
          <cell r="D49">
            <v>0.53314892531948044</v>
          </cell>
          <cell r="E49">
            <v>0.20633552071642627</v>
          </cell>
          <cell r="I49">
            <v>0.31030825738228374</v>
          </cell>
        </row>
        <row r="50">
          <cell r="A50">
            <v>97.5</v>
          </cell>
          <cell r="B50">
            <v>0.54321253538200076</v>
          </cell>
          <cell r="C50">
            <v>0.39176007407888436</v>
          </cell>
          <cell r="D50">
            <v>0.5236118690131687</v>
          </cell>
          <cell r="E50">
            <v>0.2049895573609192</v>
          </cell>
          <cell r="I50">
            <v>0.31169841867587811</v>
          </cell>
        </row>
        <row r="51">
          <cell r="A51">
            <v>100</v>
          </cell>
          <cell r="B51">
            <v>0.53434177917819603</v>
          </cell>
          <cell r="C51">
            <v>0.39073154181270048</v>
          </cell>
          <cell r="D51">
            <v>0.51465634326851917</v>
          </cell>
          <cell r="E51">
            <v>0.20381079019257159</v>
          </cell>
          <cell r="I51">
            <v>0.31325577615663208</v>
          </cell>
        </row>
        <row r="52">
          <cell r="A52">
            <v>102.5</v>
          </cell>
          <cell r="B52">
            <v>0.52602006405332324</v>
          </cell>
          <cell r="C52">
            <v>0.38987815854083852</v>
          </cell>
          <cell r="D52">
            <v>0.50623979706882427</v>
          </cell>
          <cell r="E52">
            <v>0.20278698534403045</v>
          </cell>
          <cell r="I52">
            <v>0.31496809595719238</v>
          </cell>
        </row>
        <row r="53">
          <cell r="A53">
            <v>105</v>
          </cell>
          <cell r="B53">
            <v>0.5182081727874589</v>
          </cell>
          <cell r="C53">
            <v>0.38918741362084691</v>
          </cell>
          <cell r="D53">
            <v>0.49832373187515921</v>
          </cell>
          <cell r="E53">
            <v>0.20190707407816666</v>
          </cell>
          <cell r="I53">
            <v>0.31682430934043021</v>
          </cell>
        </row>
        <row r="54">
          <cell r="A54">
            <v>107.5</v>
          </cell>
          <cell r="B54">
            <v>0.51087053627416013</v>
          </cell>
          <cell r="C54">
            <v>0.38864796019096731</v>
          </cell>
          <cell r="D54">
            <v>0.4908732304080331</v>
          </cell>
          <cell r="E54">
            <v>0.20116101730781674</v>
          </cell>
          <cell r="I54">
            <v>0.31881437721918171</v>
          </cell>
        </row>
        <row r="55">
          <cell r="A55">
            <v>110</v>
          </cell>
          <cell r="B55">
            <v>0.50397481896211604</v>
          </cell>
          <cell r="C55">
            <v>0.38824948292232836</v>
          </cell>
          <cell r="D55">
            <v>0.48385654968609132</v>
          </cell>
          <cell r="E55">
            <v>0.20053968859010471</v>
          </cell>
          <cell r="I55">
            <v>0.32092917315057118</v>
          </cell>
        </row>
        <row r="56">
          <cell r="A56">
            <v>112.5</v>
          </cell>
          <cell r="B56">
            <v>0.49749155957124286</v>
          </cell>
          <cell r="C56">
            <v>0.38798258340418074</v>
          </cell>
          <cell r="D56">
            <v>0.47724476832632129</v>
          </cell>
          <cell r="E56">
            <v>0.20003477272152137</v>
          </cell>
          <cell r="I56">
            <v>0.32316038193108937</v>
          </cell>
        </row>
        <row r="57">
          <cell r="A57">
            <v>115</v>
          </cell>
          <cell r="B57">
            <v>0.49139385867189922</v>
          </cell>
          <cell r="C57">
            <v>0.38783868047888365</v>
          </cell>
          <cell r="D57">
            <v>0.47101147984858172</v>
          </cell>
          <cell r="E57">
            <v>0.19963867755973227</v>
          </cell>
          <cell r="I57">
            <v>0.32550041141840175</v>
          </cell>
        </row>
        <row r="58">
          <cell r="A58">
            <v>117.5</v>
          </cell>
          <cell r="B58">
            <v>0.4856571061476041</v>
          </cell>
          <cell r="C58">
            <v>0.38780992330008507</v>
          </cell>
          <cell r="D58">
            <v>0.46513252513274289</v>
          </cell>
          <cell r="E58">
            <v>0.19934445710217594</v>
          </cell>
          <cell r="I58">
            <v>0.32794231560994702</v>
          </cell>
        </row>
        <row r="59">
          <cell r="A59">
            <v>120</v>
          </cell>
          <cell r="B59">
            <v>0.48025874272491709</v>
          </cell>
          <cell r="C59">
            <v>0.38788911525862868</v>
          </cell>
          <cell r="D59">
            <v>0.45958575831868576</v>
          </cell>
          <cell r="E59">
            <v>0.1991457441798381</v>
          </cell>
          <cell r="I59">
            <v>0.3304797273367106</v>
          </cell>
        </row>
        <row r="60">
          <cell r="A60">
            <v>122.5</v>
          </cell>
          <cell r="B60">
            <v>0.47517805070373986</v>
          </cell>
          <cell r="C60">
            <v>0.38806964722365689</v>
          </cell>
          <cell r="D60">
            <v>0.45435084137160758</v>
          </cell>
          <cell r="E60">
            <v>0.19903669139260319</v>
          </cell>
          <cell r="I60">
            <v>0.33310679919857716</v>
          </cell>
        </row>
        <row r="61">
          <cell r="A61">
            <v>125</v>
          </cell>
          <cell r="B61">
            <v>0.47039596979998177</v>
          </cell>
          <cell r="C61">
            <v>0.38834543879478067</v>
          </cell>
          <cell r="D61">
            <v>0.44940906329948965</v>
          </cell>
          <cell r="E61">
            <v>0.19901191913236493</v>
          </cell>
          <cell r="I61">
            <v>0.33581815158744038</v>
          </cell>
        </row>
        <row r="62">
          <cell r="A62">
            <v>127.5</v>
          </cell>
          <cell r="B62">
            <v>0.46589493465379467</v>
          </cell>
          <cell r="C62">
            <v>0.38871088646575891</v>
          </cell>
          <cell r="D62">
            <v>0.44474318063909879</v>
          </cell>
          <cell r="E62">
            <v>0.19906646972106476</v>
          </cell>
          <cell r="I62">
            <v>0.33860882682524185</v>
          </cell>
        </row>
        <row r="63">
          <cell r="A63">
            <v>130</v>
          </cell>
          <cell r="B63">
            <v>0.46165873108685729</v>
          </cell>
          <cell r="C63">
            <v>0.38916081776929257</v>
          </cell>
          <cell r="D63">
            <v>0.44033727634745112</v>
          </cell>
          <cell r="E63">
            <v>0.19919576684049484</v>
          </cell>
          <cell r="I63">
            <v>0.34147424859377334</v>
          </cell>
        </row>
        <row r="64">
          <cell r="A64">
            <v>132.5</v>
          </cell>
          <cell r="B64">
            <v>0.45767236863241934</v>
          </cell>
          <cell r="C64">
            <v>0.38969045061297269</v>
          </cell>
          <cell r="D64">
            <v>0.43617663466782497</v>
          </cell>
          <cell r="E64">
            <v>0.19939557955495335</v>
          </cell>
          <cell r="I64">
            <v>0.34441018595733336</v>
          </cell>
        </row>
        <row r="65">
          <cell r="A65">
            <v>135</v>
          </cell>
          <cell r="B65">
            <v>0.45392196722867528</v>
          </cell>
          <cell r="C65">
            <v>0.39029535713345781</v>
          </cell>
          <cell r="D65">
            <v>0.43224762989955257</v>
          </cell>
          <cell r="E65">
            <v>0.19966199033138307</v>
          </cell>
          <cell r="I65">
            <v>0.34741272138286461</v>
          </cell>
        </row>
        <row r="66">
          <cell r="A66">
            <v>137.5</v>
          </cell>
          <cell r="B66">
            <v>0.45039465627286029</v>
          </cell>
          <cell r="C66">
            <v>0.39097143149383135</v>
          </cell>
          <cell r="D66">
            <v>0.42853762730201478</v>
          </cell>
          <cell r="E66">
            <v>0.19999136654822217</v>
          </cell>
          <cell r="I66">
            <v>0.35047822224880526</v>
          </cell>
        </row>
        <row r="67">
          <cell r="A67">
            <v>140</v>
          </cell>
          <cell r="B67">
            <v>0.4470784844909782</v>
          </cell>
          <cell r="C67">
            <v>0.39171486113124204</v>
          </cell>
          <cell r="D67">
            <v>0.42503489461606492</v>
          </cell>
          <cell r="E67">
            <v>0.20038033505687702</v>
          </cell>
          <cell r="I67">
            <v>0.35360331540656159</v>
          </cell>
        </row>
        <row r="68">
          <cell r="A68">
            <v>142.5</v>
          </cell>
          <cell r="B68">
            <v>0.44396233929492684</v>
          </cell>
          <cell r="C68">
            <v>0.39252210103110907</v>
          </cell>
          <cell r="D68">
            <v>0.42172852289898805</v>
          </cell>
          <cell r="E68">
            <v>0.20082575942093647</v>
          </cell>
          <cell r="I68">
            <v>0.35678486441972257</v>
          </cell>
        </row>
        <row r="69">
          <cell r="A69">
            <v>145</v>
          </cell>
          <cell r="B69">
            <v>0.44103587448199122</v>
          </cell>
          <cell r="C69">
            <v>0.39338985066261567</v>
          </cell>
          <cell r="D69">
            <v>0.41860835554894565</v>
          </cell>
          <cell r="E69">
            <v>0.20132471950994846</v>
          </cell>
          <cell r="I69">
            <v>0.36001994915783608</v>
          </cell>
        </row>
        <row r="70">
          <cell r="A70">
            <v>147.5</v>
          </cell>
          <cell r="B70">
            <v>0.43828944528692804</v>
          </cell>
          <cell r="C70">
            <v>0.39431503325974637</v>
          </cell>
          <cell r="D70">
            <v>0.41566492454727505</v>
          </cell>
          <cell r="E70">
            <v>0.201874493168407</v>
          </cell>
          <cell r="I70">
            <v>0.36330584746539618</v>
          </cell>
        </row>
        <row r="71">
          <cell r="A71">
            <v>150</v>
          </cell>
          <cell r="B71">
            <v>0.43571404992884366</v>
          </cell>
          <cell r="C71">
            <v>0.3952947771742199</v>
          </cell>
          <cell r="D71">
            <v>0.41288939307655781</v>
          </cell>
          <cell r="E71">
            <v>0.20247253971783963</v>
          </cell>
          <cell r="I71">
            <v>0.36664001866393026</v>
          </cell>
        </row>
      </sheetData>
      <sheetData sheetId="6"/>
      <sheetData sheetId="7">
        <row r="11">
          <cell r="I11">
            <v>0.53</v>
          </cell>
          <cell r="J11">
            <v>110</v>
          </cell>
        </row>
        <row r="31">
          <cell r="A31">
            <v>50</v>
          </cell>
          <cell r="B31">
            <v>0.92560840349830864</v>
          </cell>
          <cell r="C31">
            <v>0.47952272042477251</v>
          </cell>
          <cell r="D31">
            <v>0.9036993909214569</v>
          </cell>
          <cell r="E31">
            <v>0.28774395712411777</v>
          </cell>
          <cell r="F31">
            <v>0.23383717449865307</v>
          </cell>
          <cell r="G31">
            <v>120.26542050516562</v>
          </cell>
          <cell r="I31">
            <v>0.34246645010614796</v>
          </cell>
          <cell r="J31">
            <v>0</v>
          </cell>
        </row>
        <row r="32">
          <cell r="A32">
            <v>52.5</v>
          </cell>
          <cell r="B32">
            <v>0.88618743297393021</v>
          </cell>
          <cell r="C32">
            <v>0.46874839768881799</v>
          </cell>
          <cell r="D32">
            <v>0.86475350335395829</v>
          </cell>
          <cell r="E32">
            <v>0.27794264373225663</v>
          </cell>
          <cell r="F32">
            <v>0.24552903322358574</v>
          </cell>
          <cell r="G32">
            <v>120.26542050516562</v>
          </cell>
          <cell r="I32">
            <v>0.33540126136338844</v>
          </cell>
          <cell r="J32">
            <v>0.125</v>
          </cell>
        </row>
        <row r="33">
          <cell r="A33">
            <v>55</v>
          </cell>
          <cell r="B33">
            <v>0.85056696758034056</v>
          </cell>
          <cell r="C33">
            <v>0.4591864699395336</v>
          </cell>
          <cell r="D33">
            <v>0.82953847419504334</v>
          </cell>
          <cell r="E33">
            <v>0.2692139915930814</v>
          </cell>
          <cell r="F33">
            <v>0.25722089194851838</v>
          </cell>
          <cell r="G33">
            <v>120.26542050516562</v>
          </cell>
          <cell r="I33">
            <v>0.32940873387331471</v>
          </cell>
          <cell r="J33">
            <v>0.25</v>
          </cell>
        </row>
        <row r="34">
          <cell r="A34">
            <v>57.5</v>
          </cell>
          <cell r="B34">
            <v>0.8182512892570023</v>
          </cell>
          <cell r="C34">
            <v>0.45067879870039701</v>
          </cell>
          <cell r="D34">
            <v>0.79756766973924531</v>
          </cell>
          <cell r="E34">
            <v>0.26141808836928526</v>
          </cell>
          <cell r="F34">
            <v>0.26891275067345105</v>
          </cell>
          <cell r="G34">
            <v>120.26542050516562</v>
          </cell>
          <cell r="I34">
            <v>0.32434895529861996</v>
          </cell>
          <cell r="J34">
            <v>0.375</v>
          </cell>
        </row>
        <row r="35">
          <cell r="A35">
            <v>60</v>
          </cell>
          <cell r="B35">
            <v>0.7888272996201342</v>
          </cell>
          <cell r="C35">
            <v>0.4430936019076398</v>
          </cell>
          <cell r="D35">
            <v>0.7684355618986739</v>
          </cell>
          <cell r="E35">
            <v>0.2544383404464457</v>
          </cell>
          <cell r="F35">
            <v>0.28060460939838372</v>
          </cell>
          <cell r="G35">
            <v>120.26542050516562</v>
          </cell>
          <cell r="I35">
            <v>0.32010533202488195</v>
          </cell>
          <cell r="J35">
            <v>0.75</v>
          </cell>
        </row>
        <row r="36">
          <cell r="A36">
            <v>62.5</v>
          </cell>
          <cell r="B36">
            <v>0.76194799602735941</v>
          </cell>
          <cell r="C36">
            <v>0.43632018262769651</v>
          </cell>
          <cell r="D36">
            <v>0.74180150707950288</v>
          </cell>
          <cell r="E36">
            <v>0.24817680918844803</v>
          </cell>
          <cell r="F36">
            <v>0.29229646812331633</v>
          </cell>
          <cell r="G36">
            <v>120.26542050516562</v>
          </cell>
          <cell r="I36">
            <v>0.31657992541598579</v>
          </cell>
          <cell r="J36"/>
        </row>
        <row r="37">
          <cell r="A37">
            <v>65</v>
          </cell>
          <cell r="B37">
            <v>0.73731976085820616</v>
          </cell>
          <cell r="C37">
            <v>0.43026487422447296</v>
          </cell>
          <cell r="D37">
            <v>0.71737726839464677</v>
          </cell>
          <cell r="E37">
            <v>0.24255062344165662</v>
          </cell>
          <cell r="F37">
            <v>0.303988326848249</v>
          </cell>
          <cell r="I37">
            <v>0.31368986431829587</v>
          </cell>
        </row>
        <row r="38">
          <cell r="A38">
            <v>67.5</v>
          </cell>
          <cell r="B38">
            <v>0.7146924753989381</v>
          </cell>
          <cell r="C38">
            <v>0.42484788660055617</v>
          </cell>
          <cell r="D38">
            <v>0.69491731071807084</v>
          </cell>
          <cell r="E38">
            <v>0.23748918926038184</v>
          </cell>
          <cell r="F38">
            <v>0.31568018557318167</v>
          </cell>
          <cell r="I38">
            <v>0.31136455478612268</v>
          </cell>
        </row>
        <row r="39">
          <cell r="A39">
            <v>70</v>
          </cell>
          <cell r="B39">
            <v>0.69385175218063966</v>
          </cell>
          <cell r="C39">
            <v>0.42000082824387741</v>
          </cell>
          <cell r="D39">
            <v>0.67421117537031638</v>
          </cell>
          <cell r="E39">
            <v>0.2329319975483185</v>
          </cell>
          <cell r="F39">
            <v>0.32737204429811434</v>
          </cell>
          <cell r="I39">
            <v>0.30954348772316076</v>
          </cell>
        </row>
        <row r="40">
          <cell r="A40">
            <v>72.5</v>
          </cell>
          <cell r="B40">
            <v>0.67461277441976164</v>
          </cell>
          <cell r="C40">
            <v>0.41566474095437744</v>
          </cell>
          <cell r="D40">
            <v>0.6550774324552987</v>
          </cell>
          <cell r="E40">
            <v>0.22882688529141007</v>
          </cell>
          <cell r="F40">
            <v>0.33906390302304695</v>
          </cell>
          <cell r="I40">
            <v>0.30817450011535386</v>
          </cell>
        </row>
        <row r="41">
          <cell r="A41">
            <v>75</v>
          </cell>
          <cell r="B41">
            <v>0.65681536757056225</v>
          </cell>
          <cell r="C41">
            <v>0.41178852762533869</v>
          </cell>
          <cell r="D41">
            <v>0.63735884272974375</v>
          </cell>
          <cell r="E41">
            <v>0.22512864454414111</v>
          </cell>
          <cell r="F41">
            <v>0.35075576174797962</v>
          </cell>
          <cell r="I41">
            <v>0.30721238401718648</v>
          </cell>
        </row>
        <row r="42">
          <cell r="A42">
            <v>77.5</v>
          </cell>
          <cell r="B42">
            <v>0.64032002477062122</v>
          </cell>
          <cell r="C42">
            <v>0.40832768432510336</v>
          </cell>
          <cell r="D42">
            <v>0.62091845588499428</v>
          </cell>
          <cell r="E42">
            <v>0.2217979006442885</v>
          </cell>
          <cell r="F42">
            <v>0.36244762047291229</v>
          </cell>
          <cell r="I42">
            <v>0.30661776476643537</v>
          </cell>
        </row>
        <row r="43">
          <cell r="A43">
            <v>80</v>
          </cell>
          <cell r="B43">
            <v>0.62500467751532007</v>
          </cell>
          <cell r="C43">
            <v>0.40524327011347122</v>
          </cell>
          <cell r="D43">
            <v>0.60563644040097442</v>
          </cell>
          <cell r="E43">
            <v>0.21880020076240689</v>
          </cell>
          <cell r="F43">
            <v>0.3741394791978449</v>
          </cell>
          <cell r="I43">
            <v>0.30635618953365523</v>
          </cell>
        </row>
        <row r="44">
          <cell r="A44">
            <v>82.5</v>
          </cell>
          <cell r="B44">
            <v>0.61076205348241908</v>
          </cell>
          <cell r="C44">
            <v>0.40250106416420572</v>
          </cell>
          <cell r="D44">
            <v>0.5914074897903453</v>
          </cell>
          <cell r="E44">
            <v>0.21610526816958983</v>
          </cell>
          <cell r="F44">
            <v>0.38583133792277757</v>
          </cell>
          <cell r="I44">
            <v>0.30639738158993973</v>
          </cell>
        </row>
        <row r="45">
          <cell r="A45">
            <v>85</v>
          </cell>
          <cell r="B45">
            <v>0.59749750062288309</v>
          </cell>
          <cell r="C45">
            <v>0.40007087163062721</v>
          </cell>
          <cell r="D45">
            <v>0.57813868656427847</v>
          </cell>
          <cell r="E45">
            <v>0.21368638810503754</v>
          </cell>
          <cell r="F45">
            <v>0.39752319664771024</v>
          </cell>
          <cell r="I45">
            <v>0.30671462617448897</v>
          </cell>
        </row>
        <row r="46">
          <cell r="A46">
            <v>87.5</v>
          </cell>
          <cell r="B46">
            <v>0.58512718426470911</v>
          </cell>
          <cell r="C46">
            <v>0.39792594850567709</v>
          </cell>
          <cell r="D46">
            <v>0.56574773237552511</v>
          </cell>
          <cell r="E46">
            <v>0.21151989892347012</v>
          </cell>
          <cell r="F46">
            <v>0.40921505537264291</v>
          </cell>
          <cell r="I46">
            <v>0.30728426164202299</v>
          </cell>
        </row>
        <row r="47">
          <cell r="A47">
            <v>90</v>
          </cell>
          <cell r="B47">
            <v>0.5735765846994505</v>
          </cell>
          <cell r="C47">
            <v>0.39604252233863607</v>
          </cell>
          <cell r="D47">
            <v>0.55416147313764308</v>
          </cell>
          <cell r="E47">
            <v>0.2095847680513056</v>
          </cell>
          <cell r="F47">
            <v>0.42090691409757552</v>
          </cell>
          <cell r="I47">
            <v>0.30808525541896004</v>
          </cell>
        </row>
        <row r="48">
          <cell r="A48">
            <v>92.5</v>
          </cell>
          <cell r="B48">
            <v>0.56277923840335742</v>
          </cell>
          <cell r="C48">
            <v>0.39439939067345758</v>
          </cell>
          <cell r="D48">
            <v>0.54331466331407485</v>
          </cell>
          <cell r="E48">
            <v>0.20786223670670045</v>
          </cell>
          <cell r="F48">
            <v>0.43259877282250819</v>
          </cell>
          <cell r="I48">
            <v>0.30909884872345639</v>
          </cell>
        </row>
        <row r="49">
          <cell r="A49">
            <v>95</v>
          </cell>
          <cell r="B49">
            <v>0.55267567801307438</v>
          </cell>
          <cell r="C49">
            <v>0.39297758289157358</v>
          </cell>
          <cell r="D49">
            <v>0.53314892531948044</v>
          </cell>
          <cell r="E49">
            <v>0.20633552071642627</v>
          </cell>
          <cell r="F49">
            <v>0.44429063154744086</v>
          </cell>
          <cell r="I49">
            <v>0.31030825738228374</v>
          </cell>
        </row>
        <row r="50">
          <cell r="A50">
            <v>97.5</v>
          </cell>
          <cell r="B50">
            <v>0.54321253538200076</v>
          </cell>
          <cell r="C50">
            <v>0.39176007407888436</v>
          </cell>
          <cell r="D50">
            <v>0.5236118690131687</v>
          </cell>
          <cell r="E50">
            <v>0.2049895573609192</v>
          </cell>
          <cell r="F50">
            <v>0.45598249027237353</v>
          </cell>
          <cell r="I50">
            <v>0.31169841867587811</v>
          </cell>
        </row>
        <row r="51">
          <cell r="A51">
            <v>100</v>
          </cell>
          <cell r="B51">
            <v>0.53434177917819603</v>
          </cell>
          <cell r="C51">
            <v>0.39073154181270048</v>
          </cell>
          <cell r="D51">
            <v>0.51465634326851917</v>
          </cell>
          <cell r="E51">
            <v>0.20381079019257159</v>
          </cell>
          <cell r="F51">
            <v>0.46767434899730614</v>
          </cell>
          <cell r="I51">
            <v>0.31325577615663208</v>
          </cell>
        </row>
        <row r="52">
          <cell r="A52">
            <v>102.5</v>
          </cell>
          <cell r="B52">
            <v>0.52602006405332324</v>
          </cell>
          <cell r="C52">
            <v>0.38987815854083852</v>
          </cell>
          <cell r="D52">
            <v>0.50623979706882427</v>
          </cell>
          <cell r="E52">
            <v>0.20278698534403045</v>
          </cell>
          <cell r="F52">
            <v>0.47936620772223881</v>
          </cell>
          <cell r="I52">
            <v>0.31496809595719238</v>
          </cell>
        </row>
        <row r="53">
          <cell r="A53">
            <v>105</v>
          </cell>
          <cell r="B53">
            <v>0.5182081727874589</v>
          </cell>
          <cell r="C53">
            <v>0.38918741362084691</v>
          </cell>
          <cell r="D53">
            <v>0.49832373187515921</v>
          </cell>
          <cell r="E53">
            <v>0.20190707407816666</v>
          </cell>
          <cell r="F53">
            <v>0.49105806644717148</v>
          </cell>
          <cell r="I53">
            <v>0.31682430934043021</v>
          </cell>
        </row>
        <row r="54">
          <cell r="A54">
            <v>107.5</v>
          </cell>
          <cell r="B54">
            <v>0.51087053627416013</v>
          </cell>
          <cell r="C54">
            <v>0.38864796019096731</v>
          </cell>
          <cell r="D54">
            <v>0.4908732304080331</v>
          </cell>
          <cell r="E54">
            <v>0.20116101730781674</v>
          </cell>
          <cell r="F54">
            <v>0.50274992517210415</v>
          </cell>
          <cell r="I54">
            <v>0.31881437721918171</v>
          </cell>
        </row>
        <row r="55">
          <cell r="A55">
            <v>110</v>
          </cell>
          <cell r="B55">
            <v>0.50397481896211604</v>
          </cell>
          <cell r="C55">
            <v>0.38824948292232836</v>
          </cell>
          <cell r="D55">
            <v>0.48385654968609132</v>
          </cell>
          <cell r="E55">
            <v>0.20053968859010471</v>
          </cell>
          <cell r="F55">
            <v>0.51444178389703676</v>
          </cell>
          <cell r="I55">
            <v>0.32092917315057118</v>
          </cell>
        </row>
        <row r="56">
          <cell r="A56">
            <v>112.5</v>
          </cell>
          <cell r="B56">
            <v>0.49749155957124286</v>
          </cell>
          <cell r="C56">
            <v>0.38798258340418074</v>
          </cell>
          <cell r="D56">
            <v>0.47724476832632129</v>
          </cell>
          <cell r="E56">
            <v>0.20003477272152137</v>
          </cell>
          <cell r="F56">
            <v>0.52613364262196949</v>
          </cell>
          <cell r="I56">
            <v>0.32316038193108937</v>
          </cell>
        </row>
        <row r="57">
          <cell r="A57">
            <v>115</v>
          </cell>
          <cell r="B57">
            <v>0.49139385867189922</v>
          </cell>
          <cell r="C57">
            <v>0.38783868047888365</v>
          </cell>
          <cell r="D57">
            <v>0.47101147984858172</v>
          </cell>
          <cell r="E57">
            <v>0.19963867755973227</v>
          </cell>
          <cell r="F57">
            <v>0.5378255013469021</v>
          </cell>
          <cell r="I57">
            <v>0.32550041141840175</v>
          </cell>
        </row>
        <row r="58">
          <cell r="A58">
            <v>117.5</v>
          </cell>
          <cell r="B58">
            <v>0.4856571061476041</v>
          </cell>
          <cell r="C58">
            <v>0.38780992330008507</v>
          </cell>
          <cell r="D58">
            <v>0.46513252513274289</v>
          </cell>
          <cell r="E58">
            <v>0.19934445710217594</v>
          </cell>
          <cell r="F58">
            <v>0.54951736007183472</v>
          </cell>
          <cell r="I58">
            <v>0.32794231560994702</v>
          </cell>
        </row>
        <row r="59">
          <cell r="A59">
            <v>120</v>
          </cell>
          <cell r="B59">
            <v>0.48025874272491709</v>
          </cell>
          <cell r="C59">
            <v>0.38788911525862868</v>
          </cell>
          <cell r="D59">
            <v>0.45958575831868576</v>
          </cell>
          <cell r="E59">
            <v>0.1991457441798381</v>
          </cell>
          <cell r="F59">
            <v>0.56120921879676744</v>
          </cell>
          <cell r="I59">
            <v>0.3304797273367106</v>
          </cell>
        </row>
        <row r="60">
          <cell r="A60">
            <v>122.5</v>
          </cell>
          <cell r="B60">
            <v>0.47517805070373986</v>
          </cell>
          <cell r="C60">
            <v>0.38806964722365689</v>
          </cell>
          <cell r="D60">
            <v>0.45435084137160758</v>
          </cell>
          <cell r="E60">
            <v>0.19903669139260319</v>
          </cell>
          <cell r="F60">
            <v>0.57290107752170005</v>
          </cell>
          <cell r="I60">
            <v>0.33310679919857716</v>
          </cell>
        </row>
        <row r="61">
          <cell r="A61">
            <v>125</v>
          </cell>
          <cell r="B61">
            <v>0.47039596979998177</v>
          </cell>
          <cell r="C61">
            <v>0.38834543879478067</v>
          </cell>
          <cell r="D61">
            <v>0.44940906329948965</v>
          </cell>
          <cell r="E61">
            <v>0.19901191913236493</v>
          </cell>
          <cell r="F61">
            <v>0.58459293624663267</v>
          </cell>
          <cell r="I61">
            <v>0.33581815158744038</v>
          </cell>
        </row>
        <row r="62">
          <cell r="A62">
            <v>127.5</v>
          </cell>
          <cell r="B62">
            <v>0.46589493465379467</v>
          </cell>
          <cell r="C62">
            <v>0.38871088646575891</v>
          </cell>
          <cell r="D62">
            <v>0.44474318063909879</v>
          </cell>
          <cell r="E62">
            <v>0.19906646972106476</v>
          </cell>
          <cell r="F62">
            <v>0.59628479497156539</v>
          </cell>
          <cell r="I62">
            <v>0.33860882682524185</v>
          </cell>
        </row>
        <row r="63">
          <cell r="A63">
            <v>130</v>
          </cell>
          <cell r="B63">
            <v>0.46165873108685729</v>
          </cell>
          <cell r="C63">
            <v>0.38916081776929257</v>
          </cell>
          <cell r="D63">
            <v>0.44033727634745112</v>
          </cell>
          <cell r="E63">
            <v>0.19919576684049484</v>
          </cell>
          <cell r="F63">
            <v>0.607976653696498</v>
          </cell>
          <cell r="I63">
            <v>0.34147424859377334</v>
          </cell>
        </row>
        <row r="64">
          <cell r="A64">
            <v>132.5</v>
          </cell>
          <cell r="B64">
            <v>0.45767236863241934</v>
          </cell>
          <cell r="C64">
            <v>0.38969045061297269</v>
          </cell>
          <cell r="D64">
            <v>0.43617663466782497</v>
          </cell>
          <cell r="E64">
            <v>0.19939557955495335</v>
          </cell>
          <cell r="F64">
            <v>0.61966851242143062</v>
          </cell>
          <cell r="I64">
            <v>0.34441018595733336</v>
          </cell>
        </row>
        <row r="65">
          <cell r="A65">
            <v>135</v>
          </cell>
          <cell r="B65">
            <v>0.45392196722867528</v>
          </cell>
          <cell r="C65">
            <v>0.39029535713345781</v>
          </cell>
          <cell r="D65">
            <v>0.43224762989955257</v>
          </cell>
          <cell r="E65">
            <v>0.19966199033138307</v>
          </cell>
          <cell r="F65">
            <v>0.63136037114636334</v>
          </cell>
          <cell r="I65">
            <v>0.34741272138286461</v>
          </cell>
        </row>
        <row r="66">
          <cell r="A66">
            <v>137.5</v>
          </cell>
          <cell r="B66">
            <v>0.45039465627286029</v>
          </cell>
          <cell r="C66">
            <v>0.39097143149383135</v>
          </cell>
          <cell r="D66">
            <v>0.42853762730201478</v>
          </cell>
          <cell r="E66">
            <v>0.19999136654822217</v>
          </cell>
          <cell r="F66">
            <v>0.64305222987129596</v>
          </cell>
          <cell r="I66">
            <v>0.35047822224880526</v>
          </cell>
        </row>
        <row r="67">
          <cell r="A67">
            <v>140</v>
          </cell>
          <cell r="B67">
            <v>0.4470784844909782</v>
          </cell>
          <cell r="C67">
            <v>0.39171486113124204</v>
          </cell>
          <cell r="D67">
            <v>0.42503489461606492</v>
          </cell>
          <cell r="E67">
            <v>0.20038033505687702</v>
          </cell>
          <cell r="F67">
            <v>0.65474408859622868</v>
          </cell>
          <cell r="I67">
            <v>0.35360331540656159</v>
          </cell>
        </row>
        <row r="68">
          <cell r="A68">
            <v>142.5</v>
          </cell>
          <cell r="B68">
            <v>0.44396233929492684</v>
          </cell>
          <cell r="C68">
            <v>0.39252210103110907</v>
          </cell>
          <cell r="D68">
            <v>0.42172852289898805</v>
          </cell>
          <cell r="E68">
            <v>0.20082575942093647</v>
          </cell>
          <cell r="F68">
            <v>0.66643594732116129</v>
          </cell>
          <cell r="I68">
            <v>0.35678486441972257</v>
          </cell>
        </row>
        <row r="69">
          <cell r="A69">
            <v>145</v>
          </cell>
          <cell r="B69">
            <v>0.44103587448199122</v>
          </cell>
          <cell r="C69">
            <v>0.39338985066261567</v>
          </cell>
          <cell r="D69">
            <v>0.41860835554894565</v>
          </cell>
          <cell r="E69">
            <v>0.20132471950994846</v>
          </cell>
          <cell r="F69">
            <v>0.67812780604609391</v>
          </cell>
          <cell r="I69">
            <v>0.36001994915783608</v>
          </cell>
        </row>
        <row r="70">
          <cell r="A70">
            <v>147.5</v>
          </cell>
          <cell r="B70">
            <v>0.43828944528692804</v>
          </cell>
          <cell r="C70">
            <v>0.39431503325974637</v>
          </cell>
          <cell r="D70">
            <v>0.41566492454727505</v>
          </cell>
          <cell r="E70">
            <v>0.201874493168407</v>
          </cell>
          <cell r="F70">
            <v>0.68981966477102663</v>
          </cell>
          <cell r="I70">
            <v>0.36330584746539618</v>
          </cell>
        </row>
        <row r="71">
          <cell r="A71">
            <v>150</v>
          </cell>
          <cell r="B71">
            <v>0.43571404992884366</v>
          </cell>
          <cell r="C71">
            <v>0.3952947771742199</v>
          </cell>
          <cell r="D71">
            <v>0.41288939307655781</v>
          </cell>
          <cell r="E71">
            <v>0.20247253971783963</v>
          </cell>
          <cell r="F71">
            <v>0.70151152349595924</v>
          </cell>
          <cell r="I71">
            <v>0.36664001866393026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Modeling"/>
      <sheetName val="Weight Regression"/>
      <sheetName val="Weight Sizing Trade Studies"/>
      <sheetName val="Sizing"/>
      <sheetName val="Drag Polar"/>
      <sheetName val="Constraint Sizing"/>
      <sheetName val="Constraint Sizing Trade Studies"/>
      <sheetName val="Class I Weight"/>
      <sheetName val="Class I W&amp;B"/>
      <sheetName val="V-n Diagram"/>
    </sheetNames>
    <sheetDataSet>
      <sheetData sheetId="0"/>
      <sheetData sheetId="1"/>
      <sheetData sheetId="2"/>
      <sheetData sheetId="3"/>
      <sheetData sheetId="4"/>
      <sheetData sheetId="5">
        <row r="10">
          <cell r="G10">
            <v>1.542</v>
          </cell>
        </row>
      </sheetData>
      <sheetData sheetId="6"/>
      <sheetData sheetId="7">
        <row r="16">
          <cell r="M16">
            <v>195149.28851366838</v>
          </cell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eb.archive.org/web/20140103223046/http:/aerioncorp.com/jet" TargetMode="External"/><Relationship Id="rId2" Type="http://schemas.openxmlformats.org/officeDocument/2006/relationships/hyperlink" Target="https://www.lockheedmartin.com/content/dam/lockheed-martin/aero/documents/quietSuperSonic/P22-01661%20Product%20Card%20X-59.pdf" TargetMode="External"/><Relationship Id="rId1" Type="http://schemas.openxmlformats.org/officeDocument/2006/relationships/hyperlink" Target="http://concordesst.com/A45eu.pdf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www.spikeaerospace.com/s-512-supersonic-jet/specifications-performanc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603FC-2143-46AB-B8B5-4EBE41997A71}">
  <sheetPr codeName="Sheet3"/>
  <dimension ref="A1:Q63"/>
  <sheetViews>
    <sheetView topLeftCell="D13" zoomScaleNormal="100" workbookViewId="0">
      <selection activeCell="Q44" sqref="Q44"/>
    </sheetView>
  </sheetViews>
  <sheetFormatPr defaultColWidth="8.85546875" defaultRowHeight="15" x14ac:dyDescent="0.25"/>
  <cols>
    <col min="1" max="1" width="20.140625" bestFit="1" customWidth="1"/>
    <col min="2" max="2" width="19.42578125" bestFit="1" customWidth="1"/>
    <col min="3" max="3" width="23.140625" customWidth="1"/>
    <col min="4" max="4" width="15.42578125" bestFit="1" customWidth="1"/>
    <col min="5" max="5" width="22.42578125" bestFit="1" customWidth="1"/>
    <col min="6" max="6" width="27.140625" style="79" hidden="1" customWidth="1"/>
    <col min="7" max="7" width="20.42578125" style="79" bestFit="1" customWidth="1"/>
    <col min="8" max="8" width="17.42578125" style="79" hidden="1" customWidth="1"/>
    <col min="9" max="9" width="17.42578125" style="79" customWidth="1"/>
    <col min="10" max="10" width="15.42578125" bestFit="1" customWidth="1"/>
    <col min="11" max="11" width="21.140625" style="79" bestFit="1" customWidth="1"/>
    <col min="12" max="12" width="21.140625" style="79" hidden="1" customWidth="1"/>
    <col min="13" max="13" width="28.42578125" bestFit="1" customWidth="1"/>
    <col min="14" max="14" width="14.42578125" bestFit="1" customWidth="1"/>
    <col min="15" max="15" width="18" style="79" bestFit="1" customWidth="1"/>
    <col min="16" max="17" width="16.42578125" bestFit="1" customWidth="1"/>
  </cols>
  <sheetData>
    <row r="1" spans="1:17" s="80" customFormat="1" x14ac:dyDescent="0.25">
      <c r="A1" s="80" t="s">
        <v>0</v>
      </c>
      <c r="B1" s="80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1" t="s">
        <v>6</v>
      </c>
      <c r="H1" s="81" t="s">
        <v>7</v>
      </c>
      <c r="I1" s="81" t="s">
        <v>8</v>
      </c>
      <c r="J1" s="80" t="s">
        <v>9</v>
      </c>
      <c r="K1" s="81" t="s">
        <v>10</v>
      </c>
      <c r="L1" s="80" t="s">
        <v>11</v>
      </c>
      <c r="M1" s="80" t="s">
        <v>12</v>
      </c>
      <c r="N1" s="80" t="s">
        <v>13</v>
      </c>
      <c r="O1" s="81" t="s">
        <v>14</v>
      </c>
      <c r="P1" s="80" t="s">
        <v>15</v>
      </c>
      <c r="Q1" s="80" t="s">
        <v>16</v>
      </c>
    </row>
    <row r="2" spans="1:17" x14ac:dyDescent="0.25">
      <c r="A2" s="80">
        <v>10</v>
      </c>
      <c r="B2" s="83">
        <f t="shared" ref="B2:B41" si="0">4.86*W^0.777*S^0.894*(A2+QD)^0.163</f>
        <v>27320303.872454226</v>
      </c>
      <c r="C2" s="81">
        <f>B2*C$46</f>
        <v>3880480340.979845</v>
      </c>
      <c r="D2" s="83">
        <f t="shared" ref="D2:D41" si="1">5.99*W^0.777*S^0.696*(A2+QD)^0.263</f>
        <v>10786147.675236825</v>
      </c>
      <c r="E2" s="81">
        <f>D2*C$47</f>
        <v>1571992577.2548304</v>
      </c>
      <c r="F2" s="81">
        <f t="shared" ref="F2:F42" si="2">66*W^0.63*S^1.3</f>
        <v>803279025.35638702</v>
      </c>
      <c r="G2" s="81">
        <f>F2*1.7396</f>
        <v>1397384192.5099709</v>
      </c>
      <c r="H2" s="81">
        <f t="shared" ref="H2:H42" si="3">1852*W^0.325*S^0.822*QD^1.21</f>
        <v>91876293.301771969</v>
      </c>
      <c r="I2" s="81">
        <f>H2*1.7023</f>
        <v>156401014.08760643</v>
      </c>
      <c r="J2" s="83">
        <f t="shared" ref="J2:J41" si="4">7.37*W^0.82*S^0.484*(QD+A2)^0.641</f>
        <v>12807373.008900668</v>
      </c>
      <c r="K2" s="81">
        <f>J2*C$49</f>
        <v>1550201867.5227354</v>
      </c>
      <c r="L2" s="81">
        <f t="shared" ref="L2:L41" si="5">16.39*W^0.921*S^0.621*(QD+A2)^0.799</f>
        <v>353166918.63608277</v>
      </c>
      <c r="M2" s="81">
        <f>L2*1.7023</f>
        <v>601196045.59420371</v>
      </c>
      <c r="N2" s="84">
        <f>0.076*J2</f>
        <v>973360.34867645078</v>
      </c>
      <c r="O2" s="81">
        <f>N2*C$48</f>
        <v>129837315.59823072</v>
      </c>
      <c r="P2" s="85">
        <f>SUM(C2,E2,G2,I2,K2,M2,O2)</f>
        <v>9287493353.5474224</v>
      </c>
      <c r="Q2" s="86">
        <f>P2/A2</f>
        <v>928749335.35474229</v>
      </c>
    </row>
    <row r="3" spans="1:17" x14ac:dyDescent="0.25">
      <c r="A3" s="80">
        <f>A2+10</f>
        <v>20</v>
      </c>
      <c r="B3" s="83">
        <f t="shared" si="0"/>
        <v>29982952.474054035</v>
      </c>
      <c r="C3" s="81">
        <f t="shared" ref="C3:C41" si="6">B3*C$46</f>
        <v>4258673629.0809765</v>
      </c>
      <c r="D3" s="83">
        <f t="shared" si="1"/>
        <v>12532383.6466031</v>
      </c>
      <c r="E3" s="81">
        <f t="shared" ref="E3:E41" si="7">D3*C$47</f>
        <v>1826492150.9464998</v>
      </c>
      <c r="F3" s="81">
        <f t="shared" si="2"/>
        <v>803279025.35638702</v>
      </c>
      <c r="G3" s="81">
        <f t="shared" ref="G3:G41" si="8">F3*1.7396</f>
        <v>1397384192.5099709</v>
      </c>
      <c r="H3" s="81">
        <f t="shared" si="3"/>
        <v>91876293.301771969</v>
      </c>
      <c r="I3" s="81">
        <f t="shared" ref="I3:I41" si="9">H3*1.7023</f>
        <v>156401014.08760643</v>
      </c>
      <c r="J3" s="83">
        <f t="shared" si="4"/>
        <v>18462474.666374099</v>
      </c>
      <c r="K3" s="81">
        <f t="shared" ref="K3:K41" si="10">J3*C$49</f>
        <v>2234694241.1229877</v>
      </c>
      <c r="L3" s="81">
        <f t="shared" si="5"/>
        <v>557134199.96265805</v>
      </c>
      <c r="M3" s="81">
        <f t="shared" ref="M3:M41" si="11">L3*1.7023</f>
        <v>948409548.59643281</v>
      </c>
      <c r="N3" s="84">
        <f t="shared" ref="N3:N41" si="12">0.076*J3</f>
        <v>1403148.0746444315</v>
      </c>
      <c r="O3" s="81">
        <f t="shared" ref="O3:O41" si="13">N3*C$48</f>
        <v>187167044.19528046</v>
      </c>
      <c r="P3" s="85">
        <f t="shared" ref="P3:P41" si="14">SUM(C3,E3,G3,I3,K3,M3,O3)</f>
        <v>11009221820.539755</v>
      </c>
      <c r="Q3" s="86">
        <f t="shared" ref="Q3:Q41" si="15">P3/A3</f>
        <v>550461091.02698779</v>
      </c>
    </row>
    <row r="4" spans="1:17" x14ac:dyDescent="0.25">
      <c r="A4" s="80">
        <f t="shared" ref="A4:A5" si="16">A3+10</f>
        <v>30</v>
      </c>
      <c r="B4" s="83">
        <f t="shared" si="0"/>
        <v>31800249.784194365</v>
      </c>
      <c r="C4" s="81">
        <f t="shared" si="6"/>
        <v>4516796178.472724</v>
      </c>
      <c r="D4" s="83">
        <f t="shared" si="1"/>
        <v>13780609.506602891</v>
      </c>
      <c r="E4" s="81">
        <f t="shared" si="7"/>
        <v>2008410834.5894175</v>
      </c>
      <c r="F4" s="81">
        <f t="shared" si="2"/>
        <v>803279025.35638702</v>
      </c>
      <c r="G4" s="81">
        <f t="shared" si="8"/>
        <v>1397384192.5099709</v>
      </c>
      <c r="H4" s="81">
        <f t="shared" si="3"/>
        <v>91876293.301771969</v>
      </c>
      <c r="I4" s="81">
        <f t="shared" si="9"/>
        <v>156401014.08760643</v>
      </c>
      <c r="J4" s="83">
        <f t="shared" si="4"/>
        <v>23269647.528842274</v>
      </c>
      <c r="K4" s="81">
        <f t="shared" si="10"/>
        <v>2816553482.9615636</v>
      </c>
      <c r="L4" s="81">
        <f t="shared" si="5"/>
        <v>743416020.1707623</v>
      </c>
      <c r="M4" s="81">
        <f t="shared" si="11"/>
        <v>1265517091.1366887</v>
      </c>
      <c r="N4" s="84">
        <f t="shared" si="12"/>
        <v>1768493.2121920127</v>
      </c>
      <c r="O4" s="81">
        <f t="shared" si="13"/>
        <v>235900724.36886236</v>
      </c>
      <c r="P4" s="85">
        <f t="shared" si="14"/>
        <v>12396963518.126833</v>
      </c>
      <c r="Q4" s="86">
        <f t="shared" si="15"/>
        <v>413232117.27089441</v>
      </c>
    </row>
    <row r="5" spans="1:17" x14ac:dyDescent="0.25">
      <c r="A5" s="80">
        <f t="shared" si="16"/>
        <v>40</v>
      </c>
      <c r="B5" s="83">
        <f t="shared" si="0"/>
        <v>33202296.026078291</v>
      </c>
      <c r="C5" s="81">
        <f t="shared" si="6"/>
        <v>4715937919.50807</v>
      </c>
      <c r="D5" s="83">
        <f t="shared" si="1"/>
        <v>14774114.62468487</v>
      </c>
      <c r="E5" s="81">
        <f t="shared" si="7"/>
        <v>2153206058.8078976</v>
      </c>
      <c r="F5" s="81">
        <f t="shared" si="2"/>
        <v>803279025.35638702</v>
      </c>
      <c r="G5" s="81">
        <f t="shared" si="8"/>
        <v>1397384192.5099709</v>
      </c>
      <c r="H5" s="81">
        <f t="shared" si="3"/>
        <v>91876293.301771969</v>
      </c>
      <c r="I5" s="81">
        <f t="shared" si="9"/>
        <v>156401014.08760643</v>
      </c>
      <c r="J5" s="83">
        <f t="shared" si="4"/>
        <v>27572468.518861819</v>
      </c>
      <c r="K5" s="81">
        <f t="shared" si="10"/>
        <v>3337366075.0293312</v>
      </c>
      <c r="L5" s="81">
        <f t="shared" si="5"/>
        <v>918502988.50050259</v>
      </c>
      <c r="M5" s="81">
        <f t="shared" si="11"/>
        <v>1563567637.3244054</v>
      </c>
      <c r="N5" s="84">
        <f t="shared" si="12"/>
        <v>2095507.6074334981</v>
      </c>
      <c r="O5" s="81">
        <f t="shared" si="13"/>
        <v>279521436.16164029</v>
      </c>
      <c r="P5" s="85">
        <f t="shared" si="14"/>
        <v>13603384333.428921</v>
      </c>
      <c r="Q5" s="86">
        <f t="shared" si="15"/>
        <v>340084608.33572304</v>
      </c>
    </row>
    <row r="6" spans="1:17" x14ac:dyDescent="0.25">
      <c r="A6" s="80">
        <f t="shared" ref="A6:A41" si="17">A5+10</f>
        <v>50</v>
      </c>
      <c r="B6" s="83">
        <f t="shared" si="0"/>
        <v>34353399.970693775</v>
      </c>
      <c r="C6" s="81">
        <f t="shared" si="6"/>
        <v>4879436694.9374466</v>
      </c>
      <c r="D6" s="83">
        <f t="shared" si="1"/>
        <v>15609313.891997926</v>
      </c>
      <c r="E6" s="81">
        <f t="shared" si="7"/>
        <v>2274929503.3847837</v>
      </c>
      <c r="F6" s="81">
        <f t="shared" si="2"/>
        <v>803279025.35638702</v>
      </c>
      <c r="G6" s="81">
        <f t="shared" si="8"/>
        <v>1397384192.5099709</v>
      </c>
      <c r="H6" s="81">
        <f t="shared" si="3"/>
        <v>91876293.301771969</v>
      </c>
      <c r="I6" s="81">
        <f t="shared" si="9"/>
        <v>156401014.08760643</v>
      </c>
      <c r="J6" s="83">
        <f t="shared" si="4"/>
        <v>31527040.301453628</v>
      </c>
      <c r="K6" s="81">
        <f t="shared" si="10"/>
        <v>3816026652.6798873</v>
      </c>
      <c r="L6" s="81">
        <f t="shared" si="5"/>
        <v>1085514671.1695595</v>
      </c>
      <c r="M6" s="81">
        <f t="shared" si="11"/>
        <v>1847871624.731941</v>
      </c>
      <c r="N6" s="84">
        <f t="shared" si="12"/>
        <v>2396055.0629104758</v>
      </c>
      <c r="O6" s="81">
        <f t="shared" si="13"/>
        <v>319611701.68567872</v>
      </c>
      <c r="P6" s="85">
        <f t="shared" si="14"/>
        <v>14691661384.017315</v>
      </c>
      <c r="Q6" s="86">
        <f t="shared" si="15"/>
        <v>293833227.68034631</v>
      </c>
    </row>
    <row r="7" spans="1:17" x14ac:dyDescent="0.25">
      <c r="A7" s="80">
        <f t="shared" si="17"/>
        <v>60</v>
      </c>
      <c r="B7" s="83">
        <f t="shared" si="0"/>
        <v>35335014.075492546</v>
      </c>
      <c r="C7" s="81">
        <f t="shared" si="6"/>
        <v>5018861726.7336979</v>
      </c>
      <c r="D7" s="83">
        <f t="shared" si="1"/>
        <v>16335251.48216828</v>
      </c>
      <c r="E7" s="81">
        <f t="shared" si="7"/>
        <v>2380728954.4638734</v>
      </c>
      <c r="F7" s="81">
        <f t="shared" si="2"/>
        <v>803279025.35638702</v>
      </c>
      <c r="G7" s="81">
        <f t="shared" si="8"/>
        <v>1397384192.5099709</v>
      </c>
      <c r="H7" s="81">
        <f t="shared" si="3"/>
        <v>91876293.301771969</v>
      </c>
      <c r="I7" s="81">
        <f t="shared" si="9"/>
        <v>156401014.08760643</v>
      </c>
      <c r="J7" s="83">
        <f t="shared" si="4"/>
        <v>35220836.12667679</v>
      </c>
      <c r="K7" s="81">
        <f t="shared" si="10"/>
        <v>4263122960.6057339</v>
      </c>
      <c r="L7" s="81">
        <f t="shared" si="5"/>
        <v>1246270676.7009532</v>
      </c>
      <c r="M7" s="81">
        <f t="shared" si="11"/>
        <v>2121526572.9480326</v>
      </c>
      <c r="N7" s="84">
        <f t="shared" si="12"/>
        <v>2676783.5456274361</v>
      </c>
      <c r="O7" s="81">
        <f t="shared" si="13"/>
        <v>357058298.57808024</v>
      </c>
      <c r="P7" s="85">
        <f t="shared" si="14"/>
        <v>15695083719.926996</v>
      </c>
      <c r="Q7" s="86">
        <f t="shared" si="15"/>
        <v>261584728.66544995</v>
      </c>
    </row>
    <row r="8" spans="1:17" x14ac:dyDescent="0.25">
      <c r="A8" s="80">
        <f t="shared" si="17"/>
        <v>70</v>
      </c>
      <c r="B8" s="83">
        <f t="shared" si="0"/>
        <v>36193816.922318295</v>
      </c>
      <c r="C8" s="81">
        <f t="shared" si="6"/>
        <v>5140843077.2868633</v>
      </c>
      <c r="D8" s="83">
        <f t="shared" si="1"/>
        <v>16980605.506200232</v>
      </c>
      <c r="E8" s="81">
        <f t="shared" si="7"/>
        <v>2474784011.5635333</v>
      </c>
      <c r="F8" s="81">
        <f t="shared" si="2"/>
        <v>803279025.35638702</v>
      </c>
      <c r="G8" s="81">
        <f t="shared" si="8"/>
        <v>1397384192.5099709</v>
      </c>
      <c r="H8" s="81">
        <f t="shared" si="3"/>
        <v>91876293.301771969</v>
      </c>
      <c r="I8" s="81">
        <f t="shared" si="9"/>
        <v>156401014.08760643</v>
      </c>
      <c r="J8" s="83">
        <f t="shared" si="4"/>
        <v>38709033.054313175</v>
      </c>
      <c r="K8" s="81">
        <f t="shared" si="10"/>
        <v>4685333619.0874567</v>
      </c>
      <c r="L8" s="81">
        <f t="shared" si="5"/>
        <v>1401955545.7646105</v>
      </c>
      <c r="M8" s="81">
        <f t="shared" si="11"/>
        <v>2386548925.5550966</v>
      </c>
      <c r="N8" s="84">
        <f t="shared" si="12"/>
        <v>2941886.5121278013</v>
      </c>
      <c r="O8" s="81">
        <f t="shared" si="13"/>
        <v>392420595.36193717</v>
      </c>
      <c r="P8" s="85">
        <f t="shared" si="14"/>
        <v>16633715435.452463</v>
      </c>
      <c r="Q8" s="86">
        <f t="shared" si="15"/>
        <v>237624506.22074947</v>
      </c>
    </row>
    <row r="9" spans="1:17" x14ac:dyDescent="0.25">
      <c r="A9" s="80">
        <f t="shared" si="17"/>
        <v>80</v>
      </c>
      <c r="B9" s="83">
        <f t="shared" si="0"/>
        <v>36959193.703571692</v>
      </c>
      <c r="C9" s="81">
        <f t="shared" si="6"/>
        <v>5249554516.4773617</v>
      </c>
      <c r="D9" s="83">
        <f t="shared" si="1"/>
        <v>17563731.876013372</v>
      </c>
      <c r="E9" s="81">
        <f t="shared" si="7"/>
        <v>2559769898.3275657</v>
      </c>
      <c r="F9" s="81">
        <f t="shared" si="2"/>
        <v>803279025.35638702</v>
      </c>
      <c r="G9" s="81">
        <f t="shared" si="8"/>
        <v>1397384192.5099709</v>
      </c>
      <c r="H9" s="81">
        <f t="shared" si="3"/>
        <v>91876293.301771969</v>
      </c>
      <c r="I9" s="81">
        <f t="shared" si="9"/>
        <v>156401014.08760643</v>
      </c>
      <c r="J9" s="83">
        <f t="shared" si="4"/>
        <v>42029229.339099765</v>
      </c>
      <c r="K9" s="81">
        <f t="shared" si="10"/>
        <v>5087209513.3587685</v>
      </c>
      <c r="L9" s="81">
        <f t="shared" si="5"/>
        <v>1553397756.1614294</v>
      </c>
      <c r="M9" s="81">
        <f t="shared" si="11"/>
        <v>2644349000.313601</v>
      </c>
      <c r="N9" s="84">
        <f t="shared" si="12"/>
        <v>3194221.4297715821</v>
      </c>
      <c r="O9" s="81">
        <f t="shared" si="13"/>
        <v>426079751.89437521</v>
      </c>
      <c r="P9" s="85">
        <f t="shared" si="14"/>
        <v>17520747886.96925</v>
      </c>
      <c r="Q9" s="86">
        <f t="shared" si="15"/>
        <v>219009348.58711562</v>
      </c>
    </row>
    <row r="10" spans="1:17" x14ac:dyDescent="0.25">
      <c r="A10" s="80">
        <f t="shared" si="17"/>
        <v>90</v>
      </c>
      <c r="B10" s="83">
        <f t="shared" si="0"/>
        <v>37650910.208155811</v>
      </c>
      <c r="C10" s="81">
        <f>B10*C$46</f>
        <v>5347803507.7807236</v>
      </c>
      <c r="D10" s="83">
        <f t="shared" si="1"/>
        <v>18097153.738491792</v>
      </c>
      <c r="E10" s="81">
        <f t="shared" si="7"/>
        <v>2637511760.7245231</v>
      </c>
      <c r="F10" s="81">
        <f t="shared" si="2"/>
        <v>803279025.35638702</v>
      </c>
      <c r="G10" s="81">
        <f t="shared" si="8"/>
        <v>1397384192.5099709</v>
      </c>
      <c r="H10" s="81">
        <f t="shared" si="3"/>
        <v>91876293.301771969</v>
      </c>
      <c r="I10" s="81">
        <f t="shared" si="9"/>
        <v>156401014.08760643</v>
      </c>
      <c r="J10" s="83">
        <f t="shared" si="4"/>
        <v>45208483.550205052</v>
      </c>
      <c r="K10" s="81">
        <f t="shared" si="10"/>
        <v>5472025807.2201099</v>
      </c>
      <c r="L10" s="81">
        <f t="shared" si="5"/>
        <v>1701206970.7420497</v>
      </c>
      <c r="M10" s="81">
        <f t="shared" si="11"/>
        <v>2895964626.2941909</v>
      </c>
      <c r="N10" s="84">
        <f t="shared" si="12"/>
        <v>3435844.7498155837</v>
      </c>
      <c r="O10" s="81">
        <f t="shared" si="13"/>
        <v>458310079.85370058</v>
      </c>
      <c r="P10" s="85">
        <f t="shared" si="14"/>
        <v>18365400988.470825</v>
      </c>
      <c r="Q10" s="86">
        <f t="shared" si="15"/>
        <v>204060010.98300916</v>
      </c>
    </row>
    <row r="11" spans="1:17" x14ac:dyDescent="0.25">
      <c r="A11" s="80">
        <f t="shared" si="17"/>
        <v>100</v>
      </c>
      <c r="B11" s="83">
        <f t="shared" si="0"/>
        <v>38282935.062386431</v>
      </c>
      <c r="C11" s="81">
        <f t="shared" si="6"/>
        <v>5437574105.9886513</v>
      </c>
      <c r="D11" s="83">
        <f t="shared" si="1"/>
        <v>18589831.377587467</v>
      </c>
      <c r="E11" s="81">
        <f t="shared" si="7"/>
        <v>2709315486.6660776</v>
      </c>
      <c r="F11" s="81">
        <f t="shared" si="2"/>
        <v>803279025.35638702</v>
      </c>
      <c r="G11" s="81">
        <f t="shared" si="8"/>
        <v>1397384192.5099709</v>
      </c>
      <c r="H11" s="81">
        <f t="shared" si="3"/>
        <v>91876293.301771969</v>
      </c>
      <c r="I11" s="81">
        <f t="shared" si="9"/>
        <v>156401014.08760643</v>
      </c>
      <c r="J11" s="83">
        <f t="shared" si="4"/>
        <v>48267080.480345048</v>
      </c>
      <c r="K11" s="81">
        <f t="shared" si="10"/>
        <v>5842237767.9248695</v>
      </c>
      <c r="L11" s="81">
        <f t="shared" si="5"/>
        <v>1845849210.8833032</v>
      </c>
      <c r="M11" s="81">
        <f t="shared" si="11"/>
        <v>3142189111.6866469</v>
      </c>
      <c r="N11" s="84">
        <f t="shared" si="12"/>
        <v>3668298.1165062236</v>
      </c>
      <c r="O11" s="81">
        <f t="shared" si="13"/>
        <v>489317220.39925843</v>
      </c>
      <c r="P11" s="85">
        <f t="shared" si="14"/>
        <v>19174418899.263081</v>
      </c>
      <c r="Q11" s="86">
        <f t="shared" si="15"/>
        <v>191744188.99263081</v>
      </c>
    </row>
    <row r="12" spans="1:17" x14ac:dyDescent="0.25">
      <c r="A12" s="80">
        <f t="shared" si="17"/>
        <v>110</v>
      </c>
      <c r="B12" s="83">
        <f t="shared" si="0"/>
        <v>38865525.608103052</v>
      </c>
      <c r="C12" s="81">
        <f t="shared" si="6"/>
        <v>5520323228.0353298</v>
      </c>
      <c r="D12" s="83">
        <f t="shared" si="1"/>
        <v>19048417.047703028</v>
      </c>
      <c r="E12" s="81">
        <f t="shared" si="7"/>
        <v>2776150587.6829252</v>
      </c>
      <c r="F12" s="81">
        <f t="shared" si="2"/>
        <v>803279025.35638702</v>
      </c>
      <c r="G12" s="81">
        <f t="shared" si="8"/>
        <v>1397384192.5099709</v>
      </c>
      <c r="H12" s="81">
        <f t="shared" si="3"/>
        <v>91876293.301771969</v>
      </c>
      <c r="I12" s="81">
        <f t="shared" si="9"/>
        <v>156401014.08760643</v>
      </c>
      <c r="J12" s="83">
        <f t="shared" si="4"/>
        <v>51220716.793194704</v>
      </c>
      <c r="K12" s="81">
        <f t="shared" si="10"/>
        <v>6199745316.5049286</v>
      </c>
      <c r="L12" s="81">
        <f t="shared" si="5"/>
        <v>1987691378.6489294</v>
      </c>
      <c r="M12" s="81">
        <f t="shared" si="11"/>
        <v>3383647033.8740721</v>
      </c>
      <c r="N12" s="84">
        <f t="shared" si="12"/>
        <v>3892774.4762827973</v>
      </c>
      <c r="O12" s="81">
        <f t="shared" si="13"/>
        <v>519260301.61094338</v>
      </c>
      <c r="P12" s="85">
        <f t="shared" si="14"/>
        <v>19952911674.305775</v>
      </c>
      <c r="Q12" s="86">
        <f t="shared" si="15"/>
        <v>181390106.13005251</v>
      </c>
    </row>
    <row r="13" spans="1:17" x14ac:dyDescent="0.25">
      <c r="A13" s="80">
        <f t="shared" si="17"/>
        <v>120</v>
      </c>
      <c r="B13" s="83">
        <f t="shared" si="0"/>
        <v>39406448.16844663</v>
      </c>
      <c r="C13" s="81">
        <f t="shared" si="6"/>
        <v>5597153975.2775707</v>
      </c>
      <c r="D13" s="83">
        <f t="shared" si="1"/>
        <v>19477997.450602449</v>
      </c>
      <c r="E13" s="81">
        <f t="shared" si="7"/>
        <v>2838758408.8462124</v>
      </c>
      <c r="F13" s="81">
        <f t="shared" si="2"/>
        <v>803279025.35638702</v>
      </c>
      <c r="G13" s="81">
        <f t="shared" si="8"/>
        <v>1397384192.5099709</v>
      </c>
      <c r="H13" s="81">
        <f t="shared" si="3"/>
        <v>91876293.301771969</v>
      </c>
      <c r="I13" s="81">
        <f t="shared" si="9"/>
        <v>156401014.08760643</v>
      </c>
      <c r="J13" s="83">
        <f t="shared" si="4"/>
        <v>54081850.829810195</v>
      </c>
      <c r="K13" s="81">
        <f t="shared" si="10"/>
        <v>6546056408.0700607</v>
      </c>
      <c r="L13" s="81">
        <f t="shared" si="5"/>
        <v>2127029247.7869952</v>
      </c>
      <c r="M13" s="81">
        <f t="shared" si="11"/>
        <v>3620841888.5078015</v>
      </c>
      <c r="N13" s="84">
        <f t="shared" si="12"/>
        <v>4110220.6630655746</v>
      </c>
      <c r="O13" s="81">
        <f t="shared" si="13"/>
        <v>548265622.42284751</v>
      </c>
      <c r="P13" s="85">
        <f t="shared" si="14"/>
        <v>20704861509.722073</v>
      </c>
      <c r="Q13" s="86">
        <f t="shared" si="15"/>
        <v>172540512.58101729</v>
      </c>
    </row>
    <row r="14" spans="1:17" x14ac:dyDescent="0.25">
      <c r="A14" s="80">
        <f t="shared" si="17"/>
        <v>130</v>
      </c>
      <c r="B14" s="83">
        <f t="shared" si="0"/>
        <v>39911732.168490514</v>
      </c>
      <c r="C14" s="81">
        <f t="shared" si="6"/>
        <v>5668922746.1498032</v>
      </c>
      <c r="D14" s="83">
        <f t="shared" si="1"/>
        <v>19882557.262939412</v>
      </c>
      <c r="E14" s="81">
        <f t="shared" si="7"/>
        <v>2897719684.1038632</v>
      </c>
      <c r="F14" s="81">
        <f t="shared" si="2"/>
        <v>803279025.35638702</v>
      </c>
      <c r="G14" s="81">
        <f t="shared" si="8"/>
        <v>1397384192.5099709</v>
      </c>
      <c r="H14" s="81">
        <f t="shared" si="3"/>
        <v>91876293.301771969</v>
      </c>
      <c r="I14" s="81">
        <f t="shared" si="9"/>
        <v>156401014.08760643</v>
      </c>
      <c r="J14" s="83">
        <f t="shared" si="4"/>
        <v>56860578.169444546</v>
      </c>
      <c r="K14" s="81">
        <f t="shared" si="10"/>
        <v>6882393009.5139351</v>
      </c>
      <c r="L14" s="81">
        <f t="shared" si="5"/>
        <v>2264105912.4241128</v>
      </c>
      <c r="M14" s="81">
        <f t="shared" si="11"/>
        <v>3854187494.7195668</v>
      </c>
      <c r="N14" s="84">
        <f t="shared" si="12"/>
        <v>4321403.940877785</v>
      </c>
      <c r="O14" s="81">
        <f t="shared" si="13"/>
        <v>576435528.79684055</v>
      </c>
      <c r="P14" s="85">
        <f t="shared" si="14"/>
        <v>21433443669.881588</v>
      </c>
      <c r="Q14" s="86">
        <f t="shared" si="15"/>
        <v>164872643.61447376</v>
      </c>
    </row>
    <row r="15" spans="1:17" x14ac:dyDescent="0.25">
      <c r="A15" s="80">
        <f t="shared" si="17"/>
        <v>140</v>
      </c>
      <c r="B15" s="83">
        <f t="shared" si="0"/>
        <v>40386157.366813444</v>
      </c>
      <c r="C15" s="81">
        <f t="shared" si="6"/>
        <v>5736308440.831398</v>
      </c>
      <c r="D15" s="83">
        <f t="shared" si="1"/>
        <v>20265281.3788062</v>
      </c>
      <c r="E15" s="81">
        <f t="shared" si="7"/>
        <v>2953498585.6536975</v>
      </c>
      <c r="F15" s="81">
        <f t="shared" si="2"/>
        <v>803279025.35638702</v>
      </c>
      <c r="G15" s="81">
        <f t="shared" si="8"/>
        <v>1397384192.5099709</v>
      </c>
      <c r="H15" s="81">
        <f t="shared" si="3"/>
        <v>91876293.301771969</v>
      </c>
      <c r="I15" s="81">
        <f t="shared" si="9"/>
        <v>156401014.08760643</v>
      </c>
      <c r="J15" s="83">
        <f t="shared" si="4"/>
        <v>59565222.655854136</v>
      </c>
      <c r="K15" s="81">
        <f t="shared" si="10"/>
        <v>7209762637.2200546</v>
      </c>
      <c r="L15" s="81">
        <f t="shared" si="5"/>
        <v>2399124421.6606898</v>
      </c>
      <c r="M15" s="81">
        <f t="shared" si="11"/>
        <v>4084029502.9929919</v>
      </c>
      <c r="N15" s="84">
        <f t="shared" si="12"/>
        <v>4526956.9218449146</v>
      </c>
      <c r="O15" s="81">
        <f t="shared" si="13"/>
        <v>603854405.37043071</v>
      </c>
      <c r="P15" s="85">
        <f t="shared" si="14"/>
        <v>22141238778.666149</v>
      </c>
      <c r="Q15" s="86">
        <f t="shared" si="15"/>
        <v>158151705.56190106</v>
      </c>
    </row>
    <row r="16" spans="1:17" x14ac:dyDescent="0.25">
      <c r="A16" s="80">
        <f t="shared" si="17"/>
        <v>150</v>
      </c>
      <c r="B16" s="83">
        <f t="shared" si="0"/>
        <v>40833580.455594115</v>
      </c>
      <c r="C16" s="81">
        <f t="shared" si="6"/>
        <v>5799858850.3809938</v>
      </c>
      <c r="D16" s="83">
        <f t="shared" si="1"/>
        <v>20628759.213639766</v>
      </c>
      <c r="E16" s="81">
        <f t="shared" si="7"/>
        <v>3006472499.5624442</v>
      </c>
      <c r="F16" s="81">
        <f t="shared" si="2"/>
        <v>803279025.35638702</v>
      </c>
      <c r="G16" s="81">
        <f t="shared" si="8"/>
        <v>1397384192.5099709</v>
      </c>
      <c r="H16" s="81">
        <f t="shared" si="3"/>
        <v>91876293.301771969</v>
      </c>
      <c r="I16" s="81">
        <f t="shared" si="9"/>
        <v>156401014.08760643</v>
      </c>
      <c r="J16" s="83">
        <f t="shared" si="4"/>
        <v>62202748.750064895</v>
      </c>
      <c r="K16" s="81">
        <f t="shared" si="10"/>
        <v>7529008268.1581059</v>
      </c>
      <c r="L16" s="81">
        <f t="shared" si="5"/>
        <v>2532256711.7663798</v>
      </c>
      <c r="M16" s="81">
        <f t="shared" si="11"/>
        <v>4310660600.439908</v>
      </c>
      <c r="N16" s="84">
        <f t="shared" si="12"/>
        <v>4727408.9050049316</v>
      </c>
      <c r="O16" s="81">
        <f t="shared" si="13"/>
        <v>630592855.76573193</v>
      </c>
      <c r="P16" s="85">
        <f t="shared" si="14"/>
        <v>22830378280.904758</v>
      </c>
      <c r="Q16" s="86">
        <f t="shared" si="15"/>
        <v>152202521.8726984</v>
      </c>
    </row>
    <row r="17" spans="1:17" x14ac:dyDescent="0.25">
      <c r="A17" s="80">
        <f t="shared" si="17"/>
        <v>160</v>
      </c>
      <c r="B17" s="83">
        <f t="shared" si="0"/>
        <v>41257160.880464546</v>
      </c>
      <c r="C17" s="81">
        <f t="shared" si="6"/>
        <v>5860022731.3981037</v>
      </c>
      <c r="D17" s="83">
        <f t="shared" si="1"/>
        <v>20975127.059571769</v>
      </c>
      <c r="E17" s="81">
        <f t="shared" si="7"/>
        <v>3056952772.890697</v>
      </c>
      <c r="F17" s="81">
        <f t="shared" si="2"/>
        <v>803279025.35638702</v>
      </c>
      <c r="G17" s="81">
        <f t="shared" si="8"/>
        <v>1397384192.5099709</v>
      </c>
      <c r="H17" s="81">
        <f t="shared" si="3"/>
        <v>91876293.301771969</v>
      </c>
      <c r="I17" s="81">
        <f t="shared" si="9"/>
        <v>156401014.08760643</v>
      </c>
      <c r="J17" s="83">
        <f t="shared" si="4"/>
        <v>64779057.344708778</v>
      </c>
      <c r="K17" s="81">
        <f t="shared" si="10"/>
        <v>7840844145.1920824</v>
      </c>
      <c r="L17" s="81">
        <f t="shared" si="5"/>
        <v>2663650092.3826866</v>
      </c>
      <c r="M17" s="81">
        <f t="shared" si="11"/>
        <v>4534331552.2630472</v>
      </c>
      <c r="N17" s="84">
        <f t="shared" si="12"/>
        <v>4923208.3581978669</v>
      </c>
      <c r="O17" s="81">
        <f t="shared" si="13"/>
        <v>656710701.46670008</v>
      </c>
      <c r="P17" s="85">
        <f t="shared" si="14"/>
        <v>23502647109.808208</v>
      </c>
      <c r="Q17" s="86">
        <f t="shared" si="15"/>
        <v>146891544.43630129</v>
      </c>
    </row>
    <row r="18" spans="1:17" x14ac:dyDescent="0.25">
      <c r="A18" s="80">
        <f t="shared" si="17"/>
        <v>170</v>
      </c>
      <c r="B18" s="83">
        <f t="shared" si="0"/>
        <v>41659521.16918733</v>
      </c>
      <c r="C18" s="81">
        <f t="shared" si="6"/>
        <v>5917172578.5472765</v>
      </c>
      <c r="D18" s="83">
        <f t="shared" si="1"/>
        <v>21306169.880956754</v>
      </c>
      <c r="E18" s="81">
        <f t="shared" si="7"/>
        <v>3105199549.5564232</v>
      </c>
      <c r="F18" s="81">
        <f t="shared" si="2"/>
        <v>803279025.35638702</v>
      </c>
      <c r="G18" s="81">
        <f t="shared" si="8"/>
        <v>1397384192.5099709</v>
      </c>
      <c r="H18" s="81">
        <f t="shared" si="3"/>
        <v>91876293.301771969</v>
      </c>
      <c r="I18" s="81">
        <f t="shared" si="9"/>
        <v>156401014.08760643</v>
      </c>
      <c r="J18" s="83">
        <f t="shared" si="4"/>
        <v>67299203.085346982</v>
      </c>
      <c r="K18" s="81">
        <f t="shared" si="10"/>
        <v>8145882081.6097822</v>
      </c>
      <c r="L18" s="81">
        <f t="shared" si="5"/>
        <v>2793432065.6723695</v>
      </c>
      <c r="M18" s="81">
        <f t="shared" si="11"/>
        <v>4755259405.3940744</v>
      </c>
      <c r="N18" s="84">
        <f t="shared" si="12"/>
        <v>5114739.4344863705</v>
      </c>
      <c r="O18" s="81">
        <f t="shared" si="13"/>
        <v>682259184.95768464</v>
      </c>
      <c r="P18" s="85">
        <f t="shared" si="14"/>
        <v>24159558006.662815</v>
      </c>
      <c r="Q18" s="86">
        <f t="shared" si="15"/>
        <v>142115047.09801656</v>
      </c>
    </row>
    <row r="19" spans="1:17" x14ac:dyDescent="0.25">
      <c r="A19" s="80">
        <f t="shared" si="17"/>
        <v>180</v>
      </c>
      <c r="B19" s="83">
        <f t="shared" si="0"/>
        <v>42042863.399430208</v>
      </c>
      <c r="C19" s="81">
        <f t="shared" si="6"/>
        <v>5971621167.2331696</v>
      </c>
      <c r="D19" s="83">
        <f t="shared" si="1"/>
        <v>21623395.756321408</v>
      </c>
      <c r="E19" s="81">
        <f t="shared" si="7"/>
        <v>3151432619.6386437</v>
      </c>
      <c r="F19" s="81">
        <f t="shared" si="2"/>
        <v>803279025.35638702</v>
      </c>
      <c r="G19" s="81">
        <f t="shared" si="8"/>
        <v>1397384192.5099709</v>
      </c>
      <c r="H19" s="81">
        <f t="shared" si="3"/>
        <v>91876293.301771969</v>
      </c>
      <c r="I19" s="81">
        <f t="shared" si="9"/>
        <v>156401014.08760643</v>
      </c>
      <c r="J19" s="83">
        <f t="shared" si="4"/>
        <v>69767557.346191123</v>
      </c>
      <c r="K19" s="81">
        <f t="shared" si="10"/>
        <v>8444651187.671505</v>
      </c>
      <c r="L19" s="81">
        <f t="shared" si="5"/>
        <v>2921713978.5295467</v>
      </c>
      <c r="M19" s="81">
        <f t="shared" si="11"/>
        <v>4973633705.6508474</v>
      </c>
      <c r="N19" s="84">
        <f t="shared" si="12"/>
        <v>5302334.3583105253</v>
      </c>
      <c r="O19" s="81">
        <f t="shared" si="13"/>
        <v>707282621.92252767</v>
      </c>
      <c r="P19" s="85">
        <f t="shared" si="14"/>
        <v>24802406508.714272</v>
      </c>
      <c r="Q19" s="86">
        <f t="shared" si="15"/>
        <v>137791147.27063483</v>
      </c>
    </row>
    <row r="20" spans="1:17" x14ac:dyDescent="0.25">
      <c r="A20" s="80">
        <f t="shared" si="17"/>
        <v>190</v>
      </c>
      <c r="B20" s="83">
        <f t="shared" si="0"/>
        <v>42409055.513952263</v>
      </c>
      <c r="C20" s="81">
        <f t="shared" si="6"/>
        <v>6023633813.5074816</v>
      </c>
      <c r="D20" s="83">
        <f t="shared" si="1"/>
        <v>21928091.393277835</v>
      </c>
      <c r="E20" s="81">
        <f t="shared" si="7"/>
        <v>3195839510.22082</v>
      </c>
      <c r="F20" s="81">
        <f t="shared" si="2"/>
        <v>803279025.35638702</v>
      </c>
      <c r="G20" s="81">
        <f t="shared" si="8"/>
        <v>1397384192.5099709</v>
      </c>
      <c r="H20" s="81">
        <f t="shared" si="3"/>
        <v>91876293.301771969</v>
      </c>
      <c r="I20" s="81">
        <f t="shared" si="9"/>
        <v>156401014.08760643</v>
      </c>
      <c r="J20" s="83">
        <f t="shared" si="4"/>
        <v>72187932.667999014</v>
      </c>
      <c r="K20" s="81">
        <f t="shared" si="10"/>
        <v>8737612932.548069</v>
      </c>
      <c r="L20" s="81">
        <f t="shared" si="5"/>
        <v>3048593838.7643147</v>
      </c>
      <c r="M20" s="81">
        <f t="shared" si="11"/>
        <v>5189621291.7284927</v>
      </c>
      <c r="N20" s="84">
        <f t="shared" si="12"/>
        <v>5486282.882767925</v>
      </c>
      <c r="O20" s="81">
        <f t="shared" si="13"/>
        <v>731819662.7587198</v>
      </c>
      <c r="P20" s="85">
        <f t="shared" si="14"/>
        <v>25432312417.36116</v>
      </c>
      <c r="Q20" s="86">
        <f t="shared" si="15"/>
        <v>133854275.88084821</v>
      </c>
    </row>
    <row r="21" spans="1:17" s="2" customFormat="1" x14ac:dyDescent="0.25">
      <c r="A21" s="137">
        <f t="shared" si="17"/>
        <v>200</v>
      </c>
      <c r="B21" s="87">
        <f t="shared" si="0"/>
        <v>42759696.426974669</v>
      </c>
      <c r="C21" s="88">
        <f t="shared" si="6"/>
        <v>6073437621.5499887</v>
      </c>
      <c r="D21" s="87">
        <f t="shared" si="1"/>
        <v>22221364.249145828</v>
      </c>
      <c r="E21" s="88">
        <f t="shared" si="7"/>
        <v>3238581624.1261616</v>
      </c>
      <c r="F21" s="88">
        <f t="shared" si="2"/>
        <v>803279025.35638702</v>
      </c>
      <c r="G21" s="88">
        <f t="shared" si="8"/>
        <v>1397384192.5099709</v>
      </c>
      <c r="H21" s="88">
        <f t="shared" si="3"/>
        <v>91876293.301771969</v>
      </c>
      <c r="I21" s="88">
        <f t="shared" si="9"/>
        <v>156401014.08760643</v>
      </c>
      <c r="J21" s="87">
        <f t="shared" si="4"/>
        <v>74563679.288857982</v>
      </c>
      <c r="K21" s="88">
        <f t="shared" si="10"/>
        <v>9025172828.3875141</v>
      </c>
      <c r="L21" s="88">
        <f t="shared" si="5"/>
        <v>3174158520.037075</v>
      </c>
      <c r="M21" s="88">
        <f t="shared" si="11"/>
        <v>5403370048.6591129</v>
      </c>
      <c r="N21" s="89">
        <f t="shared" si="12"/>
        <v>5666839.6259532068</v>
      </c>
      <c r="O21" s="88">
        <f t="shared" si="13"/>
        <v>755904271.17759907</v>
      </c>
      <c r="P21" s="90">
        <f t="shared" si="14"/>
        <v>26050251600.497959</v>
      </c>
      <c r="Q21" s="91">
        <f t="shared" si="15"/>
        <v>130251258.00248979</v>
      </c>
    </row>
    <row r="22" spans="1:17" x14ac:dyDescent="0.25">
      <c r="A22" s="80">
        <f t="shared" si="17"/>
        <v>210</v>
      </c>
      <c r="B22" s="83">
        <f t="shared" si="0"/>
        <v>43096165.907745972</v>
      </c>
      <c r="C22" s="81">
        <f t="shared" si="6"/>
        <v>6121228568.9555616</v>
      </c>
      <c r="D22" s="83">
        <f t="shared" si="1"/>
        <v>22504174.982424304</v>
      </c>
      <c r="E22" s="81">
        <f t="shared" si="7"/>
        <v>3279798969.4534869</v>
      </c>
      <c r="F22" s="81">
        <f t="shared" si="2"/>
        <v>803279025.35638702</v>
      </c>
      <c r="G22" s="81">
        <f t="shared" si="8"/>
        <v>1397384192.5099709</v>
      </c>
      <c r="H22" s="81">
        <f t="shared" si="3"/>
        <v>91876293.301771969</v>
      </c>
      <c r="I22" s="81">
        <f t="shared" si="9"/>
        <v>156401014.08760643</v>
      </c>
      <c r="J22" s="83">
        <f t="shared" si="4"/>
        <v>76897761.088132873</v>
      </c>
      <c r="K22" s="81">
        <f t="shared" si="10"/>
        <v>9307689622.5553856</v>
      </c>
      <c r="L22" s="81">
        <f t="shared" si="5"/>
        <v>3298485511.7817373</v>
      </c>
      <c r="M22" s="81">
        <f t="shared" si="11"/>
        <v>5615011886.7060509</v>
      </c>
      <c r="N22" s="84">
        <f t="shared" si="12"/>
        <v>5844229.8426980982</v>
      </c>
      <c r="O22" s="81">
        <f t="shared" si="13"/>
        <v>779566494.10137355</v>
      </c>
      <c r="P22" s="85">
        <f t="shared" si="14"/>
        <v>26657080748.369434</v>
      </c>
      <c r="Q22" s="86">
        <f t="shared" si="15"/>
        <v>126938479.75414017</v>
      </c>
    </row>
    <row r="23" spans="1:17" x14ac:dyDescent="0.25">
      <c r="A23" s="80">
        <f t="shared" si="17"/>
        <v>220</v>
      </c>
      <c r="B23" s="83">
        <f t="shared" si="0"/>
        <v>43419663.339254111</v>
      </c>
      <c r="C23" s="81">
        <f t="shared" si="6"/>
        <v>6167177011.8859673</v>
      </c>
      <c r="D23" s="83">
        <f t="shared" si="1"/>
        <v>22777362.799645089</v>
      </c>
      <c r="E23" s="81">
        <f t="shared" si="7"/>
        <v>3319613853.673315</v>
      </c>
      <c r="F23" s="81">
        <f t="shared" si="2"/>
        <v>803279025.35638702</v>
      </c>
      <c r="G23" s="81">
        <f t="shared" si="8"/>
        <v>1397384192.5099709</v>
      </c>
      <c r="H23" s="81">
        <f t="shared" si="3"/>
        <v>91876293.301771969</v>
      </c>
      <c r="I23" s="81">
        <f t="shared" si="9"/>
        <v>156401014.08760643</v>
      </c>
      <c r="J23" s="83">
        <f t="shared" si="4"/>
        <v>79192816.091053322</v>
      </c>
      <c r="K23" s="81">
        <f t="shared" si="10"/>
        <v>9585482621.0978775</v>
      </c>
      <c r="L23" s="81">
        <f t="shared" si="5"/>
        <v>3421644324.9584079</v>
      </c>
      <c r="M23" s="81">
        <f t="shared" si="11"/>
        <v>5824665134.3766975</v>
      </c>
      <c r="N23" s="84">
        <f t="shared" si="12"/>
        <v>6018654.0229200525</v>
      </c>
      <c r="O23" s="81">
        <f t="shared" si="13"/>
        <v>802833075.04052424</v>
      </c>
      <c r="P23" s="85">
        <f t="shared" si="14"/>
        <v>27253556902.671959</v>
      </c>
      <c r="Q23" s="86">
        <f t="shared" si="15"/>
        <v>123879804.10305436</v>
      </c>
    </row>
    <row r="24" spans="1:17" x14ac:dyDescent="0.25">
      <c r="A24" s="80">
        <f t="shared" si="17"/>
        <v>230</v>
      </c>
      <c r="B24" s="83">
        <f t="shared" si="0"/>
        <v>43731238.214616209</v>
      </c>
      <c r="C24" s="81">
        <f t="shared" si="6"/>
        <v>6211432016.6703358</v>
      </c>
      <c r="D24" s="83">
        <f t="shared" si="1"/>
        <v>23041665.498533484</v>
      </c>
      <c r="E24" s="81">
        <f t="shared" si="7"/>
        <v>3358133804.7541676</v>
      </c>
      <c r="F24" s="81">
        <f t="shared" si="2"/>
        <v>803279025.35638702</v>
      </c>
      <c r="G24" s="81">
        <f t="shared" si="8"/>
        <v>1397384192.5099709</v>
      </c>
      <c r="H24" s="81">
        <f t="shared" si="3"/>
        <v>91876293.301771969</v>
      </c>
      <c r="I24" s="81">
        <f t="shared" si="9"/>
        <v>156401014.08760643</v>
      </c>
      <c r="J24" s="83">
        <f t="shared" si="4"/>
        <v>81451205.221873164</v>
      </c>
      <c r="K24" s="81">
        <f t="shared" si="10"/>
        <v>9858837589.8144836</v>
      </c>
      <c r="L24" s="81">
        <f t="shared" si="5"/>
        <v>3543697633.7151713</v>
      </c>
      <c r="M24" s="81">
        <f t="shared" si="11"/>
        <v>6032436481.8733358</v>
      </c>
      <c r="N24" s="84">
        <f t="shared" si="12"/>
        <v>6190291.5968623599</v>
      </c>
      <c r="O24" s="81">
        <f t="shared" si="13"/>
        <v>825727948.33874774</v>
      </c>
      <c r="P24" s="85">
        <f t="shared" si="14"/>
        <v>27840353048.048649</v>
      </c>
      <c r="Q24" s="86">
        <f t="shared" si="15"/>
        <v>121045013.25238542</v>
      </c>
    </row>
    <row r="25" spans="1:17" x14ac:dyDescent="0.25">
      <c r="A25" s="80">
        <f t="shared" si="17"/>
        <v>240</v>
      </c>
      <c r="B25" s="83">
        <f t="shared" si="0"/>
        <v>44031814.407217644</v>
      </c>
      <c r="C25" s="81">
        <f t="shared" si="6"/>
        <v>6254124807.0507698</v>
      </c>
      <c r="D25" s="83">
        <f t="shared" si="1"/>
        <v>23297735.494904868</v>
      </c>
      <c r="E25" s="81">
        <f t="shared" si="7"/>
        <v>3395453906.9513268</v>
      </c>
      <c r="F25" s="81">
        <f t="shared" si="2"/>
        <v>803279025.35638702</v>
      </c>
      <c r="G25" s="81">
        <f t="shared" si="8"/>
        <v>1397384192.5099709</v>
      </c>
      <c r="H25" s="81">
        <f t="shared" si="3"/>
        <v>91876293.301771969</v>
      </c>
      <c r="I25" s="81">
        <f t="shared" si="9"/>
        <v>156401014.08760643</v>
      </c>
      <c r="J25" s="83">
        <f t="shared" si="4"/>
        <v>83675051.992587805</v>
      </c>
      <c r="K25" s="81">
        <f t="shared" si="10"/>
        <v>10128011558.17243</v>
      </c>
      <c r="L25" s="81">
        <f t="shared" si="5"/>
        <v>3664702211.76894</v>
      </c>
      <c r="M25" s="81">
        <f t="shared" si="11"/>
        <v>6238422575.0942659</v>
      </c>
      <c r="N25" s="84">
        <f t="shared" si="12"/>
        <v>6359303.9514366733</v>
      </c>
      <c r="O25" s="81">
        <f t="shared" si="13"/>
        <v>848272641.52529907</v>
      </c>
      <c r="P25" s="85">
        <f t="shared" si="14"/>
        <v>28418070695.391666</v>
      </c>
      <c r="Q25" s="86">
        <f t="shared" si="15"/>
        <v>118408627.89746527</v>
      </c>
    </row>
    <row r="26" spans="1:17" x14ac:dyDescent="0.25">
      <c r="A26" s="80">
        <f t="shared" si="17"/>
        <v>250</v>
      </c>
      <c r="B26" s="83">
        <f t="shared" si="0"/>
        <v>44322209.686683767</v>
      </c>
      <c r="C26" s="81">
        <f t="shared" si="6"/>
        <v>6295371536.1626596</v>
      </c>
      <c r="D26" s="83">
        <f t="shared" si="1"/>
        <v>23546152.768577296</v>
      </c>
      <c r="E26" s="81">
        <f t="shared" si="7"/>
        <v>3431658687.5674391</v>
      </c>
      <c r="F26" s="81">
        <f t="shared" si="2"/>
        <v>803279025.35638702</v>
      </c>
      <c r="G26" s="81">
        <f t="shared" si="8"/>
        <v>1397384192.5099709</v>
      </c>
      <c r="H26" s="81">
        <f t="shared" si="3"/>
        <v>91876293.301771969</v>
      </c>
      <c r="I26" s="81">
        <f t="shared" si="9"/>
        <v>156401014.08760643</v>
      </c>
      <c r="J26" s="83">
        <f t="shared" si="4"/>
        <v>85866275.114839926</v>
      </c>
      <c r="K26" s="81">
        <f t="shared" si="10"/>
        <v>10393236766.645203</v>
      </c>
      <c r="L26" s="81">
        <f t="shared" si="5"/>
        <v>3784709707.3384852</v>
      </c>
      <c r="M26" s="81">
        <f t="shared" si="11"/>
        <v>6442711334.8023033</v>
      </c>
      <c r="N26" s="84">
        <f t="shared" si="12"/>
        <v>6525836.908727834</v>
      </c>
      <c r="O26" s="81">
        <f t="shared" si="13"/>
        <v>870486605.9247328</v>
      </c>
      <c r="P26" s="85">
        <f t="shared" si="14"/>
        <v>28987250137.699913</v>
      </c>
      <c r="Q26" s="86">
        <f t="shared" si="15"/>
        <v>115949000.55079965</v>
      </c>
    </row>
    <row r="27" spans="1:17" x14ac:dyDescent="0.25">
      <c r="A27" s="80">
        <f t="shared" si="17"/>
        <v>260</v>
      </c>
      <c r="B27" s="83">
        <f t="shared" si="0"/>
        <v>44603151.560905889</v>
      </c>
      <c r="C27" s="81">
        <f t="shared" si="6"/>
        <v>6335275536.6806097</v>
      </c>
      <c r="D27" s="83">
        <f t="shared" si="1"/>
        <v>23787435.417751532</v>
      </c>
      <c r="E27" s="81">
        <f t="shared" si="7"/>
        <v>3466823655.1668606</v>
      </c>
      <c r="F27" s="81">
        <f t="shared" si="2"/>
        <v>803279025.35638702</v>
      </c>
      <c r="G27" s="81">
        <f t="shared" si="8"/>
        <v>1397384192.5099709</v>
      </c>
      <c r="H27" s="81">
        <f t="shared" si="3"/>
        <v>91876293.301771969</v>
      </c>
      <c r="I27" s="81">
        <f t="shared" si="9"/>
        <v>156401014.08760643</v>
      </c>
      <c r="J27" s="83">
        <f t="shared" si="4"/>
        <v>88026615.52569595</v>
      </c>
      <c r="K27" s="81">
        <f t="shared" si="10"/>
        <v>10654723937.907133</v>
      </c>
      <c r="L27" s="81">
        <f t="shared" si="5"/>
        <v>3903767289.7411551</v>
      </c>
      <c r="M27" s="81">
        <f t="shared" si="11"/>
        <v>6645383057.3263683</v>
      </c>
      <c r="N27" s="84">
        <f t="shared" si="12"/>
        <v>6690022.7799528921</v>
      </c>
      <c r="O27" s="81">
        <f t="shared" si="13"/>
        <v>892387490.63614035</v>
      </c>
      <c r="P27" s="85">
        <f t="shared" si="14"/>
        <v>29548378884.31469</v>
      </c>
      <c r="Q27" s="86">
        <f t="shared" si="15"/>
        <v>113647611.09351803</v>
      </c>
    </row>
    <row r="28" spans="1:17" x14ac:dyDescent="0.25">
      <c r="A28" s="80">
        <f t="shared" si="17"/>
        <v>270</v>
      </c>
      <c r="B28" s="83">
        <f t="shared" si="0"/>
        <v>44875290.247584552</v>
      </c>
      <c r="C28" s="81">
        <f t="shared" si="6"/>
        <v>6373929163.2510443</v>
      </c>
      <c r="D28" s="83">
        <f t="shared" si="1"/>
        <v>24022048.336910363</v>
      </c>
      <c r="E28" s="81">
        <f t="shared" si="7"/>
        <v>3501016564.3083229</v>
      </c>
      <c r="F28" s="81">
        <f t="shared" si="2"/>
        <v>803279025.35638702</v>
      </c>
      <c r="G28" s="81">
        <f t="shared" si="8"/>
        <v>1397384192.5099709</v>
      </c>
      <c r="H28" s="81">
        <f t="shared" si="3"/>
        <v>91876293.301771969</v>
      </c>
      <c r="I28" s="81">
        <f t="shared" si="9"/>
        <v>156401014.08760643</v>
      </c>
      <c r="J28" s="83">
        <f t="shared" si="4"/>
        <v>90157658.959402084</v>
      </c>
      <c r="K28" s="81">
        <f t="shared" si="10"/>
        <v>10912665008.914238</v>
      </c>
      <c r="L28" s="81">
        <f t="shared" si="5"/>
        <v>4021918192.9736481</v>
      </c>
      <c r="M28" s="81">
        <f t="shared" si="11"/>
        <v>6846511339.8990412</v>
      </c>
      <c r="N28" s="84">
        <f t="shared" si="12"/>
        <v>6851982.0809145579</v>
      </c>
      <c r="O28" s="81">
        <f t="shared" si="13"/>
        <v>913991371.35885775</v>
      </c>
      <c r="P28" s="85">
        <f t="shared" si="14"/>
        <v>30101898654.329079</v>
      </c>
      <c r="Q28" s="86">
        <f t="shared" si="15"/>
        <v>111488513.53455214</v>
      </c>
    </row>
    <row r="29" spans="1:17" x14ac:dyDescent="0.25">
      <c r="A29" s="80">
        <f t="shared" si="17"/>
        <v>280</v>
      </c>
      <c r="B29" s="83">
        <f t="shared" si="0"/>
        <v>45139209.380346738</v>
      </c>
      <c r="C29" s="81">
        <f t="shared" si="6"/>
        <v>6411415313.1516199</v>
      </c>
      <c r="D29" s="83">
        <f t="shared" si="1"/>
        <v>24250410.407726049</v>
      </c>
      <c r="E29" s="81">
        <f t="shared" si="7"/>
        <v>3534298463.5607285</v>
      </c>
      <c r="F29" s="81">
        <f t="shared" si="2"/>
        <v>803279025.35638702</v>
      </c>
      <c r="G29" s="81">
        <f t="shared" si="8"/>
        <v>1397384192.5099709</v>
      </c>
      <c r="H29" s="81">
        <f t="shared" si="3"/>
        <v>91876293.301771969</v>
      </c>
      <c r="I29" s="81">
        <f t="shared" si="9"/>
        <v>156401014.08760643</v>
      </c>
      <c r="J29" s="83">
        <f t="shared" si="4"/>
        <v>92260854.934850231</v>
      </c>
      <c r="K29" s="81">
        <f t="shared" si="10"/>
        <v>11167235429.143286</v>
      </c>
      <c r="L29" s="81">
        <f t="shared" si="5"/>
        <v>4139202175.8576827</v>
      </c>
      <c r="M29" s="81">
        <f t="shared" si="11"/>
        <v>7046163863.962533</v>
      </c>
      <c r="N29" s="84">
        <f t="shared" si="12"/>
        <v>7011824.9750486175</v>
      </c>
      <c r="O29" s="81">
        <f t="shared" si="13"/>
        <v>935312942.88171518</v>
      </c>
      <c r="P29" s="85">
        <f t="shared" si="14"/>
        <v>30648211219.297459</v>
      </c>
      <c r="Q29" s="86">
        <f t="shared" si="15"/>
        <v>109457897.21177664</v>
      </c>
    </row>
    <row r="30" spans="1:17" x14ac:dyDescent="0.25">
      <c r="A30" s="80">
        <f t="shared" si="17"/>
        <v>290</v>
      </c>
      <c r="B30" s="83">
        <f t="shared" si="0"/>
        <v>45395434.910296552</v>
      </c>
      <c r="C30" s="81">
        <f t="shared" si="6"/>
        <v>6447808690.6363373</v>
      </c>
      <c r="D30" s="83">
        <f t="shared" si="1"/>
        <v>24472900.500832148</v>
      </c>
      <c r="E30" s="81">
        <f t="shared" si="7"/>
        <v>3566724570.2121792</v>
      </c>
      <c r="F30" s="81">
        <f t="shared" si="2"/>
        <v>803279025.35638702</v>
      </c>
      <c r="G30" s="81">
        <f t="shared" si="8"/>
        <v>1397384192.5099709</v>
      </c>
      <c r="H30" s="81">
        <f t="shared" si="3"/>
        <v>91876293.301771969</v>
      </c>
      <c r="I30" s="81">
        <f t="shared" si="9"/>
        <v>156401014.08760643</v>
      </c>
      <c r="J30" s="83">
        <f t="shared" si="4"/>
        <v>94337532.834014356</v>
      </c>
      <c r="K30" s="81">
        <f t="shared" si="10"/>
        <v>11418596106.722532</v>
      </c>
      <c r="L30" s="81">
        <f t="shared" si="5"/>
        <v>4255655914.0496106</v>
      </c>
      <c r="M30" s="81">
        <f t="shared" si="11"/>
        <v>7244403062.4866514</v>
      </c>
      <c r="N30" s="84">
        <f t="shared" si="12"/>
        <v>7169652.4953850908</v>
      </c>
      <c r="O30" s="81">
        <f t="shared" si="13"/>
        <v>956365682.08141363</v>
      </c>
      <c r="P30" s="85">
        <f t="shared" si="14"/>
        <v>31187683318.736691</v>
      </c>
      <c r="Q30" s="86">
        <f t="shared" si="15"/>
        <v>107543735.58185066</v>
      </c>
    </row>
    <row r="31" spans="1:17" x14ac:dyDescent="0.25">
      <c r="A31" s="80">
        <f t="shared" si="17"/>
        <v>300</v>
      </c>
      <c r="B31" s="83">
        <f t="shared" si="0"/>
        <v>45644442.557729937</v>
      </c>
      <c r="C31" s="81">
        <f t="shared" si="6"/>
        <v>6483176865.3510094</v>
      </c>
      <c r="D31" s="83">
        <f t="shared" si="1"/>
        <v>24689862.518609546</v>
      </c>
      <c r="E31" s="81">
        <f t="shared" si="7"/>
        <v>3598345005.2146893</v>
      </c>
      <c r="F31" s="81">
        <f t="shared" si="2"/>
        <v>803279025.35638702</v>
      </c>
      <c r="G31" s="81">
        <f t="shared" si="8"/>
        <v>1397384192.5099709</v>
      </c>
      <c r="H31" s="81">
        <f t="shared" si="3"/>
        <v>91876293.301771969</v>
      </c>
      <c r="I31" s="81">
        <f t="shared" si="9"/>
        <v>156401014.08760643</v>
      </c>
      <c r="J31" s="83">
        <f t="shared" si="4"/>
        <v>96388915.600767523</v>
      </c>
      <c r="K31" s="81">
        <f t="shared" si="10"/>
        <v>11666895066.533783</v>
      </c>
      <c r="L31" s="81">
        <f t="shared" si="5"/>
        <v>4371313335.9815722</v>
      </c>
      <c r="M31" s="81">
        <f t="shared" si="11"/>
        <v>7441286691.8414297</v>
      </c>
      <c r="N31" s="84">
        <f t="shared" si="12"/>
        <v>7325557.5856583314</v>
      </c>
      <c r="O31" s="81">
        <f t="shared" si="13"/>
        <v>977161986.79703343</v>
      </c>
      <c r="P31" s="85">
        <f t="shared" si="14"/>
        <v>31720650822.335526</v>
      </c>
      <c r="Q31" s="86">
        <f t="shared" si="15"/>
        <v>105735502.74111842</v>
      </c>
    </row>
    <row r="32" spans="1:17" x14ac:dyDescent="0.25">
      <c r="A32" s="80">
        <f t="shared" si="17"/>
        <v>310</v>
      </c>
      <c r="B32" s="83">
        <f t="shared" si="0"/>
        <v>45886664.089720257</v>
      </c>
      <c r="C32" s="81">
        <f t="shared" si="6"/>
        <v>6517581163.9795523</v>
      </c>
      <c r="D32" s="83">
        <f t="shared" si="1"/>
        <v>24901609.658528972</v>
      </c>
      <c r="E32" s="81">
        <f t="shared" si="7"/>
        <v>3629205414.5313983</v>
      </c>
      <c r="F32" s="81">
        <f t="shared" si="2"/>
        <v>803279025.35638702</v>
      </c>
      <c r="G32" s="81">
        <f t="shared" si="8"/>
        <v>1397384192.5099709</v>
      </c>
      <c r="H32" s="81">
        <f t="shared" si="3"/>
        <v>91876293.301771969</v>
      </c>
      <c r="I32" s="81">
        <f t="shared" si="9"/>
        <v>156401014.08760643</v>
      </c>
      <c r="J32" s="83">
        <f t="shared" si="4"/>
        <v>98416131.478903159</v>
      </c>
      <c r="K32" s="81">
        <f t="shared" si="10"/>
        <v>11912268870.980145</v>
      </c>
      <c r="L32" s="81">
        <f t="shared" si="5"/>
        <v>4486205912.3372889</v>
      </c>
      <c r="M32" s="81">
        <f t="shared" si="11"/>
        <v>7636868324.5717669</v>
      </c>
      <c r="N32" s="84">
        <f t="shared" si="12"/>
        <v>7479625.9923966397</v>
      </c>
      <c r="O32" s="81">
        <f t="shared" si="13"/>
        <v>997713294.82658184</v>
      </c>
      <c r="P32" s="85">
        <f t="shared" si="14"/>
        <v>32247422275.487019</v>
      </c>
      <c r="Q32" s="86">
        <f t="shared" si="15"/>
        <v>104023942.82415168</v>
      </c>
    </row>
    <row r="33" spans="1:17" x14ac:dyDescent="0.25">
      <c r="A33" s="80">
        <f t="shared" si="17"/>
        <v>320</v>
      </c>
      <c r="B33" s="83">
        <f t="shared" si="0"/>
        <v>46122492.639801316</v>
      </c>
      <c r="C33" s="81">
        <f t="shared" si="6"/>
        <v>6551077425.8331404</v>
      </c>
      <c r="D33" s="83">
        <f t="shared" si="1"/>
        <v>25108428.038362812</v>
      </c>
      <c r="E33" s="81">
        <f t="shared" si="7"/>
        <v>3659347497.4814658</v>
      </c>
      <c r="F33" s="81">
        <f t="shared" si="2"/>
        <v>803279025.35638702</v>
      </c>
      <c r="G33" s="81">
        <f t="shared" si="8"/>
        <v>1397384192.5099709</v>
      </c>
      <c r="H33" s="81">
        <f t="shared" si="3"/>
        <v>91876293.301771969</v>
      </c>
      <c r="I33" s="81">
        <f t="shared" si="9"/>
        <v>156401014.08760643</v>
      </c>
      <c r="J33" s="83">
        <f t="shared" si="4"/>
        <v>100420224.12348399</v>
      </c>
      <c r="K33" s="81">
        <f t="shared" si="10"/>
        <v>12154843843.861679</v>
      </c>
      <c r="L33" s="81">
        <f t="shared" si="5"/>
        <v>4600362906.7665405</v>
      </c>
      <c r="M33" s="81">
        <f t="shared" si="11"/>
        <v>7831197776.1886816</v>
      </c>
      <c r="N33" s="84">
        <f t="shared" si="12"/>
        <v>7631937.0333847823</v>
      </c>
      <c r="O33" s="81">
        <f t="shared" si="13"/>
        <v>1018030186.4328229</v>
      </c>
      <c r="P33" s="85">
        <f t="shared" si="14"/>
        <v>32768281936.39537</v>
      </c>
      <c r="Q33" s="86">
        <f t="shared" si="15"/>
        <v>102400881.05123553</v>
      </c>
    </row>
    <row r="34" spans="1:17" x14ac:dyDescent="0.25">
      <c r="A34" s="80">
        <f t="shared" si="17"/>
        <v>330</v>
      </c>
      <c r="B34" s="83">
        <f t="shared" si="0"/>
        <v>46352287.240754962</v>
      </c>
      <c r="C34" s="81">
        <f t="shared" si="6"/>
        <v>6583716646.6714926</v>
      </c>
      <c r="D34" s="83">
        <f t="shared" si="1"/>
        <v>25310579.795412026</v>
      </c>
      <c r="E34" s="81">
        <f t="shared" si="7"/>
        <v>3688809458.426981</v>
      </c>
      <c r="F34" s="81">
        <f t="shared" si="2"/>
        <v>803279025.35638702</v>
      </c>
      <c r="G34" s="81">
        <f t="shared" si="8"/>
        <v>1397384192.5099709</v>
      </c>
      <c r="H34" s="81">
        <f t="shared" si="3"/>
        <v>91876293.301771969</v>
      </c>
      <c r="I34" s="81">
        <f t="shared" si="9"/>
        <v>156401014.08760643</v>
      </c>
      <c r="J34" s="83">
        <f t="shared" si="4"/>
        <v>102402161.3541556</v>
      </c>
      <c r="K34" s="81">
        <f t="shared" si="10"/>
        <v>12394737129.874725</v>
      </c>
      <c r="L34" s="81">
        <f t="shared" si="5"/>
        <v>4713811594.0665312</v>
      </c>
      <c r="M34" s="81">
        <f t="shared" si="11"/>
        <v>8024321476.5794554</v>
      </c>
      <c r="N34" s="84">
        <f t="shared" si="12"/>
        <v>7782564.2629158255</v>
      </c>
      <c r="O34" s="81">
        <f t="shared" si="13"/>
        <v>1038122473.0817524</v>
      </c>
      <c r="P34" s="85">
        <f t="shared" si="14"/>
        <v>33283492391.231987</v>
      </c>
      <c r="Q34" s="86">
        <f t="shared" si="15"/>
        <v>100859067.85221814</v>
      </c>
    </row>
    <row r="35" spans="1:17" x14ac:dyDescent="0.25">
      <c r="A35" s="80">
        <f t="shared" si="17"/>
        <v>340</v>
      </c>
      <c r="B35" s="83">
        <f t="shared" si="0"/>
        <v>46576376.706809737</v>
      </c>
      <c r="C35" s="81">
        <f t="shared" si="6"/>
        <v>6615545530.1167822</v>
      </c>
      <c r="D35" s="83">
        <f t="shared" si="1"/>
        <v>25508305.749435667</v>
      </c>
      <c r="E35" s="81">
        <f t="shared" si="7"/>
        <v>3717626394.8731036</v>
      </c>
      <c r="F35" s="81">
        <f t="shared" si="2"/>
        <v>803279025.35638702</v>
      </c>
      <c r="G35" s="81">
        <f t="shared" si="8"/>
        <v>1397384192.5099709</v>
      </c>
      <c r="H35" s="81">
        <f t="shared" si="3"/>
        <v>91876293.301771969</v>
      </c>
      <c r="I35" s="81">
        <f t="shared" si="9"/>
        <v>156401014.08760643</v>
      </c>
      <c r="J35" s="83">
        <f t="shared" si="4"/>
        <v>104362842.76798746</v>
      </c>
      <c r="K35" s="81">
        <f t="shared" si="10"/>
        <v>12632057616.068649</v>
      </c>
      <c r="L35" s="81">
        <f t="shared" si="5"/>
        <v>4826577450.9005966</v>
      </c>
      <c r="M35" s="81">
        <f t="shared" si="11"/>
        <v>8216282794.6680851</v>
      </c>
      <c r="N35" s="84">
        <f t="shared" si="12"/>
        <v>7931576.0503670471</v>
      </c>
      <c r="O35" s="81">
        <f t="shared" si="13"/>
        <v>1057999274.6193008</v>
      </c>
      <c r="P35" s="85">
        <f t="shared" si="14"/>
        <v>33793296816.943497</v>
      </c>
      <c r="Q35" s="86">
        <f t="shared" si="15"/>
        <v>99392049.461598516</v>
      </c>
    </row>
    <row r="36" spans="1:17" x14ac:dyDescent="0.25">
      <c r="A36" s="80">
        <f t="shared" si="17"/>
        <v>350</v>
      </c>
      <c r="B36" s="83">
        <f t="shared" si="0"/>
        <v>46795062.974695928</v>
      </c>
      <c r="C36" s="81">
        <f t="shared" si="6"/>
        <v>6646606962.2053995</v>
      </c>
      <c r="D36" s="83">
        <f t="shared" si="1"/>
        <v>25701827.701529033</v>
      </c>
      <c r="E36" s="81">
        <f t="shared" si="7"/>
        <v>3745830632.5107045</v>
      </c>
      <c r="F36" s="81">
        <f t="shared" si="2"/>
        <v>803279025.35638702</v>
      </c>
      <c r="G36" s="81">
        <f t="shared" si="8"/>
        <v>1397384192.5099709</v>
      </c>
      <c r="H36" s="81">
        <f t="shared" si="3"/>
        <v>91876293.301771969</v>
      </c>
      <c r="I36" s="81">
        <f t="shared" si="9"/>
        <v>156401014.08760643</v>
      </c>
      <c r="J36" s="83">
        <f t="shared" si="4"/>
        <v>106303106.38924089</v>
      </c>
      <c r="K36" s="81">
        <f t="shared" si="10"/>
        <v>12866906736.732441</v>
      </c>
      <c r="L36" s="81">
        <f t="shared" si="5"/>
        <v>4938684323.209898</v>
      </c>
      <c r="M36" s="81">
        <f t="shared" si="11"/>
        <v>8407122323.4002094</v>
      </c>
      <c r="N36" s="84">
        <f t="shared" si="12"/>
        <v>8079036.0855823075</v>
      </c>
      <c r="O36" s="81">
        <f t="shared" si="13"/>
        <v>1077669086.6846926</v>
      </c>
      <c r="P36" s="85">
        <f t="shared" si="14"/>
        <v>34297920948.131027</v>
      </c>
      <c r="Q36" s="86">
        <f t="shared" si="15"/>
        <v>97994059.85180293</v>
      </c>
    </row>
    <row r="37" spans="1:17" x14ac:dyDescent="0.25">
      <c r="A37" s="80">
        <f t="shared" si="17"/>
        <v>360</v>
      </c>
      <c r="B37" s="83">
        <f t="shared" si="0"/>
        <v>47008623.99203904</v>
      </c>
      <c r="C37" s="81">
        <f t="shared" si="6"/>
        <v>6676940421.6452541</v>
      </c>
      <c r="D37" s="83">
        <f t="shared" si="1"/>
        <v>25891350.427540619</v>
      </c>
      <c r="E37" s="81">
        <f t="shared" si="7"/>
        <v>3773452015.7405396</v>
      </c>
      <c r="F37" s="81">
        <f t="shared" si="2"/>
        <v>803279025.35638702</v>
      </c>
      <c r="G37" s="81">
        <f t="shared" si="8"/>
        <v>1397384192.5099709</v>
      </c>
      <c r="H37" s="81">
        <f t="shared" si="3"/>
        <v>91876293.301771969</v>
      </c>
      <c r="I37" s="81">
        <f t="shared" si="9"/>
        <v>156401014.08760643</v>
      </c>
      <c r="J37" s="83">
        <f t="shared" si="4"/>
        <v>108223734.50164002</v>
      </c>
      <c r="K37" s="81">
        <f t="shared" si="10"/>
        <v>13099379179.33161</v>
      </c>
      <c r="L37" s="81">
        <f t="shared" si="5"/>
        <v>5050154573.7450857</v>
      </c>
      <c r="M37" s="81">
        <f t="shared" si="11"/>
        <v>8596878130.8862591</v>
      </c>
      <c r="N37" s="84">
        <f t="shared" si="12"/>
        <v>8225003.8221246414</v>
      </c>
      <c r="O37" s="81">
        <f t="shared" si="13"/>
        <v>1097139839.8362637</v>
      </c>
      <c r="P37" s="85">
        <f t="shared" si="14"/>
        <v>34797574794.037506</v>
      </c>
      <c r="Q37" s="86">
        <f t="shared" si="15"/>
        <v>96659929.983437523</v>
      </c>
    </row>
    <row r="38" spans="1:17" x14ac:dyDescent="0.25">
      <c r="A38" s="80">
        <f t="shared" si="17"/>
        <v>370</v>
      </c>
      <c r="B38" s="83">
        <f t="shared" si="0"/>
        <v>47217316.225088261</v>
      </c>
      <c r="C38" s="81">
        <f t="shared" si="6"/>
        <v>6706582336.0047493</v>
      </c>
      <c r="D38" s="83">
        <f t="shared" si="1"/>
        <v>26077063.413846798</v>
      </c>
      <c r="E38" s="81">
        <f t="shared" si="7"/>
        <v>3800518160.6481776</v>
      </c>
      <c r="F38" s="81">
        <f t="shared" si="2"/>
        <v>803279025.35638702</v>
      </c>
      <c r="G38" s="81">
        <f t="shared" si="8"/>
        <v>1397384192.5099709</v>
      </c>
      <c r="H38" s="81">
        <f t="shared" si="3"/>
        <v>91876293.301771969</v>
      </c>
      <c r="I38" s="81">
        <f t="shared" si="9"/>
        <v>156401014.08760643</v>
      </c>
      <c r="J38" s="83">
        <f t="shared" si="4"/>
        <v>110125458.78332579</v>
      </c>
      <c r="K38" s="81">
        <f t="shared" si="10"/>
        <v>13329563506.041998</v>
      </c>
      <c r="L38" s="81">
        <f t="shared" si="5"/>
        <v>5161009212.5605898</v>
      </c>
      <c r="M38" s="81">
        <f t="shared" si="11"/>
        <v>8785585982.5418911</v>
      </c>
      <c r="N38" s="84">
        <f t="shared" si="12"/>
        <v>8369534.8675327599</v>
      </c>
      <c r="O38" s="81">
        <f t="shared" si="13"/>
        <v>1116418951.608089</v>
      </c>
      <c r="P38" s="85">
        <f t="shared" si="14"/>
        <v>35292454143.442482</v>
      </c>
      <c r="Q38" s="86">
        <f t="shared" si="15"/>
        <v>95385011.198493198</v>
      </c>
    </row>
    <row r="39" spans="1:17" x14ac:dyDescent="0.25">
      <c r="A39" s="80">
        <f t="shared" si="17"/>
        <v>380</v>
      </c>
      <c r="B39" s="83">
        <f t="shared" si="0"/>
        <v>47421376.844718061</v>
      </c>
      <c r="C39" s="81">
        <f t="shared" si="6"/>
        <v>6735566392.2047977</v>
      </c>
      <c r="D39" s="83">
        <f t="shared" si="1"/>
        <v>26259142.374744751</v>
      </c>
      <c r="E39" s="81">
        <f t="shared" si="7"/>
        <v>3827054676.1515746</v>
      </c>
      <c r="F39" s="81">
        <f t="shared" si="2"/>
        <v>803279025.35638702</v>
      </c>
      <c r="G39" s="81">
        <f t="shared" si="8"/>
        <v>1397384192.5099709</v>
      </c>
      <c r="H39" s="81">
        <f t="shared" si="3"/>
        <v>91876293.301771969</v>
      </c>
      <c r="I39" s="81">
        <f t="shared" si="9"/>
        <v>156401014.08760643</v>
      </c>
      <c r="J39" s="83">
        <f t="shared" si="4"/>
        <v>112008964.84426418</v>
      </c>
      <c r="K39" s="81">
        <f t="shared" si="10"/>
        <v>13557542702.956768</v>
      </c>
      <c r="L39" s="81">
        <f t="shared" si="5"/>
        <v>5271268012.8425074</v>
      </c>
      <c r="M39" s="81">
        <f t="shared" si="11"/>
        <v>8973279538.2618008</v>
      </c>
      <c r="N39" s="84">
        <f t="shared" si="12"/>
        <v>8512681.3281640783</v>
      </c>
      <c r="O39" s="81">
        <f t="shared" si="13"/>
        <v>1135513372.5088689</v>
      </c>
      <c r="P39" s="85">
        <f t="shared" si="14"/>
        <v>35782741888.681389</v>
      </c>
      <c r="Q39" s="86">
        <f t="shared" si="15"/>
        <v>94165110.233372077</v>
      </c>
    </row>
    <row r="40" spans="1:17" x14ac:dyDescent="0.25">
      <c r="A40" s="80">
        <f t="shared" si="17"/>
        <v>390</v>
      </c>
      <c r="B40" s="83">
        <f t="shared" si="0"/>
        <v>47621025.639228433</v>
      </c>
      <c r="C40" s="81">
        <f t="shared" si="6"/>
        <v>6763923808.2062702</v>
      </c>
      <c r="D40" s="83">
        <f t="shared" si="1"/>
        <v>26437750.58388048</v>
      </c>
      <c r="E40" s="81">
        <f t="shared" si="7"/>
        <v>3853085358.0457926</v>
      </c>
      <c r="F40" s="81">
        <f t="shared" si="2"/>
        <v>803279025.35638702</v>
      </c>
      <c r="G40" s="81">
        <f t="shared" si="8"/>
        <v>1397384192.5099709</v>
      </c>
      <c r="H40" s="81">
        <f t="shared" si="3"/>
        <v>91876293.301771969</v>
      </c>
      <c r="I40" s="81">
        <f t="shared" si="9"/>
        <v>156401014.08760643</v>
      </c>
      <c r="J40" s="83">
        <f t="shared" si="4"/>
        <v>113874896.24938238</v>
      </c>
      <c r="K40" s="81">
        <f t="shared" si="10"/>
        <v>13783394667.045994</v>
      </c>
      <c r="L40" s="81">
        <f t="shared" si="5"/>
        <v>5380949614.0578699</v>
      </c>
      <c r="M40" s="81">
        <f t="shared" si="11"/>
        <v>9159990528.0107117</v>
      </c>
      <c r="N40" s="84">
        <f t="shared" si="12"/>
        <v>8654492.1149530597</v>
      </c>
      <c r="O40" s="81">
        <f t="shared" si="13"/>
        <v>1154429626.8072808</v>
      </c>
      <c r="P40" s="85">
        <f t="shared" si="14"/>
        <v>36268609194.713631</v>
      </c>
      <c r="Q40" s="86">
        <f t="shared" si="15"/>
        <v>92996433.832599059</v>
      </c>
    </row>
    <row r="41" spans="1:17" x14ac:dyDescent="0.25">
      <c r="A41" s="80">
        <f t="shared" si="17"/>
        <v>400</v>
      </c>
      <c r="B41" s="83">
        <f t="shared" si="0"/>
        <v>47816466.694111079</v>
      </c>
      <c r="C41" s="81">
        <f t="shared" si="6"/>
        <v>6791683571.5981092</v>
      </c>
      <c r="D41" s="83">
        <f t="shared" si="1"/>
        <v>26613040.046619687</v>
      </c>
      <c r="E41" s="81">
        <f t="shared" si="7"/>
        <v>3878632359.8664374</v>
      </c>
      <c r="F41" s="81">
        <f t="shared" si="2"/>
        <v>803279025.35638702</v>
      </c>
      <c r="G41" s="81">
        <f t="shared" si="8"/>
        <v>1397384192.5099709</v>
      </c>
      <c r="H41" s="81">
        <f t="shared" si="3"/>
        <v>91876293.301771969</v>
      </c>
      <c r="I41" s="81">
        <f t="shared" si="9"/>
        <v>156401014.08760643</v>
      </c>
      <c r="J41" s="83">
        <f t="shared" si="4"/>
        <v>115723858.09728073</v>
      </c>
      <c r="K41" s="81">
        <f t="shared" si="10"/>
        <v>14007192639.32324</v>
      </c>
      <c r="L41" s="81">
        <f t="shared" si="5"/>
        <v>5490071614.0999441</v>
      </c>
      <c r="M41" s="81">
        <f t="shared" si="11"/>
        <v>9345748908.6823349</v>
      </c>
      <c r="N41" s="84">
        <f t="shared" si="12"/>
        <v>8795013.2153933346</v>
      </c>
      <c r="O41" s="81">
        <f t="shared" si="13"/>
        <v>1173173848.8118894</v>
      </c>
      <c r="P41" s="85">
        <f t="shared" si="14"/>
        <v>36750216534.879593</v>
      </c>
      <c r="Q41" s="86">
        <f t="shared" si="15"/>
        <v>91875541.337198988</v>
      </c>
    </row>
    <row r="42" spans="1:17" x14ac:dyDescent="0.25">
      <c r="A42" s="151">
        <v>1000</v>
      </c>
      <c r="B42" s="83">
        <f t="shared" ref="B42" si="18">4.86*W^0.777*S^0.894*(A42+QD)^0.163</f>
        <v>55478512.882763684</v>
      </c>
      <c r="C42" s="81">
        <f t="shared" ref="C42" si="19">B42*C$46</f>
        <v>7879973795.0726652</v>
      </c>
      <c r="D42" s="83">
        <f t="shared" ref="D42" si="20">5.99*W^0.777*S^0.696*(A42+QD)^0.263</f>
        <v>33825280.422832549</v>
      </c>
      <c r="E42" s="81">
        <f t="shared" ref="E42" si="21">D42*C$47</f>
        <v>4929757254.3283768</v>
      </c>
      <c r="F42" s="81">
        <f t="shared" si="2"/>
        <v>803279025.35638702</v>
      </c>
      <c r="G42" s="81">
        <f t="shared" ref="G42" si="22">F42*1.7396</f>
        <v>1397384192.5099709</v>
      </c>
      <c r="H42" s="81">
        <f t="shared" si="3"/>
        <v>91876293.301771969</v>
      </c>
      <c r="I42" s="81">
        <f t="shared" ref="I42" si="23">H42*1.7023</f>
        <v>156401014.08760643</v>
      </c>
      <c r="J42" s="83">
        <f t="shared" ref="J42" si="24">7.37*W^0.82*S^0.484*(QD+A42)^0.641</f>
        <v>207613823.93623137</v>
      </c>
      <c r="K42" s="81">
        <f t="shared" ref="K42" si="25">J42*C$49</f>
        <v>25129535726.476662</v>
      </c>
      <c r="L42" s="81">
        <f t="shared" ref="L42" si="26">16.39*W^0.921*S^0.621*(QD+A42)^0.799</f>
        <v>11375715528.75182</v>
      </c>
      <c r="M42" s="81">
        <f t="shared" ref="M42" si="27">L42*1.7023</f>
        <v>19364880544.594223</v>
      </c>
      <c r="N42" s="84">
        <f t="shared" ref="N42" si="28">0.076*J42</f>
        <v>15778650.619153583</v>
      </c>
      <c r="O42" s="81">
        <f t="shared" ref="O42" si="29">N42*C$48</f>
        <v>2104726829.009392</v>
      </c>
      <c r="P42" s="85">
        <f t="shared" ref="P42" si="30">SUM(C42,E42,G42,I42,K42,M42,O42)</f>
        <v>60962659356.078896</v>
      </c>
      <c r="Q42" s="86">
        <f t="shared" ref="Q42" si="31">P42/A42</f>
        <v>60962659.356078893</v>
      </c>
    </row>
    <row r="45" spans="1:17" x14ac:dyDescent="0.25">
      <c r="A45" t="s">
        <v>17</v>
      </c>
      <c r="B45">
        <v>2012</v>
      </c>
      <c r="C45">
        <v>2022</v>
      </c>
    </row>
    <row r="46" spans="1:17" x14ac:dyDescent="0.25">
      <c r="A46" t="s">
        <v>18</v>
      </c>
      <c r="B46" s="79">
        <v>115</v>
      </c>
      <c r="C46" s="78">
        <f>B46*1.2351</f>
        <v>142.03650000000002</v>
      </c>
    </row>
    <row r="47" spans="1:17" x14ac:dyDescent="0.25">
      <c r="A47" t="s">
        <v>19</v>
      </c>
      <c r="B47" s="79">
        <v>118</v>
      </c>
      <c r="C47" s="78">
        <f t="shared" ref="C47:C49" si="32">B47*1.2351</f>
        <v>145.74180000000001</v>
      </c>
    </row>
    <row r="48" spans="1:17" x14ac:dyDescent="0.25">
      <c r="A48" t="s">
        <v>20</v>
      </c>
      <c r="B48" s="79">
        <v>108</v>
      </c>
      <c r="C48" s="78">
        <f t="shared" si="32"/>
        <v>133.39080000000001</v>
      </c>
    </row>
    <row r="49" spans="1:3" x14ac:dyDescent="0.25">
      <c r="A49" t="s">
        <v>21</v>
      </c>
      <c r="B49" s="79">
        <v>98</v>
      </c>
      <c r="C49" s="78">
        <f t="shared" si="32"/>
        <v>121.03980000000001</v>
      </c>
    </row>
    <row r="50" spans="1:3" x14ac:dyDescent="0.25">
      <c r="A50" t="s">
        <v>22</v>
      </c>
    </row>
    <row r="52" spans="1:3" x14ac:dyDescent="0.25">
      <c r="A52" t="s">
        <v>23</v>
      </c>
      <c r="B52">
        <f>Sizing!J31</f>
        <v>85713.539615394038</v>
      </c>
    </row>
    <row r="53" spans="1:3" x14ac:dyDescent="0.25">
      <c r="A53" t="s">
        <v>24</v>
      </c>
      <c r="B53">
        <f>Sizing!O11</f>
        <v>1147.1400000000001</v>
      </c>
      <c r="C53">
        <f>S*679.57892/1147</f>
        <v>679.661867732171</v>
      </c>
    </row>
    <row r="54" spans="1:3" x14ac:dyDescent="0.25">
      <c r="A54" t="s">
        <v>25</v>
      </c>
      <c r="B54">
        <v>3</v>
      </c>
    </row>
    <row r="55" spans="1:3" x14ac:dyDescent="0.25">
      <c r="A55" t="s">
        <v>26</v>
      </c>
      <c r="B55">
        <f>Sizing!J25</f>
        <v>195149.28852554748</v>
      </c>
    </row>
    <row r="56" spans="1:3" x14ac:dyDescent="0.25">
      <c r="A56" t="s">
        <v>27</v>
      </c>
      <c r="B56">
        <f>15*10^6</f>
        <v>15000000</v>
      </c>
    </row>
    <row r="60" spans="1:3" x14ac:dyDescent="0.25">
      <c r="B60">
        <v>1999</v>
      </c>
      <c r="C60">
        <v>2022</v>
      </c>
    </row>
    <row r="61" spans="1:3" x14ac:dyDescent="0.25">
      <c r="A61" t="s">
        <v>28</v>
      </c>
      <c r="B61" s="78">
        <f>51*(C53*B55/10^5)^0.3+122</f>
        <v>562.92846774405768</v>
      </c>
      <c r="C61" s="150">
        <f>B61*1.73</f>
        <v>973.86624919721976</v>
      </c>
    </row>
    <row r="62" spans="1:3" x14ac:dyDescent="0.25">
      <c r="A62" t="s">
        <v>29</v>
      </c>
      <c r="B62" s="150">
        <f>3.3*(Q21-B56)/10^6+10.2+(58*(Q21/10^6)-19)*4</f>
        <v>30532.821007985844</v>
      </c>
      <c r="C62" s="150">
        <f>B62*1.73</f>
        <v>52821.78034381551</v>
      </c>
    </row>
    <row r="63" spans="1:3" x14ac:dyDescent="0.25">
      <c r="A63" t="s">
        <v>30</v>
      </c>
      <c r="B63" s="150">
        <f>4*(Q21-B56)/10^6+6.7+(7.5*(Q21/10^6)+4.1)*4</f>
        <v>4391.6427720846523</v>
      </c>
      <c r="C63" s="150">
        <f>B63*1.73</f>
        <v>7597.5419957064487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4"/>
  <sheetViews>
    <sheetView workbookViewId="0">
      <selection activeCell="C17" sqref="C17"/>
    </sheetView>
  </sheetViews>
  <sheetFormatPr defaultColWidth="8.42578125" defaultRowHeight="15" x14ac:dyDescent="0.25"/>
  <cols>
    <col min="1" max="1" width="39.42578125" customWidth="1"/>
  </cols>
  <sheetData>
    <row r="1" spans="1:17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G1" t="s">
        <v>36</v>
      </c>
    </row>
    <row r="2" spans="1:17" x14ac:dyDescent="0.25">
      <c r="A2" t="s">
        <v>37</v>
      </c>
      <c r="B2">
        <v>25000</v>
      </c>
      <c r="C2">
        <v>14990</v>
      </c>
      <c r="D2">
        <f>LOG10(B2)</f>
        <v>4.3979400086720375</v>
      </c>
      <c r="E2">
        <f>LOG10(C2)</f>
        <v>4.1758016328482794</v>
      </c>
      <c r="G2" t="s">
        <v>38</v>
      </c>
      <c r="Q2" s="1" t="s">
        <v>39</v>
      </c>
    </row>
    <row r="3" spans="1:17" x14ac:dyDescent="0.25">
      <c r="A3" t="s">
        <v>40</v>
      </c>
      <c r="B3">
        <v>90000</v>
      </c>
      <c r="C3">
        <v>45100</v>
      </c>
      <c r="D3">
        <f t="shared" ref="D3:D14" si="0">LOG10(B3)</f>
        <v>4.9542425094393252</v>
      </c>
      <c r="E3">
        <f t="shared" ref="E3:E14" si="1">LOG10(C3)</f>
        <v>4.6541765418779608</v>
      </c>
      <c r="Q3" t="s">
        <v>41</v>
      </c>
    </row>
    <row r="4" spans="1:17" x14ac:dyDescent="0.25">
      <c r="A4" t="s">
        <v>42</v>
      </c>
      <c r="B4">
        <v>115000</v>
      </c>
      <c r="C4">
        <v>47250</v>
      </c>
      <c r="D4">
        <f t="shared" si="0"/>
        <v>5.0606978403536118</v>
      </c>
      <c r="E4">
        <f t="shared" si="1"/>
        <v>4.6744018128452813</v>
      </c>
      <c r="G4" t="s">
        <v>43</v>
      </c>
      <c r="H4">
        <f>INTERCEPT(D2:D14,E2:E14)</f>
        <v>3.8264929185399588E-2</v>
      </c>
      <c r="Q4" s="1" t="s">
        <v>44</v>
      </c>
    </row>
    <row r="5" spans="1:17" x14ac:dyDescent="0.25">
      <c r="A5" t="s">
        <v>45</v>
      </c>
      <c r="B5">
        <v>408000</v>
      </c>
      <c r="C5">
        <v>173500</v>
      </c>
      <c r="D5">
        <f t="shared" si="0"/>
        <v>5.6106601630898796</v>
      </c>
      <c r="E5">
        <f t="shared" si="1"/>
        <v>5.2392994791268928</v>
      </c>
      <c r="G5" t="s">
        <v>46</v>
      </c>
      <c r="H5">
        <f>SLOPE(D2:D14,E2:E14)</f>
        <v>1.0598903541025766</v>
      </c>
      <c r="Q5" t="s">
        <v>47</v>
      </c>
    </row>
    <row r="6" spans="1:17" x14ac:dyDescent="0.25">
      <c r="A6" t="s">
        <v>48</v>
      </c>
      <c r="B6">
        <v>456357</v>
      </c>
      <c r="C6">
        <v>218699</v>
      </c>
      <c r="D6">
        <f t="shared" si="0"/>
        <v>5.6593047165031898</v>
      </c>
      <c r="E6">
        <f t="shared" si="1"/>
        <v>5.3398467972329966</v>
      </c>
      <c r="Q6" s="1" t="s">
        <v>49</v>
      </c>
    </row>
    <row r="7" spans="1:17" x14ac:dyDescent="0.25">
      <c r="A7" t="s">
        <v>50</v>
      </c>
      <c r="B7">
        <v>114200</v>
      </c>
      <c r="C7">
        <v>54167</v>
      </c>
      <c r="D7">
        <f t="shared" si="0"/>
        <v>5.0576661039098294</v>
      </c>
      <c r="E7">
        <f t="shared" si="1"/>
        <v>4.7337347831684342</v>
      </c>
      <c r="Q7" s="1" t="s">
        <v>51</v>
      </c>
    </row>
    <row r="8" spans="1:17" x14ac:dyDescent="0.25">
      <c r="A8" t="s">
        <v>52</v>
      </c>
      <c r="B8">
        <v>153000</v>
      </c>
      <c r="C8">
        <v>70000</v>
      </c>
      <c r="D8">
        <f t="shared" si="0"/>
        <v>5.1846914308175984</v>
      </c>
      <c r="E8">
        <f t="shared" si="1"/>
        <v>4.8450980400142569</v>
      </c>
      <c r="Q8" t="s">
        <v>53</v>
      </c>
    </row>
    <row r="9" spans="1:17" x14ac:dyDescent="0.25">
      <c r="A9" t="s">
        <v>54</v>
      </c>
      <c r="B9">
        <v>102160</v>
      </c>
      <c r="C9">
        <v>45215</v>
      </c>
      <c r="D9">
        <f t="shared" si="0"/>
        <v>5.0092808842553591</v>
      </c>
      <c r="E9">
        <f t="shared" si="1"/>
        <v>4.6552825351772134</v>
      </c>
      <c r="Q9" t="s">
        <v>55</v>
      </c>
    </row>
    <row r="10" spans="1:17" x14ac:dyDescent="0.25">
      <c r="A10" t="s">
        <v>56</v>
      </c>
      <c r="B10">
        <v>98438</v>
      </c>
      <c r="C10">
        <v>48444</v>
      </c>
      <c r="D10">
        <f t="shared" si="0"/>
        <v>4.993162781404318</v>
      </c>
      <c r="E10">
        <f t="shared" si="1"/>
        <v>4.6852399954579393</v>
      </c>
      <c r="Q10" t="s">
        <v>57</v>
      </c>
    </row>
    <row r="11" spans="1:17" x14ac:dyDescent="0.25">
      <c r="A11" t="s">
        <v>58</v>
      </c>
      <c r="B11">
        <v>264555</v>
      </c>
      <c r="C11">
        <v>132277</v>
      </c>
      <c r="D11">
        <f t="shared" si="0"/>
        <v>5.4225159739644253</v>
      </c>
      <c r="E11">
        <f t="shared" si="1"/>
        <v>5.1214843366935847</v>
      </c>
      <c r="Q11" t="s">
        <v>59</v>
      </c>
    </row>
    <row r="12" spans="1:17" x14ac:dyDescent="0.25">
      <c r="A12" t="s">
        <v>60</v>
      </c>
      <c r="B12">
        <v>133000</v>
      </c>
      <c r="C12">
        <v>57800</v>
      </c>
      <c r="D12">
        <f t="shared" si="0"/>
        <v>5.1238516409670858</v>
      </c>
      <c r="E12">
        <f t="shared" si="1"/>
        <v>4.7619278384205295</v>
      </c>
      <c r="Q12" t="s">
        <v>61</v>
      </c>
    </row>
    <row r="13" spans="1:17" x14ac:dyDescent="0.25">
      <c r="A13" t="s">
        <v>62</v>
      </c>
      <c r="B13">
        <v>90389</v>
      </c>
      <c r="C13">
        <v>42549</v>
      </c>
      <c r="D13">
        <f t="shared" si="0"/>
        <v>4.9561155816924529</v>
      </c>
      <c r="E13">
        <f t="shared" si="1"/>
        <v>4.6288893576148409</v>
      </c>
    </row>
    <row r="14" spans="1:17" x14ac:dyDescent="0.25">
      <c r="A14" t="s">
        <v>63</v>
      </c>
      <c r="B14">
        <v>183000</v>
      </c>
      <c r="C14">
        <v>87000</v>
      </c>
      <c r="D14">
        <f t="shared" si="0"/>
        <v>5.2624510897304297</v>
      </c>
      <c r="E14">
        <f t="shared" si="1"/>
        <v>4.9395192526186182</v>
      </c>
    </row>
  </sheetData>
  <hyperlinks>
    <hyperlink ref="Q2" r:id="rId1" xr:uid="{1797697D-6B15-4C02-80DB-5846249DEB46}"/>
    <hyperlink ref="Q4" r:id="rId2" xr:uid="{6C1C7783-A630-46C9-AF63-C4E5183F5B1B}"/>
    <hyperlink ref="Q6" r:id="rId3" xr:uid="{C7346732-D10F-4ED6-93DA-4C4919209C04}"/>
    <hyperlink ref="Q7" r:id="rId4" xr:uid="{5F203E62-9482-45E6-94BF-01E9C2A6325B}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259F-89FF-4F0D-BB10-482E7BFCCA90}">
  <sheetPr codeName="Sheet4"/>
  <dimension ref="B1:AI15"/>
  <sheetViews>
    <sheetView zoomScale="85" zoomScaleNormal="85" workbookViewId="0">
      <selection activeCell="C8" sqref="C8"/>
    </sheetView>
  </sheetViews>
  <sheetFormatPr defaultColWidth="8.42578125" defaultRowHeight="15" x14ac:dyDescent="0.25"/>
  <cols>
    <col min="2" max="2" width="8.42578125" customWidth="1"/>
    <col min="4" max="4" width="11" customWidth="1"/>
    <col min="5" max="5" width="8.42578125" customWidth="1"/>
  </cols>
  <sheetData>
    <row r="1" spans="2:35" x14ac:dyDescent="0.25">
      <c r="B1" s="2" t="s">
        <v>64</v>
      </c>
      <c r="C1" s="2"/>
      <c r="D1" t="s">
        <v>65</v>
      </c>
    </row>
    <row r="2" spans="2:35" x14ac:dyDescent="0.25">
      <c r="B2" t="s">
        <v>66</v>
      </c>
      <c r="D2" t="s">
        <v>67</v>
      </c>
      <c r="E2" s="26" t="s">
        <v>68</v>
      </c>
    </row>
    <row r="3" spans="2:35" x14ac:dyDescent="0.25">
      <c r="B3" t="s">
        <v>69</v>
      </c>
      <c r="F3" t="s">
        <v>70</v>
      </c>
      <c r="J3" t="s">
        <v>71</v>
      </c>
      <c r="N3" t="s">
        <v>72</v>
      </c>
      <c r="Y3" s="39"/>
      <c r="Z3" s="39" t="s">
        <v>73</v>
      </c>
      <c r="AA3" s="39"/>
      <c r="AB3" s="39"/>
      <c r="AC3" s="39"/>
      <c r="AD3" s="39"/>
    </row>
    <row r="4" spans="2:35" x14ac:dyDescent="0.25">
      <c r="B4" t="s">
        <v>74</v>
      </c>
      <c r="C4" t="s">
        <v>75</v>
      </c>
      <c r="F4" t="s">
        <v>76</v>
      </c>
      <c r="G4" t="s">
        <v>75</v>
      </c>
      <c r="J4" t="s">
        <v>77</v>
      </c>
      <c r="K4" t="s">
        <v>75</v>
      </c>
      <c r="N4" t="s">
        <v>78</v>
      </c>
      <c r="Y4" s="39"/>
      <c r="Z4" s="39" t="s">
        <v>79</v>
      </c>
      <c r="AA4" s="39"/>
      <c r="AB4" s="39"/>
      <c r="AC4" s="39"/>
      <c r="AD4" s="39"/>
      <c r="AH4" s="39" t="s">
        <v>80</v>
      </c>
      <c r="AI4" s="39"/>
    </row>
    <row r="5" spans="2:35" x14ac:dyDescent="0.25">
      <c r="B5" s="26">
        <v>50</v>
      </c>
      <c r="C5" s="104">
        <v>183026.23406979232</v>
      </c>
      <c r="D5" s="26"/>
      <c r="F5">
        <v>90</v>
      </c>
      <c r="G5" s="6">
        <v>167245.0524844949</v>
      </c>
      <c r="J5">
        <v>1</v>
      </c>
      <c r="K5" s="6">
        <v>268766.6596629761</v>
      </c>
      <c r="N5">
        <v>1500</v>
      </c>
      <c r="O5" s="6">
        <v>85598.261696333138</v>
      </c>
      <c r="Y5" s="39" t="s">
        <v>81</v>
      </c>
      <c r="Z5" s="39" t="s">
        <v>82</v>
      </c>
      <c r="AA5" s="39"/>
      <c r="AB5" s="39" t="s">
        <v>83</v>
      </c>
      <c r="AC5" s="39"/>
      <c r="AD5" s="39"/>
      <c r="AH5" s="39" t="s">
        <v>84</v>
      </c>
      <c r="AI5" s="39" t="s">
        <v>75</v>
      </c>
    </row>
    <row r="6" spans="2:35" x14ac:dyDescent="0.25">
      <c r="B6">
        <v>60</v>
      </c>
      <c r="C6" s="6">
        <v>202714.16941032343</v>
      </c>
      <c r="F6">
        <v>95</v>
      </c>
      <c r="G6" s="6">
        <v>170485.30051202173</v>
      </c>
      <c r="J6">
        <v>0.98</v>
      </c>
      <c r="K6" s="6">
        <v>247322.34936633718</v>
      </c>
      <c r="N6">
        <v>2000</v>
      </c>
      <c r="O6" s="6">
        <v>106821.08240467419</v>
      </c>
      <c r="Y6" s="6">
        <v>501271.47268835106</v>
      </c>
      <c r="Z6" s="39">
        <v>45000</v>
      </c>
      <c r="AA6" s="39"/>
      <c r="AB6" s="39">
        <v>4.6017999999999997E-4</v>
      </c>
      <c r="AC6" s="39"/>
      <c r="AD6" s="39"/>
      <c r="AH6" s="105">
        <v>0.03</v>
      </c>
      <c r="AI6" s="6">
        <v>161192.64418164021</v>
      </c>
    </row>
    <row r="7" spans="2:35" x14ac:dyDescent="0.25">
      <c r="B7">
        <v>70</v>
      </c>
      <c r="C7" s="6">
        <v>221920.23031199438</v>
      </c>
      <c r="F7">
        <v>100</v>
      </c>
      <c r="G7" s="6">
        <v>174209.13362311234</v>
      </c>
      <c r="J7">
        <v>0.96</v>
      </c>
      <c r="K7" s="6">
        <v>228354.94809861219</v>
      </c>
      <c r="N7">
        <v>2500</v>
      </c>
      <c r="O7" s="6">
        <v>137209.05705562292</v>
      </c>
      <c r="Y7" s="6">
        <v>265020.62645332504</v>
      </c>
      <c r="Z7" s="39">
        <v>50000</v>
      </c>
      <c r="AA7" s="39"/>
      <c r="AB7" s="39">
        <v>3.6187600000000002E-4</v>
      </c>
      <c r="AC7" s="39"/>
      <c r="AD7" s="39"/>
      <c r="AH7" s="105">
        <v>0.04</v>
      </c>
      <c r="AI7" s="6">
        <v>195745.75208439818</v>
      </c>
    </row>
    <row r="8" spans="2:35" x14ac:dyDescent="0.25">
      <c r="B8">
        <v>80</v>
      </c>
      <c r="C8" s="6">
        <v>240717.04238504436</v>
      </c>
      <c r="F8">
        <v>105</v>
      </c>
      <c r="G8" s="6">
        <v>178394.72483125838</v>
      </c>
      <c r="J8">
        <v>0.94</v>
      </c>
      <c r="K8" s="6">
        <v>211507.03261659772</v>
      </c>
      <c r="N8" s="26">
        <v>3000</v>
      </c>
      <c r="O8" s="6">
        <v>183026.0213639501</v>
      </c>
      <c r="Y8" s="39">
        <v>183026</v>
      </c>
      <c r="Z8" s="105">
        <v>55000</v>
      </c>
      <c r="AA8" s="39"/>
      <c r="AB8" s="39">
        <v>2.8457100000000001E-4</v>
      </c>
      <c r="AC8" s="39"/>
      <c r="AD8" s="39"/>
      <c r="AH8" s="39">
        <v>0.05</v>
      </c>
      <c r="AI8" s="6">
        <v>263363.18088112271</v>
      </c>
    </row>
    <row r="9" spans="2:35" x14ac:dyDescent="0.25">
      <c r="B9">
        <v>90</v>
      </c>
      <c r="C9" s="6">
        <v>259160.50765958775</v>
      </c>
      <c r="F9" s="26">
        <v>110</v>
      </c>
      <c r="G9" s="6">
        <v>183026.01176267292</v>
      </c>
      <c r="J9">
        <v>0.92</v>
      </c>
      <c r="K9" s="6">
        <v>196464.90573116348</v>
      </c>
      <c r="N9">
        <v>3500</v>
      </c>
      <c r="O9" s="6">
        <v>256672.55768752599</v>
      </c>
      <c r="Y9" s="6">
        <v>146937.81604767355</v>
      </c>
      <c r="Z9" s="39">
        <v>60000</v>
      </c>
      <c r="AA9" s="39"/>
      <c r="AB9" s="39">
        <v>2.2378099999999999E-4</v>
      </c>
      <c r="AC9" s="39"/>
      <c r="AD9" s="39"/>
      <c r="AH9" s="39">
        <v>0.06</v>
      </c>
      <c r="AI9" s="6">
        <v>417745.84512935206</v>
      </c>
    </row>
    <row r="10" spans="2:35" x14ac:dyDescent="0.25">
      <c r="B10">
        <v>100</v>
      </c>
      <c r="C10" s="6">
        <v>277294.30108447216</v>
      </c>
      <c r="F10">
        <v>115</v>
      </c>
      <c r="G10" s="6">
        <v>188112.37419147429</v>
      </c>
      <c r="J10" s="26">
        <v>0.9</v>
      </c>
      <c r="K10" s="6">
        <v>183026.01176267292</v>
      </c>
      <c r="N10">
        <v>4000</v>
      </c>
      <c r="O10" s="6">
        <v>384608.93640722317</v>
      </c>
      <c r="Y10" s="6">
        <v>130400.07496942567</v>
      </c>
      <c r="Z10" s="39">
        <v>65000</v>
      </c>
      <c r="AA10" s="39"/>
      <c r="AB10" s="39">
        <v>1.75976E-4</v>
      </c>
      <c r="AC10" s="39"/>
      <c r="AD10" s="39"/>
      <c r="AH10" s="39">
        <v>7.0000000000000007E-2</v>
      </c>
      <c r="AI10" s="6">
        <v>883091.14342315891</v>
      </c>
    </row>
    <row r="11" spans="2:35" x14ac:dyDescent="0.25">
      <c r="C11" s="6"/>
      <c r="F11">
        <v>120</v>
      </c>
      <c r="G11" s="6">
        <v>193643.96234957146</v>
      </c>
      <c r="K11" s="6"/>
      <c r="N11">
        <v>4500</v>
      </c>
      <c r="O11" s="6">
        <v>627562.9041078022</v>
      </c>
    </row>
    <row r="12" spans="2:35" x14ac:dyDescent="0.25">
      <c r="C12" s="6"/>
      <c r="F12">
        <v>125</v>
      </c>
      <c r="G12" s="6">
        <v>199633.91963595856</v>
      </c>
    </row>
    <row r="13" spans="2:35" x14ac:dyDescent="0.25">
      <c r="C13" s="6"/>
    </row>
    <row r="14" spans="2:35" x14ac:dyDescent="0.25">
      <c r="C14" s="6"/>
    </row>
    <row r="15" spans="2:35" x14ac:dyDescent="0.25">
      <c r="C15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092E4-EBFD-4829-BFC1-6F97FE94075A}">
  <sheetPr codeName="Sheet2"/>
  <dimension ref="B1:AL42"/>
  <sheetViews>
    <sheetView topLeftCell="D1" zoomScale="85" zoomScaleNormal="85" workbookViewId="0">
      <selection activeCell="W10" sqref="W10"/>
    </sheetView>
  </sheetViews>
  <sheetFormatPr defaultColWidth="8.42578125" defaultRowHeight="15" x14ac:dyDescent="0.25"/>
  <cols>
    <col min="2" max="2" width="12.85546875" bestFit="1" customWidth="1"/>
    <col min="3" max="3" width="10" customWidth="1"/>
    <col min="4" max="4" width="16.42578125" customWidth="1"/>
    <col min="10" max="10" width="17.42578125" customWidth="1"/>
    <col min="11" max="11" width="13" bestFit="1" customWidth="1"/>
    <col min="12" max="12" width="12.42578125" customWidth="1"/>
    <col min="14" max="14" width="11.42578125" bestFit="1" customWidth="1"/>
    <col min="16" max="16" width="12.42578125" customWidth="1"/>
    <col min="22" max="22" width="8.42578125" customWidth="1"/>
    <col min="24" max="24" width="8.42578125" customWidth="1"/>
  </cols>
  <sheetData>
    <row r="1" spans="2:38" x14ac:dyDescent="0.25">
      <c r="N1" s="2" t="s">
        <v>85</v>
      </c>
      <c r="S1" s="2" t="s">
        <v>86</v>
      </c>
      <c r="AF1" s="57" t="s">
        <v>87</v>
      </c>
      <c r="AG1" s="57"/>
      <c r="AH1" s="57"/>
      <c r="AI1" s="57"/>
      <c r="AJ1" s="57"/>
      <c r="AK1" s="56" t="s">
        <v>88</v>
      </c>
    </row>
    <row r="2" spans="2:38" x14ac:dyDescent="0.25">
      <c r="B2" t="s">
        <v>89</v>
      </c>
      <c r="D2" t="s">
        <v>90</v>
      </c>
      <c r="E2" t="s">
        <v>91</v>
      </c>
      <c r="F2" t="s">
        <v>92</v>
      </c>
      <c r="H2" t="s">
        <v>89</v>
      </c>
      <c r="J2" t="s">
        <v>90</v>
      </c>
      <c r="K2" t="s">
        <v>91</v>
      </c>
      <c r="L2" t="s">
        <v>92</v>
      </c>
      <c r="N2" s="158" t="s">
        <v>93</v>
      </c>
      <c r="O2" s="159"/>
      <c r="P2" s="159"/>
      <c r="Q2" s="159"/>
      <c r="R2" s="3"/>
      <c r="S2" s="3"/>
      <c r="T2" s="4"/>
      <c r="V2" s="28" t="s">
        <v>94</v>
      </c>
      <c r="W2" s="28" t="s">
        <v>95</v>
      </c>
      <c r="Y2" s="156" t="s">
        <v>96</v>
      </c>
      <c r="Z2" s="157"/>
      <c r="AA2" s="157"/>
      <c r="AB2" s="157"/>
      <c r="AC2" s="3"/>
      <c r="AD2" s="4"/>
      <c r="AF2" s="168" t="s">
        <v>93</v>
      </c>
      <c r="AG2" s="169"/>
      <c r="AH2" s="169"/>
      <c r="AI2" s="3"/>
      <c r="AJ2" s="58" t="s">
        <v>97</v>
      </c>
      <c r="AK2" s="58"/>
      <c r="AL2" s="64" t="s">
        <v>98</v>
      </c>
    </row>
    <row r="3" spans="2:38" x14ac:dyDescent="0.25">
      <c r="B3">
        <v>1</v>
      </c>
      <c r="C3" t="s">
        <v>99</v>
      </c>
      <c r="D3" s="5">
        <v>0.99</v>
      </c>
      <c r="E3">
        <f>$B$25</f>
        <v>-4.8138238722567181E+21</v>
      </c>
      <c r="F3">
        <f>$E3-$E4</f>
        <v>-4.8138238722567045E+19</v>
      </c>
      <c r="H3">
        <v>1</v>
      </c>
      <c r="I3" t="s">
        <v>99</v>
      </c>
      <c r="J3" s="5">
        <v>0.99</v>
      </c>
      <c r="K3">
        <f>$J$25</f>
        <v>195149.28852554748</v>
      </c>
      <c r="L3">
        <f>K3-K4</f>
        <v>1951.4928852554876</v>
      </c>
      <c r="N3" s="6" t="s">
        <v>100</v>
      </c>
      <c r="O3" t="s">
        <v>101</v>
      </c>
      <c r="P3" t="s">
        <v>102</v>
      </c>
      <c r="Q3" t="s">
        <v>103</v>
      </c>
      <c r="R3" t="s">
        <v>104</v>
      </c>
      <c r="S3" t="s">
        <v>105</v>
      </c>
      <c r="T3" s="7" t="s">
        <v>106</v>
      </c>
      <c r="V3" s="27">
        <v>2</v>
      </c>
      <c r="W3" s="27">
        <v>2.4E-2</v>
      </c>
      <c r="Y3" s="6" t="s">
        <v>78</v>
      </c>
      <c r="Z3" t="s">
        <v>107</v>
      </c>
      <c r="AA3" t="s">
        <v>102</v>
      </c>
      <c r="AB3" t="s">
        <v>103</v>
      </c>
      <c r="AC3" t="s">
        <v>108</v>
      </c>
      <c r="AD3" s="7"/>
      <c r="AF3" s="59" t="s">
        <v>109</v>
      </c>
      <c r="AG3" s="46" t="s">
        <v>110</v>
      </c>
      <c r="AH3" s="46" t="s">
        <v>111</v>
      </c>
      <c r="AJ3" s="46" t="s">
        <v>112</v>
      </c>
      <c r="AK3" s="46"/>
      <c r="AL3" s="65" t="s">
        <v>113</v>
      </c>
    </row>
    <row r="4" spans="2:38" x14ac:dyDescent="0.25">
      <c r="B4">
        <v>2</v>
      </c>
      <c r="C4" t="s">
        <v>114</v>
      </c>
      <c r="D4" s="5">
        <v>0.99</v>
      </c>
      <c r="E4">
        <f>$E3*$D3</f>
        <v>-4.7656856335341511E+21</v>
      </c>
      <c r="F4">
        <f t="shared" ref="F4:F7" si="0">E4-E5</f>
        <v>-4.7656856335341322E+19</v>
      </c>
      <c r="H4">
        <v>2</v>
      </c>
      <c r="I4" t="s">
        <v>114</v>
      </c>
      <c r="J4" s="5">
        <v>0.99</v>
      </c>
      <c r="K4">
        <f>K3*J3</f>
        <v>193197.795640292</v>
      </c>
      <c r="L4">
        <f>K4-K5</f>
        <v>1931.9779564029304</v>
      </c>
      <c r="N4" s="6" t="s">
        <v>115</v>
      </c>
      <c r="O4" t="s">
        <v>116</v>
      </c>
      <c r="P4" t="s">
        <v>117</v>
      </c>
      <c r="Q4" t="s">
        <v>118</v>
      </c>
      <c r="R4" t="s">
        <v>119</v>
      </c>
      <c r="S4" t="s">
        <v>120</v>
      </c>
      <c r="T4" s="7" t="s">
        <v>117</v>
      </c>
      <c r="V4" s="26">
        <v>3</v>
      </c>
      <c r="W4" s="26">
        <v>2.7E-2</v>
      </c>
      <c r="Y4" s="6" t="s">
        <v>121</v>
      </c>
      <c r="Z4" t="s">
        <v>119</v>
      </c>
      <c r="AA4" t="s">
        <v>117</v>
      </c>
      <c r="AB4" t="s">
        <v>118</v>
      </c>
      <c r="AC4" t="s">
        <v>119</v>
      </c>
      <c r="AD4" s="7" t="s">
        <v>122</v>
      </c>
      <c r="AF4" s="6">
        <f>400/R5</f>
        <v>0.66450701885538666</v>
      </c>
      <c r="AG4" s="46">
        <v>25000</v>
      </c>
      <c r="AH4" s="46">
        <v>100</v>
      </c>
      <c r="AJ4" s="60">
        <f>1/( 0.8135782439355 + -4.2086319218194 * 1/(1+EXP(-1*( 2.3973540043206 + -0.0508065735931 * AF4 + -0.000072937858 * AG4 + -0.0080153757554 * AH4))) +  2.8576745327295 * 1/(1+EXP(-1*(-0.0086021349152 +  0.5711825890572 * AF4 + -0.0000110202746 * AG4 +  0.0351364782953 * AH4))) +  1.7788575398144 * 1/(1+EXP(-1*( 2.6827267419524 +  0.6667691382774 * AF4 + -0.0000971960694 * AG4 + -0.0090022488795 * AH4))) +  1.8673479625708 * 1/(1+EXP(-1*( 0.8180948849274 + -2.3770778914685 * AF4 +  0.000015762519 * AG4 + -0.0258320834786 * AH4))) + -2.7998018300562 * 1/(1+EXP(-1*(-2.3961024834013 +  1.1209900064964 * AF4 +  0.0000435375778 * AG4 +  0.0066592551285 * AH4))))</f>
        <v>0.84408345234120452</v>
      </c>
      <c r="AK4" s="46"/>
      <c r="AL4" s="66">
        <f>-99.0418351480353 + 240.280950394128 * 1/(1+EXP(-1*(-0.434701805376 +  1.2972817220693 * AF4 + -0.0000608122708 * AG4 + -0.0003726875068 * AH4))) + 350.739756214099 * 1/(1+EXP(-1*( 0.6266478653638 + -0.9835358490217 * AF4 +  0.0000569426678 * AG4 +  0.0067603039426 * AH4))) + -250.624168329607 * 1/(1+EXP(-1*( 3.0148200824521 + -3.1904634619017 * AF4 +  0.0001015248563 * AG4 + -0.0045603317071 * AH4))) + 691.377677910819 * 1/(1+EXP(-1*(-3.1537792111161 + -1.4085969331139 * AF4 + -0.0000374747481 * AG4 +  0.009749228554 * AH4))) + -227.238412046268 * 1/(1+EXP(-1*(-3.5559588394047 +  3.4035265549626 * AF4 + -0.0000897013852 * AG4 +  0.0012747390829 * AH4)))</f>
        <v>37.222551163296174</v>
      </c>
    </row>
    <row r="5" spans="2:38" x14ac:dyDescent="0.25">
      <c r="B5">
        <v>3</v>
      </c>
      <c r="C5" t="s">
        <v>123</v>
      </c>
      <c r="D5" s="5">
        <v>0.995</v>
      </c>
      <c r="E5">
        <f t="shared" ref="E5:E8" si="1">E4*D4</f>
        <v>-4.7180287771988098E+21</v>
      </c>
      <c r="F5">
        <f t="shared" si="0"/>
        <v>-2.3590143885994099E+19</v>
      </c>
      <c r="H5">
        <v>3</v>
      </c>
      <c r="I5" t="s">
        <v>123</v>
      </c>
      <c r="J5" s="5">
        <v>0.995</v>
      </c>
      <c r="K5">
        <f t="shared" ref="K5:K6" si="2">K4*J4</f>
        <v>191265.81768388906</v>
      </c>
      <c r="L5">
        <f t="shared" ref="L5:L13" si="3">K5-K6</f>
        <v>956.329088419443</v>
      </c>
      <c r="N5" s="39">
        <v>35000</v>
      </c>
      <c r="O5" s="5">
        <v>0.6</v>
      </c>
      <c r="P5" s="9">
        <v>5.5869999999999997</v>
      </c>
      <c r="Q5" s="54">
        <f>AJ4*I37</f>
        <v>0.75967510710708408</v>
      </c>
      <c r="R5" s="71">
        <v>601.95000000000005</v>
      </c>
      <c r="S5">
        <f>(N5/O5)/60</f>
        <v>972.22222222222229</v>
      </c>
      <c r="T5" s="11">
        <f>1/EXP(O5*Q5/P5)</f>
        <v>0.92165607010520312</v>
      </c>
      <c r="V5" s="27">
        <v>4</v>
      </c>
      <c r="W5" s="27">
        <v>0.03</v>
      </c>
      <c r="Y5" s="22">
        <v>200</v>
      </c>
      <c r="Z5" s="10">
        <f>0.95*AC5</f>
        <v>595.11895000000004</v>
      </c>
      <c r="AA5" s="10">
        <v>11.12</v>
      </c>
      <c r="AB5" s="102">
        <f>AJ16*I37</f>
        <v>0.92236791610183044</v>
      </c>
      <c r="AC5" s="10">
        <v>626.44100000000003</v>
      </c>
      <c r="AD5" s="23">
        <f>1/EXP(Y5*AB5/(AA5*Z5))</f>
        <v>0.97250925249155873</v>
      </c>
      <c r="AF5" s="166" t="s">
        <v>124</v>
      </c>
      <c r="AG5" s="167"/>
      <c r="AH5" s="167"/>
      <c r="AJ5" s="46" t="s">
        <v>97</v>
      </c>
      <c r="AK5" s="46"/>
      <c r="AL5" s="65" t="s">
        <v>98</v>
      </c>
    </row>
    <row r="6" spans="2:38" x14ac:dyDescent="0.25">
      <c r="B6">
        <v>4</v>
      </c>
      <c r="C6" t="s">
        <v>93</v>
      </c>
      <c r="D6" s="12">
        <f>T5</f>
        <v>0.92165607010520312</v>
      </c>
      <c r="E6">
        <f t="shared" si="1"/>
        <v>-4.6944386333128157E+21</v>
      </c>
      <c r="F6">
        <f t="shared" si="0"/>
        <v>-3.6778077118368527E+20</v>
      </c>
      <c r="H6">
        <v>4</v>
      </c>
      <c r="I6" t="s">
        <v>93</v>
      </c>
      <c r="J6" s="12">
        <f>T5</f>
        <v>0.92165607010520312</v>
      </c>
      <c r="K6">
        <f t="shared" si="2"/>
        <v>190309.48859546962</v>
      </c>
      <c r="L6">
        <f t="shared" si="3"/>
        <v>14909.593232838117</v>
      </c>
      <c r="O6" t="s">
        <v>125</v>
      </c>
      <c r="P6" s="68" t="e">
        <f>'Drag Polar'!K21</f>
        <v>#NUM!</v>
      </c>
      <c r="Z6" t="s">
        <v>125</v>
      </c>
      <c r="AA6" s="68" t="e">
        <f>'Drag Polar'!K23</f>
        <v>#NUM!</v>
      </c>
      <c r="AF6" s="59" t="s">
        <v>109</v>
      </c>
      <c r="AG6" s="46" t="s">
        <v>110</v>
      </c>
      <c r="AH6" s="46" t="s">
        <v>111</v>
      </c>
      <c r="AJ6" s="46" t="s">
        <v>112</v>
      </c>
      <c r="AK6" s="46"/>
      <c r="AL6" s="65" t="s">
        <v>113</v>
      </c>
    </row>
    <row r="7" spans="2:38" x14ac:dyDescent="0.25">
      <c r="B7">
        <v>5</v>
      </c>
      <c r="C7" t="s">
        <v>124</v>
      </c>
      <c r="D7" s="13">
        <f>S10</f>
        <v>0.66402346932585954</v>
      </c>
      <c r="E7">
        <f t="shared" si="1"/>
        <v>-4.3266578621291304E+21</v>
      </c>
      <c r="F7">
        <f t="shared" si="0"/>
        <v>-1.4536554979321389E+21</v>
      </c>
      <c r="H7">
        <v>5</v>
      </c>
      <c r="I7" t="s">
        <v>126</v>
      </c>
      <c r="J7" s="37">
        <f>Z18</f>
        <v>0.91348648786255637</v>
      </c>
      <c r="K7">
        <f t="shared" ref="K7:K14" si="4">K6*J6</f>
        <v>175399.89536263151</v>
      </c>
      <c r="L7">
        <f t="shared" si="3"/>
        <v>15174.460976361355</v>
      </c>
      <c r="O7" t="s">
        <v>127</v>
      </c>
      <c r="P7" s="69">
        <f>'Drag Polar'!W32</f>
        <v>5.5869999999999997</v>
      </c>
      <c r="T7" s="7"/>
      <c r="U7" s="162" t="s">
        <v>128</v>
      </c>
      <c r="V7" s="162"/>
      <c r="W7" s="162"/>
      <c r="X7" s="162"/>
      <c r="Y7" s="6"/>
      <c r="Z7" t="s">
        <v>127</v>
      </c>
      <c r="AA7" s="69">
        <f>'Drag Polar'!W34</f>
        <v>11.12</v>
      </c>
      <c r="AF7" s="59">
        <v>2</v>
      </c>
      <c r="AG7" s="39">
        <v>55000</v>
      </c>
      <c r="AH7" s="46">
        <v>100</v>
      </c>
      <c r="AJ7" s="60">
        <f>1/( 0.8135782439355 + -4.2086319218194 * 1/(1+EXP(-1*( 2.3973540043206 + -0.0508065735931 * AF7 + -0.000072937858 * AG7 + -0.0080153757554 * AH7))) +  2.8576745327295 * 1/(1+EXP(-1*(-0.0086021349152 +  0.5711825890572 * AF7 + -0.0000110202746 * AG7 +  0.0351364782953 * AH7))) +  1.7788575398144 * 1/(1+EXP(-1*( 2.6827267419524 +  0.6667691382774 * AF7 + -0.0000971960694 * AG7 + -0.0090022488795 * AH7))) +  1.8673479625708 * 1/(1+EXP(-1*( 0.8180948849274 + -2.3770778914685 * AF7 +  0.000015762519 * AG7 + -0.0258320834786 * AH7))) + -2.7998018300562 * 1/(1+EXP(-1*(-2.3961024834013 +  1.1209900064964 * AF7 +  0.0000435375778 * AG7 +  0.0066592551285 * AH7))))</f>
        <v>1.2014264777749657</v>
      </c>
      <c r="AK7" s="46"/>
      <c r="AL7" s="66">
        <f>-99.0418351480353 + 240.280950394128 * 1/(1+EXP(-1*(-0.434701805376 +  1.2972817220693 * AF7 + -0.0000608122708 * AG7 + -0.0003726875068 * AH7))) + 350.739756214099 * 1/(1+EXP(-1*( 0.6266478653638 + -0.9835358490217 * AF7 +  0.0000569426678 * AG7 +  0.0067603039426 * AH7))) + -250.624168329607 * 1/(1+EXP(-1*( 3.0148200824521 + -3.1904634619017 * AF7 +  0.0001015248563 * AG7 + -0.0045603317071 * AH7))) + 691.377677910819 * 1/(1+EXP(-1*(-3.1537792111161 + -1.4085969331139 * AF7 + -0.0000374747481 * AG7 +  0.009749228554 * AH7))) + -227.238412046268 * 1/(1+EXP(-1*(-3.5559588394047 +  3.4035265549626 * AF7 + -0.0000897013852 * AG7 +  0.0012747390829 * AH7)))</f>
        <v>26.044394911005369</v>
      </c>
    </row>
    <row r="8" spans="2:38" x14ac:dyDescent="0.25">
      <c r="B8">
        <v>6</v>
      </c>
      <c r="C8" t="s">
        <v>129</v>
      </c>
      <c r="D8" s="5">
        <v>0.99</v>
      </c>
      <c r="E8">
        <f t="shared" si="1"/>
        <v>-2.8730023641969915E+21</v>
      </c>
      <c r="F8">
        <f>E8-E9</f>
        <v>-2.8730023641969852E+19</v>
      </c>
      <c r="H8">
        <v>6</v>
      </c>
      <c r="I8" t="s">
        <v>124</v>
      </c>
      <c r="J8" s="13">
        <f>Z10</f>
        <v>0.76937969334440415</v>
      </c>
      <c r="K8">
        <f t="shared" si="4"/>
        <v>160225.43438627015</v>
      </c>
      <c r="L8">
        <f t="shared" si="3"/>
        <v>36951.238812187672</v>
      </c>
      <c r="N8" s="163" t="s">
        <v>130</v>
      </c>
      <c r="O8" s="162"/>
      <c r="P8" s="162"/>
      <c r="Q8" s="162"/>
      <c r="R8" s="3"/>
      <c r="S8" s="3"/>
      <c r="T8" s="4"/>
      <c r="U8" s="6" t="s">
        <v>78</v>
      </c>
      <c r="V8" t="s">
        <v>107</v>
      </c>
      <c r="W8" t="s">
        <v>102</v>
      </c>
      <c r="X8" t="s">
        <v>103</v>
      </c>
      <c r="Y8" s="22"/>
      <c r="Z8" s="10"/>
      <c r="AA8" s="10"/>
      <c r="AF8" s="166" t="s">
        <v>131</v>
      </c>
      <c r="AG8" s="167"/>
      <c r="AH8" s="167"/>
      <c r="AJ8" s="46" t="s">
        <v>97</v>
      </c>
      <c r="AK8" s="46"/>
      <c r="AL8" s="65" t="s">
        <v>98</v>
      </c>
    </row>
    <row r="9" spans="2:38" x14ac:dyDescent="0.25">
      <c r="B9">
        <v>7</v>
      </c>
      <c r="C9" t="s">
        <v>96</v>
      </c>
      <c r="D9" s="15">
        <f>AD5</f>
        <v>0.97250925249155873</v>
      </c>
      <c r="E9">
        <f>E8*D8</f>
        <v>-2.8442723405550217E+21</v>
      </c>
      <c r="F9">
        <f>E9-E10</f>
        <v>-7.8191172759441637E+19</v>
      </c>
      <c r="H9">
        <v>7</v>
      </c>
      <c r="I9" t="s">
        <v>132</v>
      </c>
      <c r="J9" s="37">
        <f>AG18</f>
        <v>0.92858991856844986</v>
      </c>
      <c r="K9">
        <f t="shared" si="4"/>
        <v>123274.19557408248</v>
      </c>
      <c r="L9">
        <f t="shared" si="3"/>
        <v>8803.0203443540668</v>
      </c>
      <c r="N9" s="6" t="s">
        <v>78</v>
      </c>
      <c r="O9" t="s">
        <v>107</v>
      </c>
      <c r="P9" t="s">
        <v>102</v>
      </c>
      <c r="Q9" t="s">
        <v>103</v>
      </c>
      <c r="S9" t="s">
        <v>133</v>
      </c>
      <c r="T9" s="7" t="s">
        <v>134</v>
      </c>
      <c r="U9" s="6" t="s">
        <v>121</v>
      </c>
      <c r="V9" t="s">
        <v>119</v>
      </c>
      <c r="W9" t="s">
        <v>117</v>
      </c>
      <c r="X9" t="s">
        <v>118</v>
      </c>
      <c r="Z9" t="s">
        <v>133</v>
      </c>
      <c r="AA9" s="4" t="s">
        <v>134</v>
      </c>
      <c r="AF9" s="59" t="s">
        <v>109</v>
      </c>
      <c r="AG9" s="46" t="s">
        <v>110</v>
      </c>
      <c r="AH9" s="46" t="s">
        <v>111</v>
      </c>
      <c r="AJ9" s="46" t="s">
        <v>112</v>
      </c>
      <c r="AK9" s="46"/>
      <c r="AL9" s="65" t="s">
        <v>113</v>
      </c>
    </row>
    <row r="10" spans="2:38" x14ac:dyDescent="0.25">
      <c r="B10">
        <v>8</v>
      </c>
      <c r="C10" t="s">
        <v>135</v>
      </c>
      <c r="D10" s="14">
        <f>R20</f>
        <v>0.90621888793860939</v>
      </c>
      <c r="E10">
        <f>E9*D9</f>
        <v>-2.76608116779558E+21</v>
      </c>
      <c r="F10">
        <f>E10-E11</f>
        <v>-2.5940616796793943E+20</v>
      </c>
      <c r="H10">
        <v>8</v>
      </c>
      <c r="I10" t="s">
        <v>129</v>
      </c>
      <c r="J10" s="5">
        <v>0.99</v>
      </c>
      <c r="K10">
        <f t="shared" si="4"/>
        <v>114471.17522972841</v>
      </c>
      <c r="L10">
        <f t="shared" si="3"/>
        <v>1144.711752297284</v>
      </c>
      <c r="N10" s="6" t="s">
        <v>121</v>
      </c>
      <c r="O10" t="s">
        <v>119</v>
      </c>
      <c r="P10" t="s">
        <v>117</v>
      </c>
      <c r="Q10" t="s">
        <v>118</v>
      </c>
      <c r="S10" s="18">
        <f>1/EXP(N11*Q11/(P11*O11))</f>
        <v>0.66402346932585954</v>
      </c>
      <c r="T10" s="7">
        <f>(E7+E7-F7)/2</f>
        <v>-3.5998301131630612E+21</v>
      </c>
      <c r="U10" s="16">
        <v>3000</v>
      </c>
      <c r="V10" s="17">
        <f>U14*V14</f>
        <v>1147.1400000000001</v>
      </c>
      <c r="W10" s="17">
        <v>10.786</v>
      </c>
      <c r="X10" s="55">
        <f>AJ7*I37</f>
        <v>1.0812838299974692</v>
      </c>
      <c r="Z10" s="18">
        <f>1/EXP(U10*X10/(W10*V10))</f>
        <v>0.76937969334440415</v>
      </c>
      <c r="AA10" s="7">
        <f>(K8+K8-L8)/2</f>
        <v>141749.81498017631</v>
      </c>
      <c r="AF10" s="59">
        <f>U22</f>
        <v>0.95</v>
      </c>
      <c r="AG10" s="46">
        <v>35000</v>
      </c>
      <c r="AH10" s="46">
        <v>100</v>
      </c>
      <c r="AJ10" s="60">
        <f>1/( 0.8135782439355 + -4.2086319218194 * 1/(1+EXP(-1*( 2.3973540043206 + -0.0508065735931 * AF10 + -0.000072937858 * AG10 + -0.0080153757554 * AH10))) +  2.8576745327295 * 1/(1+EXP(-1*(-0.0086021349152 +  0.5711825890572 * AF10 + -0.0000110202746 * AG10 +  0.0351364782953 * AH10))) +  1.7788575398144 * 1/(1+EXP(-1*( 2.6827267419524 +  0.6667691382774 * AF10 + -0.0000971960694 * AG10 + -0.0090022488795 * AH10))) +  1.8673479625708 * 1/(1+EXP(-1*( 0.8180948849274 + -2.3770778914685 * AF10 +  0.000015762519 * AG10 + -0.0258320834786 * AH10))) + -2.7998018300562 * 1/(1+EXP(-1*(-2.3961024834013 +  1.1209900064964 * AF10 +  0.0000435375778 * AG10 +  0.0066592551285 * AH10))))</f>
        <v>0.95665185261853225</v>
      </c>
      <c r="AK10" s="46"/>
      <c r="AL10" s="66">
        <f>-99.0418351480353 + 240.280950394128 * 1/(1+EXP(-1*(-0.434701805376 +  1.2972817220693 * AF10 + -0.0000608122708 * AG10 + -0.0003726875068 * AH10))) + 350.739756214099 * 1/(1+EXP(-1*( 0.6266478653638 + -0.9835358490217 * AF10 +  0.0000569426678 * AG10 +  0.0067603039426 * AH10))) + -250.624168329607 * 1/(1+EXP(-1*( 3.0148200824521 + -3.1904634619017 * AF10 +  0.0001015248563 * AG10 + -0.0045603317071 * AH10))) + 691.377677910819 * 1/(1+EXP(-1*(-3.1537792111161 + -1.4085969331139 * AF10 + -0.0000374747481 * AG10 +  0.009749228554 * AH10))) + -227.238412046268 * 1/(1+EXP(-1*(-3.5559588394047 +  3.4035265549626 * AF10 + -0.0000897013852 * AG10 +  0.0012747390829 * AH10)))</f>
        <v>28.282148656019277</v>
      </c>
    </row>
    <row r="11" spans="2:38" x14ac:dyDescent="0.25">
      <c r="B11">
        <v>9</v>
      </c>
      <c r="C11" t="s">
        <v>136</v>
      </c>
      <c r="D11" s="17">
        <v>0.99199999999999999</v>
      </c>
      <c r="E11">
        <f>D10*E10</f>
        <v>-2.5066749998276406E+21</v>
      </c>
      <c r="F11">
        <f>E11-E12</f>
        <v>-2.0053399998621024E+19</v>
      </c>
      <c r="H11">
        <v>9</v>
      </c>
      <c r="I11" t="s">
        <v>96</v>
      </c>
      <c r="J11" s="15">
        <f>AD5</f>
        <v>0.97250925249155873</v>
      </c>
      <c r="K11">
        <f t="shared" si="4"/>
        <v>113326.46347743113</v>
      </c>
      <c r="L11">
        <f t="shared" si="3"/>
        <v>3115.429193482647</v>
      </c>
      <c r="N11" s="16">
        <v>4000</v>
      </c>
      <c r="O11" s="17">
        <f>N15*O15</f>
        <v>1147.1400000000001</v>
      </c>
      <c r="P11" s="17">
        <v>9.2086370783730125</v>
      </c>
      <c r="Q11" s="55">
        <f>AJ7*I37</f>
        <v>1.0812838299974692</v>
      </c>
      <c r="T11" s="7"/>
      <c r="U11" s="6"/>
      <c r="W11">
        <f>'Drag Polar'!W18</f>
        <v>10.786</v>
      </c>
      <c r="AA11" s="7"/>
      <c r="AF11" s="164" t="s">
        <v>135</v>
      </c>
      <c r="AG11" s="165"/>
      <c r="AH11" s="165"/>
      <c r="AJ11" s="46" t="s">
        <v>97</v>
      </c>
      <c r="AK11" s="46"/>
      <c r="AL11" s="65" t="s">
        <v>98</v>
      </c>
    </row>
    <row r="12" spans="2:38" x14ac:dyDescent="0.25">
      <c r="E12">
        <f>D11*E11</f>
        <v>-2.4866215998290196E+21</v>
      </c>
      <c r="H12">
        <v>10</v>
      </c>
      <c r="I12" t="s">
        <v>135</v>
      </c>
      <c r="J12" s="14">
        <f>R20</f>
        <v>0.90621888793860939</v>
      </c>
      <c r="K12">
        <f t="shared" si="4"/>
        <v>110211.03428394848</v>
      </c>
      <c r="L12">
        <f t="shared" si="3"/>
        <v>10335.713356584733</v>
      </c>
      <c r="N12" s="6"/>
      <c r="P12" s="35" t="e">
        <f>'Drag Polar'!K18</f>
        <v>#NUM!</v>
      </c>
      <c r="T12" s="7"/>
      <c r="U12" s="6" t="s">
        <v>137</v>
      </c>
      <c r="V12" t="s">
        <v>138</v>
      </c>
      <c r="AA12" s="7"/>
      <c r="AD12" s="46"/>
      <c r="AF12" s="59" t="s">
        <v>109</v>
      </c>
      <c r="AG12" s="46" t="s">
        <v>110</v>
      </c>
      <c r="AH12" s="46" t="s">
        <v>111</v>
      </c>
      <c r="AJ12" s="46" t="s">
        <v>112</v>
      </c>
      <c r="AK12" s="46"/>
      <c r="AL12" s="65" t="s">
        <v>113</v>
      </c>
    </row>
    <row r="13" spans="2:38" x14ac:dyDescent="0.25">
      <c r="C13" t="s">
        <v>139</v>
      </c>
      <c r="D13">
        <f>PRODUCT(D3:D11)</f>
        <v>0.51655849192157766</v>
      </c>
      <c r="F13">
        <f>SUM(F3:F11)</f>
        <v>-2.3272022724276986E+21</v>
      </c>
      <c r="H13">
        <v>11</v>
      </c>
      <c r="I13" t="s">
        <v>136</v>
      </c>
      <c r="J13" s="17">
        <v>0.99199999999999999</v>
      </c>
      <c r="K13">
        <f t="shared" si="4"/>
        <v>99875.320927363748</v>
      </c>
      <c r="L13">
        <f t="shared" si="3"/>
        <v>799.00256741890917</v>
      </c>
      <c r="N13" s="6" t="s">
        <v>137</v>
      </c>
      <c r="O13" t="s">
        <v>140</v>
      </c>
      <c r="T13" s="7"/>
      <c r="U13" s="6" t="s">
        <v>117</v>
      </c>
      <c r="V13" t="s">
        <v>119</v>
      </c>
      <c r="AA13" s="7"/>
      <c r="AF13" s="61">
        <v>0.4</v>
      </c>
      <c r="AG13" s="62">
        <v>15000</v>
      </c>
      <c r="AH13" s="62">
        <v>100</v>
      </c>
      <c r="AI13" s="10"/>
      <c r="AJ13" s="63">
        <f>1/( 0.8135782439355 + -4.2086319218194 * 1/(1+EXP(-1*( 2.3973540043206 + -0.0508065735931 * AF13 + -0.000072937858 * AG13 + -0.0080153757554 * AH13))) +  2.8576745327295 * 1/(1+EXP(-1*(-0.0086021349152 +  0.5711825890572 * AF13 + -0.0000110202746 * AG13 +  0.0351364782953 * AH13))) +  1.7788575398144 * 1/(1+EXP(-1*( 2.6827267419524 +  0.6667691382774 * AF13 + -0.0000971960694 * AG13 + -0.0090022488795 * AH13))) +  1.8673479625708 * 1/(1+EXP(-1*( 0.8180948849274 + -2.3770778914685 * AF13 +  0.000015762519 * AG13 + -0.0258320834786 * AH13))) + -2.7998018300562 * 1/(1+EXP(-1*(-2.3961024834013 +  1.1209900064964 * AF13 +  0.0000435375778 * AG13 +  0.0066592551285 * AH13))))</f>
        <v>0.76503670271087909</v>
      </c>
      <c r="AK13" s="62"/>
      <c r="AL13" s="67">
        <f>-99.0418351480353 + 240.280950394128 * 1/(1+EXP(-1*(-0.434701805376 +  1.2972817220693 * AF13 + -0.0000608122708 * AG13 + -0.0003726875068 * AH13))) + 350.739756214099 * 1/(1+EXP(-1*( 0.6266478653638 + -0.9835358490217 * AF13 +  0.0000569426678 * AG13 +  0.0067603039426 * AH13))) + -250.624168329607 * 1/(1+EXP(-1*( 3.0148200824521 + -3.1904634619017 * AF13 +  0.0001015248563 * AG13 + -0.0045603317071 * AH13))) + 691.377677910819 * 1/(1+EXP(-1*(-3.1537792111161 + -1.4085969331139 * AF13 + -0.0000374747481 * AG13 +  0.009749228554 * AH13))) + -227.238412046268 * 1/(1+EXP(-1*(-3.5559588394047 +  3.4035265549626 * AF13 + -0.0000897013852 * AG13 +  0.0012747390829 * AH13)))</f>
        <v>52.451606493652889</v>
      </c>
    </row>
    <row r="14" spans="2:38" x14ac:dyDescent="0.25">
      <c r="K14">
        <f t="shared" si="4"/>
        <v>99076.318359944838</v>
      </c>
      <c r="N14" s="6" t="s">
        <v>117</v>
      </c>
      <c r="O14" t="s">
        <v>119</v>
      </c>
      <c r="T14" s="7"/>
      <c r="U14" s="16">
        <v>2</v>
      </c>
      <c r="V14" s="17">
        <f>O15</f>
        <v>573.57000000000005</v>
      </c>
      <c r="AA14" s="7"/>
      <c r="AF14" s="152" t="s">
        <v>96</v>
      </c>
      <c r="AG14" s="153"/>
      <c r="AH14" s="153"/>
      <c r="AJ14" s="46" t="s">
        <v>97</v>
      </c>
      <c r="AK14" s="46"/>
      <c r="AL14" s="65" t="s">
        <v>98</v>
      </c>
    </row>
    <row r="15" spans="2:38" x14ac:dyDescent="0.25">
      <c r="I15" t="s">
        <v>139</v>
      </c>
      <c r="J15">
        <f>PRODUCT(J3:J13)</f>
        <v>0.5076950016498496</v>
      </c>
      <c r="L15">
        <f>SUM(L3:L13)</f>
        <v>96072.970165602645</v>
      </c>
      <c r="N15" s="19">
        <v>2</v>
      </c>
      <c r="O15" s="20">
        <f>N35</f>
        <v>573.57000000000005</v>
      </c>
      <c r="P15" s="10"/>
      <c r="Q15" s="10"/>
      <c r="R15" s="10"/>
      <c r="S15" s="10"/>
      <c r="T15" s="10"/>
      <c r="U15" s="163" t="s">
        <v>141</v>
      </c>
      <c r="V15" s="162"/>
      <c r="W15" s="162"/>
      <c r="X15" s="162"/>
      <c r="AB15" s="162" t="s">
        <v>142</v>
      </c>
      <c r="AC15" s="162"/>
      <c r="AD15" s="162"/>
      <c r="AE15" s="162"/>
      <c r="AF15" s="59" t="s">
        <v>109</v>
      </c>
      <c r="AG15" s="46" t="s">
        <v>110</v>
      </c>
      <c r="AH15" s="46" t="s">
        <v>111</v>
      </c>
      <c r="AJ15" s="46" t="s">
        <v>112</v>
      </c>
      <c r="AK15" s="46"/>
      <c r="AL15" s="65" t="s">
        <v>113</v>
      </c>
    </row>
    <row r="16" spans="2:38" x14ac:dyDescent="0.25">
      <c r="U16" s="6" t="s">
        <v>78</v>
      </c>
      <c r="V16" t="s">
        <v>107</v>
      </c>
      <c r="W16" t="s">
        <v>102</v>
      </c>
      <c r="X16" t="s">
        <v>103</v>
      </c>
      <c r="AB16" t="s">
        <v>78</v>
      </c>
      <c r="AC16" t="s">
        <v>107</v>
      </c>
      <c r="AD16" t="s">
        <v>102</v>
      </c>
      <c r="AE16" t="s">
        <v>103</v>
      </c>
      <c r="AF16" s="61">
        <v>0.95</v>
      </c>
      <c r="AG16" s="62">
        <v>15000</v>
      </c>
      <c r="AH16" s="62">
        <v>100</v>
      </c>
      <c r="AI16" s="10"/>
      <c r="AJ16" s="63">
        <f>1/( 0.8135782439355 + -4.2086319218194 * 1/(1+EXP(-1*( 2.3973540043206 + -0.0508065735931 * AF16 + -0.000072937858 * AG16 + -0.0080153757554 * AH16))) +  2.8576745327295 * 1/(1+EXP(-1*(-0.0086021349152 +  0.5711825890572 * AF16 + -0.0000110202746 * AG16 +  0.0351364782953 * AH16))) +  1.7788575398144 * 1/(1+EXP(-1*( 2.6827267419524 +  0.6667691382774 * AF16 + -0.0000971960694 * AG16 + -0.0090022488795 * AH16))) +  1.8673479625708 * 1/(1+EXP(-1*( 0.8180948849274 + -2.3770778914685 * AF16 +  0.000015762519 * AG16 + -0.0258320834786 * AH16))) + -2.7998018300562 * 1/(1+EXP(-1*(-2.3961024834013 +  1.1209900064964 * AF16 +  0.0000435375778 * AG16 +  0.0066592551285 * AH16))))</f>
        <v>1.0248532401131449</v>
      </c>
      <c r="AK16" s="62"/>
      <c r="AL16" s="67">
        <f>-99.0418351480353 + 240.280950394128 * 1/(1+EXP(-1*(-0.434701805376 +  1.2972817220693 * AF16 + -0.0000608122708 * AG16 + -0.0003726875068 * AH16))) + 350.739756214099 * 1/(1+EXP(-1*( 0.6266478653638 + -0.9835358490217 * AF16 +  0.0000569426678 * AG16 +  0.0067603039426 * AH16))) + -250.624168329607 * 1/(1+EXP(-1*( 3.0148200824521 + -3.1904634619017 * AF16 +  0.0001015248563 * AG16 + -0.0045603317071 * AH16))) + 691.377677910819 * 1/(1+EXP(-1*(-3.1537792111161 + -1.4085969331139 * AF16 + -0.0000374747481 * AG16 +  0.009749228554 * AH16))) + -227.238412046268 * 1/(1+EXP(-1*(-3.5559588394047 +  3.4035265549626 * AF16 + -0.0000897013852 * AG16 +  0.0012747390829 * AH16)))</f>
        <v>68.666387941089411</v>
      </c>
    </row>
    <row r="17" spans="2:34" x14ac:dyDescent="0.25">
      <c r="N17" s="160" t="s">
        <v>135</v>
      </c>
      <c r="O17" s="161"/>
      <c r="P17" s="161"/>
      <c r="Q17" s="3" t="s">
        <v>143</v>
      </c>
      <c r="R17" s="4"/>
      <c r="U17" s="6" t="s">
        <v>121</v>
      </c>
      <c r="V17" t="s">
        <v>119</v>
      </c>
      <c r="W17" t="s">
        <v>117</v>
      </c>
      <c r="X17" t="s">
        <v>118</v>
      </c>
      <c r="Z17" t="s">
        <v>144</v>
      </c>
      <c r="AA17" t="s">
        <v>134</v>
      </c>
      <c r="AB17" t="s">
        <v>121</v>
      </c>
      <c r="AC17" t="s">
        <v>119</v>
      </c>
      <c r="AD17" t="s">
        <v>117</v>
      </c>
      <c r="AE17" t="s">
        <v>118</v>
      </c>
      <c r="AG17" t="s">
        <v>145</v>
      </c>
      <c r="AH17" s="7" t="s">
        <v>134</v>
      </c>
    </row>
    <row r="18" spans="2:34" x14ac:dyDescent="0.25">
      <c r="N18" s="6" t="s">
        <v>101</v>
      </c>
      <c r="O18" t="s">
        <v>102</v>
      </c>
      <c r="P18" t="s">
        <v>103</v>
      </c>
      <c r="Q18" t="s">
        <v>108</v>
      </c>
      <c r="R18" s="7"/>
      <c r="U18" s="16">
        <v>500</v>
      </c>
      <c r="V18" s="17">
        <f>U22*V22</f>
        <v>547.59804999999994</v>
      </c>
      <c r="W18" s="17">
        <v>8.6880000000000006</v>
      </c>
      <c r="X18" s="55">
        <f>AJ10*I37</f>
        <v>0.86098666735667906</v>
      </c>
      <c r="Z18" s="36">
        <f>1/EXP(U18*X18/(W18*V18))</f>
        <v>0.91348648786255637</v>
      </c>
      <c r="AA18">
        <f>(K7+K7-L7)/2</f>
        <v>167812.66487445083</v>
      </c>
      <c r="AB18" s="17">
        <v>500</v>
      </c>
      <c r="AC18" s="17">
        <f>AB22*AC22</f>
        <v>547.59804999999994</v>
      </c>
      <c r="AD18" s="17">
        <v>10.611000000000001</v>
      </c>
      <c r="AE18" s="55">
        <f>AJ10*I37</f>
        <v>0.86098666735667906</v>
      </c>
      <c r="AG18" s="36">
        <f>1/EXP(AB18*AE18/(AD18*AC18))</f>
        <v>0.92858991856844986</v>
      </c>
      <c r="AH18" s="7">
        <f>(K9+K9-L9)/2</f>
        <v>118872.68540190544</v>
      </c>
    </row>
    <row r="19" spans="2:34" x14ac:dyDescent="0.25">
      <c r="N19" s="6" t="s">
        <v>116</v>
      </c>
      <c r="O19" t="s">
        <v>117</v>
      </c>
      <c r="P19" t="s">
        <v>118</v>
      </c>
      <c r="Q19" t="s">
        <v>119</v>
      </c>
      <c r="R19" s="7" t="s">
        <v>146</v>
      </c>
      <c r="U19" s="6"/>
      <c r="W19">
        <f>'Drag Polar'!W24</f>
        <v>8.6880000000000006</v>
      </c>
      <c r="AD19">
        <f>'Drag Polar'!W29</f>
        <v>10.611000000000001</v>
      </c>
      <c r="AH19" s="7"/>
    </row>
    <row r="20" spans="2:34" x14ac:dyDescent="0.25">
      <c r="N20" s="8">
        <v>0.75</v>
      </c>
      <c r="O20" s="34">
        <v>5.2439999999999998</v>
      </c>
      <c r="P20" s="54">
        <f>AJ13*I37</f>
        <v>0.68853303243979125</v>
      </c>
      <c r="Q20" s="10">
        <v>626.44100000000003</v>
      </c>
      <c r="R20" s="21">
        <f>1/EXP(N20*P20/O20)</f>
        <v>0.90621888793860939</v>
      </c>
      <c r="U20" s="6" t="s">
        <v>137</v>
      </c>
      <c r="V20" t="s">
        <v>138</v>
      </c>
      <c r="AB20" t="s">
        <v>137</v>
      </c>
      <c r="AC20" t="s">
        <v>138</v>
      </c>
      <c r="AH20" s="7"/>
    </row>
    <row r="21" spans="2:34" x14ac:dyDescent="0.25">
      <c r="N21" t="s">
        <v>125</v>
      </c>
      <c r="O21" s="68" t="e">
        <f>'Drag Polar'!K22</f>
        <v>#NUM!</v>
      </c>
      <c r="U21" s="6" t="s">
        <v>117</v>
      </c>
      <c r="V21" t="s">
        <v>119</v>
      </c>
      <c r="AB21" t="s">
        <v>117</v>
      </c>
      <c r="AC21" t="s">
        <v>119</v>
      </c>
      <c r="AH21" s="7"/>
    </row>
    <row r="22" spans="2:34" x14ac:dyDescent="0.25">
      <c r="B22" s="154" t="s">
        <v>147</v>
      </c>
      <c r="C22" s="154"/>
      <c r="D22" s="154"/>
      <c r="J22" s="155" t="s">
        <v>148</v>
      </c>
      <c r="K22" s="155"/>
      <c r="L22" s="155"/>
      <c r="N22" t="s">
        <v>127</v>
      </c>
      <c r="O22" s="69">
        <f>'Drag Polar'!W33</f>
        <v>5.2439999999999998</v>
      </c>
      <c r="U22" s="19">
        <v>0.95</v>
      </c>
      <c r="V22" s="20">
        <v>576.41899999999998</v>
      </c>
      <c r="W22" s="10"/>
      <c r="X22" s="10"/>
      <c r="AA22" s="10"/>
      <c r="AB22" s="20">
        <v>0.95</v>
      </c>
      <c r="AC22" s="20">
        <v>576.41899999999998</v>
      </c>
      <c r="AD22" s="10"/>
      <c r="AE22" s="10"/>
      <c r="AF22" s="10"/>
      <c r="AG22" s="10"/>
      <c r="AH22" s="33"/>
    </row>
    <row r="23" spans="2:34" x14ac:dyDescent="0.25">
      <c r="B23" t="s">
        <v>149</v>
      </c>
      <c r="J23" s="31" t="s">
        <v>149</v>
      </c>
      <c r="K23" s="3"/>
      <c r="L23" s="3"/>
      <c r="M23" s="3"/>
      <c r="N23" s="3"/>
      <c r="O23" s="3"/>
      <c r="P23" s="4"/>
      <c r="Y23" s="3"/>
      <c r="Z23" s="3"/>
    </row>
    <row r="24" spans="2:34" x14ac:dyDescent="0.25">
      <c r="B24" t="s">
        <v>150</v>
      </c>
      <c r="E24" t="s">
        <v>151</v>
      </c>
      <c r="F24" t="s">
        <v>152</v>
      </c>
      <c r="G24" t="s">
        <v>153</v>
      </c>
      <c r="H24" t="s">
        <v>154</v>
      </c>
      <c r="J24" s="6" t="s">
        <v>150</v>
      </c>
      <c r="P24" s="7"/>
    </row>
    <row r="25" spans="2:34" x14ac:dyDescent="0.25">
      <c r="B25">
        <v>-4.8138238722567181E+21</v>
      </c>
      <c r="C25" t="s">
        <v>155</v>
      </c>
      <c r="D25" s="24"/>
      <c r="E25" s="5">
        <f>6*(200+30)</f>
        <v>1380</v>
      </c>
      <c r="F25">
        <f>(F28)*(200+30)</f>
        <v>11500</v>
      </c>
      <c r="G25" s="5">
        <v>0</v>
      </c>
      <c r="H25" s="29">
        <v>5.0000000000000001E-3</v>
      </c>
      <c r="J25" s="6">
        <v>195149.28852554748</v>
      </c>
      <c r="K25" t="s">
        <v>155</v>
      </c>
      <c r="L25" s="24"/>
      <c r="P25" s="7"/>
    </row>
    <row r="26" spans="2:34" x14ac:dyDescent="0.25">
      <c r="J26" s="6"/>
      <c r="P26" s="7"/>
    </row>
    <row r="27" spans="2:34" x14ac:dyDescent="0.25">
      <c r="B27" t="s">
        <v>43</v>
      </c>
      <c r="C27" t="s">
        <v>46</v>
      </c>
      <c r="F27" t="s">
        <v>156</v>
      </c>
      <c r="J27" s="6" t="s">
        <v>157</v>
      </c>
      <c r="P27" s="7"/>
    </row>
    <row r="28" spans="2:34" x14ac:dyDescent="0.25">
      <c r="B28">
        <f>J34</f>
        <v>6.1875465063931517E-2</v>
      </c>
      <c r="C28">
        <f>'Weight Regression'!H5</f>
        <v>1.0598903541025766</v>
      </c>
      <c r="F28" s="5">
        <v>50</v>
      </c>
      <c r="J28" s="6">
        <f>10^((LOG10(J25)-B28)/C28)</f>
        <v>85713.53961432504</v>
      </c>
      <c r="L28" t="s">
        <v>158</v>
      </c>
      <c r="P28" s="7"/>
    </row>
    <row r="29" spans="2:34" x14ac:dyDescent="0.25">
      <c r="J29" s="6"/>
      <c r="L29" s="25">
        <f>J28-J31</f>
        <v>-1.0689982445910573E-6</v>
      </c>
      <c r="P29" s="7" t="s">
        <v>159</v>
      </c>
    </row>
    <row r="30" spans="2:34" x14ac:dyDescent="0.25">
      <c r="B30" t="s">
        <v>157</v>
      </c>
      <c r="J30" s="6" t="s">
        <v>160</v>
      </c>
      <c r="P30" s="7">
        <f>(1-J15)*J25/(1-G25-H25)</f>
        <v>96555.748910153445</v>
      </c>
    </row>
    <row r="31" spans="2:34" x14ac:dyDescent="0.25">
      <c r="B31" t="e">
        <f>10^((LOG10(B25)-B28)/C28)</f>
        <v>#NUM!</v>
      </c>
      <c r="D31" t="s">
        <v>158</v>
      </c>
      <c r="J31" s="32">
        <f>J25-E25-F25-P30</f>
        <v>85713.539615394038</v>
      </c>
      <c r="K31" s="10"/>
      <c r="L31" s="10"/>
      <c r="M31" s="10"/>
      <c r="N31" s="10"/>
      <c r="O31" s="10"/>
      <c r="P31" s="33"/>
    </row>
    <row r="32" spans="2:34" x14ac:dyDescent="0.25">
      <c r="D32" s="25" t="e">
        <f>B31-B34</f>
        <v>#NUM!</v>
      </c>
    </row>
    <row r="33" spans="2:14" ht="15.75" thickBot="1" x14ac:dyDescent="0.3">
      <c r="B33" t="s">
        <v>160</v>
      </c>
      <c r="H33" s="30" t="s">
        <v>161</v>
      </c>
      <c r="I33" s="30" t="s">
        <v>162</v>
      </c>
      <c r="J33" s="30" t="s">
        <v>163</v>
      </c>
      <c r="L33" t="s">
        <v>159</v>
      </c>
    </row>
    <row r="34" spans="2:14" x14ac:dyDescent="0.25">
      <c r="B34" s="25">
        <f>B25-E25-F25-L34</f>
        <v>-2.4749271160479757E+21</v>
      </c>
      <c r="H34">
        <f>'Weight Regression'!H4</f>
        <v>3.8264929185399588E-2</v>
      </c>
      <c r="I34">
        <v>0.95</v>
      </c>
      <c r="J34">
        <f>H34-C28*LOG10(I34)</f>
        <v>6.1875465063931517E-2</v>
      </c>
      <c r="L34">
        <f>(1-D13)*B25/(1-G25-H25)</f>
        <v>-2.3388967562087422E+21</v>
      </c>
      <c r="N34" t="s">
        <v>164</v>
      </c>
    </row>
    <row r="35" spans="2:14" x14ac:dyDescent="0.25">
      <c r="N35">
        <v>573.57000000000005</v>
      </c>
    </row>
    <row r="36" spans="2:14" ht="15.75" thickBot="1" x14ac:dyDescent="0.3">
      <c r="F36" t="s">
        <v>165</v>
      </c>
      <c r="I36" s="30" t="s">
        <v>77</v>
      </c>
    </row>
    <row r="37" spans="2:14" x14ac:dyDescent="0.25">
      <c r="I37">
        <v>0.9</v>
      </c>
    </row>
    <row r="41" spans="2:14" x14ac:dyDescent="0.25">
      <c r="J41" t="s">
        <v>166</v>
      </c>
      <c r="K41" t="s">
        <v>167</v>
      </c>
      <c r="L41" t="s">
        <v>168</v>
      </c>
      <c r="M41" t="s">
        <v>169</v>
      </c>
      <c r="N41" t="s">
        <v>170</v>
      </c>
    </row>
    <row r="42" spans="2:14" x14ac:dyDescent="0.25">
      <c r="J42">
        <f>AVERAGE(K8:K9)</f>
        <v>141749.81498017631</v>
      </c>
      <c r="K42">
        <f>AVERAGE(K12:K13)</f>
        <v>105043.17760565612</v>
      </c>
      <c r="L42">
        <f>AVERAGE(K5:K6)</f>
        <v>190787.65313967934</v>
      </c>
      <c r="M42">
        <f>AVERAGE(K7:K8)</f>
        <v>167812.66487445083</v>
      </c>
      <c r="N42">
        <f>AVERAGE(K9:K10)</f>
        <v>118872.68540190544</v>
      </c>
    </row>
  </sheetData>
  <mergeCells count="14">
    <mergeCell ref="AF14:AH14"/>
    <mergeCell ref="B22:D22"/>
    <mergeCell ref="J22:L22"/>
    <mergeCell ref="Y2:AB2"/>
    <mergeCell ref="N2:Q2"/>
    <mergeCell ref="N17:P17"/>
    <mergeCell ref="U7:X7"/>
    <mergeCell ref="U15:X15"/>
    <mergeCell ref="AB15:AE15"/>
    <mergeCell ref="AF11:AH11"/>
    <mergeCell ref="AF8:AH8"/>
    <mergeCell ref="AF5:AH5"/>
    <mergeCell ref="AF2:AH2"/>
    <mergeCell ref="N8:Q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geW_StandardMission">
                <anchor moveWithCells="1" sizeWithCells="1">
                  <from>
                    <xdr:col>2</xdr:col>
                    <xdr:colOff>28575</xdr:colOff>
                    <xdr:row>14</xdr:row>
                    <xdr:rowOff>142875</xdr:rowOff>
                  </from>
                  <to>
                    <xdr:col>5</xdr:col>
                    <xdr:colOff>600075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vergeW_LD_StandardMission">
                <anchor moveWithCells="1" sizeWithCells="1">
                  <from>
                    <xdr:col>16</xdr:col>
                    <xdr:colOff>219075</xdr:colOff>
                    <xdr:row>23</xdr:row>
                    <xdr:rowOff>66675</xdr:rowOff>
                  </from>
                  <to>
                    <xdr:col>19</xdr:col>
                    <xdr:colOff>371475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onvergeW_AlternateMission">
                <anchor moveWithCells="1" sizeWithCells="1">
                  <from>
                    <xdr:col>8</xdr:col>
                    <xdr:colOff>66675</xdr:colOff>
                    <xdr:row>15</xdr:row>
                    <xdr:rowOff>104775</xdr:rowOff>
                  </from>
                  <to>
                    <xdr:col>11</xdr:col>
                    <xdr:colOff>561975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onvergeW_LD_AlternateMission">
                <anchor moveWithCells="1" sizeWithCells="1">
                  <from>
                    <xdr:col>19</xdr:col>
                    <xdr:colOff>485775</xdr:colOff>
                    <xdr:row>23</xdr:row>
                    <xdr:rowOff>66675</xdr:rowOff>
                  </from>
                  <to>
                    <xdr:col>22</xdr:col>
                    <xdr:colOff>600075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onvergeW_LD_Standard_AdditionalSegments">
                <anchor moveWithCells="1" sizeWithCells="1">
                  <from>
                    <xdr:col>23</xdr:col>
                    <xdr:colOff>561975</xdr:colOff>
                    <xdr:row>23</xdr:row>
                    <xdr:rowOff>85725</xdr:rowOff>
                  </from>
                  <to>
                    <xdr:col>27</xdr:col>
                    <xdr:colOff>142875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onvergeW_LD_Alternative_AdditionalSegments">
                <anchor moveWithCells="1" sizeWithCells="1">
                  <from>
                    <xdr:col>28</xdr:col>
                    <xdr:colOff>9525</xdr:colOff>
                    <xdr:row>23</xdr:row>
                    <xdr:rowOff>123825</xdr:rowOff>
                  </from>
                  <to>
                    <xdr:col>31</xdr:col>
                    <xdr:colOff>219075</xdr:colOff>
                    <xdr:row>30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6A08-81F3-4611-8174-A282D2F011DA}">
  <sheetPr codeName="Sheet5"/>
  <dimension ref="A1:AM74"/>
  <sheetViews>
    <sheetView zoomScale="85" zoomScaleNormal="85" workbookViewId="0">
      <selection activeCell="R7" sqref="R7"/>
    </sheetView>
  </sheetViews>
  <sheetFormatPr defaultColWidth="8.42578125" defaultRowHeight="15" x14ac:dyDescent="0.25"/>
  <cols>
    <col min="1" max="1" width="31.85546875" bestFit="1" customWidth="1"/>
    <col min="3" max="3" width="8.42578125" customWidth="1"/>
    <col min="5" max="5" width="10" customWidth="1"/>
    <col min="15" max="15" width="13" bestFit="1" customWidth="1"/>
    <col min="16" max="16" width="9.42578125" bestFit="1" customWidth="1"/>
    <col min="25" max="25" width="24.85546875" bestFit="1" customWidth="1"/>
    <col min="26" max="26" width="9" style="46" customWidth="1"/>
    <col min="27" max="27" width="14.42578125" bestFit="1" customWidth="1"/>
    <col min="28" max="28" width="8.28515625" bestFit="1" customWidth="1"/>
    <col min="31" max="31" width="16.42578125" customWidth="1"/>
  </cols>
  <sheetData>
    <row r="1" spans="1:39" x14ac:dyDescent="0.25">
      <c r="AA1" s="38" t="s">
        <v>171</v>
      </c>
      <c r="AB1" s="38" t="s">
        <v>172</v>
      </c>
      <c r="AC1" s="48" t="s">
        <v>173</v>
      </c>
    </row>
    <row r="2" spans="1:39" ht="15.75" thickBot="1" x14ac:dyDescent="0.3">
      <c r="B2" t="s">
        <v>174</v>
      </c>
      <c r="I2" t="s">
        <v>175</v>
      </c>
      <c r="Y2" s="38" t="s">
        <v>176</v>
      </c>
      <c r="Z2" s="47"/>
      <c r="AA2" s="5">
        <v>10</v>
      </c>
      <c r="AB2" s="5">
        <v>160</v>
      </c>
      <c r="AC2" s="5">
        <v>2.5000000000000001E-2</v>
      </c>
      <c r="AJ2" s="178" t="s">
        <v>177</v>
      </c>
      <c r="AK2" s="178"/>
      <c r="AL2" s="178"/>
    </row>
    <row r="3" spans="1:39" x14ac:dyDescent="0.25">
      <c r="A3" s="5" t="s">
        <v>178</v>
      </c>
      <c r="B3" s="173" t="s">
        <v>147</v>
      </c>
      <c r="C3" s="174"/>
      <c r="D3" s="174"/>
      <c r="E3" s="174"/>
      <c r="F3" s="174"/>
      <c r="G3" s="174"/>
      <c r="H3" s="174"/>
      <c r="I3" s="40"/>
      <c r="J3" s="40"/>
      <c r="K3" s="41"/>
      <c r="M3" s="175" t="s">
        <v>179</v>
      </c>
      <c r="N3" s="176"/>
      <c r="O3" s="176"/>
      <c r="P3" s="176"/>
      <c r="Q3" s="176"/>
      <c r="R3" s="176"/>
      <c r="S3" s="176"/>
      <c r="T3" s="40"/>
      <c r="U3" s="40"/>
      <c r="V3" s="40"/>
      <c r="W3" s="41"/>
      <c r="AC3" s="26" t="s">
        <v>180</v>
      </c>
      <c r="AD3" s="26"/>
      <c r="AE3" s="26"/>
      <c r="AJ3" s="177" t="s">
        <v>181</v>
      </c>
      <c r="AK3" s="177"/>
      <c r="AL3" s="27"/>
      <c r="AM3" s="27" t="s">
        <v>182</v>
      </c>
    </row>
    <row r="4" spans="1:39" x14ac:dyDescent="0.25">
      <c r="A4" s="51" t="s">
        <v>183</v>
      </c>
      <c r="B4" s="42" t="s">
        <v>184</v>
      </c>
      <c r="C4" t="s">
        <v>185</v>
      </c>
      <c r="D4" t="s">
        <v>75</v>
      </c>
      <c r="E4" t="s">
        <v>186</v>
      </c>
      <c r="F4" t="s">
        <v>187</v>
      </c>
      <c r="G4" t="s">
        <v>188</v>
      </c>
      <c r="H4" t="s">
        <v>43</v>
      </c>
      <c r="K4" s="43"/>
      <c r="M4" s="42" t="s">
        <v>184</v>
      </c>
      <c r="N4" t="s">
        <v>185</v>
      </c>
      <c r="O4" t="s">
        <v>75</v>
      </c>
      <c r="P4" t="s">
        <v>186</v>
      </c>
      <c r="Q4" t="s">
        <v>187</v>
      </c>
      <c r="R4" t="s">
        <v>188</v>
      </c>
      <c r="S4" t="s">
        <v>43</v>
      </c>
      <c r="W4" s="43"/>
      <c r="Y4" s="39" t="s">
        <v>189</v>
      </c>
      <c r="Z4" s="49" t="s">
        <v>190</v>
      </c>
      <c r="AA4" s="39" t="s">
        <v>191</v>
      </c>
      <c r="AB4" s="39" t="s">
        <v>192</v>
      </c>
      <c r="AC4" s="39" t="s">
        <v>193</v>
      </c>
      <c r="AD4" s="39" t="s">
        <v>194</v>
      </c>
      <c r="AE4" s="39" t="s">
        <v>195</v>
      </c>
      <c r="AH4" t="s">
        <v>196</v>
      </c>
      <c r="AJ4" s="27" t="s">
        <v>109</v>
      </c>
      <c r="AK4" s="27" t="s">
        <v>197</v>
      </c>
      <c r="AL4" s="27"/>
      <c r="AM4" s="27"/>
    </row>
    <row r="5" spans="1:39" x14ac:dyDescent="0.25">
      <c r="B5" s="42" t="s">
        <v>117</v>
      </c>
      <c r="C5" t="s">
        <v>117</v>
      </c>
      <c r="D5" t="s">
        <v>198</v>
      </c>
      <c r="E5" t="s">
        <v>199</v>
      </c>
      <c r="F5" t="s">
        <v>117</v>
      </c>
      <c r="G5" t="s">
        <v>117</v>
      </c>
      <c r="H5" t="s">
        <v>117</v>
      </c>
      <c r="K5" s="43"/>
      <c r="M5" s="42" t="s">
        <v>117</v>
      </c>
      <c r="N5" t="s">
        <v>117</v>
      </c>
      <c r="O5" t="s">
        <v>198</v>
      </c>
      <c r="P5" t="s">
        <v>199</v>
      </c>
      <c r="Q5" t="s">
        <v>117</v>
      </c>
      <c r="R5" t="s">
        <v>117</v>
      </c>
      <c r="S5" t="s">
        <v>117</v>
      </c>
      <c r="W5" s="43"/>
      <c r="Y5" s="170">
        <f>PI()^2*($AA$2/$AB$2)^2*PI()*($AA$2/2)^2/C11</f>
        <v>-6.9191405131428849E-20</v>
      </c>
      <c r="Z5" s="49">
        <v>1.4</v>
      </c>
      <c r="AA5" s="39">
        <f>5.3*$AC$2^2/SQRT(Z5^2-1)</f>
        <v>3.3808061554038665E-3</v>
      </c>
      <c r="AB5" s="39">
        <v>0</v>
      </c>
      <c r="AC5" s="39" t="e">
        <f>D11</f>
        <v>#NUM!</v>
      </c>
      <c r="AD5" s="39">
        <f>E11</f>
        <v>0.14979288761590151</v>
      </c>
      <c r="AE5" s="39" t="e">
        <f t="shared" ref="AE5:AE15" si="0">$AC$5+$AD$5*AB5^2+$AA$11+$Y$5</f>
        <v>#NUM!</v>
      </c>
      <c r="AH5">
        <f>2*PI()/(1+2*PI()/(PI()*G6*H6))</f>
        <v>3.2367924309713021</v>
      </c>
      <c r="AJ5" s="27">
        <v>1.2</v>
      </c>
      <c r="AK5" s="27">
        <v>6.3600000000000004E-2</v>
      </c>
      <c r="AL5" s="27"/>
      <c r="AM5" s="27"/>
    </row>
    <row r="6" spans="1:39" x14ac:dyDescent="0.25">
      <c r="B6" s="5">
        <v>-1.1868000000000001</v>
      </c>
      <c r="C6" s="5">
        <v>0.96089999999999998</v>
      </c>
      <c r="D6" s="52">
        <f>Sizing!B25</f>
        <v>-4.8138238722567181E+21</v>
      </c>
      <c r="E6" s="5">
        <v>110</v>
      </c>
      <c r="F6" s="5">
        <v>2.5000000000000001E-3</v>
      </c>
      <c r="G6" s="5">
        <v>0.85</v>
      </c>
      <c r="H6" s="5">
        <v>2.5</v>
      </c>
      <c r="J6" t="s">
        <v>200</v>
      </c>
      <c r="K6" s="43"/>
      <c r="M6" s="5">
        <v>-1.1868000000000001</v>
      </c>
      <c r="N6" s="5">
        <v>0.96089999999999998</v>
      </c>
      <c r="O6" s="52">
        <f>Sizing!J25</f>
        <v>195149.28852554748</v>
      </c>
      <c r="P6" s="5">
        <v>110</v>
      </c>
      <c r="Q6" s="5">
        <v>2.5000000000000001E-3</v>
      </c>
      <c r="R6" s="5">
        <v>0.85</v>
      </c>
      <c r="S6" s="5">
        <v>1.95</v>
      </c>
      <c r="W6" s="43"/>
      <c r="Y6" s="171"/>
      <c r="Z6" s="49">
        <v>1.5</v>
      </c>
      <c r="AA6" s="39">
        <f t="shared" ref="AA6:AA10" si="1">5.3*$AC$2^2/SQRT(Z6^2-1)</f>
        <v>2.9627900701872214E-3</v>
      </c>
      <c r="AB6" s="39">
        <v>0.1</v>
      </c>
      <c r="AC6" s="39"/>
      <c r="AD6" s="39"/>
      <c r="AE6" s="39" t="e">
        <f t="shared" si="0"/>
        <v>#NUM!</v>
      </c>
      <c r="AJ6" s="27">
        <v>1.3</v>
      </c>
      <c r="AK6" s="27">
        <v>6.3899999999999998E-2</v>
      </c>
      <c r="AL6" s="27"/>
      <c r="AM6" s="27"/>
    </row>
    <row r="7" spans="1:39" x14ac:dyDescent="0.25">
      <c r="B7" s="42"/>
      <c r="J7" t="s">
        <v>201</v>
      </c>
      <c r="K7" s="43"/>
      <c r="M7" s="42"/>
      <c r="W7" s="43"/>
      <c r="Y7" s="171"/>
      <c r="Z7" s="49">
        <v>1.6</v>
      </c>
      <c r="AA7" s="39">
        <f t="shared" si="1"/>
        <v>2.6521225473967553E-3</v>
      </c>
      <c r="AB7" s="39">
        <v>0.2</v>
      </c>
      <c r="AC7" s="39"/>
      <c r="AD7" s="39"/>
      <c r="AE7" s="39" t="e">
        <f t="shared" si="0"/>
        <v>#NUM!</v>
      </c>
      <c r="AJ7" s="27">
        <v>1.4</v>
      </c>
      <c r="AK7" s="27">
        <v>6.2700000000000006E-2</v>
      </c>
      <c r="AL7" s="27"/>
      <c r="AM7" s="27">
        <v>6.4999999999999997E-3</v>
      </c>
    </row>
    <row r="8" spans="1:39" x14ac:dyDescent="0.25">
      <c r="B8" s="42"/>
      <c r="J8" t="s">
        <v>202</v>
      </c>
      <c r="K8" s="43"/>
      <c r="M8" s="42"/>
      <c r="W8" s="43"/>
      <c r="Y8" s="171"/>
      <c r="Z8" s="49">
        <v>1.7</v>
      </c>
      <c r="AA8" s="39">
        <f t="shared" si="1"/>
        <v>2.4094892046890833E-3</v>
      </c>
      <c r="AB8" s="39">
        <f>AB7+0.1</f>
        <v>0.30000000000000004</v>
      </c>
      <c r="AC8" s="39"/>
      <c r="AD8" s="39"/>
      <c r="AE8" s="39" t="e">
        <f t="shared" si="0"/>
        <v>#NUM!</v>
      </c>
      <c r="AJ8" s="27">
        <v>1.5</v>
      </c>
      <c r="AK8" s="27">
        <v>5.2900000000000003E-2</v>
      </c>
      <c r="AL8" s="27"/>
      <c r="AM8" s="27"/>
    </row>
    <row r="9" spans="1:39" x14ac:dyDescent="0.25">
      <c r="B9" s="42" t="s">
        <v>203</v>
      </c>
      <c r="C9" t="s">
        <v>204</v>
      </c>
      <c r="D9" t="s">
        <v>205</v>
      </c>
      <c r="E9" t="s">
        <v>194</v>
      </c>
      <c r="G9" t="s">
        <v>206</v>
      </c>
      <c r="K9" s="43"/>
      <c r="M9" s="42" t="s">
        <v>203</v>
      </c>
      <c r="N9" t="s">
        <v>204</v>
      </c>
      <c r="O9" t="s">
        <v>205</v>
      </c>
      <c r="P9" t="s">
        <v>194</v>
      </c>
      <c r="R9" t="s">
        <v>206</v>
      </c>
      <c r="W9" s="43"/>
      <c r="Y9" s="171"/>
      <c r="Z9" s="49">
        <v>1.8</v>
      </c>
      <c r="AA9" s="39">
        <f t="shared" si="1"/>
        <v>2.2132571595872646E-3</v>
      </c>
      <c r="AB9" s="39">
        <f t="shared" ref="AB9:AB14" si="2">AB8+0.1</f>
        <v>0.4</v>
      </c>
      <c r="AC9" s="39"/>
      <c r="AD9" s="39"/>
      <c r="AE9" s="39" t="e">
        <f t="shared" si="0"/>
        <v>#NUM!</v>
      </c>
      <c r="AJ9" s="27">
        <v>1.6</v>
      </c>
      <c r="AK9" s="27">
        <v>5.1900000000000002E-2</v>
      </c>
      <c r="AL9" s="27"/>
      <c r="AM9" s="27"/>
    </row>
    <row r="10" spans="1:39" x14ac:dyDescent="0.25">
      <c r="B10" s="42" t="s">
        <v>207</v>
      </c>
      <c r="C10" t="s">
        <v>207</v>
      </c>
      <c r="D10" t="s">
        <v>117</v>
      </c>
      <c r="E10" t="s">
        <v>117</v>
      </c>
      <c r="G10" t="s">
        <v>117</v>
      </c>
      <c r="K10" s="43"/>
      <c r="M10" s="42" t="s">
        <v>207</v>
      </c>
      <c r="N10" t="s">
        <v>207</v>
      </c>
      <c r="O10" t="s">
        <v>117</v>
      </c>
      <c r="P10" t="s">
        <v>117</v>
      </c>
      <c r="R10" t="s">
        <v>117</v>
      </c>
      <c r="W10" s="43"/>
      <c r="Y10" s="171"/>
      <c r="Z10" s="49">
        <v>1.9</v>
      </c>
      <c r="AA10" s="39">
        <f t="shared" si="1"/>
        <v>2.0503860257049481E-3</v>
      </c>
      <c r="AB10" s="39">
        <f t="shared" si="2"/>
        <v>0.5</v>
      </c>
      <c r="AC10" s="39"/>
      <c r="AD10" s="39"/>
      <c r="AE10" s="39" t="e">
        <f t="shared" si="0"/>
        <v>#NUM!</v>
      </c>
      <c r="AJ10" s="27">
        <v>1.7</v>
      </c>
      <c r="AK10" s="27">
        <v>5.3900000000000003E-2</v>
      </c>
      <c r="AL10" s="27"/>
      <c r="AM10" s="27"/>
    </row>
    <row r="11" spans="1:39" x14ac:dyDescent="0.25">
      <c r="B11" s="42" t="e">
        <f>10^(B6+C6*LOG10(D6))</f>
        <v>#NUM!</v>
      </c>
      <c r="C11">
        <f>D6/E6</f>
        <v>-4.3762035202333802E+19</v>
      </c>
      <c r="D11" t="e">
        <f>F6*B11/C11</f>
        <v>#NUM!</v>
      </c>
      <c r="E11">
        <f>1/(PI()*H6*G6)</f>
        <v>0.14979288761590151</v>
      </c>
      <c r="G11" t="e">
        <f>B11/C11</f>
        <v>#NUM!</v>
      </c>
      <c r="K11" s="43"/>
      <c r="M11" s="42">
        <f>10^(M6+N6*LOG10(O6))</f>
        <v>7883.401100678936</v>
      </c>
      <c r="N11">
        <f>O6/P6</f>
        <v>1774.0844411413407</v>
      </c>
      <c r="O11" s="27">
        <f>Q6*M11/N11</f>
        <v>1.110911199864763E-2</v>
      </c>
      <c r="P11">
        <f>1/(PI()*S6*R6)</f>
        <v>0.19204216361013016</v>
      </c>
      <c r="R11">
        <f>M11/N11</f>
        <v>4.4436447994590518</v>
      </c>
      <c r="W11" s="43"/>
      <c r="Y11" s="171"/>
      <c r="Z11" s="50">
        <v>2</v>
      </c>
      <c r="AA11" s="39">
        <f>5.3*$AC$2^2/SQRT(Z11^2-1)</f>
        <v>1.9124727666906356E-3</v>
      </c>
      <c r="AB11" s="39">
        <f t="shared" si="2"/>
        <v>0.6</v>
      </c>
      <c r="AC11" s="39"/>
      <c r="AD11" s="39"/>
      <c r="AE11" s="39" t="e">
        <f t="shared" si="0"/>
        <v>#NUM!</v>
      </c>
      <c r="AJ11" s="27">
        <v>1.8</v>
      </c>
      <c r="AK11" s="27">
        <v>5.8099999999999999E-2</v>
      </c>
      <c r="AL11" s="27"/>
      <c r="AM11" s="27"/>
    </row>
    <row r="12" spans="1:39" x14ac:dyDescent="0.25">
      <c r="B12" s="42"/>
      <c r="K12" s="43"/>
      <c r="M12" s="42"/>
      <c r="N12" s="27">
        <v>1786</v>
      </c>
      <c r="W12" s="43"/>
      <c r="Y12" s="171"/>
      <c r="Z12" s="49"/>
      <c r="AA12" s="39"/>
      <c r="AB12" s="39">
        <f t="shared" si="2"/>
        <v>0.7</v>
      </c>
      <c r="AC12" s="39"/>
      <c r="AD12" s="39"/>
      <c r="AE12" s="39" t="e">
        <f t="shared" si="0"/>
        <v>#NUM!</v>
      </c>
      <c r="AJ12" s="27">
        <v>1.9</v>
      </c>
      <c r="AK12" s="27">
        <v>5.9799999999999999E-2</v>
      </c>
      <c r="AL12" s="27"/>
      <c r="AM12" s="27"/>
    </row>
    <row r="13" spans="1:39" x14ac:dyDescent="0.25">
      <c r="B13" s="42"/>
      <c r="K13" s="43"/>
      <c r="M13" s="42"/>
      <c r="W13" s="43"/>
      <c r="Y13" s="171"/>
      <c r="Z13" s="49"/>
      <c r="AA13" s="39"/>
      <c r="AB13" s="39">
        <f t="shared" si="2"/>
        <v>0.79999999999999993</v>
      </c>
      <c r="AC13" s="39"/>
      <c r="AD13" s="39"/>
      <c r="AE13" s="39" t="e">
        <f t="shared" si="0"/>
        <v>#NUM!</v>
      </c>
      <c r="AJ13" s="27">
        <v>2</v>
      </c>
      <c r="AK13" s="27">
        <v>6.0100000000000001E-2</v>
      </c>
      <c r="AL13" s="27"/>
      <c r="AM13" s="27"/>
    </row>
    <row r="14" spans="1:39" x14ac:dyDescent="0.25">
      <c r="B14" s="42" t="s">
        <v>208</v>
      </c>
      <c r="K14" s="43"/>
      <c r="M14" s="42" t="s">
        <v>208</v>
      </c>
      <c r="W14" s="43"/>
      <c r="Y14" s="171"/>
      <c r="Z14" s="49"/>
      <c r="AA14" s="39"/>
      <c r="AB14" s="39">
        <f t="shared" si="2"/>
        <v>0.89999999999999991</v>
      </c>
      <c r="AC14" s="39"/>
      <c r="AD14" s="39"/>
      <c r="AE14" s="39" t="e">
        <f t="shared" si="0"/>
        <v>#NUM!</v>
      </c>
    </row>
    <row r="15" spans="1:39" x14ac:dyDescent="0.25">
      <c r="B15" s="42"/>
      <c r="K15" s="43"/>
      <c r="M15" s="42" t="s">
        <v>209</v>
      </c>
      <c r="W15" s="43"/>
      <c r="Y15" s="172"/>
      <c r="Z15" s="49"/>
      <c r="AA15" s="39"/>
      <c r="AB15" s="39">
        <f>AB14+0.1</f>
        <v>0.99999999999999989</v>
      </c>
      <c r="AC15" s="39"/>
      <c r="AD15" s="39"/>
      <c r="AE15" s="39" t="e">
        <f t="shared" si="0"/>
        <v>#NUM!</v>
      </c>
    </row>
    <row r="16" spans="1:39" x14ac:dyDescent="0.25">
      <c r="B16" s="42" t="s">
        <v>109</v>
      </c>
      <c r="C16" t="s">
        <v>210</v>
      </c>
      <c r="D16" t="s">
        <v>211</v>
      </c>
      <c r="E16" t="s">
        <v>212</v>
      </c>
      <c r="F16" t="s">
        <v>212</v>
      </c>
      <c r="H16" t="s">
        <v>210</v>
      </c>
      <c r="I16" t="s">
        <v>213</v>
      </c>
      <c r="J16" t="s">
        <v>214</v>
      </c>
      <c r="K16" s="43" t="s">
        <v>102</v>
      </c>
      <c r="M16" s="42" t="s">
        <v>109</v>
      </c>
      <c r="N16" t="s">
        <v>210</v>
      </c>
      <c r="O16" t="s">
        <v>211</v>
      </c>
      <c r="P16" t="s">
        <v>212</v>
      </c>
      <c r="Q16" t="s">
        <v>212</v>
      </c>
      <c r="S16" t="s">
        <v>210</v>
      </c>
      <c r="T16" t="s">
        <v>213</v>
      </c>
      <c r="U16" t="s">
        <v>214</v>
      </c>
      <c r="W16" s="43" t="s">
        <v>102</v>
      </c>
      <c r="Y16">
        <f>1.5*10^(-3)</f>
        <v>1.5E-3</v>
      </c>
    </row>
    <row r="17" spans="1:31" x14ac:dyDescent="0.25">
      <c r="B17" s="42" t="s">
        <v>117</v>
      </c>
      <c r="C17" t="s">
        <v>119</v>
      </c>
      <c r="D17" t="s">
        <v>198</v>
      </c>
      <c r="E17" t="s">
        <v>215</v>
      </c>
      <c r="F17" t="s">
        <v>216</v>
      </c>
      <c r="H17" t="s">
        <v>217</v>
      </c>
      <c r="I17" t="s">
        <v>117</v>
      </c>
      <c r="J17" t="s">
        <v>117</v>
      </c>
      <c r="K17" s="43" t="s">
        <v>117</v>
      </c>
      <c r="M17" s="42" t="s">
        <v>117</v>
      </c>
      <c r="N17" t="s">
        <v>119</v>
      </c>
      <c r="O17" t="s">
        <v>198</v>
      </c>
      <c r="P17" t="s">
        <v>215</v>
      </c>
      <c r="Q17" t="s">
        <v>216</v>
      </c>
      <c r="S17" t="s">
        <v>217</v>
      </c>
      <c r="T17" t="s">
        <v>117</v>
      </c>
      <c r="U17" t="s">
        <v>117</v>
      </c>
      <c r="W17" s="43" t="s">
        <v>117</v>
      </c>
    </row>
    <row r="18" spans="1:31" ht="15.75" thickBot="1" x14ac:dyDescent="0.3">
      <c r="B18" s="73">
        <f>Sizing!N15</f>
        <v>2</v>
      </c>
      <c r="C18" s="74">
        <f>Sizing!O11</f>
        <v>1147.1400000000001</v>
      </c>
      <c r="D18" s="75">
        <f>Sizing!T10</f>
        <v>-3.5998301131630612E+21</v>
      </c>
      <c r="E18" s="5">
        <v>2.8457100000000001E-4</v>
      </c>
      <c r="F18" s="44">
        <f>32.174*E18</f>
        <v>9.1557873539999998E-3</v>
      </c>
      <c r="G18" s="44"/>
      <c r="H18" s="44">
        <f>C18*1.688</f>
        <v>1936.3723200000002</v>
      </c>
      <c r="I18" s="44">
        <f>D18/(0.5*$C$11*E18*H18^2)</f>
        <v>0.15418641769865579</v>
      </c>
      <c r="J18" s="76" t="e">
        <f>$D$11+$E$11*I18^2+Y5+AA11</f>
        <v>#NUM!</v>
      </c>
      <c r="K18" s="45" t="e">
        <f>I18/J18</f>
        <v>#NUM!</v>
      </c>
      <c r="M18" s="73">
        <f>Sizing!U14</f>
        <v>2</v>
      </c>
      <c r="N18" s="72">
        <f>Sizing!V10</f>
        <v>1147.1400000000001</v>
      </c>
      <c r="O18" s="72">
        <f>Sizing!AA10</f>
        <v>141749.81498017631</v>
      </c>
      <c r="P18" s="5">
        <v>2.8457100000000001E-4</v>
      </c>
      <c r="Q18" s="44">
        <f>32.174*P18</f>
        <v>9.1557873539999998E-3</v>
      </c>
      <c r="R18" s="44"/>
      <c r="S18" s="44">
        <f>N18*1.688</f>
        <v>1936.3723200000002</v>
      </c>
      <c r="T18" s="44">
        <f>O18/(0.5*$N$11*P18*S18^2)</f>
        <v>0.14976482987206552</v>
      </c>
      <c r="U18" s="76">
        <f>$O$38+$P$11*T18^2+AA35</f>
        <v>1.2147410528062185E-2</v>
      </c>
      <c r="V18" s="44"/>
      <c r="W18" s="45">
        <v>10.786</v>
      </c>
      <c r="Y18" s="39" t="s">
        <v>189</v>
      </c>
      <c r="Z18" s="49" t="s">
        <v>190</v>
      </c>
      <c r="AA18" s="39" t="s">
        <v>191</v>
      </c>
      <c r="AB18" s="39" t="s">
        <v>192</v>
      </c>
      <c r="AC18" s="39" t="s">
        <v>193</v>
      </c>
      <c r="AD18" s="39" t="s">
        <v>194</v>
      </c>
      <c r="AE18" s="39" t="s">
        <v>195</v>
      </c>
    </row>
    <row r="19" spans="1:31" x14ac:dyDescent="0.25">
      <c r="D19" s="27" t="s">
        <v>218</v>
      </c>
      <c r="E19" s="27">
        <v>3.6187600000000002E-4</v>
      </c>
      <c r="W19" s="26">
        <v>10.786</v>
      </c>
      <c r="Y19" s="170">
        <f>PI()^2*($AA$2/$AB$2)^2*PI()*($AA$2/2)^2/$N$11</f>
        <v>1.7067714686187774E-3</v>
      </c>
      <c r="Z19" s="49">
        <v>1.4</v>
      </c>
      <c r="AA19" s="39">
        <f>5.3*$AC$2^2/SQRT(Z19^2-1)</f>
        <v>3.3808061554038665E-3</v>
      </c>
      <c r="AB19" s="39">
        <v>0</v>
      </c>
      <c r="AC19" s="39">
        <f>O11</f>
        <v>1.110911199864763E-2</v>
      </c>
      <c r="AD19" s="39">
        <f>P11</f>
        <v>0.19204216361013016</v>
      </c>
      <c r="AE19" s="82">
        <f t="shared" ref="AE19:AE29" si="3">$AC$19+$AD$19*AB19^2+$AA$25+$Y$19</f>
        <v>1.4728356233957041E-2</v>
      </c>
    </row>
    <row r="20" spans="1:31" x14ac:dyDescent="0.25">
      <c r="A20" s="39" t="s">
        <v>219</v>
      </c>
      <c r="B20" s="39" t="s">
        <v>109</v>
      </c>
      <c r="C20" s="39" t="s">
        <v>220</v>
      </c>
      <c r="D20" s="39" t="s">
        <v>211</v>
      </c>
      <c r="E20" s="39" t="s">
        <v>212</v>
      </c>
      <c r="F20" s="39" t="s">
        <v>212</v>
      </c>
      <c r="G20" s="39"/>
      <c r="H20" s="39" t="s">
        <v>210</v>
      </c>
      <c r="I20" s="39" t="s">
        <v>213</v>
      </c>
      <c r="J20" s="39" t="s">
        <v>214</v>
      </c>
      <c r="K20" s="39" t="s">
        <v>102</v>
      </c>
      <c r="Y20" s="171"/>
      <c r="Z20" s="49">
        <v>1.5</v>
      </c>
      <c r="AA20" s="39">
        <f t="shared" ref="AA20:AA25" si="4">5.3*$AC$2^2/SQRT(Z20^2-1)</f>
        <v>2.9627900701872214E-3</v>
      </c>
      <c r="AB20" s="39">
        <v>0.1</v>
      </c>
      <c r="AC20" s="39"/>
      <c r="AD20" s="39"/>
      <c r="AE20" s="82">
        <f t="shared" si="3"/>
        <v>1.6648777870058345E-2</v>
      </c>
    </row>
    <row r="21" spans="1:31" x14ac:dyDescent="0.25">
      <c r="A21" s="39" t="s">
        <v>221</v>
      </c>
      <c r="B21" s="52">
        <f>Sizing!AF4</f>
        <v>0.66450701885538666</v>
      </c>
      <c r="C21">
        <v>400</v>
      </c>
      <c r="D21" s="52">
        <f>(Sizing!E6+Sizing!E6-Sizing!F6)/2</f>
        <v>-4.5105482477209733E+21</v>
      </c>
      <c r="E21" s="5">
        <v>1.0652599999999999E-3</v>
      </c>
      <c r="F21" s="39">
        <f>32.174*E21</f>
        <v>3.4273675239999996E-2</v>
      </c>
      <c r="G21" s="39"/>
      <c r="H21" s="39">
        <f>C21*1.688</f>
        <v>675.19999999999993</v>
      </c>
      <c r="I21" s="39">
        <f>D21/(0.5*$C$11*E21*H21^2)</f>
        <v>0.42446445719957521</v>
      </c>
      <c r="J21" s="39" t="e">
        <f>$D$11+$E$11*I21^2</f>
        <v>#NUM!</v>
      </c>
      <c r="K21" s="39" t="e">
        <f>I21/J21</f>
        <v>#NUM!</v>
      </c>
      <c r="M21" s="39" t="s">
        <v>126</v>
      </c>
      <c r="N21" s="39"/>
      <c r="O21" s="39"/>
      <c r="P21" s="39"/>
      <c r="Q21" s="39"/>
      <c r="R21" s="39"/>
      <c r="S21" s="39"/>
      <c r="T21" s="39"/>
      <c r="U21" s="39"/>
      <c r="V21" s="39"/>
      <c r="W21" s="39"/>
      <c r="Y21" s="171"/>
      <c r="Z21" s="49">
        <v>1.6</v>
      </c>
      <c r="AA21" s="39">
        <f t="shared" si="4"/>
        <v>2.6521225473967553E-3</v>
      </c>
      <c r="AB21" s="39">
        <v>0.2</v>
      </c>
      <c r="AC21" s="39"/>
      <c r="AD21" s="39"/>
      <c r="AE21" s="82">
        <f t="shared" si="3"/>
        <v>2.2410042778362251E-2</v>
      </c>
    </row>
    <row r="22" spans="1:31" x14ac:dyDescent="0.25">
      <c r="A22" s="39" t="s">
        <v>222</v>
      </c>
      <c r="B22">
        <v>0.4</v>
      </c>
      <c r="C22" s="53">
        <f>B22*Sizing!N35</f>
        <v>229.42800000000003</v>
      </c>
      <c r="D22" s="52">
        <f>(Sizing!E10+Sizing!E10-Sizing!F10)/2</f>
        <v>-2.6363780838116106E+21</v>
      </c>
      <c r="E22" s="70">
        <v>1.49581E-3</v>
      </c>
      <c r="F22" s="39">
        <f t="shared" ref="F22:F23" si="5">32.174*E22</f>
        <v>4.8126190940000001E-2</v>
      </c>
      <c r="G22" s="39"/>
      <c r="H22" s="39">
        <f>C22*1.688</f>
        <v>387.27446400000002</v>
      </c>
      <c r="I22" s="39">
        <f>D22/(0.5*$C$11*E22*H22^2)</f>
        <v>0.53706397493532354</v>
      </c>
      <c r="J22" s="39" t="e">
        <f>$D$11+$E$11*I22^2</f>
        <v>#NUM!</v>
      </c>
      <c r="K22" s="39" t="e">
        <f>I22/J22</f>
        <v>#NUM!</v>
      </c>
      <c r="M22" s="39" t="s">
        <v>109</v>
      </c>
      <c r="N22" s="39" t="s">
        <v>210</v>
      </c>
      <c r="O22" s="39" t="s">
        <v>211</v>
      </c>
      <c r="P22" s="39" t="s">
        <v>212</v>
      </c>
      <c r="Q22" s="39" t="s">
        <v>212</v>
      </c>
      <c r="R22" s="39"/>
      <c r="S22" s="39" t="s">
        <v>210</v>
      </c>
      <c r="T22" s="39" t="s">
        <v>213</v>
      </c>
      <c r="U22" s="39" t="s">
        <v>214</v>
      </c>
      <c r="V22" s="39"/>
      <c r="W22" s="39" t="s">
        <v>102</v>
      </c>
      <c r="Y22" s="171"/>
      <c r="Z22" s="49">
        <v>1.7</v>
      </c>
      <c r="AA22" s="39">
        <f t="shared" si="4"/>
        <v>2.4094892046890833E-3</v>
      </c>
      <c r="AB22" s="39">
        <f>AB21+0.1</f>
        <v>0.30000000000000004</v>
      </c>
      <c r="AC22" s="39"/>
      <c r="AD22" s="39"/>
      <c r="AE22" s="82">
        <f t="shared" si="3"/>
        <v>3.2012150958868758E-2</v>
      </c>
    </row>
    <row r="23" spans="1:31" x14ac:dyDescent="0.25">
      <c r="A23" s="39" t="s">
        <v>223</v>
      </c>
      <c r="B23" s="53">
        <v>0.95</v>
      </c>
      <c r="C23" s="53">
        <f>Sizing!Z5</f>
        <v>595.11895000000004</v>
      </c>
      <c r="D23" s="52">
        <f>(Sizing!E9+Sizing!E9-Sizing!F9)/2</f>
        <v>-2.8051767541753006E+21</v>
      </c>
      <c r="E23" s="70">
        <v>1.49581E-3</v>
      </c>
      <c r="F23" s="39">
        <f t="shared" si="5"/>
        <v>4.8126190940000001E-2</v>
      </c>
      <c r="G23" s="39"/>
      <c r="H23" s="39">
        <f>Sizing!Z5*1.688</f>
        <v>1004.5607876</v>
      </c>
      <c r="I23" s="39">
        <f>D23/(0.5*$C$11*E23*H23^2)</f>
        <v>8.4930531137611884E-2</v>
      </c>
      <c r="J23" s="77" t="e">
        <f>$D$11+$E$11*I23^2</f>
        <v>#NUM!</v>
      </c>
      <c r="K23" s="39" t="e">
        <f>I23/J23</f>
        <v>#NUM!</v>
      </c>
      <c r="M23" s="39" t="s">
        <v>117</v>
      </c>
      <c r="N23" s="39" t="s">
        <v>119</v>
      </c>
      <c r="O23" s="39" t="s">
        <v>198</v>
      </c>
      <c r="P23" s="39" t="s">
        <v>215</v>
      </c>
      <c r="Q23" s="39" t="s">
        <v>216</v>
      </c>
      <c r="R23" s="39"/>
      <c r="S23" s="39" t="s">
        <v>217</v>
      </c>
      <c r="T23" s="39" t="s">
        <v>117</v>
      </c>
      <c r="U23" s="39" t="s">
        <v>117</v>
      </c>
      <c r="V23" s="39"/>
      <c r="W23" s="39" t="s">
        <v>117</v>
      </c>
      <c r="Y23" s="171"/>
      <c r="Z23" s="49">
        <v>1.8</v>
      </c>
      <c r="AA23" s="39">
        <f t="shared" si="4"/>
        <v>2.2132571595872646E-3</v>
      </c>
      <c r="AB23" s="39">
        <f t="shared" ref="AB23:AB28" si="6">AB22+0.1</f>
        <v>0.4</v>
      </c>
      <c r="AC23" s="39"/>
      <c r="AD23" s="39"/>
      <c r="AE23" s="82">
        <f t="shared" si="3"/>
        <v>4.5455102411577873E-2</v>
      </c>
    </row>
    <row r="24" spans="1:31" x14ac:dyDescent="0.25">
      <c r="M24" s="53">
        <f>Sizing!U22</f>
        <v>0.95</v>
      </c>
      <c r="N24" s="53">
        <f>Sizing!V18</f>
        <v>547.59804999999994</v>
      </c>
      <c r="O24" s="52">
        <f>Sizing!AA18</f>
        <v>167812.66487445083</v>
      </c>
      <c r="P24" s="5">
        <v>7.3662700000000001E-4</v>
      </c>
      <c r="Q24" s="39">
        <f>32.174*P24</f>
        <v>2.3700237097999999E-2</v>
      </c>
      <c r="R24" s="39"/>
      <c r="S24" s="39">
        <f>N24*1.688</f>
        <v>924.34550839999986</v>
      </c>
      <c r="T24" s="39">
        <f>O24/(0.5*$N$11*P24*S24^2)</f>
        <v>0.3005828091536828</v>
      </c>
      <c r="U24" s="39">
        <f>$O$39+$P$11*T24^2</f>
        <v>2.3431014313710148E-2</v>
      </c>
      <c r="V24" s="39"/>
      <c r="W24" s="39">
        <v>8.6880000000000006</v>
      </c>
      <c r="X24" s="26">
        <v>8.6880000000000006</v>
      </c>
      <c r="Y24" s="171"/>
      <c r="Z24" s="49">
        <v>1.9</v>
      </c>
      <c r="AA24" s="39">
        <f t="shared" si="4"/>
        <v>2.0503860257049481E-3</v>
      </c>
      <c r="AB24" s="39">
        <f t="shared" si="6"/>
        <v>0.5</v>
      </c>
      <c r="AC24" s="39"/>
      <c r="AD24" s="39"/>
      <c r="AE24" s="82">
        <f t="shared" si="3"/>
        <v>6.2738897136489571E-2</v>
      </c>
    </row>
    <row r="25" spans="1:31" x14ac:dyDescent="0.25">
      <c r="A25" t="s">
        <v>224</v>
      </c>
      <c r="B25" t="s">
        <v>225</v>
      </c>
      <c r="Y25" s="171"/>
      <c r="Z25" s="50">
        <v>2</v>
      </c>
      <c r="AA25" s="39">
        <f t="shared" si="4"/>
        <v>1.9124727666906356E-3</v>
      </c>
      <c r="AB25" s="39">
        <f t="shared" si="6"/>
        <v>0.6</v>
      </c>
      <c r="AC25" s="39"/>
      <c r="AD25" s="39"/>
      <c r="AE25" s="82">
        <f t="shared" si="3"/>
        <v>8.3863535133603895E-2</v>
      </c>
    </row>
    <row r="26" spans="1:31" x14ac:dyDescent="0.25">
      <c r="M26" s="39" t="s">
        <v>132</v>
      </c>
      <c r="N26" s="39"/>
      <c r="O26" s="39"/>
      <c r="P26" s="39"/>
      <c r="Q26" s="39"/>
      <c r="R26" s="39"/>
      <c r="S26" s="39"/>
      <c r="T26" s="39"/>
      <c r="U26" s="39"/>
      <c r="V26" s="39"/>
      <c r="W26" s="39"/>
      <c r="Y26" s="171"/>
      <c r="Z26" s="49"/>
      <c r="AA26" s="39"/>
      <c r="AB26" s="39">
        <f t="shared" si="6"/>
        <v>0.7</v>
      </c>
      <c r="AC26" s="39"/>
      <c r="AD26" s="39"/>
      <c r="AE26" s="82">
        <f t="shared" si="3"/>
        <v>0.10882901640292081</v>
      </c>
    </row>
    <row r="27" spans="1:31" x14ac:dyDescent="0.25">
      <c r="M27" s="39" t="s">
        <v>109</v>
      </c>
      <c r="N27" s="39" t="s">
        <v>210</v>
      </c>
      <c r="O27" s="39" t="s">
        <v>211</v>
      </c>
      <c r="P27" s="39" t="s">
        <v>212</v>
      </c>
      <c r="Q27" s="39" t="s">
        <v>212</v>
      </c>
      <c r="R27" s="39"/>
      <c r="S27" s="39" t="s">
        <v>210</v>
      </c>
      <c r="T27" s="39" t="s">
        <v>213</v>
      </c>
      <c r="U27" s="39" t="s">
        <v>214</v>
      </c>
      <c r="V27" s="39"/>
      <c r="W27" s="39" t="s">
        <v>102</v>
      </c>
      <c r="Y27" s="171"/>
      <c r="Z27" s="49"/>
      <c r="AA27" s="39"/>
      <c r="AB27" s="39">
        <f t="shared" si="6"/>
        <v>0.79999999999999993</v>
      </c>
      <c r="AC27" s="39"/>
      <c r="AD27" s="39"/>
      <c r="AE27" s="82">
        <f t="shared" si="3"/>
        <v>0.13763534094444033</v>
      </c>
    </row>
    <row r="28" spans="1:31" x14ac:dyDescent="0.25">
      <c r="M28" s="39" t="s">
        <v>117</v>
      </c>
      <c r="N28" s="39" t="s">
        <v>119</v>
      </c>
      <c r="O28" s="39" t="s">
        <v>198</v>
      </c>
      <c r="P28" s="39" t="s">
        <v>215</v>
      </c>
      <c r="Q28" s="39" t="s">
        <v>216</v>
      </c>
      <c r="R28" s="39"/>
      <c r="S28" s="39" t="s">
        <v>217</v>
      </c>
      <c r="T28" s="39" t="s">
        <v>117</v>
      </c>
      <c r="U28" s="39" t="s">
        <v>117</v>
      </c>
      <c r="V28" s="39"/>
      <c r="W28" s="39" t="s">
        <v>117</v>
      </c>
      <c r="Y28" s="171"/>
      <c r="Z28" s="49"/>
      <c r="AA28" s="39"/>
      <c r="AB28" s="39">
        <f t="shared" si="6"/>
        <v>0.89999999999999991</v>
      </c>
      <c r="AC28" s="39"/>
      <c r="AD28" s="39"/>
      <c r="AE28" s="82">
        <f t="shared" si="3"/>
        <v>0.17028250875816245</v>
      </c>
    </row>
    <row r="29" spans="1:31" x14ac:dyDescent="0.25">
      <c r="M29" s="53">
        <f>Sizing!AB22</f>
        <v>0.95</v>
      </c>
      <c r="N29" s="53">
        <f>Sizing!AC18</f>
        <v>547.59804999999994</v>
      </c>
      <c r="O29" s="52">
        <f>Sizing!AH18</f>
        <v>118872.68540190544</v>
      </c>
      <c r="P29" s="5">
        <v>7.3662700000000001E-4</v>
      </c>
      <c r="Q29" s="39">
        <f>32.174*P29</f>
        <v>2.3700237097999999E-2</v>
      </c>
      <c r="R29" s="39"/>
      <c r="S29" s="39">
        <f>N29*1.688</f>
        <v>924.34550839999986</v>
      </c>
      <c r="T29" s="39">
        <f>O29/(0.5*$N$11*P29*S29^2)</f>
        <v>0.21292246170143925</v>
      </c>
      <c r="U29" s="39">
        <f>$O$39+$P$11*T29^2</f>
        <v>1.4786418670186161E-2</v>
      </c>
      <c r="V29" s="39"/>
      <c r="W29" s="39">
        <v>10.611000000000001</v>
      </c>
      <c r="X29" s="26">
        <v>10.611000000000001</v>
      </c>
      <c r="Y29" s="172"/>
      <c r="Z29" s="49"/>
      <c r="AA29" s="39"/>
      <c r="AB29" s="39">
        <f>AB28+0.1</f>
        <v>0.99999999999999989</v>
      </c>
      <c r="AC29" s="39"/>
      <c r="AD29" s="39"/>
      <c r="AE29" s="82">
        <f t="shared" si="3"/>
        <v>0.20677051984408715</v>
      </c>
    </row>
    <row r="30" spans="1:31" x14ac:dyDescent="0.25">
      <c r="Y30">
        <f>1.22*10^(-3)</f>
        <v>1.2199999999999999E-3</v>
      </c>
    </row>
    <row r="31" spans="1:31" x14ac:dyDescent="0.25">
      <c r="M31" s="39" t="s">
        <v>219</v>
      </c>
      <c r="N31" s="39" t="s">
        <v>109</v>
      </c>
      <c r="O31" s="39" t="s">
        <v>220</v>
      </c>
      <c r="P31" s="39" t="s">
        <v>211</v>
      </c>
      <c r="Q31" s="39" t="s">
        <v>212</v>
      </c>
      <c r="R31" s="39" t="s">
        <v>212</v>
      </c>
      <c r="S31" s="39"/>
      <c r="T31" s="39" t="s">
        <v>226</v>
      </c>
      <c r="U31" s="39" t="s">
        <v>213</v>
      </c>
      <c r="V31" s="39" t="s">
        <v>214</v>
      </c>
      <c r="W31" s="39" t="s">
        <v>102</v>
      </c>
      <c r="Y31" t="s">
        <v>227</v>
      </c>
    </row>
    <row r="32" spans="1:31" x14ac:dyDescent="0.25">
      <c r="M32" s="39" t="s">
        <v>221</v>
      </c>
      <c r="N32" s="52">
        <f>B21</f>
        <v>0.66450701885538666</v>
      </c>
      <c r="O32">
        <v>400</v>
      </c>
      <c r="P32" s="52">
        <f>(Sizing!K6+Sizing!K6-Sizing!L6)/2</f>
        <v>182854.69197905058</v>
      </c>
      <c r="Q32" s="5">
        <v>1.0652599999999999E-3</v>
      </c>
      <c r="R32" s="39">
        <f>32.174*Q32</f>
        <v>3.4273675239999996E-2</v>
      </c>
      <c r="S32" s="39"/>
      <c r="T32" s="39">
        <f>O32*1.688</f>
        <v>675.19999999999993</v>
      </c>
      <c r="U32" s="39">
        <f>P32/(0.5*$N$11*Q32*T32^2)</f>
        <v>0.42446445719957521</v>
      </c>
      <c r="V32" s="39">
        <f>$O$40+$P$11*$U32^2</f>
        <v>4.1130251102557538E-2</v>
      </c>
      <c r="W32" s="39">
        <v>5.5869999999999997</v>
      </c>
      <c r="X32" s="26">
        <v>5.5869999999999997</v>
      </c>
      <c r="Y32">
        <f>Y19+AA25</f>
        <v>3.6192442353094132E-3</v>
      </c>
    </row>
    <row r="33" spans="13:31" x14ac:dyDescent="0.25">
      <c r="M33" s="39" t="s">
        <v>222</v>
      </c>
      <c r="N33">
        <v>0.4</v>
      </c>
      <c r="O33" s="53">
        <f>C22</f>
        <v>229.42800000000003</v>
      </c>
      <c r="P33" s="52">
        <f>(Sizing!K12+Sizing!K12-Sizing!L12)/2</f>
        <v>105043.17760565612</v>
      </c>
      <c r="Q33" s="70">
        <f>E22</f>
        <v>1.49581E-3</v>
      </c>
      <c r="R33" s="39">
        <f>32.174*Q33</f>
        <v>4.8126190940000001E-2</v>
      </c>
      <c r="S33" s="39"/>
      <c r="T33" s="39">
        <f>O33*1.688</f>
        <v>387.27446400000002</v>
      </c>
      <c r="U33" s="39">
        <f>P33/(0.5*$N$11*Q33*T33^2)</f>
        <v>0.52784863651464109</v>
      </c>
      <c r="V33" s="39">
        <f>$O$41+$P$11*$U33^2</f>
        <v>6.0737590950938024E-2</v>
      </c>
      <c r="W33" s="39">
        <v>5.2439999999999998</v>
      </c>
      <c r="X33" s="26">
        <v>5.2439999999999998</v>
      </c>
    </row>
    <row r="34" spans="13:31" x14ac:dyDescent="0.25">
      <c r="M34" s="39" t="s">
        <v>223</v>
      </c>
      <c r="N34" s="53">
        <f>B23</f>
        <v>0.95</v>
      </c>
      <c r="O34" s="53">
        <f>C23</f>
        <v>595.11895000000004</v>
      </c>
      <c r="P34" s="52">
        <f>(Sizing!K11+Sizing!K11-Sizing!L11)/2</f>
        <v>111768.7488806898</v>
      </c>
      <c r="Q34" s="70">
        <f>E23</f>
        <v>1.49581E-3</v>
      </c>
      <c r="R34" s="39">
        <f>32.174*Q34</f>
        <v>4.8126190940000001E-2</v>
      </c>
      <c r="S34" s="39"/>
      <c r="T34" s="39">
        <f>H23</f>
        <v>1004.5607876</v>
      </c>
      <c r="U34" s="39">
        <f>P34/(0.5*$N$11*Q34*T34^2)</f>
        <v>8.3473230660930944E-2</v>
      </c>
      <c r="V34" s="77">
        <f>$O$39+$P$11*$U34^2</f>
        <v>7.4181075922681973E-3</v>
      </c>
      <c r="W34" s="39">
        <v>11.12</v>
      </c>
      <c r="X34" s="118">
        <v>11.12</v>
      </c>
      <c r="Y34" s="2" t="s">
        <v>228</v>
      </c>
      <c r="Z34" s="46" t="s">
        <v>109</v>
      </c>
      <c r="AA34" s="46" t="s">
        <v>229</v>
      </c>
      <c r="AB34" t="s">
        <v>230</v>
      </c>
      <c r="AC34" s="2" t="s">
        <v>231</v>
      </c>
    </row>
    <row r="35" spans="13:31" x14ac:dyDescent="0.25">
      <c r="Z35" s="46">
        <v>2</v>
      </c>
      <c r="AA35" s="46">
        <v>2.5999999999999999E-3</v>
      </c>
      <c r="AB35" s="116">
        <v>61000000</v>
      </c>
      <c r="AC35">
        <f>$O$7*2/($P$18*$S$18^2)/$N$12</f>
        <v>0</v>
      </c>
      <c r="AD35" s="26">
        <v>0.12418999999999999</v>
      </c>
      <c r="AE35" t="s">
        <v>232</v>
      </c>
    </row>
    <row r="36" spans="13:31" x14ac:dyDescent="0.25">
      <c r="Z36" s="46">
        <v>0.95</v>
      </c>
      <c r="AA36">
        <v>0</v>
      </c>
      <c r="AB36" s="116">
        <v>73800000</v>
      </c>
      <c r="AC36">
        <f>$O$7*2/($P$18*$S$18^2)/$N$12</f>
        <v>0</v>
      </c>
      <c r="AD36" s="26"/>
      <c r="AE36" t="s">
        <v>233</v>
      </c>
    </row>
    <row r="37" spans="13:31" x14ac:dyDescent="0.25">
      <c r="N37" t="s">
        <v>109</v>
      </c>
      <c r="O37" t="s">
        <v>234</v>
      </c>
      <c r="Z37" s="46">
        <v>0.66451000000000005</v>
      </c>
      <c r="AA37">
        <v>0</v>
      </c>
      <c r="AB37" s="116">
        <v>72400000</v>
      </c>
      <c r="AD37" s="26">
        <v>0.2</v>
      </c>
      <c r="AE37" t="s">
        <v>235</v>
      </c>
    </row>
    <row r="38" spans="13:31" x14ac:dyDescent="0.25">
      <c r="N38">
        <v>2</v>
      </c>
      <c r="O38">
        <v>5.2399999999999999E-3</v>
      </c>
      <c r="Z38" s="46">
        <v>0.4</v>
      </c>
      <c r="AA38">
        <v>0</v>
      </c>
      <c r="AB38" s="116">
        <v>54600000</v>
      </c>
      <c r="AD38" s="26">
        <v>9.7600000000000006E-2</v>
      </c>
      <c r="AE38" t="s">
        <v>236</v>
      </c>
    </row>
    <row r="39" spans="13:31" x14ac:dyDescent="0.25">
      <c r="N39">
        <v>0.95</v>
      </c>
      <c r="O39">
        <v>6.0800000000000003E-3</v>
      </c>
    </row>
    <row r="40" spans="13:31" x14ac:dyDescent="0.25">
      <c r="N40">
        <v>0.66451000000000005</v>
      </c>
      <c r="O40">
        <v>6.5300000000000002E-3</v>
      </c>
      <c r="Z40" s="46" t="s">
        <v>237</v>
      </c>
      <c r="AA40">
        <v>0</v>
      </c>
      <c r="AD40" s="26">
        <v>0.14233999999999999</v>
      </c>
    </row>
    <row r="41" spans="13:31" x14ac:dyDescent="0.25">
      <c r="N41">
        <v>0.4</v>
      </c>
      <c r="O41">
        <v>7.2300000000000003E-3</v>
      </c>
      <c r="Z41" s="46" t="s">
        <v>238</v>
      </c>
      <c r="AA41">
        <v>0</v>
      </c>
      <c r="AD41" s="26">
        <v>0.1075</v>
      </c>
    </row>
    <row r="42" spans="13:31" x14ac:dyDescent="0.25">
      <c r="Z42" s="46" t="s">
        <v>239</v>
      </c>
      <c r="AA42">
        <v>0</v>
      </c>
    </row>
    <row r="73" spans="1:1" x14ac:dyDescent="0.25">
      <c r="A73" t="s">
        <v>240</v>
      </c>
    </row>
    <row r="74" spans="1:1" x14ac:dyDescent="0.25">
      <c r="A74" t="s">
        <v>241</v>
      </c>
    </row>
  </sheetData>
  <mergeCells count="6">
    <mergeCell ref="Y19:Y29"/>
    <mergeCell ref="B3:H3"/>
    <mergeCell ref="M3:S3"/>
    <mergeCell ref="AJ3:AK3"/>
    <mergeCell ref="AJ2:AL2"/>
    <mergeCell ref="Y5:Y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F5F60-3381-4AEE-A47D-CB4B4965E9DD}">
  <sheetPr codeName="Sheet6"/>
  <dimension ref="A1:Z303"/>
  <sheetViews>
    <sheetView topLeftCell="H4" zoomScaleNormal="100" workbookViewId="0">
      <selection activeCell="S6" sqref="S6"/>
    </sheetView>
  </sheetViews>
  <sheetFormatPr defaultColWidth="8.85546875" defaultRowHeight="15" x14ac:dyDescent="0.25"/>
  <cols>
    <col min="1" max="1" width="11.85546875" bestFit="1" customWidth="1"/>
    <col min="2" max="2" width="14.140625" bestFit="1" customWidth="1"/>
    <col min="3" max="7" width="11.85546875" bestFit="1" customWidth="1"/>
    <col min="8" max="8" width="14.140625" bestFit="1" customWidth="1"/>
    <col min="9" max="9" width="13.42578125" bestFit="1" customWidth="1"/>
    <col min="10" max="10" width="13.140625" bestFit="1" customWidth="1"/>
    <col min="11" max="11" width="11.42578125" bestFit="1" customWidth="1"/>
    <col min="12" max="12" width="10.42578125" bestFit="1" customWidth="1"/>
    <col min="13" max="14" width="14.42578125" bestFit="1" customWidth="1"/>
  </cols>
  <sheetData>
    <row r="1" spans="1:26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x14ac:dyDescent="0.25">
      <c r="A2" s="46"/>
      <c r="B2" s="99" t="s">
        <v>242</v>
      </c>
      <c r="C2" s="99" t="s">
        <v>193</v>
      </c>
      <c r="D2" s="99" t="s">
        <v>188</v>
      </c>
      <c r="E2" s="99"/>
      <c r="F2" s="99" t="s">
        <v>243</v>
      </c>
      <c r="G2" s="99" t="s">
        <v>244</v>
      </c>
      <c r="H2" s="99" t="s">
        <v>245</v>
      </c>
      <c r="I2" s="99" t="s">
        <v>246</v>
      </c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x14ac:dyDescent="0.25">
      <c r="A3" s="46"/>
      <c r="B3" s="96">
        <v>1.95</v>
      </c>
      <c r="C3" s="96">
        <v>1.17E-2</v>
      </c>
      <c r="D3" s="96">
        <v>0.85</v>
      </c>
      <c r="E3" s="96"/>
      <c r="F3" s="96">
        <v>0.1091</v>
      </c>
      <c r="G3" s="96">
        <v>5.4000000000000003E-3</v>
      </c>
      <c r="H3" s="96">
        <v>32.17</v>
      </c>
      <c r="I3" s="101">
        <v>1.17E-2</v>
      </c>
      <c r="K3" s="46"/>
      <c r="L3" s="46" t="s">
        <v>247</v>
      </c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x14ac:dyDescent="0.25">
      <c r="A4" s="46"/>
      <c r="B4" s="46"/>
      <c r="C4" s="46"/>
      <c r="D4" s="46"/>
      <c r="E4" s="46"/>
      <c r="F4" s="46"/>
      <c r="G4" s="46"/>
      <c r="H4" s="46"/>
      <c r="K4" s="46"/>
      <c r="L4" s="46">
        <v>0.98603043517443134</v>
      </c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x14ac:dyDescent="0.25">
      <c r="A5" s="97" t="s">
        <v>126</v>
      </c>
      <c r="B5" s="98" t="s">
        <v>248</v>
      </c>
      <c r="C5" s="98" t="s">
        <v>93</v>
      </c>
      <c r="D5" s="97" t="s">
        <v>249</v>
      </c>
      <c r="E5" s="97" t="s">
        <v>132</v>
      </c>
      <c r="F5" s="98" t="s">
        <v>123</v>
      </c>
      <c r="G5" s="97" t="s">
        <v>250</v>
      </c>
      <c r="H5" s="46" t="s">
        <v>251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93" t="s">
        <v>252</v>
      </c>
      <c r="B7" s="93" t="s">
        <v>252</v>
      </c>
      <c r="C7" s="93" t="s">
        <v>252</v>
      </c>
      <c r="D7" s="93" t="s">
        <v>252</v>
      </c>
      <c r="E7" s="93" t="s">
        <v>252</v>
      </c>
      <c r="F7" s="93" t="s">
        <v>252</v>
      </c>
      <c r="G7" s="93" t="s">
        <v>253</v>
      </c>
      <c r="H7" s="93" t="s">
        <v>252</v>
      </c>
      <c r="I7" s="93"/>
      <c r="J7" s="93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94">
        <f>Sizing!AL10/100</f>
        <v>0.28282148656019279</v>
      </c>
      <c r="B8" s="94">
        <f>Sizing!AL7/100</f>
        <v>0.2604439491100537</v>
      </c>
      <c r="C8" s="94">
        <f>Sizing!AL4/100</f>
        <v>0.37222551163296175</v>
      </c>
      <c r="D8" s="94">
        <f>B8</f>
        <v>0.2604439491100537</v>
      </c>
      <c r="E8" s="94">
        <f>A8</f>
        <v>0.28282148656019279</v>
      </c>
      <c r="F8" s="95">
        <f>C8</f>
        <v>0.37222551163296175</v>
      </c>
      <c r="G8" s="94">
        <f>PRODUCT(Sizing!D3:D10)</f>
        <v>0.52072428621126776</v>
      </c>
      <c r="H8" s="95">
        <f>E8</f>
        <v>0.28282148656019279</v>
      </c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93" t="s">
        <v>253</v>
      </c>
      <c r="B9" s="93" t="s">
        <v>253</v>
      </c>
      <c r="C9" s="93" t="s">
        <v>253</v>
      </c>
      <c r="D9" s="93" t="s">
        <v>253</v>
      </c>
      <c r="E9" s="93" t="s">
        <v>253</v>
      </c>
      <c r="F9" s="93" t="s">
        <v>253</v>
      </c>
      <c r="G9" s="93" t="s">
        <v>254</v>
      </c>
      <c r="H9" s="93" t="s">
        <v>253</v>
      </c>
      <c r="I9" s="46" t="s">
        <v>255</v>
      </c>
      <c r="J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94">
        <f>PRODUCT(Sizing!J3:J6)</f>
        <v>0.89879853873855897</v>
      </c>
      <c r="B10" s="94">
        <f>PRODUCT(Sizing!D3:D6)</f>
        <v>0.89879853873855897</v>
      </c>
      <c r="C10" s="94">
        <f>PRODUCT(Sizing!D3:D5)</f>
        <v>0.9751995</v>
      </c>
      <c r="D10" s="94">
        <f>PRODUCT(Sizing!J3:J7)</f>
        <v>0.82104032044828401</v>
      </c>
      <c r="E10" s="94">
        <f>PRODUCT(Sizing!J3:J8)</f>
        <v>0.63169174996989208</v>
      </c>
      <c r="F10" s="94">
        <f>PRODUCT(Sizing!D3:D4)</f>
        <v>0.98009999999999997</v>
      </c>
      <c r="G10" s="95">
        <v>1.542</v>
      </c>
      <c r="H10" s="94">
        <f>PRODUCT(Sizing!F3:F4)</f>
        <v>2.2941171270377424E+39</v>
      </c>
      <c r="I10" s="46" t="s">
        <v>256</v>
      </c>
      <c r="J10" s="46" t="s">
        <v>186</v>
      </c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93" t="s">
        <v>257</v>
      </c>
      <c r="B11" s="93" t="s">
        <v>257</v>
      </c>
      <c r="C11" s="93" t="s">
        <v>257</v>
      </c>
      <c r="D11" s="93" t="s">
        <v>257</v>
      </c>
      <c r="E11" s="93" t="s">
        <v>257</v>
      </c>
      <c r="F11" s="93" t="s">
        <v>258</v>
      </c>
      <c r="G11" s="93" t="s">
        <v>259</v>
      </c>
      <c r="H11" s="93" t="s">
        <v>258</v>
      </c>
      <c r="I11" s="46">
        <v>0.4</v>
      </c>
      <c r="J11" s="46">
        <v>110</v>
      </c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94">
        <f>Sizing!V18*1.68781</f>
        <v>924.24146477049987</v>
      </c>
      <c r="B12" s="94">
        <f>Sizing!V10*1.68781</f>
        <v>1936.1543634000002</v>
      </c>
      <c r="C12" s="94">
        <f>F12</f>
        <v>675.12400000000002</v>
      </c>
      <c r="D12" s="94">
        <f>B12</f>
        <v>1936.1543634000002</v>
      </c>
      <c r="E12" s="94">
        <f>A12</f>
        <v>924.24146477049987</v>
      </c>
      <c r="F12" s="94">
        <f>Sizing!AF4*Sizing!R5*1.68781</f>
        <v>675.12400000000002</v>
      </c>
      <c r="G12" s="95">
        <v>271.33</v>
      </c>
      <c r="H12" s="94">
        <f>Sizing!AH4*Sizing!T5*1.68781</f>
        <v>155.55803316842631</v>
      </c>
      <c r="I12" s="46">
        <f>0.4*195000</f>
        <v>78000</v>
      </c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93" t="s">
        <v>260</v>
      </c>
      <c r="B13" s="93" t="s">
        <v>260</v>
      </c>
      <c r="C13" s="93" t="s">
        <v>260</v>
      </c>
      <c r="D13" s="93" t="s">
        <v>260</v>
      </c>
      <c r="E13" s="93" t="s">
        <v>260</v>
      </c>
      <c r="F13" s="93" t="s">
        <v>260</v>
      </c>
      <c r="G13" s="93" t="s">
        <v>261</v>
      </c>
      <c r="H13" s="93" t="s">
        <v>260</v>
      </c>
      <c r="I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94">
        <f>'Drag Polar'!P24</f>
        <v>7.3662700000000001E-4</v>
      </c>
      <c r="B14" s="94">
        <f>'Drag Polar'!E18</f>
        <v>2.8457100000000001E-4</v>
      </c>
      <c r="C14" s="94">
        <f>F14</f>
        <v>2.0483400000000001E-3</v>
      </c>
      <c r="D14" s="94">
        <f>'Drag Polar'!E18</f>
        <v>2.8457100000000001E-4</v>
      </c>
      <c r="E14" s="94">
        <f>A14</f>
        <v>7.3662700000000001E-4</v>
      </c>
      <c r="F14" s="94">
        <v>2.0483400000000001E-3</v>
      </c>
      <c r="G14" s="95">
        <v>1.28</v>
      </c>
      <c r="H14" s="94">
        <v>2.0483400000000001E-3</v>
      </c>
      <c r="I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93" t="s">
        <v>229</v>
      </c>
      <c r="B15" s="93" t="s">
        <v>229</v>
      </c>
      <c r="C15" s="93" t="s">
        <v>229</v>
      </c>
      <c r="D15" s="93" t="s">
        <v>229</v>
      </c>
      <c r="E15" s="93" t="s">
        <v>229</v>
      </c>
      <c r="F15" s="93" t="s">
        <v>262</v>
      </c>
      <c r="G15" s="93" t="s">
        <v>260</v>
      </c>
      <c r="H15" s="93" t="s">
        <v>262</v>
      </c>
      <c r="I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 s="94">
        <v>0</v>
      </c>
      <c r="B16" s="100">
        <f>'Drag Polar'!Y16+'Drag Polar'!AA11</f>
        <v>3.4124727666906356E-3</v>
      </c>
      <c r="C16" s="94">
        <v>0</v>
      </c>
      <c r="D16" s="95">
        <f>'Drag Polar'!Y30+'Drag Polar'!AA25</f>
        <v>3.1324727666906353E-3</v>
      </c>
      <c r="E16" s="94">
        <v>0</v>
      </c>
      <c r="F16" s="96">
        <v>8500</v>
      </c>
      <c r="G16" s="95">
        <v>2.0479999999999999E-3</v>
      </c>
      <c r="H16" s="96">
        <v>6500</v>
      </c>
      <c r="I16" s="46">
        <f>0.4*195149</f>
        <v>78059.600000000006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x14ac:dyDescent="0.25">
      <c r="A17" s="93" t="s">
        <v>263</v>
      </c>
      <c r="B17" s="93" t="s">
        <v>263</v>
      </c>
      <c r="C17" s="93" t="s">
        <v>263</v>
      </c>
      <c r="D17" s="93" t="s">
        <v>263</v>
      </c>
      <c r="E17" s="93" t="s">
        <v>263</v>
      </c>
      <c r="F17" s="93" t="s">
        <v>264</v>
      </c>
      <c r="G17" s="93"/>
      <c r="H17" s="93" t="s">
        <v>264</v>
      </c>
      <c r="I17" s="46">
        <f>I16/4</f>
        <v>19514.900000000001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x14ac:dyDescent="0.25">
      <c r="A18" s="94">
        <v>0</v>
      </c>
      <c r="B18" s="94">
        <v>0</v>
      </c>
      <c r="C18" s="95">
        <f>Sizing!S5/60</f>
        <v>16.203703703703706</v>
      </c>
      <c r="D18" s="94">
        <v>0</v>
      </c>
      <c r="E18" s="94">
        <v>0</v>
      </c>
      <c r="F18" s="95">
        <f>1.542*0.8</f>
        <v>1.2336</v>
      </c>
      <c r="G18" s="46"/>
      <c r="H18" s="95">
        <f>1.542*0.8</f>
        <v>1.2336</v>
      </c>
      <c r="I18" s="93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x14ac:dyDescent="0.25">
      <c r="A19" s="93" t="s">
        <v>265</v>
      </c>
      <c r="B19" s="93" t="s">
        <v>265</v>
      </c>
      <c r="C19" s="93" t="s">
        <v>265</v>
      </c>
      <c r="D19" s="93" t="s">
        <v>265</v>
      </c>
      <c r="E19" s="93" t="s">
        <v>265</v>
      </c>
      <c r="F19" s="93" t="s">
        <v>266</v>
      </c>
      <c r="G19" s="93"/>
      <c r="H19" s="93" t="s">
        <v>266</v>
      </c>
      <c r="I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x14ac:dyDescent="0.25">
      <c r="A20" s="94">
        <v>1</v>
      </c>
      <c r="B20" s="94">
        <v>1</v>
      </c>
      <c r="C20" s="94">
        <v>1</v>
      </c>
      <c r="D20" s="94">
        <v>1</v>
      </c>
      <c r="E20" s="94">
        <v>1</v>
      </c>
      <c r="F20" s="94">
        <v>37.5</v>
      </c>
      <c r="G20" s="46"/>
      <c r="H20" s="94">
        <v>37.5</v>
      </c>
      <c r="I20" s="93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x14ac:dyDescent="0.25">
      <c r="A21" s="93" t="s">
        <v>267</v>
      </c>
      <c r="B21" s="93" t="s">
        <v>267</v>
      </c>
      <c r="C21" s="93" t="s">
        <v>267</v>
      </c>
      <c r="D21" s="93" t="s">
        <v>267</v>
      </c>
      <c r="E21" s="93" t="s">
        <v>267</v>
      </c>
      <c r="F21" s="46"/>
      <c r="H21" s="46"/>
      <c r="I21" s="46"/>
      <c r="J21" s="93"/>
      <c r="K21" s="93"/>
      <c r="L21" s="93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x14ac:dyDescent="0.25">
      <c r="A22" s="94">
        <v>0</v>
      </c>
      <c r="B22" s="94">
        <v>0</v>
      </c>
      <c r="C22" s="94">
        <v>0</v>
      </c>
      <c r="D22" s="94">
        <v>0</v>
      </c>
      <c r="E22" s="94">
        <v>0</v>
      </c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x14ac:dyDescent="0.25">
      <c r="G23">
        <v>0.7</v>
      </c>
      <c r="H23" s="46">
        <v>120.265</v>
      </c>
      <c r="I23" s="46"/>
      <c r="J23" s="93"/>
      <c r="K23" s="93"/>
      <c r="L23" s="93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x14ac:dyDescent="0.25">
      <c r="F24" s="46"/>
      <c r="G24">
        <v>0</v>
      </c>
      <c r="H24" s="46">
        <v>120.265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x14ac:dyDescent="0.25">
      <c r="F25" s="46"/>
      <c r="H25" s="46"/>
      <c r="I25" s="46"/>
      <c r="J25" s="93"/>
      <c r="K25" s="93"/>
      <c r="L25" s="93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x14ac:dyDescent="0.25">
      <c r="F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x14ac:dyDescent="0.25">
      <c r="A27" s="93" t="s">
        <v>268</v>
      </c>
      <c r="B27" s="93" t="s">
        <v>269</v>
      </c>
      <c r="C27" s="93" t="s">
        <v>268</v>
      </c>
      <c r="D27" s="93" t="s">
        <v>268</v>
      </c>
      <c r="E27" s="93" t="s">
        <v>268</v>
      </c>
      <c r="F27" s="46"/>
      <c r="G27" s="46"/>
      <c r="H27" s="46"/>
      <c r="I27" s="46"/>
      <c r="J27" s="93"/>
      <c r="K27" s="93"/>
      <c r="L27" s="93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x14ac:dyDescent="0.25">
      <c r="A28" s="46">
        <f>(A$14*A$12^2)/2</f>
        <v>314.6215996404224</v>
      </c>
      <c r="B28">
        <f>(B$14*B$12^2)/2</f>
        <v>533.38476014237574</v>
      </c>
      <c r="C28">
        <f>(C$14*C$12^2)/2</f>
        <v>466.808918055638</v>
      </c>
      <c r="D28">
        <f>(D$14*D$12^2)/2</f>
        <v>533.38476014237574</v>
      </c>
      <c r="E28">
        <f>(E$14*E$12^2)/2</f>
        <v>314.6215996404224</v>
      </c>
      <c r="F28" s="46"/>
      <c r="G28" s="46"/>
      <c r="H28" s="46"/>
      <c r="I28" s="46"/>
      <c r="J28" s="46"/>
      <c r="K28" s="46"/>
      <c r="L28" s="46"/>
      <c r="M28" s="46"/>
      <c r="N28" s="46" t="s">
        <v>270</v>
      </c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>
        <f>I11*Sizing!J25</f>
        <v>78059.715410218996</v>
      </c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x14ac:dyDescent="0.25">
      <c r="A30" s="46" t="s">
        <v>271</v>
      </c>
      <c r="B30" s="46" t="s">
        <v>256</v>
      </c>
      <c r="C30" s="46" t="s">
        <v>256</v>
      </c>
      <c r="D30" s="46" t="s">
        <v>256</v>
      </c>
      <c r="E30" s="46" t="s">
        <v>256</v>
      </c>
      <c r="F30" s="46" t="s">
        <v>256</v>
      </c>
      <c r="G30" s="46" t="s">
        <v>186</v>
      </c>
      <c r="H30" s="46" t="s">
        <v>272</v>
      </c>
      <c r="I30" s="46" t="s">
        <v>256</v>
      </c>
      <c r="J30" s="46"/>
      <c r="K30" s="46" t="s">
        <v>273</v>
      </c>
      <c r="L30" s="46" t="s">
        <v>274</v>
      </c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x14ac:dyDescent="0.25">
      <c r="A31" s="46">
        <v>50</v>
      </c>
      <c r="B31" s="92">
        <f>B$10/B$8*((B$28/(B$10*$A31))*($F$3*POWER((B$20*B$10/B$28*$A31),2) + $G$3*(B$20*B$10/B$28*$A31)+$C$3+B$16)+B$18/B$12+B$22/$H$3)</f>
        <v>0.66935955183052265</v>
      </c>
      <c r="C31" s="92">
        <f>C$10/C$8*((C$28/(C$10*$A31))*($F$3*POWER((C$20*C$10/C$28*$A31),2) + $G$3*(C$20*C$10/C$28*$A31)+$C$3+C$16)+C$18/C$12+C$22/$H$3)</f>
        <v>0.4003446462906845</v>
      </c>
      <c r="D31" s="46">
        <f>D$10/D$8*((D$28/(D$10*$A31))*($F$3*POWER((D$20*D$10/D$28*$A31),2) + $G$3*(D$20*D$10/D$28*$A31)+$I$3+D$16)+D$18/D$12+D$22/$H$3)</f>
        <v>0.65102723599557888</v>
      </c>
      <c r="E31" s="46">
        <f>E$10/E$8*((E$28/(E$10*$A31))*($F$3*POWER((E$20*E$10/E$28*$A31),2) + $G$3*(E$20*E$10/E$28*$A31)+$I$3+E$16)+E$18/E$12+E$22/$H$3)</f>
        <v>0.29683446408871039</v>
      </c>
      <c r="F31" s="92">
        <f>$F$20*$A31/($F$18*$F$16)</f>
        <v>0.1788166628519112</v>
      </c>
      <c r="G31" s="92">
        <f t="shared" ref="G31:G71" si="0">$G$16*$G$12^2*$G$10/(2*$G$14^2*$G$8)</f>
        <v>136.25491820942017</v>
      </c>
      <c r="H31" s="92">
        <f>$H$20*$A31/($H$18*6500)</f>
        <v>0.23383717449865307</v>
      </c>
      <c r="I31" s="92">
        <f>A$10/A$8*((A$28/(A$10*$A31))*($F$3*POWER((A$20*A$10/A$28*$A31),2) + $G$3*(A$20*A$10/A$28*$A31)+$I$3+A$16)+A$18/A$12+A$22/$H$3)</f>
        <v>0.32699604896990103</v>
      </c>
      <c r="J31" s="46">
        <v>0</v>
      </c>
      <c r="K31" s="46">
        <f>B$10/B$8*((B$28/(B$10*$A31))*($F$3*POWER((B$20*B$10/B$28*$A31),2) + $G$3*(B$20*B$10/B$28*$A31)+$C$3+B$16)+B$18/B$12+B$22/$H$3)</f>
        <v>0.66935955183052265</v>
      </c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x14ac:dyDescent="0.25">
      <c r="A32" s="46">
        <f t="shared" ref="A32:A71" si="1">A31+2.5</f>
        <v>52.5</v>
      </c>
      <c r="B32" s="92">
        <f t="shared" ref="B32:C50" si="2">B$10/B$8*((B$28/(B$10*$A32))*($F$3*POWER((B$20*B$10/B$28*$A32),2) + $G$3*(B$20*B$10/B$28*$A32)+$C$3+B$16)+B$18/B$12+B$22/$H$3)</f>
        <v>0.64146939404334335</v>
      </c>
      <c r="C32" s="92">
        <f t="shared" si="2"/>
        <v>0.38786317856296487</v>
      </c>
      <c r="D32" s="46">
        <f t="shared" ref="D32:E71" si="3">D$10/D$8*((D$28/(D$10*$A32))*($F$3*POWER((D$20*D$10/D$28*$A32),2) + $G$3*(D$20*D$10/D$28*$A32)+$I$3+D$16)+D$18/D$12+D$22/$H$3)</f>
        <v>0.623420637690005</v>
      </c>
      <c r="E32" s="46">
        <f t="shared" si="3"/>
        <v>0.28566185183151055</v>
      </c>
      <c r="F32" s="92">
        <f t="shared" ref="F32:F71" si="4">$F$20*$A32/($F$18*$F$16)</f>
        <v>0.18775749599450675</v>
      </c>
      <c r="G32" s="92">
        <f t="shared" si="0"/>
        <v>136.25491820942017</v>
      </c>
      <c r="H32" s="92">
        <f t="shared" ref="H32:H71" si="5">$H$20*$A32/($H$18*6500)</f>
        <v>0.24552903322358574</v>
      </c>
      <c r="I32" s="92">
        <f t="shared" ref="I32:I71" si="6">A$10/A$8*((A$28/(A$10*$A32))*($F$3*POWER((A$20*A$10/A$28*$A32),2) + $G$3*(A$20*A$10/A$28*$A32)+$I$3+A$16)+A$18/A$12+A$22/$H$3)</f>
        <v>0.31707651824125949</v>
      </c>
      <c r="J32" s="46">
        <v>0.125</v>
      </c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x14ac:dyDescent="0.25">
      <c r="A33" s="46">
        <f t="shared" si="1"/>
        <v>55</v>
      </c>
      <c r="B33" s="92">
        <f t="shared" si="2"/>
        <v>0.61625889739456496</v>
      </c>
      <c r="C33" s="92">
        <f t="shared" si="2"/>
        <v>0.37665210030818164</v>
      </c>
      <c r="D33" s="46">
        <f t="shared" si="3"/>
        <v>0.59844405245197452</v>
      </c>
      <c r="E33" s="46">
        <f t="shared" si="3"/>
        <v>0.27561612564763299</v>
      </c>
      <c r="F33" s="92">
        <f t="shared" si="4"/>
        <v>0.19669832913710231</v>
      </c>
      <c r="G33" s="92">
        <f t="shared" si="0"/>
        <v>136.25491820942017</v>
      </c>
      <c r="H33" s="92">
        <f t="shared" si="5"/>
        <v>0.25722089194851838</v>
      </c>
      <c r="I33" s="92">
        <f t="shared" si="6"/>
        <v>0.30828387358594006</v>
      </c>
      <c r="J33" s="46">
        <v>0.25</v>
      </c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x14ac:dyDescent="0.25">
      <c r="A34" s="46">
        <f t="shared" si="1"/>
        <v>57.5</v>
      </c>
      <c r="B34" s="92">
        <f t="shared" si="2"/>
        <v>0.59337854086613517</v>
      </c>
      <c r="C34" s="92">
        <f t="shared" si="2"/>
        <v>0.36654570855160401</v>
      </c>
      <c r="D34" s="46">
        <f t="shared" si="3"/>
        <v>0.57575443509876456</v>
      </c>
      <c r="E34" s="46">
        <f t="shared" si="3"/>
        <v>0.26655030039707894</v>
      </c>
      <c r="F34" s="92">
        <f t="shared" si="4"/>
        <v>0.20563916227969786</v>
      </c>
      <c r="G34" s="92">
        <f t="shared" si="0"/>
        <v>136.25491820942017</v>
      </c>
      <c r="H34" s="92">
        <f t="shared" si="5"/>
        <v>0.26891275067345105</v>
      </c>
      <c r="I34" s="92">
        <f t="shared" si="6"/>
        <v>0.30047112986394414</v>
      </c>
      <c r="J34" s="46">
        <v>0.375</v>
      </c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x14ac:dyDescent="0.25">
      <c r="A35" s="46">
        <f t="shared" si="1"/>
        <v>60</v>
      </c>
      <c r="B35" s="92">
        <f t="shared" si="2"/>
        <v>0.57253705694301049</v>
      </c>
      <c r="C35" s="92">
        <f t="shared" si="2"/>
        <v>0.35740591748095629</v>
      </c>
      <c r="D35" s="46">
        <f t="shared" si="3"/>
        <v>0.5550659146447724</v>
      </c>
      <c r="E35" s="46">
        <f t="shared" si="3"/>
        <v>0.25834188846318312</v>
      </c>
      <c r="F35" s="92">
        <f t="shared" si="4"/>
        <v>0.21457999542229342</v>
      </c>
      <c r="G35" s="92">
        <f t="shared" si="0"/>
        <v>136.25491820942017</v>
      </c>
      <c r="H35" s="92">
        <f t="shared" si="5"/>
        <v>0.28060460939838372</v>
      </c>
      <c r="I35" s="92">
        <f t="shared" si="6"/>
        <v>0.29351579945860651</v>
      </c>
      <c r="J35" s="46">
        <v>0.5</v>
      </c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x14ac:dyDescent="0.25">
      <c r="A36" s="46">
        <f t="shared" si="1"/>
        <v>62.5</v>
      </c>
      <c r="B36" s="92">
        <f t="shared" si="2"/>
        <v>0.55348978091255396</v>
      </c>
      <c r="C36" s="92">
        <f t="shared" si="2"/>
        <v>0.34911673501392682</v>
      </c>
      <c r="D36" s="46">
        <f t="shared" si="3"/>
        <v>0.53613835946209165</v>
      </c>
      <c r="E36" s="46">
        <f t="shared" si="3"/>
        <v>0.25088800024794639</v>
      </c>
      <c r="F36" s="92">
        <f t="shared" si="4"/>
        <v>0.22352082856488897</v>
      </c>
      <c r="G36" s="92">
        <f t="shared" si="0"/>
        <v>136.25491820942017</v>
      </c>
      <c r="H36" s="92">
        <f t="shared" si="5"/>
        <v>0.29229646812331633</v>
      </c>
      <c r="I36" s="92">
        <f t="shared" si="6"/>
        <v>0.28731499277192807</v>
      </c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x14ac:dyDescent="0.25">
      <c r="A37" s="46">
        <f t="shared" si="1"/>
        <v>65</v>
      </c>
      <c r="B37" s="92">
        <f t="shared" si="2"/>
        <v>0.53602968878715029</v>
      </c>
      <c r="C37" s="92">
        <f t="shared" si="2"/>
        <v>0.34158001400394422</v>
      </c>
      <c r="D37" s="46">
        <f t="shared" si="3"/>
        <v>0.51876858125018677</v>
      </c>
      <c r="E37" s="46">
        <f t="shared" si="3"/>
        <v>0.24410157532229279</v>
      </c>
      <c r="F37" s="92">
        <f t="shared" si="4"/>
        <v>0.23246166170748453</v>
      </c>
      <c r="G37" s="92">
        <f t="shared" si="0"/>
        <v>136.25491820942017</v>
      </c>
      <c r="H37" s="92">
        <f t="shared" si="5"/>
        <v>0.303988326848249</v>
      </c>
      <c r="I37" s="92">
        <f t="shared" si="6"/>
        <v>0.28178164937483263</v>
      </c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x14ac:dyDescent="0.25">
      <c r="A38" s="46">
        <f t="shared" si="1"/>
        <v>67.5</v>
      </c>
      <c r="B38" s="92">
        <f t="shared" si="2"/>
        <v>0.51998042679957135</v>
      </c>
      <c r="C38" s="92">
        <f t="shared" si="2"/>
        <v>0.33471214762244783</v>
      </c>
      <c r="D38" s="46">
        <f t="shared" si="3"/>
        <v>0.50278349367897124</v>
      </c>
      <c r="E38" s="46">
        <f t="shared" si="3"/>
        <v>0.23790845109849082</v>
      </c>
      <c r="F38" s="92">
        <f t="shared" si="4"/>
        <v>0.24140249485008011</v>
      </c>
      <c r="G38" s="92">
        <f t="shared" si="0"/>
        <v>136.25491820942017</v>
      </c>
      <c r="H38" s="92">
        <f t="shared" si="5"/>
        <v>0.31568018557318167</v>
      </c>
      <c r="I38" s="92">
        <f t="shared" si="6"/>
        <v>0.27684160667958896</v>
      </c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x14ac:dyDescent="0.25">
      <c r="A39" s="46">
        <f t="shared" si="1"/>
        <v>70</v>
      </c>
      <c r="B39" s="92">
        <f t="shared" si="2"/>
        <v>0.50519083457790737</v>
      </c>
      <c r="C39" s="92">
        <f t="shared" si="2"/>
        <v>0.32844147287352843</v>
      </c>
      <c r="D39" s="46">
        <f t="shared" si="3"/>
        <v>0.48803473703694294</v>
      </c>
      <c r="E39" s="46">
        <f t="shared" si="3"/>
        <v>0.23224505964419934</v>
      </c>
      <c r="F39" s="92">
        <f t="shared" si="4"/>
        <v>0.25034332799267567</v>
      </c>
      <c r="G39" s="92">
        <f t="shared" si="0"/>
        <v>136.25491820942017</v>
      </c>
      <c r="H39" s="92">
        <f t="shared" si="5"/>
        <v>0.32737204429811434</v>
      </c>
      <c r="I39" s="92">
        <f t="shared" si="6"/>
        <v>0.27243129675385558</v>
      </c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x14ac:dyDescent="0.25">
      <c r="A40" s="46">
        <f t="shared" si="1"/>
        <v>72.5</v>
      </c>
      <c r="B40" s="92">
        <f t="shared" si="2"/>
        <v>0.49153060145671873</v>
      </c>
      <c r="C40" s="92">
        <f t="shared" si="2"/>
        <v>0.3227062113124366</v>
      </c>
      <c r="D40" s="46">
        <f t="shared" si="3"/>
        <v>0.47439441502108221</v>
      </c>
      <c r="E40" s="46">
        <f t="shared" si="3"/>
        <v>0.22705660101774472</v>
      </c>
      <c r="F40" s="92">
        <f t="shared" si="4"/>
        <v>0.2592841611352712</v>
      </c>
      <c r="G40" s="92">
        <f t="shared" si="0"/>
        <v>136.25491820942017</v>
      </c>
      <c r="H40" s="92">
        <f t="shared" si="5"/>
        <v>0.33906390302304695</v>
      </c>
      <c r="I40" s="92">
        <f t="shared" si="6"/>
        <v>0.26849591965595915</v>
      </c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x14ac:dyDescent="0.25">
      <c r="A41" s="46">
        <f t="shared" si="1"/>
        <v>75</v>
      </c>
      <c r="B41" s="92">
        <f t="shared" si="2"/>
        <v>0.4788867915259582</v>
      </c>
      <c r="C41" s="92">
        <f t="shared" si="2"/>
        <v>0.31745282162038957</v>
      </c>
      <c r="D41" s="46">
        <f t="shared" si="3"/>
        <v>0.46175168416877255</v>
      </c>
      <c r="E41" s="46">
        <f t="shared" si="3"/>
        <v>0.22229558193634338</v>
      </c>
      <c r="F41" s="92">
        <f t="shared" si="4"/>
        <v>0.26822499427786678</v>
      </c>
      <c r="G41" s="92">
        <f t="shared" si="0"/>
        <v>136.25491820942017</v>
      </c>
      <c r="H41" s="92">
        <f t="shared" si="5"/>
        <v>0.35075576174797962</v>
      </c>
      <c r="I41" s="92">
        <f t="shared" si="6"/>
        <v>0.26498798210311603</v>
      </c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x14ac:dyDescent="0.25">
      <c r="A42" s="46">
        <f t="shared" si="1"/>
        <v>77.5</v>
      </c>
      <c r="B42" s="92">
        <f t="shared" si="2"/>
        <v>0.467161041251068</v>
      </c>
      <c r="C42" s="92">
        <f t="shared" si="2"/>
        <v>0.31263467103586701</v>
      </c>
      <c r="D42" s="46">
        <f t="shared" si="3"/>
        <v>0.45001000339967012</v>
      </c>
      <c r="E42" s="46">
        <f t="shared" si="3"/>
        <v>0.21792063728273203</v>
      </c>
      <c r="F42" s="92">
        <f t="shared" si="4"/>
        <v>0.27716582742046236</v>
      </c>
      <c r="G42" s="92">
        <f t="shared" si="0"/>
        <v>136.25491820942017</v>
      </c>
      <c r="H42" s="92">
        <f t="shared" si="5"/>
        <v>0.36244762047291229</v>
      </c>
      <c r="I42" s="92">
        <f t="shared" si="6"/>
        <v>0.26186611897806289</v>
      </c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x14ac:dyDescent="0.25">
      <c r="A43" s="46">
        <f t="shared" si="1"/>
        <v>80</v>
      </c>
      <c r="B43" s="92">
        <f t="shared" si="2"/>
        <v>0.4562672825393102</v>
      </c>
      <c r="C43" s="92">
        <f t="shared" si="2"/>
        <v>0.30821095589253827</v>
      </c>
      <c r="D43" s="46">
        <f t="shared" si="3"/>
        <v>0.43908489926847422</v>
      </c>
      <c r="E43" s="46">
        <f t="shared" si="3"/>
        <v>0.21389557257930536</v>
      </c>
      <c r="F43" s="92">
        <f t="shared" si="4"/>
        <v>0.28610666056305789</v>
      </c>
      <c r="G43" s="92">
        <f t="shared" si="0"/>
        <v>136.25491820942017</v>
      </c>
      <c r="H43" s="92">
        <f t="shared" si="5"/>
        <v>0.3741394791978449</v>
      </c>
      <c r="I43" s="92">
        <f t="shared" si="6"/>
        <v>0.2590941358031944</v>
      </c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x14ac:dyDescent="0.25">
      <c r="A44" s="46">
        <f t="shared" si="1"/>
        <v>82.5</v>
      </c>
      <c r="B44" s="92">
        <f t="shared" si="2"/>
        <v>0.44612987979403662</v>
      </c>
      <c r="C44" s="92">
        <f t="shared" si="2"/>
        <v>0.30414581842302241</v>
      </c>
      <c r="D44" s="46">
        <f t="shared" si="3"/>
        <v>0.42890213753537543</v>
      </c>
      <c r="E44" s="46">
        <f t="shared" si="3"/>
        <v>0.21018858055786482</v>
      </c>
      <c r="F44" s="92">
        <f t="shared" si="4"/>
        <v>0.29504749370565347</v>
      </c>
      <c r="G44" s="92">
        <f t="shared" si="0"/>
        <v>136.25491820942017</v>
      </c>
      <c r="H44" s="92">
        <f t="shared" si="5"/>
        <v>0.38583133792277757</v>
      </c>
      <c r="I44" s="92">
        <f t="shared" si="6"/>
        <v>0.25664022531031205</v>
      </c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x14ac:dyDescent="0.25">
      <c r="A45" s="46">
        <f t="shared" si="1"/>
        <v>85</v>
      </c>
      <c r="B45" s="92">
        <f t="shared" si="2"/>
        <v>0.43668209572408673</v>
      </c>
      <c r="C45" s="92">
        <f t="shared" si="2"/>
        <v>0.30040761942080624</v>
      </c>
      <c r="D45" s="46">
        <f t="shared" si="3"/>
        <v>0.41939621740054139</v>
      </c>
      <c r="E45" s="46">
        <f t="shared" si="3"/>
        <v>0.20677159598176448</v>
      </c>
      <c r="F45" s="92">
        <f t="shared" si="4"/>
        <v>0.303988326848249</v>
      </c>
      <c r="G45" s="92">
        <f t="shared" si="0"/>
        <v>136.25491820942017</v>
      </c>
      <c r="H45" s="92">
        <f t="shared" si="5"/>
        <v>0.39752319664771024</v>
      </c>
      <c r="I45" s="92">
        <f t="shared" si="6"/>
        <v>0.25447632226276995</v>
      </c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x14ac:dyDescent="0.25">
      <c r="A46" s="46">
        <f t="shared" si="1"/>
        <v>87.5</v>
      </c>
      <c r="B46" s="92">
        <f t="shared" si="2"/>
        <v>0.42786482015728994</v>
      </c>
      <c r="C46" s="92">
        <f t="shared" si="2"/>
        <v>0.29696833558869284</v>
      </c>
      <c r="D46" s="46">
        <f t="shared" si="3"/>
        <v>0.41050912386983518</v>
      </c>
      <c r="E46" s="46">
        <f t="shared" si="3"/>
        <v>0.20361976106997526</v>
      </c>
      <c r="F46" s="92">
        <f t="shared" si="4"/>
        <v>0.31292915999084459</v>
      </c>
      <c r="G46" s="92">
        <f t="shared" si="0"/>
        <v>136.25491820942017</v>
      </c>
      <c r="H46" s="92">
        <f t="shared" si="5"/>
        <v>0.40921505537264291</v>
      </c>
      <c r="I46" s="92">
        <f t="shared" si="6"/>
        <v>0.25257756887953897</v>
      </c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x14ac:dyDescent="0.25">
      <c r="A47" s="46">
        <f t="shared" si="1"/>
        <v>90</v>
      </c>
      <c r="B47" s="92">
        <f t="shared" si="2"/>
        <v>0.41962551071838361</v>
      </c>
      <c r="C47" s="92">
        <f t="shared" si="2"/>
        <v>0.29380305732917344</v>
      </c>
      <c r="D47" s="46">
        <f t="shared" si="3"/>
        <v>0.40218928805957954</v>
      </c>
      <c r="E47" s="46">
        <f t="shared" si="3"/>
        <v>0.20071098001713786</v>
      </c>
      <c r="F47" s="92">
        <f t="shared" si="4"/>
        <v>0.32186999313344011</v>
      </c>
      <c r="G47" s="92">
        <f t="shared" si="0"/>
        <v>136.25491820942017</v>
      </c>
      <c r="H47" s="92">
        <f t="shared" si="5"/>
        <v>0.42090691409757552</v>
      </c>
      <c r="I47" s="92">
        <f t="shared" si="6"/>
        <v>0.25092186935525979</v>
      </c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x14ac:dyDescent="0.25">
      <c r="A48" s="46">
        <f t="shared" si="1"/>
        <v>92.5</v>
      </c>
      <c r="B48" s="92">
        <f t="shared" si="2"/>
        <v>0.41191730528888998</v>
      </c>
      <c r="C48" s="92">
        <f t="shared" si="2"/>
        <v>0.29088956797420001</v>
      </c>
      <c r="D48" s="46">
        <f t="shared" si="3"/>
        <v>0.39439071610054866</v>
      </c>
      <c r="E48" s="46">
        <f t="shared" si="3"/>
        <v>0.19802554575360756</v>
      </c>
      <c r="F48" s="92">
        <f t="shared" si="4"/>
        <v>0.3308108262760357</v>
      </c>
      <c r="G48" s="92">
        <f t="shared" si="0"/>
        <v>136.25491820942017</v>
      </c>
      <c r="H48" s="92">
        <f t="shared" si="5"/>
        <v>0.43259877282250819</v>
      </c>
      <c r="I48" s="92">
        <f t="shared" si="6"/>
        <v>0.24948951662028765</v>
      </c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x14ac:dyDescent="0.25">
      <c r="A49" s="46">
        <f t="shared" si="1"/>
        <v>95</v>
      </c>
      <c r="B49" s="92">
        <f t="shared" si="2"/>
        <v>0.4046982746049082</v>
      </c>
      <c r="C49" s="92">
        <f t="shared" si="2"/>
        <v>0.28820798945236109</v>
      </c>
      <c r="D49" s="46">
        <f t="shared" si="3"/>
        <v>0.38707225558343539</v>
      </c>
      <c r="E49" s="46">
        <f t="shared" si="3"/>
        <v>0.19554582563812328</v>
      </c>
      <c r="F49" s="92">
        <f t="shared" si="4"/>
        <v>0.33975165941863128</v>
      </c>
      <c r="G49" s="92">
        <f t="shared" si="0"/>
        <v>136.25491820942017</v>
      </c>
      <c r="H49" s="92">
        <f t="shared" si="5"/>
        <v>0.44429063154744086</v>
      </c>
      <c r="I49" s="92">
        <f t="shared" si="6"/>
        <v>0.24826287803336156</v>
      </c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x14ac:dyDescent="0.25">
      <c r="A50" s="46">
        <f t="shared" si="1"/>
        <v>97.5</v>
      </c>
      <c r="B50" s="92">
        <f t="shared" si="2"/>
        <v>0.39793078983986035</v>
      </c>
      <c r="C50" s="92">
        <f t="shared" si="2"/>
        <v>0.28574048246880007</v>
      </c>
      <c r="D50" s="46">
        <f t="shared" si="3"/>
        <v>0.38019697485886139</v>
      </c>
      <c r="E50" s="46">
        <f t="shared" si="3"/>
        <v>0.19325599550545072</v>
      </c>
      <c r="F50" s="92">
        <f t="shared" si="4"/>
        <v>0.34869249256122681</v>
      </c>
      <c r="G50" s="92">
        <f t="shared" si="0"/>
        <v>136.25491820942017</v>
      </c>
      <c r="H50" s="92">
        <f t="shared" si="5"/>
        <v>0.45598249027237353</v>
      </c>
      <c r="I50" s="92">
        <f t="shared" si="6"/>
        <v>0.24722612942924721</v>
      </c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x14ac:dyDescent="0.25">
      <c r="A51" s="46">
        <f t="shared" si="1"/>
        <v>100</v>
      </c>
      <c r="B51" s="92">
        <f t="shared" ref="B51:C71" si="7">B$10/B$8*((B$28/(B$10*$A51))*($F$3*POWER((B$20*B$10/B$28*$A51),2) + $G$3*(B$20*B$10/B$28*$A51)+$C$3+B$16)+B$18/B$12+B$22/$H$3)</f>
        <v>0.39158098504982636</v>
      </c>
      <c r="C51" s="92">
        <f t="shared" si="7"/>
        <v>0.28347099165814615</v>
      </c>
      <c r="D51" s="46">
        <f t="shared" si="3"/>
        <v>0.37373163544238636</v>
      </c>
      <c r="E51" s="46">
        <f t="shared" si="3"/>
        <v>0.1911418136068789</v>
      </c>
      <c r="F51" s="92">
        <f t="shared" si="4"/>
        <v>0.35763332570382239</v>
      </c>
      <c r="G51" s="92">
        <f t="shared" si="0"/>
        <v>136.25491820942017</v>
      </c>
      <c r="H51" s="92">
        <f t="shared" si="5"/>
        <v>0.46767434899730614</v>
      </c>
      <c r="I51" s="92">
        <f t="shared" si="6"/>
        <v>0.24636502905923363</v>
      </c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x14ac:dyDescent="0.25">
      <c r="A52" s="46">
        <f t="shared" si="1"/>
        <v>102.5</v>
      </c>
      <c r="B52" s="92">
        <f t="shared" si="7"/>
        <v>0.38561829828541511</v>
      </c>
      <c r="C52" s="92">
        <f t="shared" si="7"/>
        <v>0.28138502803213783</v>
      </c>
      <c r="D52" s="46">
        <f t="shared" si="3"/>
        <v>0.36764624162853948</v>
      </c>
      <c r="E52" s="46">
        <f t="shared" si="3"/>
        <v>0.18919042763259575</v>
      </c>
      <c r="F52" s="92">
        <f t="shared" si="4"/>
        <v>0.36657415884641792</v>
      </c>
      <c r="G52" s="92">
        <f t="shared" si="0"/>
        <v>136.25491820942017</v>
      </c>
      <c r="H52" s="92">
        <f t="shared" si="5"/>
        <v>0.47936620772223881</v>
      </c>
      <c r="I52" s="92">
        <f t="shared" si="6"/>
        <v>0.24566672461350858</v>
      </c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x14ac:dyDescent="0.25">
      <c r="A53" s="46">
        <f t="shared" si="1"/>
        <v>105</v>
      </c>
      <c r="B53" s="92">
        <f t="shared" si="7"/>
        <v>0.38001507825908182</v>
      </c>
      <c r="C53" s="92">
        <f t="shared" si="7"/>
        <v>0.27946948250615755</v>
      </c>
      <c r="D53" s="46">
        <f t="shared" si="3"/>
        <v>0.36191365444570461</v>
      </c>
      <c r="E53" s="46">
        <f t="shared" si="3"/>
        <v>0.18739020930229475</v>
      </c>
      <c r="F53" s="92">
        <f t="shared" si="4"/>
        <v>0.3755149919890135</v>
      </c>
      <c r="G53" s="92">
        <f t="shared" si="0"/>
        <v>136.25491820942017</v>
      </c>
      <c r="H53" s="92">
        <f t="shared" si="5"/>
        <v>0.49105806644717148</v>
      </c>
      <c r="I53" s="92">
        <f t="shared" si="6"/>
        <v>0.24511958781176579</v>
      </c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x14ac:dyDescent="0.25">
      <c r="A54" s="46">
        <f t="shared" si="1"/>
        <v>107.5</v>
      </c>
      <c r="B54" s="92">
        <f t="shared" si="7"/>
        <v>0.37474624589607725</v>
      </c>
      <c r="C54" s="92">
        <f t="shared" si="7"/>
        <v>0.27771246544531969</v>
      </c>
      <c r="D54" s="46">
        <f t="shared" si="3"/>
        <v>0.35650925947776435</v>
      </c>
      <c r="E54" s="46">
        <f t="shared" si="3"/>
        <v>0.18573061203616331</v>
      </c>
      <c r="F54" s="92">
        <f t="shared" si="4"/>
        <v>0.38445582513160903</v>
      </c>
      <c r="G54" s="92">
        <f t="shared" si="0"/>
        <v>136.25491820942017</v>
      </c>
      <c r="H54" s="92">
        <f t="shared" si="5"/>
        <v>0.50274992517210415</v>
      </c>
      <c r="I54" s="92">
        <f t="shared" si="6"/>
        <v>0.24471307207419263</v>
      </c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x14ac:dyDescent="0.25">
      <c r="A55" s="46">
        <f t="shared" si="1"/>
        <v>110</v>
      </c>
      <c r="B55" s="92">
        <f t="shared" si="7"/>
        <v>0.36978900203753778</v>
      </c>
      <c r="C55" s="92">
        <f t="shared" si="7"/>
        <v>0.27610316809063712</v>
      </c>
      <c r="D55" s="46">
        <f t="shared" si="3"/>
        <v>0.3514106799827944</v>
      </c>
      <c r="E55" s="46">
        <f t="shared" si="3"/>
        <v>0.18420204803437165</v>
      </c>
      <c r="F55" s="92">
        <f t="shared" si="4"/>
        <v>0.39339665827420461</v>
      </c>
      <c r="G55" s="92">
        <f t="shared" si="0"/>
        <v>136.25491820942017</v>
      </c>
      <c r="H55" s="92">
        <f t="shared" si="5"/>
        <v>0.51444178389703676</v>
      </c>
      <c r="I55" s="92">
        <f t="shared" si="6"/>
        <v>0.24443758960095918</v>
      </c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x14ac:dyDescent="0.25">
      <c r="A56" s="46">
        <f t="shared" si="1"/>
        <v>112.5</v>
      </c>
      <c r="B56" s="92">
        <f t="shared" si="7"/>
        <v>0.36512257411649923</v>
      </c>
      <c r="C56" s="92">
        <f t="shared" si="7"/>
        <v>0.27463174246169963</v>
      </c>
      <c r="D56" s="46">
        <f t="shared" si="3"/>
        <v>0.3465975282625966</v>
      </c>
      <c r="E56" s="46">
        <f t="shared" si="3"/>
        <v>0.18279578174596381</v>
      </c>
      <c r="F56" s="92">
        <f t="shared" si="4"/>
        <v>0.40233749141680014</v>
      </c>
      <c r="G56" s="92">
        <f t="shared" si="0"/>
        <v>136.25491820942017</v>
      </c>
      <c r="H56" s="92">
        <f t="shared" si="5"/>
        <v>0.52613364262196949</v>
      </c>
      <c r="I56" s="92">
        <f t="shared" si="6"/>
        <v>0.2442844048411095</v>
      </c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x14ac:dyDescent="0.25">
      <c r="A57" s="46">
        <f t="shared" si="1"/>
        <v>115</v>
      </c>
      <c r="B57" s="92">
        <f t="shared" si="7"/>
        <v>0.36072799587616799</v>
      </c>
      <c r="C57" s="92">
        <f t="shared" si="7"/>
        <v>0.27328919692421949</v>
      </c>
      <c r="D57" s="46">
        <f t="shared" si="3"/>
        <v>0.34205118946229446</v>
      </c>
      <c r="E57" s="46">
        <f t="shared" si="3"/>
        <v>0.18150383723311037</v>
      </c>
      <c r="F57" s="92">
        <f t="shared" si="4"/>
        <v>0.41127832455939572</v>
      </c>
      <c r="G57" s="92">
        <f t="shared" si="0"/>
        <v>136.25491820942017</v>
      </c>
      <c r="H57" s="92">
        <f t="shared" si="5"/>
        <v>0.5378255013469021</v>
      </c>
      <c r="I57" s="92">
        <f t="shared" si="6"/>
        <v>0.24424554185681421</v>
      </c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x14ac:dyDescent="0.25">
      <c r="A58" s="46">
        <f t="shared" si="1"/>
        <v>117.5</v>
      </c>
      <c r="B58" s="92">
        <f t="shared" si="7"/>
        <v>0.35658791520926486</v>
      </c>
      <c r="C58" s="92">
        <f t="shared" si="7"/>
        <v>0.27206730508938021</v>
      </c>
      <c r="D58" s="46">
        <f t="shared" si="3"/>
        <v>0.33775463296997982</v>
      </c>
      <c r="E58" s="46">
        <f t="shared" si="3"/>
        <v>0.18031891736120151</v>
      </c>
      <c r="F58" s="92">
        <f t="shared" si="4"/>
        <v>0.42021915770199131</v>
      </c>
      <c r="G58" s="92">
        <f t="shared" si="0"/>
        <v>136.25491820942017</v>
      </c>
      <c r="H58" s="92">
        <f t="shared" si="5"/>
        <v>0.54951736007183472</v>
      </c>
      <c r="I58" s="92">
        <f t="shared" si="6"/>
        <v>0.24431370351346357</v>
      </c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x14ac:dyDescent="0.25">
      <c r="A59" s="46">
        <f t="shared" si="1"/>
        <v>120</v>
      </c>
      <c r="B59" s="92">
        <f t="shared" si="7"/>
        <v>0.35268642601745065</v>
      </c>
      <c r="C59" s="92">
        <f t="shared" si="7"/>
        <v>0.27095852610076682</v>
      </c>
      <c r="D59" s="46">
        <f t="shared" si="3"/>
        <v>0.33369224739140341</v>
      </c>
      <c r="E59" s="46">
        <f t="shared" si="3"/>
        <v>0.17923433309017819</v>
      </c>
      <c r="F59" s="92">
        <f t="shared" si="4"/>
        <v>0.42915999084458684</v>
      </c>
      <c r="G59" s="92">
        <f t="shared" si="0"/>
        <v>136.25491820942017</v>
      </c>
      <c r="H59" s="92">
        <f t="shared" si="5"/>
        <v>0.56120921879676744</v>
      </c>
      <c r="I59" s="92">
        <f t="shared" si="6"/>
        <v>0.24448220077099844</v>
      </c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x14ac:dyDescent="0.25">
      <c r="A60" s="46">
        <f t="shared" si="1"/>
        <v>122.5</v>
      </c>
      <c r="B60" s="92">
        <f t="shared" si="7"/>
        <v>0.34900892065939337</v>
      </c>
      <c r="C60" s="92">
        <f t="shared" si="7"/>
        <v>0.26995593468207968</v>
      </c>
      <c r="D60" s="46">
        <f t="shared" si="3"/>
        <v>0.32984969573184664</v>
      </c>
      <c r="E60" s="46">
        <f t="shared" si="3"/>
        <v>0.17824394142406774</v>
      </c>
      <c r="F60" s="92">
        <f t="shared" si="4"/>
        <v>0.43810082398718242</v>
      </c>
      <c r="G60" s="92">
        <f t="shared" si="0"/>
        <v>136.25491820942017</v>
      </c>
      <c r="H60" s="92">
        <f t="shared" si="5"/>
        <v>0.57290107752170005</v>
      </c>
      <c r="I60" s="92">
        <f t="shared" si="6"/>
        <v>0.24474489063344623</v>
      </c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x14ac:dyDescent="0.25">
      <c r="A61" s="46">
        <f t="shared" si="1"/>
        <v>125</v>
      </c>
      <c r="B61" s="92">
        <f t="shared" si="7"/>
        <v>0.3455419601050676</v>
      </c>
      <c r="C61" s="92">
        <f t="shared" si="7"/>
        <v>0.26905315957912335</v>
      </c>
      <c r="D61" s="46">
        <f t="shared" si="3"/>
        <v>0.32621378795616818</v>
      </c>
      <c r="E61" s="46">
        <f t="shared" si="3"/>
        <v>0.17734209080657554</v>
      </c>
      <c r="F61" s="92">
        <f t="shared" si="4"/>
        <v>0.44704165712977795</v>
      </c>
      <c r="G61" s="92">
        <f t="shared" si="0"/>
        <v>136.25491820942017</v>
      </c>
      <c r="H61" s="92">
        <f t="shared" si="5"/>
        <v>0.58459293624663267</v>
      </c>
      <c r="I61" s="92">
        <f t="shared" si="6"/>
        <v>0.24509612154451221</v>
      </c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x14ac:dyDescent="0.25">
      <c r="A62" s="46">
        <f t="shared" si="1"/>
        <v>127.5</v>
      </c>
      <c r="B62" s="92">
        <f t="shared" si="7"/>
        <v>0.34227315936601843</v>
      </c>
      <c r="C62" s="92">
        <f t="shared" si="7"/>
        <v>0.26824432924391334</v>
      </c>
      <c r="D62" s="46">
        <f t="shared" si="3"/>
        <v>0.32277236854178709</v>
      </c>
      <c r="E62" s="46">
        <f t="shared" si="3"/>
        <v>0.17652357294072388</v>
      </c>
      <c r="F62" s="92">
        <f t="shared" si="4"/>
        <v>0.45598249027237353</v>
      </c>
      <c r="G62" s="92">
        <f t="shared" si="0"/>
        <v>136.25491820942017</v>
      </c>
      <c r="H62" s="92">
        <f t="shared" si="5"/>
        <v>0.59628479497156539</v>
      </c>
      <c r="I62" s="92">
        <f t="shared" si="6"/>
        <v>0.24553068520721877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x14ac:dyDescent="0.25">
      <c r="A63" s="46">
        <f t="shared" si="1"/>
        <v>130</v>
      </c>
      <c r="B63" s="92">
        <f t="shared" si="7"/>
        <v>0.33919108614521087</v>
      </c>
      <c r="C63" s="92">
        <f t="shared" si="7"/>
        <v>0.26752402378600321</v>
      </c>
      <c r="D63" s="46">
        <f t="shared" si="3"/>
        <v>0.31951421700632071</v>
      </c>
      <c r="E63" s="46">
        <f t="shared" si="3"/>
        <v>0.17578358016776444</v>
      </c>
      <c r="F63" s="92">
        <f t="shared" si="4"/>
        <v>0.46492332341496906</v>
      </c>
      <c r="G63" s="92">
        <f t="shared" si="0"/>
        <v>136.25491820942017</v>
      </c>
      <c r="H63" s="92">
        <f t="shared" si="5"/>
        <v>0.607976653696498</v>
      </c>
      <c r="I63" s="92">
        <f t="shared" si="6"/>
        <v>0.24604377396281754</v>
      </c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x14ac:dyDescent="0.25">
      <c r="A64" s="46">
        <f t="shared" si="1"/>
        <v>132.5</v>
      </c>
      <c r="B64" s="92">
        <f t="shared" si="7"/>
        <v>0.33628517096048011</v>
      </c>
      <c r="C64" s="92">
        <f t="shared" si="7"/>
        <v>0.26688723236328132</v>
      </c>
      <c r="D64" s="46">
        <f t="shared" si="3"/>
        <v>0.31642895969624574</v>
      </c>
      <c r="E64" s="46">
        <f t="shared" si="3"/>
        <v>0.1751176676711183</v>
      </c>
      <c r="F64" s="92">
        <f t="shared" si="4"/>
        <v>0.47386415655756464</v>
      </c>
      <c r="G64" s="92">
        <f t="shared" si="0"/>
        <v>136.25491820942017</v>
      </c>
      <c r="H64" s="92">
        <f t="shared" si="5"/>
        <v>0.61966851242143062</v>
      </c>
      <c r="I64" s="92">
        <f t="shared" si="6"/>
        <v>0.2466309429947296</v>
      </c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x14ac:dyDescent="0.25">
      <c r="A65" s="46">
        <f t="shared" si="1"/>
        <v>135</v>
      </c>
      <c r="B65" s="92">
        <f t="shared" si="7"/>
        <v>0.33354562725426651</v>
      </c>
      <c r="C65" s="92">
        <f t="shared" si="7"/>
        <v>0.26632931530712622</v>
      </c>
      <c r="D65" s="46">
        <f t="shared" si="3"/>
        <v>0.31350699137681814</v>
      </c>
      <c r="E65" s="46">
        <f t="shared" si="3"/>
        <v>0.17452171987987919</v>
      </c>
      <c r="F65" s="92">
        <f t="shared" si="4"/>
        <v>0.48280498970016023</v>
      </c>
      <c r="G65" s="92">
        <f t="shared" si="0"/>
        <v>136.25491820942017</v>
      </c>
      <c r="H65" s="92">
        <f t="shared" si="5"/>
        <v>0.63136037114636334</v>
      </c>
      <c r="I65" s="92">
        <f t="shared" si="6"/>
        <v>0.24728807673204869</v>
      </c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x14ac:dyDescent="0.25">
      <c r="A66" s="46">
        <f t="shared" si="1"/>
        <v>137.5</v>
      </c>
      <c r="B66" s="92">
        <f t="shared" si="7"/>
        <v>0.33096338021865085</v>
      </c>
      <c r="C66" s="92">
        <f t="shared" si="7"/>
        <v>0.26584597037936142</v>
      </c>
      <c r="D66" s="46">
        <f t="shared" si="3"/>
        <v>0.31073940537582073</v>
      </c>
      <c r="E66" s="46">
        <f t="shared" si="3"/>
        <v>0.1739919205373886</v>
      </c>
      <c r="F66" s="92">
        <f t="shared" si="4"/>
        <v>0.49174582284275575</v>
      </c>
      <c r="G66" s="92">
        <f t="shared" si="0"/>
        <v>136.25491820942017</v>
      </c>
      <c r="H66" s="92">
        <f t="shared" si="5"/>
        <v>0.64305222987129596</v>
      </c>
      <c r="I66" s="92">
        <f t="shared" si="6"/>
        <v>0.24801135891811626</v>
      </c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x14ac:dyDescent="0.25">
      <c r="A67" s="46">
        <f t="shared" si="1"/>
        <v>140</v>
      </c>
      <c r="B67" s="92">
        <f t="shared" si="7"/>
        <v>0.32853000324627962</v>
      </c>
      <c r="C67" s="92">
        <f t="shared" si="7"/>
        <v>0.26543320264453768</v>
      </c>
      <c r="D67" s="46">
        <f t="shared" si="3"/>
        <v>0.30811793121190906</v>
      </c>
      <c r="E67" s="46">
        <f t="shared" si="3"/>
        <v>0.17352472597674914</v>
      </c>
      <c r="F67" s="92">
        <f t="shared" si="4"/>
        <v>0.50068665598535134</v>
      </c>
      <c r="G67" s="92">
        <f t="shared" si="0"/>
        <v>136.25491820942017</v>
      </c>
      <c r="H67" s="92">
        <f t="shared" si="5"/>
        <v>0.65474408859622868</v>
      </c>
      <c r="I67" s="92">
        <f t="shared" si="6"/>
        <v>0.24879724588603505</v>
      </c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x14ac:dyDescent="0.25">
      <c r="A68" s="46">
        <f t="shared" si="1"/>
        <v>142.5</v>
      </c>
      <c r="B68" s="92">
        <f t="shared" si="7"/>
        <v>0.32623766107066643</v>
      </c>
      <c r="C68" s="92">
        <f t="shared" si="7"/>
        <v>0.26508729751355259</v>
      </c>
      <c r="D68" s="46">
        <f t="shared" si="3"/>
        <v>0.3056348787883944</v>
      </c>
      <c r="E68" s="46">
        <f t="shared" si="3"/>
        <v>0.17311684120944251</v>
      </c>
      <c r="F68" s="92">
        <f t="shared" si="4"/>
        <v>0.50962748912794686</v>
      </c>
      <c r="G68" s="92">
        <f t="shared" si="0"/>
        <v>136.25491820942017</v>
      </c>
      <c r="H68" s="92">
        <f t="shared" si="5"/>
        <v>0.66643594732116129</v>
      </c>
      <c r="I68" s="92">
        <f t="shared" si="6"/>
        <v>0.24964244264728661</v>
      </c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x14ac:dyDescent="0.25">
      <c r="A69" s="46">
        <f t="shared" si="1"/>
        <v>145</v>
      </c>
      <c r="B69" s="92">
        <f t="shared" si="7"/>
        <v>0.32407905878853044</v>
      </c>
      <c r="C69" s="92">
        <f t="shared" si="7"/>
        <v>0.26480479657586292</v>
      </c>
      <c r="D69" s="46">
        <f t="shared" si="3"/>
        <v>0.30328308836008377</v>
      </c>
      <c r="E69" s="46">
        <f t="shared" si="3"/>
        <v>0.17276519848753757</v>
      </c>
      <c r="F69" s="92">
        <f t="shared" si="4"/>
        <v>0.51856832227054239</v>
      </c>
      <c r="G69" s="92">
        <f t="shared" si="0"/>
        <v>136.25491820942017</v>
      </c>
      <c r="H69" s="92">
        <f t="shared" si="5"/>
        <v>0.67812780604609391</v>
      </c>
      <c r="I69" s="92">
        <f t="shared" si="6"/>
        <v>0.25054388145393985</v>
      </c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x14ac:dyDescent="0.25">
      <c r="A70" s="46">
        <f t="shared" si="1"/>
        <v>147.5</v>
      </c>
      <c r="B70" s="92">
        <f t="shared" si="7"/>
        <v>0.32204739606630528</v>
      </c>
      <c r="C70" s="92">
        <f t="shared" si="7"/>
        <v>0.26458247588943667</v>
      </c>
      <c r="D70" s="46">
        <f t="shared" si="3"/>
        <v>0.30105588558823804</v>
      </c>
      <c r="E70" s="46">
        <f t="shared" si="3"/>
        <v>0.17246693804601398</v>
      </c>
      <c r="F70" s="92">
        <f t="shared" si="4"/>
        <v>0.52750915541313803</v>
      </c>
      <c r="G70" s="92">
        <f t="shared" si="0"/>
        <v>136.25491820942017</v>
      </c>
      <c r="H70" s="92">
        <f t="shared" si="5"/>
        <v>0.68981966477102663</v>
      </c>
      <c r="I70" s="92">
        <f t="shared" si="6"/>
        <v>0.25149870254097451</v>
      </c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x14ac:dyDescent="0.25">
      <c r="A71" s="46">
        <f t="shared" si="1"/>
        <v>150</v>
      </c>
      <c r="B71" s="92">
        <f t="shared" si="7"/>
        <v>0.32013632592599534</v>
      </c>
      <c r="C71" s="92">
        <f t="shared" si="7"/>
        <v>0.26441732644171062</v>
      </c>
      <c r="D71" s="46">
        <f t="shared" si="3"/>
        <v>0.298947041090034</v>
      </c>
      <c r="E71" s="46">
        <f t="shared" si="3"/>
        <v>0.17221939077085263</v>
      </c>
      <c r="F71" s="92">
        <f t="shared" si="4"/>
        <v>0.53644998855573356</v>
      </c>
      <c r="G71" s="92">
        <f t="shared" si="0"/>
        <v>136.25491820942017</v>
      </c>
      <c r="H71" s="92">
        <f t="shared" si="5"/>
        <v>0.70151152349595924</v>
      </c>
      <c r="I71" s="92">
        <f t="shared" si="6"/>
        <v>0.25250423679437128</v>
      </c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</row>
    <row r="228" spans="1:26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</row>
    <row r="229" spans="1:26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</row>
    <row r="230" spans="1:26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</row>
    <row r="231" spans="1:26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</row>
    <row r="232" spans="1:26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</row>
    <row r="233" spans="1:26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</row>
    <row r="234" spans="1:26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</row>
    <row r="235" spans="1:26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</row>
    <row r="236" spans="1:26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</row>
    <row r="237" spans="1:26" x14ac:dyDescent="0.25">
      <c r="A237" s="46"/>
      <c r="B237" s="46"/>
      <c r="C237" s="46"/>
      <c r="D237" s="46"/>
      <c r="E237" s="46"/>
      <c r="F237" s="46"/>
      <c r="G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</row>
    <row r="238" spans="1:26" x14ac:dyDescent="0.25">
      <c r="A238" s="46"/>
      <c r="B238" s="46"/>
      <c r="C238" s="46"/>
      <c r="D238" s="46"/>
      <c r="E238" s="46"/>
      <c r="F238" s="46"/>
      <c r="G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</row>
    <row r="239" spans="1:26" x14ac:dyDescent="0.25">
      <c r="A239" s="46"/>
      <c r="B239" s="46"/>
      <c r="C239" s="46"/>
      <c r="D239" s="46"/>
      <c r="E239" s="46"/>
      <c r="F239" s="46"/>
      <c r="G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</row>
    <row r="240" spans="1:26" x14ac:dyDescent="0.25">
      <c r="A240" s="46"/>
      <c r="B240" s="46"/>
      <c r="C240" s="46"/>
      <c r="D240" s="46"/>
      <c r="E240" s="46"/>
      <c r="F240" s="46"/>
      <c r="G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</row>
    <row r="241" spans="1:26" x14ac:dyDescent="0.25">
      <c r="A241" s="46"/>
      <c r="B241" s="46"/>
      <c r="C241" s="46"/>
      <c r="D241" s="46"/>
      <c r="E241" s="46"/>
      <c r="F241" s="46"/>
      <c r="G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</row>
    <row r="242" spans="1:26" x14ac:dyDescent="0.25">
      <c r="A242" s="46"/>
      <c r="B242" s="46"/>
      <c r="C242" s="46"/>
      <c r="D242" s="46"/>
      <c r="E242" s="46"/>
      <c r="F242" s="46"/>
      <c r="G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</row>
    <row r="243" spans="1:26" x14ac:dyDescent="0.25">
      <c r="A243" s="46"/>
      <c r="B243" s="46"/>
      <c r="C243" s="46"/>
      <c r="D243" s="46"/>
      <c r="E243" s="46"/>
      <c r="F243" s="46"/>
      <c r="G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</row>
    <row r="244" spans="1:26" x14ac:dyDescent="0.25">
      <c r="A244" s="46"/>
      <c r="B244" s="46"/>
      <c r="C244" s="46"/>
      <c r="D244" s="46"/>
      <c r="E244" s="46"/>
      <c r="F244" s="46"/>
      <c r="G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</row>
    <row r="245" spans="1:26" x14ac:dyDescent="0.25">
      <c r="A245" s="46"/>
      <c r="B245" s="46"/>
      <c r="C245" s="46"/>
      <c r="D245" s="46"/>
      <c r="E245" s="46"/>
      <c r="F245" s="46"/>
      <c r="G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</row>
    <row r="246" spans="1:26" x14ac:dyDescent="0.25">
      <c r="A246" s="46"/>
      <c r="B246" s="46"/>
      <c r="C246" s="46"/>
      <c r="D246" s="46"/>
      <c r="E246" s="46"/>
      <c r="F246" s="46"/>
      <c r="G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</row>
    <row r="247" spans="1:26" x14ac:dyDescent="0.25">
      <c r="A247" s="46"/>
      <c r="B247" s="46"/>
      <c r="C247" s="46"/>
      <c r="D247" s="46"/>
      <c r="E247" s="46"/>
      <c r="F247" s="46"/>
      <c r="G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</row>
    <row r="248" spans="1:26" x14ac:dyDescent="0.25">
      <c r="A248" s="46"/>
      <c r="B248" s="46"/>
      <c r="C248" s="46"/>
      <c r="D248" s="46"/>
      <c r="E248" s="46"/>
      <c r="F248" s="46"/>
      <c r="G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</row>
    <row r="249" spans="1:26" x14ac:dyDescent="0.25">
      <c r="A249" s="46"/>
      <c r="B249" s="46"/>
      <c r="C249" s="46"/>
      <c r="D249" s="46"/>
      <c r="E249" s="46"/>
      <c r="F249" s="46"/>
      <c r="G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</row>
    <row r="250" spans="1:26" x14ac:dyDescent="0.25">
      <c r="A250" s="46"/>
      <c r="B250" s="46"/>
      <c r="C250" s="46"/>
      <c r="D250" s="46"/>
      <c r="E250" s="46"/>
      <c r="F250" s="46"/>
      <c r="G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</row>
    <row r="251" spans="1:26" x14ac:dyDescent="0.25">
      <c r="A251" s="46"/>
      <c r="B251" s="46"/>
      <c r="C251" s="46"/>
      <c r="D251" s="46"/>
      <c r="E251" s="46"/>
      <c r="F251" s="46"/>
      <c r="G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</row>
    <row r="252" spans="1:26" x14ac:dyDescent="0.25">
      <c r="A252" s="46"/>
      <c r="B252" s="46"/>
      <c r="C252" s="46"/>
      <c r="D252" s="46"/>
      <c r="E252" s="46"/>
      <c r="F252" s="46"/>
      <c r="G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</row>
    <row r="253" spans="1:26" x14ac:dyDescent="0.25">
      <c r="A253" s="46"/>
      <c r="B253" s="46"/>
      <c r="C253" s="46"/>
      <c r="D253" s="46"/>
      <c r="E253" s="46"/>
      <c r="F253" s="46"/>
      <c r="G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</row>
    <row r="254" spans="1:26" x14ac:dyDescent="0.25">
      <c r="A254" s="46"/>
      <c r="B254" s="46"/>
      <c r="C254" s="46"/>
      <c r="D254" s="46"/>
      <c r="E254" s="46"/>
      <c r="F254" s="46"/>
      <c r="G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</row>
    <row r="255" spans="1:26" x14ac:dyDescent="0.25">
      <c r="A255" s="46"/>
      <c r="B255" s="46"/>
      <c r="C255" s="46"/>
      <c r="D255" s="46"/>
      <c r="E255" s="46"/>
      <c r="F255" s="46"/>
      <c r="G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</row>
    <row r="256" spans="1:26" x14ac:dyDescent="0.25">
      <c r="A256" s="46"/>
      <c r="B256" s="46"/>
      <c r="C256" s="46"/>
      <c r="D256" s="46"/>
      <c r="E256" s="46"/>
      <c r="F256" s="46"/>
      <c r="G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</row>
    <row r="257" spans="1:26" x14ac:dyDescent="0.25">
      <c r="A257" s="46"/>
      <c r="B257" s="46"/>
      <c r="C257" s="46"/>
      <c r="D257" s="46"/>
      <c r="E257" s="46"/>
      <c r="F257" s="46"/>
      <c r="G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</row>
    <row r="258" spans="1:26" x14ac:dyDescent="0.25">
      <c r="A258" s="46"/>
      <c r="B258" s="46"/>
      <c r="C258" s="46"/>
      <c r="D258" s="46"/>
      <c r="E258" s="46"/>
      <c r="F258" s="46"/>
      <c r="G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</row>
    <row r="259" spans="1:26" x14ac:dyDescent="0.25">
      <c r="A259" s="46"/>
      <c r="B259" s="46"/>
      <c r="C259" s="46"/>
      <c r="D259" s="46"/>
      <c r="E259" s="46"/>
      <c r="F259" s="46"/>
      <c r="G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</row>
    <row r="260" spans="1:26" x14ac:dyDescent="0.25">
      <c r="A260" s="46"/>
      <c r="B260" s="46"/>
      <c r="C260" s="46"/>
      <c r="D260" s="46"/>
      <c r="E260" s="46"/>
      <c r="F260" s="46"/>
      <c r="G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</row>
    <row r="261" spans="1:26" x14ac:dyDescent="0.25">
      <c r="A261" s="46"/>
      <c r="B261" s="46"/>
      <c r="C261" s="46"/>
      <c r="D261" s="46"/>
      <c r="E261" s="46"/>
      <c r="F261" s="46"/>
      <c r="G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</row>
    <row r="262" spans="1:26" x14ac:dyDescent="0.25">
      <c r="A262" s="46"/>
      <c r="B262" s="46"/>
      <c r="C262" s="46"/>
      <c r="D262" s="46"/>
      <c r="E262" s="46"/>
      <c r="F262" s="46"/>
      <c r="G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</row>
    <row r="263" spans="1:26" x14ac:dyDescent="0.25">
      <c r="A263" s="46"/>
      <c r="B263" s="46"/>
      <c r="C263" s="46"/>
      <c r="D263" s="46"/>
      <c r="E263" s="46"/>
      <c r="F263" s="46"/>
      <c r="G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</row>
    <row r="264" spans="1:26" x14ac:dyDescent="0.25">
      <c r="A264" s="46"/>
      <c r="B264" s="46"/>
      <c r="C264" s="46"/>
      <c r="D264" s="46"/>
      <c r="E264" s="46"/>
      <c r="F264" s="46"/>
      <c r="G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</row>
    <row r="265" spans="1:26" x14ac:dyDescent="0.25">
      <c r="A265" s="46"/>
      <c r="B265" s="46"/>
      <c r="C265" s="46"/>
      <c r="D265" s="46"/>
      <c r="E265" s="46"/>
      <c r="F265" s="46"/>
      <c r="G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</row>
    <row r="266" spans="1:26" x14ac:dyDescent="0.25">
      <c r="A266" s="46"/>
      <c r="B266" s="46"/>
      <c r="C266" s="46"/>
      <c r="D266" s="46"/>
      <c r="E266" s="46"/>
      <c r="F266" s="46"/>
      <c r="G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</row>
    <row r="267" spans="1:26" x14ac:dyDescent="0.25">
      <c r="A267" s="46"/>
      <c r="B267" s="46"/>
      <c r="C267" s="46"/>
      <c r="D267" s="46"/>
      <c r="E267" s="46"/>
      <c r="F267" s="46"/>
      <c r="G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</row>
    <row r="268" spans="1:26" x14ac:dyDescent="0.25">
      <c r="A268" s="46"/>
      <c r="B268" s="46"/>
      <c r="C268" s="46"/>
      <c r="D268" s="46"/>
      <c r="E268" s="46"/>
      <c r="F268" s="46"/>
      <c r="G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</row>
    <row r="269" spans="1:26" x14ac:dyDescent="0.25">
      <c r="A269" s="46"/>
      <c r="B269" s="46"/>
      <c r="C269" s="46"/>
      <c r="D269" s="46"/>
      <c r="E269" s="46"/>
      <c r="F269" s="46"/>
      <c r="G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</row>
    <row r="270" spans="1:26" x14ac:dyDescent="0.25">
      <c r="A270" s="46"/>
      <c r="B270" s="46"/>
      <c r="C270" s="46"/>
      <c r="D270" s="46"/>
      <c r="E270" s="46"/>
      <c r="F270" s="46"/>
      <c r="G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</row>
    <row r="271" spans="1:26" x14ac:dyDescent="0.25">
      <c r="A271" s="46"/>
      <c r="B271" s="46"/>
      <c r="C271" s="46"/>
      <c r="D271" s="46"/>
      <c r="E271" s="46"/>
      <c r="F271" s="46"/>
      <c r="G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</row>
    <row r="272" spans="1:26" x14ac:dyDescent="0.25">
      <c r="A272" s="46"/>
      <c r="B272" s="46"/>
      <c r="C272" s="46"/>
      <c r="D272" s="46"/>
      <c r="E272" s="46"/>
      <c r="F272" s="46"/>
      <c r="G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</row>
    <row r="273" spans="1:26" x14ac:dyDescent="0.25">
      <c r="A273" s="46"/>
      <c r="B273" s="46"/>
      <c r="C273" s="46"/>
      <c r="D273" s="46"/>
      <c r="E273" s="46"/>
      <c r="F273" s="46"/>
      <c r="G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</row>
    <row r="274" spans="1:26" x14ac:dyDescent="0.25">
      <c r="A274" s="46"/>
      <c r="B274" s="46"/>
      <c r="C274" s="46"/>
      <c r="D274" s="46"/>
      <c r="E274" s="46"/>
      <c r="F274" s="46"/>
      <c r="G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</row>
    <row r="275" spans="1:26" x14ac:dyDescent="0.25">
      <c r="A275" s="46"/>
      <c r="B275" s="46"/>
      <c r="C275" s="46"/>
      <c r="D275" s="46"/>
      <c r="E275" s="46"/>
      <c r="F275" s="46"/>
      <c r="G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</row>
    <row r="276" spans="1:26" x14ac:dyDescent="0.25">
      <c r="A276" s="46"/>
      <c r="B276" s="46"/>
      <c r="C276" s="46"/>
      <c r="D276" s="46"/>
      <c r="E276" s="46"/>
      <c r="F276" s="46"/>
      <c r="G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</row>
    <row r="277" spans="1:26" x14ac:dyDescent="0.25">
      <c r="A277" s="46"/>
      <c r="B277" s="46"/>
      <c r="C277" s="46"/>
      <c r="D277" s="46"/>
      <c r="E277" s="46"/>
      <c r="F277" s="46"/>
      <c r="G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</row>
    <row r="278" spans="1:26" x14ac:dyDescent="0.25">
      <c r="A278" s="46"/>
      <c r="B278" s="46"/>
      <c r="C278" s="46"/>
      <c r="D278" s="46"/>
      <c r="E278" s="46"/>
      <c r="F278" s="46"/>
      <c r="G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</row>
    <row r="279" spans="1:26" x14ac:dyDescent="0.25">
      <c r="A279" s="46"/>
      <c r="B279" s="46"/>
      <c r="C279" s="46"/>
      <c r="D279" s="46"/>
      <c r="E279" s="46"/>
      <c r="F279" s="46"/>
      <c r="G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</row>
    <row r="280" spans="1:26" x14ac:dyDescent="0.25">
      <c r="A280" s="46"/>
      <c r="B280" s="46"/>
      <c r="C280" s="46"/>
      <c r="D280" s="46"/>
      <c r="E280" s="46"/>
      <c r="F280" s="46"/>
      <c r="G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</row>
    <row r="281" spans="1:26" x14ac:dyDescent="0.25">
      <c r="A281" s="46"/>
      <c r="B281" s="46"/>
      <c r="C281" s="46"/>
      <c r="D281" s="46"/>
      <c r="E281" s="46"/>
      <c r="F281" s="46"/>
      <c r="G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</row>
    <row r="282" spans="1:26" x14ac:dyDescent="0.25">
      <c r="A282" s="46"/>
      <c r="B282" s="46"/>
      <c r="C282" s="46"/>
      <c r="D282" s="46"/>
      <c r="E282" s="46"/>
      <c r="F282" s="46"/>
      <c r="G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</row>
    <row r="283" spans="1:26" x14ac:dyDescent="0.25">
      <c r="A283" s="46"/>
      <c r="B283" s="46"/>
      <c r="C283" s="46"/>
      <c r="D283" s="46"/>
      <c r="E283" s="46"/>
      <c r="F283" s="46"/>
      <c r="G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</row>
    <row r="284" spans="1:26" x14ac:dyDescent="0.25">
      <c r="A284" s="46"/>
      <c r="B284" s="46"/>
      <c r="C284" s="46"/>
      <c r="D284" s="46"/>
      <c r="E284" s="46"/>
      <c r="F284" s="46"/>
      <c r="G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</row>
    <row r="285" spans="1:26" x14ac:dyDescent="0.25">
      <c r="A285" s="46"/>
      <c r="B285" s="46"/>
      <c r="C285" s="46"/>
      <c r="D285" s="46"/>
      <c r="E285" s="46"/>
      <c r="F285" s="46"/>
      <c r="G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</row>
    <row r="286" spans="1:26" x14ac:dyDescent="0.25">
      <c r="A286" s="46"/>
      <c r="B286" s="46"/>
      <c r="C286" s="46"/>
      <c r="D286" s="46"/>
      <c r="E286" s="46"/>
      <c r="F286" s="46"/>
      <c r="G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</row>
    <row r="287" spans="1:26" x14ac:dyDescent="0.25">
      <c r="A287" s="46"/>
      <c r="B287" s="46"/>
      <c r="C287" s="46"/>
      <c r="D287" s="46"/>
      <c r="E287" s="46"/>
      <c r="F287" s="46"/>
      <c r="G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</row>
    <row r="288" spans="1:26" x14ac:dyDescent="0.25">
      <c r="A288" s="46"/>
      <c r="B288" s="46"/>
      <c r="C288" s="46"/>
      <c r="D288" s="46"/>
      <c r="E288" s="46"/>
      <c r="F288" s="46"/>
      <c r="G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</row>
    <row r="289" spans="1:26" x14ac:dyDescent="0.25">
      <c r="A289" s="46"/>
      <c r="B289" s="46"/>
      <c r="C289" s="46"/>
      <c r="D289" s="46"/>
      <c r="E289" s="46"/>
      <c r="F289" s="46"/>
      <c r="G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</row>
    <row r="290" spans="1:26" x14ac:dyDescent="0.25">
      <c r="A290" s="46"/>
      <c r="B290" s="46"/>
      <c r="C290" s="46"/>
      <c r="D290" s="46"/>
      <c r="E290" s="46"/>
      <c r="F290" s="46"/>
      <c r="G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</row>
    <row r="291" spans="1:26" x14ac:dyDescent="0.25">
      <c r="A291" s="46"/>
      <c r="B291" s="46"/>
      <c r="C291" s="46"/>
      <c r="D291" s="46"/>
      <c r="E291" s="46"/>
      <c r="F291" s="46"/>
      <c r="G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</row>
    <row r="292" spans="1:26" x14ac:dyDescent="0.25">
      <c r="A292" s="46"/>
      <c r="B292" s="46"/>
      <c r="C292" s="46"/>
      <c r="D292" s="46"/>
      <c r="E292" s="46"/>
      <c r="F292" s="46"/>
      <c r="G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</row>
    <row r="293" spans="1:26" x14ac:dyDescent="0.25">
      <c r="A293" s="46"/>
      <c r="B293" s="46"/>
      <c r="C293" s="46"/>
      <c r="D293" s="46"/>
      <c r="E293" s="46"/>
      <c r="F293" s="46"/>
      <c r="G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</row>
    <row r="294" spans="1:26" x14ac:dyDescent="0.25">
      <c r="A294" s="46"/>
      <c r="B294" s="46"/>
      <c r="C294" s="46"/>
      <c r="D294" s="46"/>
      <c r="E294" s="46"/>
      <c r="F294" s="46"/>
      <c r="G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</row>
    <row r="295" spans="1:26" x14ac:dyDescent="0.25">
      <c r="A295" s="46"/>
      <c r="B295" s="46"/>
      <c r="C295" s="46"/>
      <c r="D295" s="46"/>
      <c r="E295" s="46"/>
      <c r="F295" s="46"/>
      <c r="G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</row>
    <row r="296" spans="1:26" x14ac:dyDescent="0.25">
      <c r="A296" s="46"/>
      <c r="B296" s="46"/>
      <c r="C296" s="46"/>
      <c r="D296" s="46"/>
      <c r="E296" s="46"/>
      <c r="G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</row>
    <row r="297" spans="1:26" x14ac:dyDescent="0.25">
      <c r="A297" s="46"/>
      <c r="B297" s="46"/>
      <c r="C297" s="46"/>
      <c r="D297" s="46"/>
      <c r="E297" s="46"/>
      <c r="G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</row>
    <row r="298" spans="1:26" x14ac:dyDescent="0.25">
      <c r="A298" s="46"/>
      <c r="B298" s="46"/>
      <c r="C298" s="46"/>
      <c r="D298" s="46"/>
      <c r="E298" s="46"/>
      <c r="G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</row>
    <row r="299" spans="1:26" x14ac:dyDescent="0.25">
      <c r="A299" s="46"/>
      <c r="B299" s="46"/>
      <c r="C299" s="46"/>
      <c r="D299" s="46"/>
      <c r="E299" s="46"/>
      <c r="G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</row>
    <row r="300" spans="1:26" x14ac:dyDescent="0.25">
      <c r="A300" s="46"/>
      <c r="B300" s="46"/>
      <c r="C300" s="46"/>
      <c r="D300" s="46"/>
      <c r="E300" s="46"/>
      <c r="G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</row>
    <row r="301" spans="1:26" x14ac:dyDescent="0.25">
      <c r="A301" s="46"/>
      <c r="B301" s="46"/>
      <c r="C301" s="46"/>
      <c r="D301" s="46"/>
      <c r="E301" s="46"/>
      <c r="G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</row>
    <row r="302" spans="1:26" x14ac:dyDescent="0.25">
      <c r="A302" s="46"/>
      <c r="B302" s="46"/>
      <c r="C302" s="46"/>
      <c r="D302" s="46"/>
      <c r="E302" s="46"/>
      <c r="G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</row>
    <row r="303" spans="1:26" x14ac:dyDescent="0.25">
      <c r="A303" s="46"/>
      <c r="B303" s="46"/>
      <c r="C303" s="46"/>
      <c r="D303" s="46"/>
      <c r="E303" s="46"/>
      <c r="G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2022E-2F4E-4116-9948-0B7285FC5001}">
  <sheetPr codeName="Sheet8"/>
  <dimension ref="A1:K43"/>
  <sheetViews>
    <sheetView zoomScale="77" zoomScaleNormal="77" workbookViewId="0">
      <selection activeCell="J43" sqref="J43"/>
    </sheetView>
  </sheetViews>
  <sheetFormatPr defaultColWidth="8.85546875" defaultRowHeight="15" x14ac:dyDescent="0.25"/>
  <cols>
    <col min="2" max="2" width="13.140625" bestFit="1" customWidth="1"/>
    <col min="4" max="4" width="8.140625" bestFit="1" customWidth="1"/>
    <col min="5" max="6" width="21.42578125" bestFit="1" customWidth="1"/>
    <col min="7" max="8" width="12.42578125" bestFit="1" customWidth="1"/>
    <col min="9" max="10" width="21.42578125" bestFit="1" customWidth="1"/>
  </cols>
  <sheetData>
    <row r="1" spans="1:10" x14ac:dyDescent="0.25">
      <c r="A1" s="80" t="s">
        <v>262</v>
      </c>
      <c r="B1" s="80" t="s">
        <v>275</v>
      </c>
      <c r="D1" s="80" t="s">
        <v>276</v>
      </c>
      <c r="E1" s="80" t="s">
        <v>277</v>
      </c>
      <c r="F1" s="80" t="s">
        <v>278</v>
      </c>
      <c r="H1" s="80" t="s">
        <v>279</v>
      </c>
      <c r="I1" s="80" t="s">
        <v>277</v>
      </c>
      <c r="J1" s="80" t="s">
        <v>278</v>
      </c>
    </row>
    <row r="2" spans="1:10" x14ac:dyDescent="0.25">
      <c r="A2" s="80">
        <v>6500</v>
      </c>
      <c r="B2" s="103">
        <v>0.51444178389703676</v>
      </c>
      <c r="D2" s="80">
        <v>1.2</v>
      </c>
      <c r="E2" s="103">
        <v>0.56200000000000006</v>
      </c>
      <c r="F2" s="103">
        <v>0.502</v>
      </c>
      <c r="H2" s="80">
        <v>45000</v>
      </c>
      <c r="I2" s="103">
        <v>0.28100000000000003</v>
      </c>
      <c r="J2" s="103">
        <v>0.26500000000000001</v>
      </c>
    </row>
    <row r="3" spans="1:10" x14ac:dyDescent="0.25">
      <c r="A3" s="80">
        <v>8000</v>
      </c>
      <c r="B3" s="103">
        <v>0.41798394941634237</v>
      </c>
      <c r="D3" s="80">
        <v>1.4</v>
      </c>
      <c r="E3" s="103">
        <v>0.46800000000000003</v>
      </c>
      <c r="F3" s="103">
        <v>0.42299999999999999</v>
      </c>
      <c r="H3" s="80">
        <v>50000</v>
      </c>
      <c r="I3" s="103">
        <v>0.35399999999999998</v>
      </c>
      <c r="J3" s="103">
        <f>0.298+0.035</f>
        <v>0.33299999999999996</v>
      </c>
    </row>
    <row r="4" spans="1:10" x14ac:dyDescent="0.25">
      <c r="A4" s="80">
        <v>9500</v>
      </c>
      <c r="B4" s="103">
        <v>0.35198648371902519</v>
      </c>
      <c r="D4" s="80">
        <v>1.6</v>
      </c>
      <c r="E4" s="103">
        <v>0.42399999999999999</v>
      </c>
      <c r="F4" s="80">
        <v>0.38800000000000001</v>
      </c>
      <c r="H4" s="80">
        <v>55000</v>
      </c>
      <c r="I4" s="103">
        <v>0.44700000000000001</v>
      </c>
      <c r="J4" s="103">
        <v>0.42499999999999999</v>
      </c>
    </row>
    <row r="5" spans="1:10" x14ac:dyDescent="0.25">
      <c r="A5" s="80">
        <v>11000</v>
      </c>
      <c r="B5" s="103">
        <v>0.303988326848249</v>
      </c>
      <c r="D5" s="80">
        <v>1.8</v>
      </c>
      <c r="E5" s="103">
        <v>0.41</v>
      </c>
      <c r="F5" s="80">
        <v>0.38</v>
      </c>
      <c r="H5" s="80">
        <v>60000</v>
      </c>
      <c r="I5" s="103">
        <f>0.545748807748732+0.035</f>
        <v>0.58074880774873205</v>
      </c>
      <c r="J5" s="103">
        <f>0.50907421746565+0.035</f>
        <v>0.54407421746564999</v>
      </c>
    </row>
    <row r="6" spans="1:10" x14ac:dyDescent="0.25">
      <c r="A6" s="80">
        <v>12500</v>
      </c>
      <c r="B6" s="103">
        <v>0.26750972762645914</v>
      </c>
      <c r="D6" s="80">
        <v>2</v>
      </c>
      <c r="E6" s="103">
        <v>0.41699999999999998</v>
      </c>
      <c r="F6" s="103">
        <v>0.39200000000000002</v>
      </c>
      <c r="H6" s="80"/>
    </row>
    <row r="7" spans="1:10" x14ac:dyDescent="0.25">
      <c r="A7" s="80">
        <v>14000</v>
      </c>
      <c r="B7" s="103">
        <v>0.23884797109505279</v>
      </c>
      <c r="D7" s="80"/>
      <c r="H7" s="80"/>
    </row>
    <row r="41" spans="2:11" x14ac:dyDescent="0.25">
      <c r="B41" t="s">
        <v>280</v>
      </c>
      <c r="G41" t="s">
        <v>281</v>
      </c>
    </row>
    <row r="42" spans="2:11" x14ac:dyDescent="0.25">
      <c r="B42" t="s">
        <v>282</v>
      </c>
      <c r="G42" t="s">
        <v>282</v>
      </c>
      <c r="K42" t="s">
        <v>283</v>
      </c>
    </row>
    <row r="43" spans="2:11" x14ac:dyDescent="0.25">
      <c r="K43" t="s">
        <v>284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2C835-B305-4125-B6F1-B6EF343D2A84}">
  <sheetPr codeName="Sheet7"/>
  <dimension ref="B2:V16"/>
  <sheetViews>
    <sheetView workbookViewId="0">
      <selection activeCell="U12" sqref="U12"/>
    </sheetView>
  </sheetViews>
  <sheetFormatPr defaultColWidth="8.85546875" defaultRowHeight="15" x14ac:dyDescent="0.25"/>
  <cols>
    <col min="2" max="2" width="16.42578125" bestFit="1" customWidth="1"/>
    <col min="3" max="3" width="12.85546875" bestFit="1" customWidth="1"/>
    <col min="4" max="4" width="6.85546875" bestFit="1" customWidth="1"/>
    <col min="5" max="5" width="12.85546875" bestFit="1" customWidth="1"/>
    <col min="6" max="6" width="12" bestFit="1" customWidth="1"/>
    <col min="7" max="7" width="8" bestFit="1" customWidth="1"/>
    <col min="8" max="8" width="6.85546875" bestFit="1" customWidth="1"/>
    <col min="9" max="9" width="12.42578125" bestFit="1" customWidth="1"/>
    <col min="10" max="10" width="16" bestFit="1" customWidth="1"/>
    <col min="11" max="11" width="11.42578125" bestFit="1" customWidth="1"/>
    <col min="12" max="12" width="11" bestFit="1" customWidth="1"/>
    <col min="13" max="13" width="13.42578125" customWidth="1"/>
    <col min="15" max="15" width="10.140625" bestFit="1" customWidth="1"/>
    <col min="16" max="17" width="12.7109375" bestFit="1" customWidth="1"/>
    <col min="18" max="18" width="18.42578125" bestFit="1" customWidth="1"/>
    <col min="19" max="19" width="11.85546875" bestFit="1" customWidth="1"/>
    <col min="20" max="20" width="9.42578125" bestFit="1" customWidth="1"/>
    <col min="21" max="23" width="12" bestFit="1" customWidth="1"/>
  </cols>
  <sheetData>
    <row r="2" spans="2:22" x14ac:dyDescent="0.25">
      <c r="P2" s="49" t="s">
        <v>285</v>
      </c>
      <c r="Q2" s="49" t="s">
        <v>286</v>
      </c>
      <c r="R2" s="49" t="s">
        <v>287</v>
      </c>
      <c r="S2" s="49" t="s">
        <v>288</v>
      </c>
      <c r="T2" s="49" t="s">
        <v>289</v>
      </c>
      <c r="U2" s="49" t="s">
        <v>290</v>
      </c>
      <c r="V2" s="49" t="s">
        <v>291</v>
      </c>
    </row>
    <row r="3" spans="2:22" x14ac:dyDescent="0.25">
      <c r="B3" s="39" t="s">
        <v>31</v>
      </c>
      <c r="C3" s="49" t="s">
        <v>292</v>
      </c>
      <c r="D3" s="49" t="s">
        <v>293</v>
      </c>
      <c r="E3" s="49" t="s">
        <v>294</v>
      </c>
      <c r="F3" s="49" t="s">
        <v>295</v>
      </c>
      <c r="I3" s="39"/>
      <c r="J3" s="39" t="s">
        <v>296</v>
      </c>
      <c r="K3" s="39" t="s">
        <v>297</v>
      </c>
      <c r="L3" s="39" t="s">
        <v>298</v>
      </c>
      <c r="O3" s="39" t="s">
        <v>31</v>
      </c>
      <c r="P3" s="49" t="s">
        <v>198</v>
      </c>
      <c r="Q3" s="49" t="s">
        <v>115</v>
      </c>
      <c r="R3" s="49" t="s">
        <v>115</v>
      </c>
      <c r="S3" s="49" t="s">
        <v>115</v>
      </c>
      <c r="T3" s="49" t="s">
        <v>117</v>
      </c>
      <c r="U3" s="49" t="s">
        <v>117</v>
      </c>
      <c r="V3" s="49" t="s">
        <v>117</v>
      </c>
    </row>
    <row r="4" spans="2:22" x14ac:dyDescent="0.25">
      <c r="B4" s="39" t="s">
        <v>299</v>
      </c>
      <c r="C4" s="49">
        <v>718000</v>
      </c>
      <c r="D4" s="49">
        <v>35720</v>
      </c>
      <c r="E4" s="49">
        <v>37144</v>
      </c>
      <c r="F4" s="49">
        <f t="shared" ref="F4:F11" si="0">AVERAGE(C4:E4)</f>
        <v>263621.33333333331</v>
      </c>
      <c r="I4" s="39" t="s">
        <v>300</v>
      </c>
      <c r="J4" s="106">
        <f t="shared" ref="J4:J10" si="1">F5*L$16</f>
        <v>21336.322212126524</v>
      </c>
      <c r="K4" s="106">
        <f>K$11*J4/J$11</f>
        <v>-1411.4171848418964</v>
      </c>
      <c r="L4" s="106">
        <f>J4+K4</f>
        <v>19924.905027284629</v>
      </c>
      <c r="O4" s="39" t="s">
        <v>301</v>
      </c>
      <c r="P4" s="49">
        <v>44305</v>
      </c>
      <c r="Q4" s="49">
        <v>53</v>
      </c>
      <c r="R4" s="49">
        <v>72.5</v>
      </c>
      <c r="S4" s="49">
        <v>62.8</v>
      </c>
      <c r="T4" s="49">
        <v>0.24</v>
      </c>
      <c r="U4" s="49">
        <v>0.372</v>
      </c>
      <c r="V4" s="49">
        <v>0.47199999999999998</v>
      </c>
    </row>
    <row r="5" spans="2:22" x14ac:dyDescent="0.25">
      <c r="B5" s="39" t="s">
        <v>302</v>
      </c>
      <c r="C5" s="49">
        <v>0.12</v>
      </c>
      <c r="D5" s="49">
        <v>0.10100000000000001</v>
      </c>
      <c r="E5" s="49">
        <v>0.107</v>
      </c>
      <c r="F5" s="107">
        <f t="shared" si="0"/>
        <v>0.10933333333333334</v>
      </c>
      <c r="I5" s="39" t="s">
        <v>303</v>
      </c>
      <c r="J5" s="106">
        <f t="shared" si="1"/>
        <v>2211.6919366228713</v>
      </c>
      <c r="K5" s="106">
        <f t="shared" ref="K5:K10" si="2">K$11*J5/J$11</f>
        <v>-146.3054398921478</v>
      </c>
      <c r="L5" s="106">
        <f t="shared" ref="L5:L10" si="3">J5+K5</f>
        <v>2065.3864967307236</v>
      </c>
      <c r="O5" s="39" t="s">
        <v>295</v>
      </c>
      <c r="P5" s="39"/>
      <c r="Q5" s="39"/>
      <c r="R5" s="39"/>
      <c r="S5" s="49"/>
      <c r="T5" s="49">
        <f>AVERAGE(T4:T4)</f>
        <v>0.24</v>
      </c>
      <c r="U5" s="49">
        <f>AVERAGE(U4:U4)</f>
        <v>0.372</v>
      </c>
      <c r="V5" s="49">
        <f>AVERAGE(V4:V4)</f>
        <v>0.47199999999999998</v>
      </c>
    </row>
    <row r="6" spans="2:22" x14ac:dyDescent="0.25">
      <c r="B6" s="39" t="s">
        <v>304</v>
      </c>
      <c r="C6" s="49">
        <v>1.4999999999999999E-2</v>
      </c>
      <c r="D6" s="49">
        <v>1.2999999999999999E-2</v>
      </c>
      <c r="E6" s="49">
        <v>6.0000000000000001E-3</v>
      </c>
      <c r="F6" s="107">
        <f t="shared" si="0"/>
        <v>1.1333333333333332E-2</v>
      </c>
      <c r="I6" s="39" t="s">
        <v>305</v>
      </c>
      <c r="J6" s="106">
        <f t="shared" si="1"/>
        <v>14961.445453625305</v>
      </c>
      <c r="K6" s="106">
        <f t="shared" si="2"/>
        <v>-989.71326985864675</v>
      </c>
      <c r="L6" s="106">
        <f t="shared" si="3"/>
        <v>13971.732183766659</v>
      </c>
    </row>
    <row r="7" spans="2:22" x14ac:dyDescent="0.25">
      <c r="B7" s="39" t="s">
        <v>306</v>
      </c>
      <c r="C7" s="49">
        <v>7.2999999999999995E-2</v>
      </c>
      <c r="D7" s="49">
        <v>9.8000000000000004E-2</v>
      </c>
      <c r="E7" s="49">
        <v>5.8999999999999997E-2</v>
      </c>
      <c r="F7" s="107">
        <f t="shared" si="0"/>
        <v>7.6666666666666661E-2</v>
      </c>
      <c r="I7" s="39" t="s">
        <v>307</v>
      </c>
      <c r="J7" s="106">
        <f t="shared" si="1"/>
        <v>3642.7867191435525</v>
      </c>
      <c r="K7" s="106">
        <f t="shared" si="2"/>
        <v>-240.97366570471402</v>
      </c>
      <c r="L7" s="106">
        <f t="shared" si="3"/>
        <v>3401.8130534388383</v>
      </c>
    </row>
    <row r="8" spans="2:22" x14ac:dyDescent="0.25">
      <c r="B8" s="39" t="s">
        <v>308</v>
      </c>
      <c r="C8" s="49">
        <v>2.3E-2</v>
      </c>
      <c r="D8" s="49">
        <v>1.4E-2</v>
      </c>
      <c r="E8" s="49">
        <v>1.9E-2</v>
      </c>
      <c r="F8" s="107">
        <f t="shared" si="0"/>
        <v>1.8666666666666665E-2</v>
      </c>
      <c r="I8" s="39" t="s">
        <v>309</v>
      </c>
      <c r="J8" s="106">
        <f t="shared" si="1"/>
        <v>7285.5734382871069</v>
      </c>
      <c r="K8" s="106">
        <f t="shared" si="2"/>
        <v>-481.9473314094281</v>
      </c>
      <c r="L8" s="106">
        <f t="shared" si="3"/>
        <v>6803.6261068776785</v>
      </c>
    </row>
    <row r="9" spans="2:22" x14ac:dyDescent="0.25">
      <c r="B9" s="39" t="s">
        <v>310</v>
      </c>
      <c r="C9" s="49">
        <v>3.7999999999999999E-2</v>
      </c>
      <c r="D9" s="49">
        <v>3.9E-2</v>
      </c>
      <c r="E9" s="49">
        <v>3.5000000000000003E-2</v>
      </c>
      <c r="F9" s="107">
        <f t="shared" si="0"/>
        <v>3.7333333333333336E-2</v>
      </c>
      <c r="I9" s="39" t="s">
        <v>311</v>
      </c>
      <c r="J9" s="106">
        <f t="shared" si="1"/>
        <v>24003.362488642339</v>
      </c>
      <c r="K9" s="106">
        <f t="shared" si="2"/>
        <v>-1587.8443329471336</v>
      </c>
      <c r="L9" s="106">
        <f t="shared" si="3"/>
        <v>22415.518155695205</v>
      </c>
    </row>
    <row r="10" spans="2:22" x14ac:dyDescent="0.25">
      <c r="B10" s="39" t="s">
        <v>312</v>
      </c>
      <c r="C10" s="49">
        <v>8.3000000000000004E-2</v>
      </c>
      <c r="D10" s="49">
        <v>0.104</v>
      </c>
      <c r="E10" s="49">
        <v>0.182</v>
      </c>
      <c r="F10" s="107">
        <f t="shared" si="0"/>
        <v>0.123</v>
      </c>
      <c r="I10" s="39" t="s">
        <v>313</v>
      </c>
      <c r="J10" s="106">
        <f t="shared" si="1"/>
        <v>18344.033121401466</v>
      </c>
      <c r="K10" s="106">
        <f t="shared" si="2"/>
        <v>-1213.4745308701672</v>
      </c>
      <c r="L10" s="106">
        <f t="shared" si="3"/>
        <v>17130.558590531298</v>
      </c>
      <c r="O10" s="49" t="s">
        <v>285</v>
      </c>
      <c r="P10" s="49" t="s">
        <v>286</v>
      </c>
      <c r="Q10" s="49" t="s">
        <v>287</v>
      </c>
      <c r="R10" s="49" t="s">
        <v>288</v>
      </c>
      <c r="S10" s="49" t="s">
        <v>314</v>
      </c>
      <c r="T10" s="49" t="s">
        <v>315</v>
      </c>
      <c r="U10" s="49" t="s">
        <v>316</v>
      </c>
    </row>
    <row r="11" spans="2:22" x14ac:dyDescent="0.25">
      <c r="B11" s="39" t="s">
        <v>317</v>
      </c>
      <c r="C11" s="49">
        <v>8.3000000000000004E-2</v>
      </c>
      <c r="D11" s="49">
        <v>7.8E-2</v>
      </c>
      <c r="E11" s="49">
        <v>0.121</v>
      </c>
      <c r="F11" s="107">
        <f t="shared" si="0"/>
        <v>9.4000000000000014E-2</v>
      </c>
      <c r="I11" s="39" t="s">
        <v>318</v>
      </c>
      <c r="J11" s="106">
        <f>SUM(J4:J10)</f>
        <v>91785.215369849175</v>
      </c>
      <c r="K11" s="106">
        <f>L11-J11</f>
        <v>-6071.6757555241347</v>
      </c>
      <c r="L11" s="106">
        <f>Sizing!J28</f>
        <v>85713.53961432504</v>
      </c>
      <c r="O11" s="49" t="s">
        <v>198</v>
      </c>
      <c r="P11" s="49" t="s">
        <v>115</v>
      </c>
      <c r="Q11" s="49" t="s">
        <v>115</v>
      </c>
      <c r="R11" s="49" t="s">
        <v>115</v>
      </c>
      <c r="S11" s="49" t="s">
        <v>319</v>
      </c>
      <c r="T11" s="49" t="s">
        <v>319</v>
      </c>
      <c r="U11" s="49" t="s">
        <v>319</v>
      </c>
    </row>
    <row r="12" spans="2:22" x14ac:dyDescent="0.25">
      <c r="J12" s="39" t="s">
        <v>22</v>
      </c>
      <c r="K12" s="49"/>
      <c r="L12" s="106">
        <f>Sizing!E25</f>
        <v>1380</v>
      </c>
      <c r="O12" s="106">
        <f>L16</f>
        <v>195149.28852554748</v>
      </c>
      <c r="P12" s="108">
        <f>SQRT('Drag Polar'!N11*'Drag Polar'!S6)</f>
        <v>58.817213978780181</v>
      </c>
      <c r="Q12" s="49">
        <v>160</v>
      </c>
      <c r="R12" s="106">
        <f>(P12+Q12)/2</f>
        <v>109.40860698939009</v>
      </c>
      <c r="S12" s="49">
        <f>P12^2*O12*T5^2/(4*32.2)</f>
        <v>301913.47101121646</v>
      </c>
      <c r="T12" s="49">
        <f>Q12^2*O12*U5^2/(4*32.2)</f>
        <v>5367560.5750696873</v>
      </c>
      <c r="U12" s="49">
        <f>R12^2*O12*V5^2/(4*32.2)</f>
        <v>4040527.6551770805</v>
      </c>
    </row>
    <row r="13" spans="2:22" x14ac:dyDescent="0.25">
      <c r="J13" s="39" t="s">
        <v>320</v>
      </c>
      <c r="K13" s="49"/>
      <c r="L13" s="106">
        <f>L11+L12</f>
        <v>87093.53961432504</v>
      </c>
      <c r="P13" t="s">
        <v>321</v>
      </c>
    </row>
    <row r="14" spans="2:22" x14ac:dyDescent="0.25">
      <c r="C14" s="49" t="s">
        <v>292</v>
      </c>
      <c r="J14" s="39" t="s">
        <v>322</v>
      </c>
      <c r="K14" s="49"/>
      <c r="L14" s="49">
        <f>Sizing!F25</f>
        <v>11500</v>
      </c>
    </row>
    <row r="15" spans="2:22" x14ac:dyDescent="0.25">
      <c r="C15" s="49" t="s">
        <v>293</v>
      </c>
      <c r="J15" s="39" t="s">
        <v>323</v>
      </c>
      <c r="K15" s="49"/>
      <c r="L15" s="106">
        <f>Sizing!P30</f>
        <v>96555.748910153445</v>
      </c>
    </row>
    <row r="16" spans="2:22" x14ac:dyDescent="0.25">
      <c r="C16" s="49" t="s">
        <v>294</v>
      </c>
      <c r="J16" s="39" t="s">
        <v>285</v>
      </c>
      <c r="K16" s="49"/>
      <c r="L16" s="106">
        <f>Sizing!J25</f>
        <v>195149.28852554748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5E1F-7F26-472C-9A8B-5E1A4AE13612}">
  <sheetPr codeName="Sheet9"/>
  <dimension ref="A2:AX61"/>
  <sheetViews>
    <sheetView zoomScale="85" zoomScaleNormal="85" workbookViewId="0">
      <selection activeCell="W8" sqref="W8"/>
    </sheetView>
  </sheetViews>
  <sheetFormatPr defaultColWidth="8.85546875" defaultRowHeight="15" x14ac:dyDescent="0.25"/>
  <cols>
    <col min="1" max="1" width="14.85546875" bestFit="1" customWidth="1"/>
    <col min="2" max="2" width="9.85546875" customWidth="1"/>
    <col min="3" max="3" width="11.140625" customWidth="1"/>
    <col min="4" max="6" width="12" customWidth="1"/>
    <col min="11" max="11" width="9.28515625" bestFit="1" customWidth="1"/>
    <col min="14" max="14" width="9.28515625" bestFit="1" customWidth="1"/>
    <col min="33" max="34" width="9.28515625" bestFit="1" customWidth="1"/>
  </cols>
  <sheetData>
    <row r="2" spans="1:50" x14ac:dyDescent="0.25">
      <c r="AS2" t="s">
        <v>324</v>
      </c>
    </row>
    <row r="3" spans="1:50" x14ac:dyDescent="0.25">
      <c r="B3" s="49" t="s">
        <v>325</v>
      </c>
      <c r="C3" s="49" t="s">
        <v>298</v>
      </c>
      <c r="D3" s="49" t="s">
        <v>326</v>
      </c>
      <c r="E3" s="46" t="s">
        <v>327</v>
      </c>
      <c r="F3" s="46" t="s">
        <v>328</v>
      </c>
      <c r="AU3" t="s">
        <v>329</v>
      </c>
    </row>
    <row r="4" spans="1:50" x14ac:dyDescent="0.25">
      <c r="A4" s="39" t="s">
        <v>300</v>
      </c>
      <c r="B4" s="49">
        <f>AH48</f>
        <v>113.04590495037118</v>
      </c>
      <c r="C4" s="106">
        <f>'Class I Weight'!L4</f>
        <v>19924.905027284629</v>
      </c>
      <c r="D4" s="106">
        <f>C4*B4</f>
        <v>2252428.9198595909</v>
      </c>
      <c r="E4" s="143">
        <f>AJ48</f>
        <v>-1.25</v>
      </c>
      <c r="F4" s="143">
        <f t="shared" ref="F4:F11" si="0">E4*C4</f>
        <v>-24906.131284105788</v>
      </c>
      <c r="AF4" t="s">
        <v>305</v>
      </c>
      <c r="AS4" t="s">
        <v>242</v>
      </c>
      <c r="AT4" t="s">
        <v>204</v>
      </c>
      <c r="AU4" t="s">
        <v>330</v>
      </c>
      <c r="AV4" t="s">
        <v>331</v>
      </c>
      <c r="AW4" t="s">
        <v>332</v>
      </c>
      <c r="AX4" t="s">
        <v>333</v>
      </c>
    </row>
    <row r="5" spans="1:50" x14ac:dyDescent="0.25">
      <c r="A5" s="39" t="s">
        <v>303</v>
      </c>
      <c r="B5" s="49">
        <f>R41</f>
        <v>142.17000000000002</v>
      </c>
      <c r="C5" s="106">
        <f>'Class I Weight'!L5</f>
        <v>2065.3864967307236</v>
      </c>
      <c r="D5" s="106">
        <f t="shared" ref="D5:D16" si="1">C5*B5</f>
        <v>293635.99824020703</v>
      </c>
      <c r="E5" s="143">
        <f>T41</f>
        <v>8.52</v>
      </c>
      <c r="F5" s="143">
        <f t="shared" si="0"/>
        <v>17597.092952145766</v>
      </c>
      <c r="AF5" t="s">
        <v>334</v>
      </c>
      <c r="AG5" t="s">
        <v>335</v>
      </c>
      <c r="AS5">
        <f>'Drag Polar'!S6</f>
        <v>1.95</v>
      </c>
      <c r="AT5">
        <f>'Drag Polar'!N11</f>
        <v>1774.0844411413407</v>
      </c>
      <c r="AU5">
        <f>SQRT(AS5*AT5)</f>
        <v>58.817213978780181</v>
      </c>
      <c r="AV5">
        <f>AU5/2</f>
        <v>29.408606989390091</v>
      </c>
      <c r="AW5">
        <v>7.8129999999999997</v>
      </c>
      <c r="AX5">
        <v>74.573999999999998</v>
      </c>
    </row>
    <row r="6" spans="1:50" x14ac:dyDescent="0.25">
      <c r="A6" s="39" t="s">
        <v>305</v>
      </c>
      <c r="B6" s="49">
        <f>L35</f>
        <v>72</v>
      </c>
      <c r="C6" s="106">
        <f>'Class I Weight'!L6</f>
        <v>13971.732183766659</v>
      </c>
      <c r="D6" s="106">
        <f t="shared" si="1"/>
        <v>1005964.7172311994</v>
      </c>
      <c r="E6" s="143">
        <f>N35</f>
        <v>0</v>
      </c>
      <c r="F6" s="143">
        <f t="shared" si="0"/>
        <v>0</v>
      </c>
      <c r="AE6" t="s">
        <v>336</v>
      </c>
      <c r="AF6">
        <v>0</v>
      </c>
      <c r="AG6">
        <v>0</v>
      </c>
    </row>
    <row r="7" spans="1:50" x14ac:dyDescent="0.25">
      <c r="A7" s="39" t="s">
        <v>307</v>
      </c>
      <c r="B7" s="109">
        <v>110</v>
      </c>
      <c r="C7" s="106">
        <f>'Class I Weight'!L7</f>
        <v>3401.8130534388383</v>
      </c>
      <c r="D7" s="106">
        <f t="shared" si="1"/>
        <v>374199.43587827223</v>
      </c>
      <c r="E7" s="143">
        <f>AA34</f>
        <v>-3</v>
      </c>
      <c r="F7" s="143">
        <f t="shared" si="0"/>
        <v>-10205.439160316515</v>
      </c>
      <c r="Z7" t="s">
        <v>337</v>
      </c>
      <c r="AE7" t="s">
        <v>338</v>
      </c>
      <c r="AF7">
        <v>45</v>
      </c>
      <c r="AG7">
        <f>7.83/2</f>
        <v>3.915</v>
      </c>
      <c r="AS7" t="s">
        <v>339</v>
      </c>
      <c r="AT7" t="s">
        <v>340</v>
      </c>
    </row>
    <row r="8" spans="1:50" x14ac:dyDescent="0.25">
      <c r="A8" s="39" t="s">
        <v>341</v>
      </c>
      <c r="B8" s="49">
        <v>60</v>
      </c>
      <c r="C8" s="106">
        <f>'Class I Weight'!L8*0.1</f>
        <v>680.36261068776787</v>
      </c>
      <c r="D8" s="106">
        <f>C8*B8</f>
        <v>40821.756641266074</v>
      </c>
      <c r="E8" s="143">
        <f>Z24</f>
        <v>-3.9322916666666665</v>
      </c>
      <c r="F8" s="143">
        <f t="shared" si="0"/>
        <v>-2675.384224319087</v>
      </c>
      <c r="Z8" t="s">
        <v>342</v>
      </c>
      <c r="AE8" t="s">
        <v>338</v>
      </c>
      <c r="AF8">
        <v>100</v>
      </c>
      <c r="AG8">
        <f>7.83/2</f>
        <v>3.915</v>
      </c>
      <c r="AS8">
        <f>(W46*(Y46+2*Z46))/(3*(Y46+Z46))</f>
        <v>5.2522822484196139</v>
      </c>
      <c r="AT8">
        <f>(Y46^2+Y46*Z46+Z46^2)/(3*(Y46+Z46))</f>
        <v>26.283409875277634</v>
      </c>
    </row>
    <row r="9" spans="1:50" x14ac:dyDescent="0.25">
      <c r="A9" s="39" t="s">
        <v>343</v>
      </c>
      <c r="B9" s="109">
        <v>109.5</v>
      </c>
      <c r="C9" s="106">
        <f>'Class I Weight'!L8*0.9</f>
        <v>6123.2634961899112</v>
      </c>
      <c r="D9" s="106">
        <f>C9*B9</f>
        <v>670497.35283279524</v>
      </c>
      <c r="E9" s="143">
        <f>Z20</f>
        <v>-6.25</v>
      </c>
      <c r="F9" s="143">
        <f t="shared" si="0"/>
        <v>-38270.396851186946</v>
      </c>
      <c r="Z9">
        <f>E17</f>
        <v>-0.34194093289023259</v>
      </c>
      <c r="AE9" t="s">
        <v>344</v>
      </c>
      <c r="AF9">
        <f>'Class I Weight'!Q12</f>
        <v>160</v>
      </c>
      <c r="AG9">
        <v>0</v>
      </c>
    </row>
    <row r="10" spans="1:50" x14ac:dyDescent="0.25">
      <c r="A10" s="39" t="s">
        <v>311</v>
      </c>
      <c r="B10" s="49">
        <f>AD34</f>
        <v>114</v>
      </c>
      <c r="C10" s="106">
        <f>'Class I Weight'!L9</f>
        <v>22415.518155695205</v>
      </c>
      <c r="D10" s="106">
        <f t="shared" si="1"/>
        <v>2555369.0697492533</v>
      </c>
      <c r="E10" s="143">
        <f>AF34</f>
        <v>-3</v>
      </c>
      <c r="F10" s="143">
        <f t="shared" si="0"/>
        <v>-67246.554467085618</v>
      </c>
      <c r="AF10">
        <v>0</v>
      </c>
      <c r="AG10">
        <v>0</v>
      </c>
    </row>
    <row r="11" spans="1:50" x14ac:dyDescent="0.25">
      <c r="A11" s="39" t="s">
        <v>313</v>
      </c>
      <c r="B11" s="109">
        <v>73</v>
      </c>
      <c r="C11" s="106">
        <f>'Class I Weight'!L10</f>
        <v>17130.558590531298</v>
      </c>
      <c r="D11" s="106">
        <f t="shared" si="1"/>
        <v>1250530.7771087848</v>
      </c>
      <c r="E11" s="143">
        <f>AC30</f>
        <v>1</v>
      </c>
      <c r="F11" s="143">
        <f t="shared" si="0"/>
        <v>17130.558590531298</v>
      </c>
      <c r="AS11">
        <f>(AS8*X46+AS13*X51)/(X51+X46)</f>
        <v>9.689124259871793</v>
      </c>
      <c r="AT11">
        <f>(AT8*X46+AT13*X51)/(X51+X46)</f>
        <v>20.882863597665697</v>
      </c>
      <c r="AU11">
        <f>AC46-AS11</f>
        <v>115.3508757401282</v>
      </c>
    </row>
    <row r="12" spans="1:50" x14ac:dyDescent="0.25">
      <c r="A12" s="110" t="s">
        <v>318</v>
      </c>
      <c r="B12" s="111">
        <f>SUM(D4:D11)/C12</f>
        <v>98.5077511153237</v>
      </c>
      <c r="C12" s="112">
        <f>'Class I Weight'!L11</f>
        <v>85713.53961432504</v>
      </c>
      <c r="D12" s="46"/>
      <c r="E12" s="46">
        <f>SUM(F4:F11)/C12</f>
        <v>-1.2667339948027403</v>
      </c>
      <c r="F12" s="46"/>
      <c r="AF12" t="s">
        <v>300</v>
      </c>
      <c r="AS12" t="s">
        <v>345</v>
      </c>
      <c r="AT12" t="s">
        <v>346</v>
      </c>
    </row>
    <row r="13" spans="1:50" x14ac:dyDescent="0.25">
      <c r="A13" s="39" t="s">
        <v>22</v>
      </c>
      <c r="B13" s="49">
        <f>W30</f>
        <v>40</v>
      </c>
      <c r="C13" s="106">
        <f>'Class I Weight'!L12</f>
        <v>1380</v>
      </c>
      <c r="D13" s="106">
        <f t="shared" si="1"/>
        <v>55200</v>
      </c>
      <c r="E13" s="143">
        <f>Y30</f>
        <v>1</v>
      </c>
      <c r="F13" s="143">
        <f>E13*C13</f>
        <v>1380</v>
      </c>
      <c r="Z13" t="s">
        <v>347</v>
      </c>
      <c r="AF13" t="s">
        <v>334</v>
      </c>
      <c r="AG13" t="s">
        <v>335</v>
      </c>
      <c r="AS13">
        <f>W46+(W51*(Y51+2*Z51))/(3*(Y51+Z51))</f>
        <v>19.459286585365852</v>
      </c>
      <c r="AT13">
        <f>(Y51^2+Y51*Z51+Z51^2)/(3*(Y51+Z51))</f>
        <v>8.9905731707317074</v>
      </c>
    </row>
    <row r="14" spans="1:50" x14ac:dyDescent="0.25">
      <c r="A14" s="110" t="s">
        <v>320</v>
      </c>
      <c r="B14" s="111">
        <f>SUM(D4:D13)/SUM(C12:C13)</f>
        <v>97.580693874376905</v>
      </c>
      <c r="C14" s="112">
        <f>'Class I Weight'!L13</f>
        <v>87093.53961432504</v>
      </c>
      <c r="D14" s="46"/>
      <c r="E14" s="46">
        <f>SUM(F4:F13)/SUM(C12:C13)</f>
        <v>-1.2308175200942848</v>
      </c>
      <c r="F14" s="46"/>
      <c r="Z14">
        <f>ATAN((B9-MAX(B22:B27))/Z9)*180/PI()</f>
        <v>-82.939806932007457</v>
      </c>
      <c r="AA14" t="s">
        <v>348</v>
      </c>
      <c r="AE14" t="s">
        <v>349</v>
      </c>
      <c r="AF14">
        <f>B4-15.3</f>
        <v>97.745904950371184</v>
      </c>
      <c r="AG14">
        <v>0</v>
      </c>
    </row>
    <row r="15" spans="1:50" x14ac:dyDescent="0.25">
      <c r="A15" s="39" t="s">
        <v>322</v>
      </c>
      <c r="B15" s="49">
        <f>N49</f>
        <v>85.833252173913039</v>
      </c>
      <c r="C15" s="106">
        <f>'Class I Weight'!L14</f>
        <v>11500</v>
      </c>
      <c r="D15" s="106">
        <f t="shared" si="1"/>
        <v>987082.39999999991</v>
      </c>
      <c r="E15" s="143">
        <f>P49</f>
        <v>1</v>
      </c>
      <c r="F15" s="143">
        <f>E15*C15</f>
        <v>11500</v>
      </c>
      <c r="AE15" t="s">
        <v>350</v>
      </c>
      <c r="AF15">
        <f>AG15*TAN(48*PI()/180)+AF14</f>
        <v>163.06903888259097</v>
      </c>
      <c r="AG15" s="35">
        <f>'Class I Weight'!P12</f>
        <v>58.817213978780181</v>
      </c>
    </row>
    <row r="16" spans="1:50" x14ac:dyDescent="0.25">
      <c r="A16" s="39" t="s">
        <v>323</v>
      </c>
      <c r="B16" s="109">
        <v>115</v>
      </c>
      <c r="C16" s="106">
        <f>'Class I Weight'!L15</f>
        <v>96555.748910153445</v>
      </c>
      <c r="D16" s="106">
        <f t="shared" si="1"/>
        <v>11103911.124667646</v>
      </c>
      <c r="E16" s="143">
        <f>F61</f>
        <v>0.3</v>
      </c>
      <c r="F16" s="143">
        <f>E16*C16</f>
        <v>28966.724673046032</v>
      </c>
      <c r="AE16" t="s">
        <v>351</v>
      </c>
      <c r="AF16">
        <f>AF15+5.13</f>
        <v>168.19903888259097</v>
      </c>
      <c r="AG16" s="35">
        <f>'Class I Weight'!P12</f>
        <v>58.817213978780181</v>
      </c>
    </row>
    <row r="17" spans="1:43" x14ac:dyDescent="0.25">
      <c r="A17" s="110" t="s">
        <v>285</v>
      </c>
      <c r="B17" s="111">
        <f>SUM(D4:D16)/C17</f>
        <v>105.50713101633252</v>
      </c>
      <c r="C17" s="112">
        <f>'Class I Weight'!L16</f>
        <v>195149.28852554748</v>
      </c>
      <c r="D17" s="46"/>
      <c r="E17" s="46">
        <f>SUM(F4:F16)/C17</f>
        <v>-0.34194093289023259</v>
      </c>
      <c r="F17" s="46"/>
      <c r="H17" s="113"/>
      <c r="I17" s="113"/>
      <c r="J17" s="113"/>
      <c r="K17" s="113"/>
      <c r="L17" s="113"/>
      <c r="M17" s="113"/>
      <c r="N17" s="113"/>
      <c r="W17" t="s">
        <v>309</v>
      </c>
      <c r="AE17" t="s">
        <v>352</v>
      </c>
      <c r="AF17">
        <f>AF14+19.73</f>
        <v>117.47590495037119</v>
      </c>
      <c r="AG17">
        <v>0</v>
      </c>
    </row>
    <row r="18" spans="1:43" x14ac:dyDescent="0.25">
      <c r="H18" s="113" t="s">
        <v>353</v>
      </c>
      <c r="I18" s="113"/>
      <c r="J18" s="113"/>
      <c r="K18" s="113"/>
      <c r="L18" s="113"/>
      <c r="M18" s="113"/>
      <c r="N18" s="113"/>
      <c r="W18" t="s">
        <v>343</v>
      </c>
    </row>
    <row r="19" spans="1:43" x14ac:dyDescent="0.25">
      <c r="H19" s="114">
        <f>B4</f>
        <v>113.04590495037118</v>
      </c>
      <c r="I19" s="113"/>
      <c r="J19" s="113"/>
      <c r="K19" s="113"/>
      <c r="L19" s="113"/>
      <c r="M19" s="113"/>
      <c r="N19" s="113"/>
      <c r="W19" t="s">
        <v>354</v>
      </c>
      <c r="X19" t="s">
        <v>355</v>
      </c>
      <c r="Y19" t="s">
        <v>356</v>
      </c>
      <c r="Z19" t="s">
        <v>357</v>
      </c>
      <c r="AA19" t="s">
        <v>358</v>
      </c>
      <c r="AB19" t="s">
        <v>359</v>
      </c>
      <c r="AC19" t="s">
        <v>360</v>
      </c>
      <c r="AD19" t="s">
        <v>361</v>
      </c>
      <c r="AE19" t="s">
        <v>362</v>
      </c>
      <c r="AF19" t="s">
        <v>307</v>
      </c>
      <c r="AI19" t="s">
        <v>363</v>
      </c>
      <c r="AN19" t="s">
        <v>364</v>
      </c>
    </row>
    <row r="20" spans="1:43" x14ac:dyDescent="0.25">
      <c r="A20" t="s">
        <v>365</v>
      </c>
      <c r="H20" s="113"/>
      <c r="I20" s="113"/>
      <c r="J20" s="113"/>
      <c r="K20" s="113"/>
      <c r="L20" s="113"/>
      <c r="M20" s="113"/>
      <c r="N20" s="113"/>
      <c r="W20">
        <f>AE20-AD20/2</f>
        <v>8.6458333333333339</v>
      </c>
      <c r="X20" s="146">
        <f>B9</f>
        <v>109.5</v>
      </c>
      <c r="Y20" s="146">
        <v>10</v>
      </c>
      <c r="Z20" s="146">
        <v>-6.25</v>
      </c>
      <c r="AA20">
        <v>2</v>
      </c>
      <c r="AB20">
        <v>2</v>
      </c>
      <c r="AC20">
        <f>(C17-AC24)/(AA20*AB20)</f>
        <v>46066.168949155654</v>
      </c>
      <c r="AD20">
        <f>44.5/12</f>
        <v>3.7083333333333335</v>
      </c>
      <c r="AE20">
        <v>10.5</v>
      </c>
      <c r="AF20" t="s">
        <v>334</v>
      </c>
      <c r="AG20" t="s">
        <v>335</v>
      </c>
      <c r="AI20" t="s">
        <v>334</v>
      </c>
      <c r="AJ20" t="s">
        <v>335</v>
      </c>
      <c r="AN20" t="s">
        <v>334</v>
      </c>
      <c r="AO20" t="s">
        <v>335</v>
      </c>
    </row>
    <row r="21" spans="1:43" x14ac:dyDescent="0.25">
      <c r="A21" t="s">
        <v>366</v>
      </c>
      <c r="B21" s="49" t="s">
        <v>367</v>
      </c>
      <c r="C21" s="49" t="s">
        <v>298</v>
      </c>
      <c r="D21" s="49" t="s">
        <v>368</v>
      </c>
      <c r="E21" s="46"/>
      <c r="F21" s="49" t="s">
        <v>369</v>
      </c>
      <c r="H21" s="113"/>
      <c r="I21" s="113"/>
      <c r="J21" s="113"/>
      <c r="K21" s="113"/>
      <c r="L21" s="113"/>
      <c r="M21" s="113"/>
      <c r="N21" s="113"/>
      <c r="AE21" t="s">
        <v>370</v>
      </c>
      <c r="AF21">
        <f>B7-5</f>
        <v>105</v>
      </c>
      <c r="AG21">
        <v>7.5</v>
      </c>
      <c r="AI21">
        <f>B9-1.5</f>
        <v>108</v>
      </c>
      <c r="AJ21">
        <v>9</v>
      </c>
      <c r="AM21" t="s">
        <v>349</v>
      </c>
      <c r="AN21">
        <v>110</v>
      </c>
      <c r="AO21">
        <v>0</v>
      </c>
    </row>
    <row r="22" spans="1:43" x14ac:dyDescent="0.25">
      <c r="A22" s="39" t="s">
        <v>371</v>
      </c>
      <c r="B22" s="108">
        <f>B12</f>
        <v>98.5077511153237</v>
      </c>
      <c r="C22" s="106">
        <f>C12</f>
        <v>85713.53961432504</v>
      </c>
      <c r="D22" s="108">
        <f>($Z$39-$B22)/$X$39*100</f>
        <v>21.547250336533601</v>
      </c>
      <c r="E22" s="144">
        <f>E12</f>
        <v>-1.2667339948027403</v>
      </c>
      <c r="F22" s="108">
        <f>($Z$40-$B22)/$X$39*100</f>
        <v>29.678578964947246</v>
      </c>
      <c r="H22" s="113" t="s">
        <v>372</v>
      </c>
      <c r="I22" s="113"/>
      <c r="J22" s="113"/>
      <c r="K22" s="113"/>
      <c r="L22" s="113"/>
      <c r="M22" s="113"/>
      <c r="N22" s="113"/>
      <c r="W22" t="s">
        <v>341</v>
      </c>
      <c r="AE22" t="s">
        <v>370</v>
      </c>
      <c r="AF22">
        <f>AF21</f>
        <v>105</v>
      </c>
      <c r="AG22">
        <f>7.5+2.8*2</f>
        <v>13.1</v>
      </c>
      <c r="AI22">
        <f>AI21</f>
        <v>108</v>
      </c>
      <c r="AJ22">
        <v>11</v>
      </c>
      <c r="AM22" t="s">
        <v>350</v>
      </c>
      <c r="AN22">
        <f>AO22*TAN(28*PI()/180)+AN21</f>
        <v>119.3474518086088</v>
      </c>
      <c r="AO22">
        <f>35.16/2</f>
        <v>17.579999999999998</v>
      </c>
    </row>
    <row r="23" spans="1:43" x14ac:dyDescent="0.25">
      <c r="A23" s="39" t="s">
        <v>373</v>
      </c>
      <c r="B23" s="108">
        <f>B14</f>
        <v>97.580693874376905</v>
      </c>
      <c r="C23" s="106">
        <f>C14</f>
        <v>87093.53961432504</v>
      </c>
      <c r="D23" s="108">
        <f t="shared" ref="D23:D27" si="2">($Z$39-$B23)/$X$39*100</f>
        <v>24.391856783133154</v>
      </c>
      <c r="E23" s="144">
        <f>E14</f>
        <v>-1.2308175200942848</v>
      </c>
      <c r="F23" s="108">
        <f t="shared" ref="F23:F27" si="3">($Z$40-$B23)/$X$39*100</f>
        <v>32.523185411546798</v>
      </c>
      <c r="H23" s="114">
        <f>B7</f>
        <v>110</v>
      </c>
      <c r="I23" s="113"/>
      <c r="J23" s="113"/>
      <c r="K23" s="113"/>
      <c r="L23" s="113"/>
      <c r="M23" s="113"/>
      <c r="N23" s="113"/>
      <c r="W23" t="s">
        <v>354</v>
      </c>
      <c r="X23" t="s">
        <v>355</v>
      </c>
      <c r="Y23" t="s">
        <v>356</v>
      </c>
      <c r="Z23" t="s">
        <v>357</v>
      </c>
      <c r="AC23" t="s">
        <v>374</v>
      </c>
      <c r="AD23" t="s">
        <v>361</v>
      </c>
      <c r="AE23" t="s">
        <v>362</v>
      </c>
      <c r="AF23">
        <f>AF21+16.24</f>
        <v>121.24</v>
      </c>
      <c r="AG23">
        <f>7.5+2.8*2</f>
        <v>13.1</v>
      </c>
      <c r="AI23">
        <f>AI22+3</f>
        <v>111</v>
      </c>
      <c r="AJ23">
        <v>11</v>
      </c>
      <c r="AM23" t="s">
        <v>351</v>
      </c>
      <c r="AN23">
        <f>AN22+4.05</f>
        <v>123.39745180860879</v>
      </c>
      <c r="AO23">
        <f>AO22</f>
        <v>17.579999999999998</v>
      </c>
    </row>
    <row r="24" spans="1:43" x14ac:dyDescent="0.25">
      <c r="A24" s="39" t="s">
        <v>375</v>
      </c>
      <c r="B24" s="108">
        <f>SUM(D4:D15)/(C14+C15)</f>
        <v>96.210466371806277</v>
      </c>
      <c r="C24" s="106">
        <f>C14+C15</f>
        <v>98593.53961432504</v>
      </c>
      <c r="D24" s="108">
        <f t="shared" si="2"/>
        <v>28.596298337507591</v>
      </c>
      <c r="E24" s="144">
        <f>SUM(F4:F15)/(C14+C15)</f>
        <v>-0.97061384365221448</v>
      </c>
      <c r="F24" s="108">
        <f t="shared" si="3"/>
        <v>36.727626965921232</v>
      </c>
      <c r="H24" s="113"/>
      <c r="I24" s="113"/>
      <c r="J24" s="113"/>
      <c r="K24" s="113"/>
      <c r="L24" s="113"/>
      <c r="M24" s="113"/>
      <c r="N24" s="113"/>
      <c r="W24">
        <f>AE24-AD24/2</f>
        <v>7.864583333333333</v>
      </c>
      <c r="X24" s="145">
        <f>B8</f>
        <v>60</v>
      </c>
      <c r="Y24" s="145">
        <v>0</v>
      </c>
      <c r="Z24" s="145">
        <f>-W24/2</f>
        <v>-3.9322916666666665</v>
      </c>
      <c r="AA24">
        <v>1</v>
      </c>
      <c r="AB24">
        <v>1</v>
      </c>
      <c r="AC24">
        <f>C17*B31/100</f>
        <v>10884.612728924865</v>
      </c>
      <c r="AD24">
        <f>21.25/12</f>
        <v>1.7708333333333333</v>
      </c>
      <c r="AE24">
        <v>8.75</v>
      </c>
      <c r="AF24">
        <f>AF23</f>
        <v>121.24</v>
      </c>
      <c r="AG24">
        <v>7.5</v>
      </c>
      <c r="AI24">
        <f>AI23</f>
        <v>111</v>
      </c>
      <c r="AJ24">
        <v>9</v>
      </c>
      <c r="AM24" t="s">
        <v>352</v>
      </c>
      <c r="AN24">
        <f>AN21+9.88</f>
        <v>119.88</v>
      </c>
      <c r="AO24">
        <f>AO21</f>
        <v>0</v>
      </c>
    </row>
    <row r="25" spans="1:43" x14ac:dyDescent="0.25">
      <c r="A25" s="39" t="s">
        <v>376</v>
      </c>
      <c r="B25" s="108">
        <f>B17</f>
        <v>105.50713101633252</v>
      </c>
      <c r="C25" s="106">
        <f>C17</f>
        <v>195149.28852554748</v>
      </c>
      <c r="D25" s="108">
        <f t="shared" si="2"/>
        <v>7.017178173513014E-2</v>
      </c>
      <c r="E25" s="144">
        <f>E17</f>
        <v>-0.34194093289023259</v>
      </c>
      <c r="F25" s="108">
        <f t="shared" si="3"/>
        <v>8.2015004101487712</v>
      </c>
      <c r="H25" s="113"/>
      <c r="I25" s="113"/>
      <c r="J25" s="113"/>
      <c r="K25" s="113"/>
      <c r="L25" s="113"/>
      <c r="M25" s="113"/>
      <c r="N25" s="113"/>
      <c r="AF25">
        <f>AF22</f>
        <v>105</v>
      </c>
      <c r="AG25">
        <v>7.5</v>
      </c>
      <c r="AI25">
        <f>AI21</f>
        <v>108</v>
      </c>
      <c r="AJ25">
        <v>9</v>
      </c>
    </row>
    <row r="26" spans="1:43" x14ac:dyDescent="0.25">
      <c r="A26" s="39" t="s">
        <v>377</v>
      </c>
      <c r="B26" s="108">
        <f>(SUM(D4:D13)+D16)/(C14+C16)</f>
        <v>106.73909662109146</v>
      </c>
      <c r="C26" s="106">
        <f>C14+C16</f>
        <v>183649.2885244785</v>
      </c>
      <c r="D26" s="108">
        <f t="shared" si="2"/>
        <v>-3.7100233847544075</v>
      </c>
      <c r="E26" s="144">
        <f>(SUM(F4:F13)+F16)/(C14+C16)</f>
        <v>-0.42597240860458713</v>
      </c>
      <c r="F26" s="108">
        <f t="shared" si="3"/>
        <v>4.4213052436592326</v>
      </c>
      <c r="H26" s="113" t="s">
        <v>378</v>
      </c>
      <c r="I26" s="113"/>
      <c r="J26" s="113"/>
      <c r="K26" s="113"/>
      <c r="L26" s="113"/>
      <c r="M26" s="113"/>
      <c r="N26" s="113"/>
    </row>
    <row r="27" spans="1:43" x14ac:dyDescent="0.25">
      <c r="A27" s="39" t="s">
        <v>373</v>
      </c>
      <c r="B27" s="108">
        <f>B14</f>
        <v>97.580693874376905</v>
      </c>
      <c r="C27" s="106">
        <f>C14</f>
        <v>87093.53961432504</v>
      </c>
      <c r="D27" s="108">
        <f t="shared" si="2"/>
        <v>24.391856783133154</v>
      </c>
      <c r="E27" s="144">
        <f>E14</f>
        <v>-1.2308175200942848</v>
      </c>
      <c r="F27" s="108">
        <f t="shared" si="3"/>
        <v>32.523185411546798</v>
      </c>
      <c r="H27" s="114">
        <f>B9</f>
        <v>109.5</v>
      </c>
      <c r="I27" s="113"/>
      <c r="J27" s="113"/>
      <c r="K27" s="113"/>
      <c r="L27" s="113"/>
      <c r="M27" s="113"/>
      <c r="N27" s="113"/>
      <c r="AF27" t="s">
        <v>379</v>
      </c>
      <c r="AI27" t="s">
        <v>380</v>
      </c>
      <c r="AO27" t="s">
        <v>381</v>
      </c>
      <c r="AQ27" t="s">
        <v>382</v>
      </c>
    </row>
    <row r="28" spans="1:43" x14ac:dyDescent="0.25">
      <c r="H28" s="113"/>
      <c r="I28" s="113"/>
      <c r="J28" s="113"/>
      <c r="K28" s="113"/>
      <c r="L28" s="113"/>
      <c r="M28" s="113"/>
      <c r="N28" s="113"/>
      <c r="W28" t="s">
        <v>383</v>
      </c>
      <c r="AA28" t="s">
        <v>384</v>
      </c>
      <c r="AF28">
        <v>5.13</v>
      </c>
      <c r="AI28" t="s">
        <v>334</v>
      </c>
      <c r="AJ28" t="s">
        <v>335</v>
      </c>
      <c r="AL28" t="s">
        <v>385</v>
      </c>
      <c r="AO28">
        <f>($Z$39-$X$20)/$X$39*100</f>
        <v>-12.181650813132858</v>
      </c>
      <c r="AP28">
        <f>AP31</f>
        <v>0</v>
      </c>
      <c r="AQ28">
        <f>($Z$40-$X$20)/$X$39*100</f>
        <v>-4.0503221847192172</v>
      </c>
    </row>
    <row r="29" spans="1:43" x14ac:dyDescent="0.25">
      <c r="A29" t="s">
        <v>386</v>
      </c>
      <c r="B29" s="49" t="s">
        <v>387</v>
      </c>
      <c r="C29" s="49" t="s">
        <v>388</v>
      </c>
      <c r="D29" s="49" t="s">
        <v>389</v>
      </c>
      <c r="E29" s="46"/>
      <c r="F29" s="46"/>
      <c r="H29" s="113"/>
      <c r="I29" s="113"/>
      <c r="J29" s="113"/>
      <c r="K29" s="113"/>
      <c r="L29" s="113"/>
      <c r="M29" s="113"/>
      <c r="N29" s="113"/>
      <c r="W29" t="s">
        <v>355</v>
      </c>
      <c r="X29" t="s">
        <v>356</v>
      </c>
      <c r="Y29" t="s">
        <v>357</v>
      </c>
      <c r="AA29" t="s">
        <v>355</v>
      </c>
      <c r="AB29" t="s">
        <v>356</v>
      </c>
      <c r="AC29" t="s">
        <v>357</v>
      </c>
      <c r="AF29">
        <v>19.73</v>
      </c>
      <c r="AG29">
        <f>(AF29-AD38)/(AF29-AF28)</f>
        <v>-0.46794520547945206</v>
      </c>
      <c r="AI29">
        <f>AF14+AF31</f>
        <v>83.111542225028856</v>
      </c>
      <c r="AJ29">
        <f>AG30</f>
        <v>-27.523233281029192</v>
      </c>
      <c r="AL29">
        <f>AI29</f>
        <v>83.111542225028856</v>
      </c>
      <c r="AM29">
        <v>0</v>
      </c>
      <c r="AO29">
        <f>($Z$39-$X$20)/$X$39*100</f>
        <v>-12.181650813132858</v>
      </c>
      <c r="AP29" s="115">
        <f>AP32</f>
        <v>195149.28852554748</v>
      </c>
      <c r="AQ29">
        <f>($Z$40-$X$20)/$X$39*100</f>
        <v>-4.0503221847192172</v>
      </c>
    </row>
    <row r="30" spans="1:43" x14ac:dyDescent="0.25">
      <c r="B30" s="49" t="s">
        <v>390</v>
      </c>
      <c r="C30" s="49" t="s">
        <v>390</v>
      </c>
      <c r="D30" s="49" t="s">
        <v>391</v>
      </c>
      <c r="E30" s="46" t="s">
        <v>392</v>
      </c>
      <c r="F30" s="46"/>
      <c r="W30" s="12">
        <v>40</v>
      </c>
      <c r="X30" s="12">
        <v>0</v>
      </c>
      <c r="Y30" s="12">
        <v>1</v>
      </c>
      <c r="AA30" s="135">
        <f>B11</f>
        <v>73</v>
      </c>
      <c r="AB30" s="136">
        <v>0</v>
      </c>
      <c r="AC30" s="136">
        <v>1</v>
      </c>
      <c r="AG30">
        <f>AG29*AG15</f>
        <v>-27.523233281029192</v>
      </c>
      <c r="AI30">
        <f>AI29+AD38</f>
        <v>109.67354222502885</v>
      </c>
      <c r="AJ30">
        <f>AG30</f>
        <v>-27.523233281029192</v>
      </c>
      <c r="AL30">
        <f>AI29</f>
        <v>83.111542225028856</v>
      </c>
      <c r="AM30" s="115">
        <f>MAX(C22:C27)</f>
        <v>195149.28852554748</v>
      </c>
      <c r="AO30" t="s">
        <v>393</v>
      </c>
    </row>
    <row r="31" spans="1:43" x14ac:dyDescent="0.25">
      <c r="B31" s="108">
        <f>100-C31</f>
        <v>5.5775825836536086</v>
      </c>
      <c r="C31" s="108">
        <f>(MAX(B22:B27)-B8)/(B9-B8)*100</f>
        <v>94.422417416346391</v>
      </c>
      <c r="D31" s="149">
        <v>13.83</v>
      </c>
      <c r="E31" s="144" t="s">
        <v>394</v>
      </c>
      <c r="F31" s="144"/>
      <c r="K31" t="s">
        <v>395</v>
      </c>
      <c r="AF31">
        <f>AG30*TAN(28*PI()/180)</f>
        <v>-14.63436272534233</v>
      </c>
      <c r="AL31" t="s">
        <v>396</v>
      </c>
      <c r="AO31">
        <f>AVERAGE(AI22:AI23)</f>
        <v>109.5</v>
      </c>
      <c r="AP31">
        <f>AM29</f>
        <v>0</v>
      </c>
    </row>
    <row r="32" spans="1:43" x14ac:dyDescent="0.25">
      <c r="K32" t="s">
        <v>397</v>
      </c>
      <c r="W32" t="s">
        <v>307</v>
      </c>
      <c r="AC32" t="s">
        <v>311</v>
      </c>
      <c r="AI32">
        <f>AI29+0.4*AD38</f>
        <v>93.736342225028864</v>
      </c>
      <c r="AL32">
        <f>AI30</f>
        <v>109.67354222502885</v>
      </c>
      <c r="AM32">
        <f>AM29</f>
        <v>0</v>
      </c>
      <c r="AO32">
        <f>AO31</f>
        <v>109.5</v>
      </c>
      <c r="AP32" s="115">
        <f>AM30</f>
        <v>195149.28852554748</v>
      </c>
    </row>
    <row r="33" spans="2:42" x14ac:dyDescent="0.25">
      <c r="B33" s="46" t="s">
        <v>398</v>
      </c>
      <c r="C33" t="s">
        <v>399</v>
      </c>
      <c r="F33" t="s">
        <v>400</v>
      </c>
      <c r="K33" t="s">
        <v>401</v>
      </c>
      <c r="W33" t="s">
        <v>402</v>
      </c>
      <c r="X33" t="s">
        <v>172</v>
      </c>
      <c r="Y33" t="s">
        <v>403</v>
      </c>
      <c r="Z33" t="s">
        <v>404</v>
      </c>
      <c r="AA33" t="s">
        <v>405</v>
      </c>
      <c r="AC33" t="s">
        <v>406</v>
      </c>
      <c r="AD33" t="s">
        <v>355</v>
      </c>
      <c r="AE33" t="s">
        <v>356</v>
      </c>
      <c r="AF33" t="s">
        <v>357</v>
      </c>
      <c r="AG33" t="s">
        <v>407</v>
      </c>
      <c r="AH33" t="s">
        <v>172</v>
      </c>
      <c r="AI33" t="s">
        <v>408</v>
      </c>
      <c r="AL33">
        <f>AI30</f>
        <v>109.67354222502885</v>
      </c>
      <c r="AM33" s="115">
        <f>AM30</f>
        <v>195149.28852554748</v>
      </c>
    </row>
    <row r="34" spans="2:42" x14ac:dyDescent="0.25">
      <c r="B34" t="s">
        <v>391</v>
      </c>
      <c r="C34" t="s">
        <v>392</v>
      </c>
      <c r="D34" t="s">
        <v>391</v>
      </c>
      <c r="E34" t="s">
        <v>392</v>
      </c>
      <c r="F34" t="s">
        <v>391</v>
      </c>
      <c r="G34" t="s">
        <v>392</v>
      </c>
      <c r="K34" t="s">
        <v>409</v>
      </c>
      <c r="L34" t="s">
        <v>355</v>
      </c>
      <c r="M34" t="s">
        <v>356</v>
      </c>
      <c r="N34" t="s">
        <v>405</v>
      </c>
      <c r="W34">
        <f>Y34-X34*0.4</f>
        <v>102</v>
      </c>
      <c r="X34">
        <v>20</v>
      </c>
      <c r="Y34" s="113">
        <f>B7</f>
        <v>110</v>
      </c>
      <c r="Z34" s="131">
        <v>12</v>
      </c>
      <c r="AA34" s="131">
        <v>-3</v>
      </c>
      <c r="AC34">
        <v>12</v>
      </c>
      <c r="AD34" s="130">
        <f>W34+AC34</f>
        <v>114</v>
      </c>
      <c r="AE34" s="130">
        <f>Z34</f>
        <v>12</v>
      </c>
      <c r="AF34" s="130">
        <f>AA34</f>
        <v>-3</v>
      </c>
      <c r="AG34">
        <v>5622</v>
      </c>
      <c r="AI34">
        <f>0.6*AH34</f>
        <v>0</v>
      </c>
    </row>
    <row r="35" spans="2:42" x14ac:dyDescent="0.25">
      <c r="B35" s="26">
        <v>16.760000000000002</v>
      </c>
      <c r="C35" t="s">
        <v>410</v>
      </c>
      <c r="D35" s="26">
        <v>51.93</v>
      </c>
      <c r="E35" s="134" t="s">
        <v>411</v>
      </c>
      <c r="F35" s="26">
        <v>24.32</v>
      </c>
      <c r="G35" t="s">
        <v>412</v>
      </c>
      <c r="K35">
        <v>160</v>
      </c>
      <c r="L35" s="133">
        <f>0.45*K35</f>
        <v>72</v>
      </c>
      <c r="M35" s="133">
        <v>0</v>
      </c>
      <c r="N35" s="133">
        <v>0</v>
      </c>
    </row>
    <row r="36" spans="2:42" x14ac:dyDescent="0.25">
      <c r="K36" t="s">
        <v>413</v>
      </c>
      <c r="L36" t="s">
        <v>414</v>
      </c>
      <c r="M36" t="s">
        <v>415</v>
      </c>
      <c r="N36" t="s">
        <v>416</v>
      </c>
      <c r="O36" t="s">
        <v>417</v>
      </c>
      <c r="P36" t="s">
        <v>418</v>
      </c>
      <c r="Q36" t="s">
        <v>419</v>
      </c>
      <c r="R36" t="s">
        <v>420</v>
      </c>
      <c r="S36" t="s">
        <v>421</v>
      </c>
      <c r="T36" t="s">
        <v>422</v>
      </c>
      <c r="AE36" t="s">
        <v>423</v>
      </c>
    </row>
    <row r="37" spans="2:42" x14ac:dyDescent="0.25">
      <c r="L37">
        <f>K35</f>
        <v>160</v>
      </c>
      <c r="M37">
        <v>28.6</v>
      </c>
      <c r="N37">
        <v>10</v>
      </c>
      <c r="O37">
        <f>M37/N37</f>
        <v>2.8600000000000003</v>
      </c>
      <c r="P37" s="134" t="s">
        <v>424</v>
      </c>
      <c r="Q37">
        <f>L37/N37</f>
        <v>16</v>
      </c>
      <c r="R37" s="134" t="s">
        <v>425</v>
      </c>
      <c r="S37">
        <v>11.88</v>
      </c>
      <c r="T37" s="134" t="s">
        <v>426</v>
      </c>
      <c r="W37" s="119" t="s">
        <v>427</v>
      </c>
      <c r="X37" s="120"/>
      <c r="Y37" s="120"/>
      <c r="Z37" s="120"/>
      <c r="AA37" s="123"/>
      <c r="AD37" s="46" t="s">
        <v>428</v>
      </c>
      <c r="AE37" s="46" t="s">
        <v>204</v>
      </c>
      <c r="AF37" s="46" t="s">
        <v>429</v>
      </c>
      <c r="AG37" s="46" t="s">
        <v>430</v>
      </c>
      <c r="AH37" s="46" t="s">
        <v>431</v>
      </c>
      <c r="AI37" s="46" t="s">
        <v>432</v>
      </c>
      <c r="AJ37" s="46" t="s">
        <v>433</v>
      </c>
      <c r="AK37" s="46" t="s">
        <v>434</v>
      </c>
      <c r="AL37" s="46" t="s">
        <v>435</v>
      </c>
    </row>
    <row r="38" spans="2:42" x14ac:dyDescent="0.25">
      <c r="W38" s="124"/>
      <c r="X38" t="s">
        <v>436</v>
      </c>
      <c r="Y38" t="s">
        <v>437</v>
      </c>
      <c r="Z38" t="s">
        <v>438</v>
      </c>
      <c r="AA38" s="125" t="s">
        <v>439</v>
      </c>
      <c r="AD38" s="46">
        <v>26.562000000000001</v>
      </c>
      <c r="AE38" s="46">
        <f>'Drag Polar'!N11</f>
        <v>1774.0844411413407</v>
      </c>
      <c r="AF38" s="92">
        <f>2*PI()*7.3/(2+SQRT(7.3^2*(1+(TAN(30*PI()/180))^2)+4))</f>
        <v>4.3013993905075916</v>
      </c>
      <c r="AG38" s="46">
        <v>244.87</v>
      </c>
      <c r="AH38" s="92">
        <f>2*PI()*5/(2+SQRT(5^2*(1+(TAN(30*PI()/180))^2)+4))</f>
        <v>3.8736788629630881</v>
      </c>
      <c r="AI38" s="46">
        <f>(AL29+0.25*AD38)/AD38</f>
        <v>3.3789640172061159</v>
      </c>
      <c r="AJ38" s="46">
        <f>(48+33)/AD38</f>
        <v>3.0494691664784277</v>
      </c>
      <c r="AK38" s="46">
        <v>0.45</v>
      </c>
      <c r="AL38">
        <v>-0.05</v>
      </c>
    </row>
    <row r="39" spans="2:42" x14ac:dyDescent="0.25">
      <c r="K39" t="s">
        <v>440</v>
      </c>
      <c r="W39" s="124" t="s">
        <v>441</v>
      </c>
      <c r="X39" s="141">
        <v>32.590000000000003</v>
      </c>
      <c r="Y39" s="142">
        <v>86.62</v>
      </c>
      <c r="Z39" s="122">
        <v>105.53</v>
      </c>
      <c r="AA39" s="138">
        <f>(Z39-MAX(B22:B27))/(X39)*100</f>
        <v>-3.7100233847544075</v>
      </c>
    </row>
    <row r="40" spans="2:42" x14ac:dyDescent="0.25">
      <c r="K40" s="124" t="s">
        <v>242</v>
      </c>
      <c r="L40" t="s">
        <v>330</v>
      </c>
      <c r="M40" t="s">
        <v>204</v>
      </c>
      <c r="N40" t="s">
        <v>333</v>
      </c>
      <c r="O40" t="s">
        <v>332</v>
      </c>
      <c r="P40" t="s">
        <v>442</v>
      </c>
      <c r="Q40" t="s">
        <v>443</v>
      </c>
      <c r="R40" t="s">
        <v>355</v>
      </c>
      <c r="S40" t="s">
        <v>356</v>
      </c>
      <c r="T40" t="s">
        <v>357</v>
      </c>
      <c r="W40" s="127" t="s">
        <v>444</v>
      </c>
      <c r="X40" s="141">
        <v>32.590000000000003</v>
      </c>
      <c r="Y40" s="142">
        <v>86.62</v>
      </c>
      <c r="Z40" s="128">
        <v>108.18</v>
      </c>
      <c r="AA40" s="139">
        <f>(Z40-MAX(B23:B28))/(X40)*100</f>
        <v>4.4213052436592326</v>
      </c>
      <c r="AD40" t="s">
        <v>445</v>
      </c>
      <c r="AE40" t="s">
        <v>438</v>
      </c>
      <c r="AF40" t="s">
        <v>446</v>
      </c>
      <c r="AK40" t="s">
        <v>427</v>
      </c>
      <c r="AO40" t="s">
        <v>447</v>
      </c>
    </row>
    <row r="41" spans="2:42" x14ac:dyDescent="0.25">
      <c r="K41" s="124">
        <v>0.85599999999999998</v>
      </c>
      <c r="L41">
        <v>12.24</v>
      </c>
      <c r="M41">
        <v>175</v>
      </c>
      <c r="N41">
        <v>23.82</v>
      </c>
      <c r="O41">
        <v>4.76</v>
      </c>
      <c r="P41">
        <v>125.67</v>
      </c>
      <c r="Q41">
        <v>16.5</v>
      </c>
      <c r="R41" s="132">
        <f>P41+Q41</f>
        <v>142.17000000000002</v>
      </c>
      <c r="S41" s="132">
        <v>0</v>
      </c>
      <c r="T41" s="132">
        <v>8.52</v>
      </c>
      <c r="AD41" s="121">
        <f>(AI38+AH38/AF38*AG38/AE38*AJ38*(1-AK38))/(1+AH38/AF38*AG38/AE38*(1-AK38))+AL38</f>
        <v>3.3078793596629263</v>
      </c>
      <c r="AE41" s="122">
        <f>Z39</f>
        <v>105.53</v>
      </c>
      <c r="AF41" s="122">
        <f>(AE41-AI$29)/AD$38*100</f>
        <v>84.400488573793936</v>
      </c>
      <c r="AK41" t="s">
        <v>448</v>
      </c>
      <c r="AM41" t="s">
        <v>449</v>
      </c>
      <c r="AO41" s="35">
        <v>0</v>
      </c>
      <c r="AP41">
        <f>AP31</f>
        <v>0</v>
      </c>
    </row>
    <row r="42" spans="2:42" x14ac:dyDescent="0.25">
      <c r="AK42" s="35">
        <f>AE41</f>
        <v>105.53</v>
      </c>
      <c r="AL42">
        <f>AM32</f>
        <v>0</v>
      </c>
      <c r="AM42">
        <f>Z40</f>
        <v>108.18</v>
      </c>
      <c r="AO42" s="35">
        <v>0</v>
      </c>
      <c r="AP42" s="115">
        <f>AP32</f>
        <v>195149.28852554748</v>
      </c>
    </row>
    <row r="43" spans="2:42" x14ac:dyDescent="0.25">
      <c r="D43" t="s">
        <v>450</v>
      </c>
      <c r="V43" s="119" t="s">
        <v>451</v>
      </c>
      <c r="W43" s="120"/>
      <c r="X43" s="120"/>
      <c r="Y43" s="120" t="s">
        <v>452</v>
      </c>
      <c r="Z43" s="120"/>
      <c r="AA43" s="120"/>
      <c r="AB43" s="120"/>
      <c r="AC43" s="120"/>
      <c r="AD43" s="120"/>
      <c r="AE43" s="120"/>
      <c r="AF43" s="120"/>
      <c r="AG43" s="120"/>
      <c r="AH43" s="120"/>
      <c r="AI43" s="123"/>
      <c r="AK43" s="35">
        <f>AE41</f>
        <v>105.53</v>
      </c>
      <c r="AL43" s="115">
        <f>AM33</f>
        <v>195149.28852554748</v>
      </c>
      <c r="AM43">
        <f>Z40</f>
        <v>108.18</v>
      </c>
    </row>
    <row r="44" spans="2:42" x14ac:dyDescent="0.25">
      <c r="D44" t="s">
        <v>74</v>
      </c>
      <c r="H44" t="s">
        <v>453</v>
      </c>
      <c r="N44" t="s">
        <v>454</v>
      </c>
      <c r="V44" s="124" t="s">
        <v>455</v>
      </c>
      <c r="AI44" s="125"/>
    </row>
    <row r="45" spans="2:42" x14ac:dyDescent="0.25">
      <c r="D45" t="s">
        <v>456</v>
      </c>
      <c r="E45" t="s">
        <v>355</v>
      </c>
      <c r="F45" t="s">
        <v>356</v>
      </c>
      <c r="G45" t="s">
        <v>357</v>
      </c>
      <c r="H45" t="s">
        <v>457</v>
      </c>
      <c r="I45" t="s">
        <v>458</v>
      </c>
      <c r="J45" t="s">
        <v>459</v>
      </c>
      <c r="K45" t="s">
        <v>355</v>
      </c>
      <c r="L45" t="s">
        <v>356</v>
      </c>
      <c r="M45" t="s">
        <v>357</v>
      </c>
      <c r="N45" t="s">
        <v>460</v>
      </c>
      <c r="O45" t="s">
        <v>461</v>
      </c>
      <c r="P45" t="s">
        <v>462</v>
      </c>
      <c r="Q45" t="s">
        <v>355</v>
      </c>
      <c r="R45" t="s">
        <v>356</v>
      </c>
      <c r="S45" t="s">
        <v>357</v>
      </c>
      <c r="T45" t="s">
        <v>463</v>
      </c>
      <c r="V45" s="124" t="s">
        <v>242</v>
      </c>
      <c r="W45" t="s">
        <v>330</v>
      </c>
      <c r="X45" t="s">
        <v>204</v>
      </c>
      <c r="Y45" t="s">
        <v>333</v>
      </c>
      <c r="Z45" t="s">
        <v>332</v>
      </c>
      <c r="AA45" t="s">
        <v>428</v>
      </c>
      <c r="AB45" t="s">
        <v>464</v>
      </c>
      <c r="AC45" t="s">
        <v>465</v>
      </c>
      <c r="AD45" t="s">
        <v>466</v>
      </c>
      <c r="AE45" t="s">
        <v>356</v>
      </c>
      <c r="AF45" t="s">
        <v>355</v>
      </c>
      <c r="AG45" t="s">
        <v>467</v>
      </c>
      <c r="AJ45" s="125"/>
    </row>
    <row r="46" spans="2:42" x14ac:dyDescent="0.25">
      <c r="D46">
        <f>50*200</f>
        <v>10000</v>
      </c>
      <c r="E46" s="147">
        <v>78.89</v>
      </c>
      <c r="F46" s="147">
        <v>0</v>
      </c>
      <c r="G46" s="147">
        <f>Y30</f>
        <v>1</v>
      </c>
      <c r="H46">
        <v>92.37</v>
      </c>
      <c r="I46">
        <v>32.71</v>
      </c>
      <c r="J46">
        <v>0.2</v>
      </c>
      <c r="K46" s="148">
        <f>I46+H46*J46</f>
        <v>51.183999999999997</v>
      </c>
      <c r="L46" s="148">
        <v>0</v>
      </c>
      <c r="M46" s="148">
        <v>-1</v>
      </c>
      <c r="N46">
        <v>0.20799999999999999</v>
      </c>
      <c r="O46">
        <v>35.200000000000003</v>
      </c>
      <c r="P46">
        <v>124.8</v>
      </c>
      <c r="Q46">
        <f>N46*O46+P46</f>
        <v>132.1216</v>
      </c>
      <c r="R46">
        <v>0</v>
      </c>
      <c r="S46">
        <f>G46</f>
        <v>1</v>
      </c>
      <c r="T46">
        <f>50*30</f>
        <v>1500</v>
      </c>
      <c r="V46" s="124">
        <v>0.25700000000000001</v>
      </c>
      <c r="W46">
        <v>12.52</v>
      </c>
      <c r="X46">
        <v>610.74</v>
      </c>
      <c r="Y46">
        <v>72.33</v>
      </c>
      <c r="Z46">
        <v>25.22</v>
      </c>
      <c r="AA46">
        <f>(Y46+Z46)/2</f>
        <v>48.774999999999999</v>
      </c>
      <c r="AB46">
        <f>53.09-0.38</f>
        <v>52.71</v>
      </c>
      <c r="AC46">
        <f>AB46+Y46</f>
        <v>125.03999999999999</v>
      </c>
      <c r="AD46">
        <v>5</v>
      </c>
      <c r="AE46">
        <f>W46*0.35+AD46</f>
        <v>9.3819999999999997</v>
      </c>
      <c r="AF46">
        <v>110.56</v>
      </c>
      <c r="AG46">
        <v>48.9</v>
      </c>
      <c r="AJ46" s="125"/>
    </row>
    <row r="47" spans="2:42" x14ac:dyDescent="0.25">
      <c r="M47" t="s">
        <v>468</v>
      </c>
      <c r="V47" s="124"/>
      <c r="AH47" t="s">
        <v>355</v>
      </c>
      <c r="AI47" t="s">
        <v>356</v>
      </c>
      <c r="AJ47" s="125" t="s">
        <v>405</v>
      </c>
    </row>
    <row r="48" spans="2:42" x14ac:dyDescent="0.25">
      <c r="M48" t="s">
        <v>469</v>
      </c>
      <c r="N48" t="s">
        <v>355</v>
      </c>
      <c r="O48" t="s">
        <v>356</v>
      </c>
      <c r="P48" t="s">
        <v>357</v>
      </c>
      <c r="V48" s="124"/>
      <c r="W48">
        <f>(W46+W51)*2</f>
        <v>58.86</v>
      </c>
      <c r="AG48" t="s">
        <v>470</v>
      </c>
      <c r="AH48" s="36">
        <f>(AF46*X46+AF51*X51)/(X46+X51)</f>
        <v>113.04590495037118</v>
      </c>
      <c r="AI48" s="36">
        <f>(AE46*X46+AE51*X51)/(X51+X46)</f>
        <v>12.210341480280967</v>
      </c>
      <c r="AJ48" s="126">
        <v>-1.25</v>
      </c>
    </row>
    <row r="49" spans="4:36" x14ac:dyDescent="0.25">
      <c r="M49">
        <f>D46+T46</f>
        <v>11500</v>
      </c>
      <c r="N49" s="13">
        <f>(E46*D46+Q46*T46)/(M49)</f>
        <v>85.833252173913039</v>
      </c>
      <c r="O49" s="13">
        <v>0</v>
      </c>
      <c r="P49" s="13">
        <f>G46</f>
        <v>1</v>
      </c>
      <c r="V49" s="124" t="s">
        <v>471</v>
      </c>
      <c r="AI49" t="s">
        <v>472</v>
      </c>
      <c r="AJ49" s="125"/>
    </row>
    <row r="50" spans="4:36" x14ac:dyDescent="0.25">
      <c r="V50" s="124" t="s">
        <v>242</v>
      </c>
      <c r="W50" t="s">
        <v>330</v>
      </c>
      <c r="X50" t="s">
        <v>204</v>
      </c>
      <c r="Y50" t="s">
        <v>333</v>
      </c>
      <c r="Z50" t="s">
        <v>332</v>
      </c>
      <c r="AA50" t="s">
        <v>428</v>
      </c>
      <c r="AB50" t="s">
        <v>464</v>
      </c>
      <c r="AC50" t="s">
        <v>465</v>
      </c>
      <c r="AD50" t="s">
        <v>466</v>
      </c>
      <c r="AE50" t="s">
        <v>356</v>
      </c>
      <c r="AF50" t="s">
        <v>355</v>
      </c>
      <c r="AG50" t="s">
        <v>467</v>
      </c>
      <c r="AJ50" s="125"/>
    </row>
    <row r="51" spans="4:36" x14ac:dyDescent="0.25">
      <c r="D51" t="s">
        <v>323</v>
      </c>
      <c r="V51" s="127">
        <v>1.0309999999999999</v>
      </c>
      <c r="W51" s="128">
        <v>16.91</v>
      </c>
      <c r="X51" s="128">
        <f>W51^2/V51</f>
        <v>277.35024248302619</v>
      </c>
      <c r="Y51" s="128">
        <v>25.22</v>
      </c>
      <c r="Z51" s="128">
        <v>7.58</v>
      </c>
      <c r="AA51" s="128">
        <f>(Y51+Z51)/2</f>
        <v>16.399999999999999</v>
      </c>
      <c r="AB51" s="128">
        <f>AB46+Y46-Z46</f>
        <v>99.82</v>
      </c>
      <c r="AC51" s="128">
        <f>AB51+Y51</f>
        <v>125.03999999999999</v>
      </c>
      <c r="AD51" s="128">
        <v>5</v>
      </c>
      <c r="AE51" s="128">
        <f>W51*0.35+W46</f>
        <v>18.438499999999998</v>
      </c>
      <c r="AF51" s="128">
        <v>118.52</v>
      </c>
      <c r="AG51" s="128">
        <v>22.33</v>
      </c>
      <c r="AH51" s="128"/>
      <c r="AI51" s="128"/>
      <c r="AJ51" s="129"/>
    </row>
    <row r="52" spans="4:36" x14ac:dyDescent="0.25">
      <c r="D52" t="s">
        <v>300</v>
      </c>
      <c r="P52" t="s">
        <v>305</v>
      </c>
    </row>
    <row r="53" spans="4:36" x14ac:dyDescent="0.25">
      <c r="D53" t="s">
        <v>473</v>
      </c>
      <c r="E53" t="s">
        <v>474</v>
      </c>
      <c r="F53" t="s">
        <v>475</v>
      </c>
      <c r="G53" t="s">
        <v>476</v>
      </c>
      <c r="H53" t="s">
        <v>477</v>
      </c>
      <c r="I53" t="s">
        <v>478</v>
      </c>
      <c r="J53" t="s">
        <v>479</v>
      </c>
      <c r="K53" t="s">
        <v>480</v>
      </c>
      <c r="L53" t="s">
        <v>481</v>
      </c>
      <c r="M53" t="s">
        <v>355</v>
      </c>
      <c r="N53" t="s">
        <v>356</v>
      </c>
      <c r="O53" t="s">
        <v>357</v>
      </c>
      <c r="P53" t="s">
        <v>482</v>
      </c>
      <c r="Q53" t="s">
        <v>483</v>
      </c>
      <c r="R53" t="s">
        <v>484</v>
      </c>
      <c r="S53" t="s">
        <v>485</v>
      </c>
      <c r="T53" t="s">
        <v>355</v>
      </c>
      <c r="U53" t="s">
        <v>356</v>
      </c>
      <c r="V53" t="s">
        <v>357</v>
      </c>
    </row>
    <row r="54" spans="4:36" x14ac:dyDescent="0.25">
      <c r="D54">
        <v>42.22</v>
      </c>
      <c r="E54">
        <v>18.25</v>
      </c>
      <c r="F54">
        <v>84.14</v>
      </c>
      <c r="G54" s="117">
        <f>F54-(D54^2+D54*E54+E54^2)/(3*(D54+E54))</f>
        <v>68.23070117413593</v>
      </c>
      <c r="H54">
        <f>229.73*0.6</f>
        <v>137.83799999999999</v>
      </c>
      <c r="I54">
        <v>89.41</v>
      </c>
      <c r="J54">
        <f>88.52*0.25</f>
        <v>22.13</v>
      </c>
      <c r="K54">
        <v>88.91</v>
      </c>
      <c r="L54">
        <f>68.52*0.25</f>
        <v>17.13</v>
      </c>
      <c r="M54">
        <f>(G54*H54+I54*J54+K54*L54)/(H54+J54+L54)</f>
        <v>72.877474553301269</v>
      </c>
      <c r="N54">
        <v>0</v>
      </c>
      <c r="O54">
        <v>-1.65</v>
      </c>
      <c r="P54">
        <v>75.05</v>
      </c>
      <c r="Q54">
        <v>26.63</v>
      </c>
      <c r="R54">
        <v>3.75</v>
      </c>
      <c r="S54">
        <f>R54*P54</f>
        <v>281.4375</v>
      </c>
      <c r="T54">
        <f>Q54+P54/2</f>
        <v>64.155000000000001</v>
      </c>
      <c r="U54">
        <v>0</v>
      </c>
      <c r="V54">
        <v>-3</v>
      </c>
    </row>
    <row r="55" spans="4:36" x14ac:dyDescent="0.25">
      <c r="K55" t="s">
        <v>486</v>
      </c>
    </row>
    <row r="56" spans="4:36" x14ac:dyDescent="0.25">
      <c r="K56" t="s">
        <v>355</v>
      </c>
      <c r="L56" t="s">
        <v>356</v>
      </c>
      <c r="M56" t="s">
        <v>357</v>
      </c>
    </row>
    <row r="57" spans="4:36" x14ac:dyDescent="0.25">
      <c r="K57">
        <f>(M54*(H54+J54+L54)+T54*S54)/(S54+H54+J54+L54)</f>
        <v>67.523840140928129</v>
      </c>
      <c r="L57">
        <v>0</v>
      </c>
      <c r="M57">
        <f>((H54+J54+L54)*O54+V54*S54)/(H54+J54+L54+S54)</f>
        <v>-2.4785958775274759</v>
      </c>
    </row>
    <row r="59" spans="4:36" x14ac:dyDescent="0.25">
      <c r="D59" t="s">
        <v>487</v>
      </c>
    </row>
    <row r="60" spans="4:36" x14ac:dyDescent="0.25">
      <c r="D60" t="s">
        <v>355</v>
      </c>
      <c r="E60" t="s">
        <v>356</v>
      </c>
      <c r="F60" t="s">
        <v>357</v>
      </c>
    </row>
    <row r="61" spans="4:36" x14ac:dyDescent="0.25">
      <c r="D61" s="140">
        <v>115</v>
      </c>
      <c r="E61" s="140">
        <v>0</v>
      </c>
      <c r="F61" s="140">
        <v>0.3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croll Bar 1">
              <controlPr defaultSize="0" autoPict="0">
                <anchor moveWithCells="1">
                  <from>
                    <xdr:col>9</xdr:col>
                    <xdr:colOff>123825</xdr:colOff>
                    <xdr:row>17</xdr:row>
                    <xdr:rowOff>66675</xdr:rowOff>
                  </from>
                  <to>
                    <xdr:col>12</xdr:col>
                    <xdr:colOff>419100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Scroll Bar 2">
              <controlPr defaultSize="0" autoPict="0">
                <anchor moveWithCells="1">
                  <from>
                    <xdr:col>9</xdr:col>
                    <xdr:colOff>123825</xdr:colOff>
                    <xdr:row>21</xdr:row>
                    <xdr:rowOff>28575</xdr:rowOff>
                  </from>
                  <to>
                    <xdr:col>12</xdr:col>
                    <xdr:colOff>419100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Scroll Bar 3">
              <controlPr defaultSize="0" autoPict="0">
                <anchor moveWithCells="1">
                  <from>
                    <xdr:col>9</xdr:col>
                    <xdr:colOff>142875</xdr:colOff>
                    <xdr:row>25</xdr:row>
                    <xdr:rowOff>28575</xdr:rowOff>
                  </from>
                  <to>
                    <xdr:col>12</xdr:col>
                    <xdr:colOff>419100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A928E-DBCA-421C-BA05-047785041B74}">
  <sheetPr codeName="Sheet10"/>
  <dimension ref="A1:L67"/>
  <sheetViews>
    <sheetView topLeftCell="A37" zoomScaleNormal="100" workbookViewId="0">
      <selection activeCell="T69" sqref="T69"/>
    </sheetView>
  </sheetViews>
  <sheetFormatPr defaultColWidth="8.85546875" defaultRowHeight="15" x14ac:dyDescent="0.25"/>
  <cols>
    <col min="1" max="1" width="12.140625" bestFit="1" customWidth="1"/>
    <col min="8" max="8" width="8.85546875" customWidth="1"/>
  </cols>
  <sheetData>
    <row r="1" spans="1:3" x14ac:dyDescent="0.25">
      <c r="B1" t="s">
        <v>488</v>
      </c>
      <c r="C1" t="s">
        <v>489</v>
      </c>
    </row>
    <row r="2" spans="1:3" x14ac:dyDescent="0.25">
      <c r="A2" t="s">
        <v>490</v>
      </c>
      <c r="B2">
        <v>3</v>
      </c>
      <c r="C2" t="s">
        <v>117</v>
      </c>
    </row>
    <row r="3" spans="1:3" x14ac:dyDescent="0.25">
      <c r="A3" t="s">
        <v>491</v>
      </c>
      <c r="B3">
        <v>-2</v>
      </c>
      <c r="C3" t="s">
        <v>117</v>
      </c>
    </row>
    <row r="4" spans="1:3" x14ac:dyDescent="0.25">
      <c r="A4" t="s">
        <v>492</v>
      </c>
      <c r="B4">
        <f>'[2]Class I Weight'!M16</f>
        <v>195149.28851366838</v>
      </c>
      <c r="C4" t="s">
        <v>493</v>
      </c>
    </row>
    <row r="5" spans="1:3" x14ac:dyDescent="0.25">
      <c r="A5" t="s">
        <v>204</v>
      </c>
      <c r="B5">
        <v>1776</v>
      </c>
      <c r="C5" t="s">
        <v>207</v>
      </c>
    </row>
    <row r="6" spans="1:3" x14ac:dyDescent="0.25">
      <c r="A6" t="s">
        <v>494</v>
      </c>
      <c r="B6">
        <f>'[2]Constraint Sizing'!G10</f>
        <v>1.542</v>
      </c>
    </row>
    <row r="7" spans="1:3" x14ac:dyDescent="0.25">
      <c r="A7" t="s">
        <v>495</v>
      </c>
      <c r="B7">
        <v>3.6400000000000001E-4</v>
      </c>
    </row>
    <row r="8" spans="1:3" x14ac:dyDescent="0.25">
      <c r="A8" t="s">
        <v>496</v>
      </c>
      <c r="B8">
        <v>2.3770000000000002E-3</v>
      </c>
      <c r="C8" t="s">
        <v>215</v>
      </c>
    </row>
    <row r="9" spans="1:3" x14ac:dyDescent="0.25">
      <c r="A9" t="s">
        <v>497</v>
      </c>
      <c r="B9">
        <f>Sizing!O11</f>
        <v>1147.1400000000001</v>
      </c>
      <c r="C9" t="s">
        <v>498</v>
      </c>
    </row>
    <row r="10" spans="1:3" x14ac:dyDescent="0.25">
      <c r="A10" t="s">
        <v>499</v>
      </c>
      <c r="B10">
        <f>SQRT(B7/B8)*B9</f>
        <v>448.90301732415003</v>
      </c>
      <c r="C10" t="s">
        <v>498</v>
      </c>
    </row>
    <row r="11" spans="1:3" x14ac:dyDescent="0.25">
      <c r="A11" t="s">
        <v>500</v>
      </c>
      <c r="B11">
        <v>1.5</v>
      </c>
    </row>
    <row r="13" spans="1:3" x14ac:dyDescent="0.25">
      <c r="A13" t="s">
        <v>499</v>
      </c>
      <c r="B13" t="s">
        <v>501</v>
      </c>
      <c r="C13" t="s">
        <v>502</v>
      </c>
    </row>
    <row r="14" spans="1:3" x14ac:dyDescent="0.25">
      <c r="A14">
        <v>0</v>
      </c>
      <c r="B14">
        <f>1/(2*$B$4)*$B$8*$A14^2*$B$5*$B$6</f>
        <v>0</v>
      </c>
      <c r="C14">
        <f>B14*-0.8</f>
        <v>0</v>
      </c>
    </row>
    <row r="15" spans="1:3" x14ac:dyDescent="0.25">
      <c r="A15">
        <f>A14+50</f>
        <v>50</v>
      </c>
      <c r="B15">
        <f t="shared" ref="B15:B33" si="0">1/(2*$B$4)*$B$8*$A15^2*$B$5*$B$6</f>
        <v>4.169649575448018E-2</v>
      </c>
      <c r="C15">
        <f t="shared" ref="C15:C33" si="1">B15*-0.8</f>
        <v>-3.3357196603584147E-2</v>
      </c>
    </row>
    <row r="16" spans="1:3" x14ac:dyDescent="0.25">
      <c r="A16">
        <f t="shared" ref="A16:A32" si="2">A15+50</f>
        <v>100</v>
      </c>
      <c r="B16">
        <f t="shared" si="0"/>
        <v>0.16678598301792072</v>
      </c>
      <c r="C16">
        <f t="shared" si="1"/>
        <v>-0.13342878641433659</v>
      </c>
    </row>
    <row r="17" spans="1:12" x14ac:dyDescent="0.25">
      <c r="A17">
        <f t="shared" si="2"/>
        <v>150</v>
      </c>
      <c r="B17">
        <f t="shared" si="0"/>
        <v>0.37526846179032158</v>
      </c>
      <c r="C17">
        <f t="shared" si="1"/>
        <v>-0.30021476943225728</v>
      </c>
    </row>
    <row r="18" spans="1:12" x14ac:dyDescent="0.25">
      <c r="A18">
        <f>A17+50</f>
        <v>200</v>
      </c>
      <c r="B18">
        <f t="shared" si="0"/>
        <v>0.66714393207168288</v>
      </c>
      <c r="C18">
        <f t="shared" si="1"/>
        <v>-0.53371514565734635</v>
      </c>
    </row>
    <row r="19" spans="1:12" x14ac:dyDescent="0.25">
      <c r="A19">
        <f>B36</f>
        <v>244.86134207374593</v>
      </c>
      <c r="B19">
        <f>1/(2*$B$4)*$B$8*$A19^2*$B$5*$B$6</f>
        <v>1</v>
      </c>
      <c r="C19">
        <f>B19*-0.8</f>
        <v>-0.8</v>
      </c>
    </row>
    <row r="20" spans="1:12" x14ac:dyDescent="0.25">
      <c r="A20">
        <f>A18+50</f>
        <v>250</v>
      </c>
      <c r="B20">
        <f>1/(2*$B$4)*$B$8*$A20^2*$B$5*$B$6</f>
        <v>1.0424123938620045</v>
      </c>
      <c r="C20">
        <f>B20*-0.8</f>
        <v>-0.83392991508960357</v>
      </c>
    </row>
    <row r="21" spans="1:12" x14ac:dyDescent="0.25">
      <c r="A21">
        <f>B35</f>
        <v>273.7633029693626</v>
      </c>
      <c r="B21">
        <f t="shared" si="0"/>
        <v>1.25</v>
      </c>
      <c r="C21">
        <f t="shared" si="1"/>
        <v>-1</v>
      </c>
    </row>
    <row r="22" spans="1:12" x14ac:dyDescent="0.25">
      <c r="A22">
        <f>A20+50</f>
        <v>300</v>
      </c>
      <c r="B22">
        <f t="shared" si="0"/>
        <v>1.5010738471612863</v>
      </c>
      <c r="C22">
        <f t="shared" si="1"/>
        <v>-1.2008590777290291</v>
      </c>
    </row>
    <row r="23" spans="1:12" x14ac:dyDescent="0.25">
      <c r="A23">
        <v>306</v>
      </c>
      <c r="B23">
        <f t="shared" si="0"/>
        <v>1.5617172305866025</v>
      </c>
      <c r="C23">
        <f t="shared" si="1"/>
        <v>-1.249373784469282</v>
      </c>
      <c r="E23" t="s">
        <v>503</v>
      </c>
      <c r="H23" t="s">
        <v>504</v>
      </c>
      <c r="K23" t="s">
        <v>505</v>
      </c>
    </row>
    <row r="24" spans="1:12" x14ac:dyDescent="0.25">
      <c r="A24">
        <v>335</v>
      </c>
      <c r="B24">
        <f t="shared" si="0"/>
        <v>1.8717556944186151</v>
      </c>
      <c r="C24">
        <f t="shared" si="1"/>
        <v>-1.4974045555348923</v>
      </c>
      <c r="E24">
        <f>B36</f>
        <v>244.86134207374593</v>
      </c>
      <c r="F24">
        <v>1</v>
      </c>
      <c r="H24">
        <f>B35</f>
        <v>273.7633029693626</v>
      </c>
      <c r="I24">
        <v>0</v>
      </c>
      <c r="K24">
        <f>E24</f>
        <v>244.86134207374593</v>
      </c>
      <c r="L24">
        <v>0</v>
      </c>
    </row>
    <row r="25" spans="1:12" x14ac:dyDescent="0.25">
      <c r="A25">
        <f>A22+50</f>
        <v>350</v>
      </c>
      <c r="B25">
        <f t="shared" si="0"/>
        <v>2.0431282919695288</v>
      </c>
      <c r="C25">
        <f t="shared" si="1"/>
        <v>-1.6345026335756232</v>
      </c>
      <c r="E25">
        <f>B36</f>
        <v>244.86134207374593</v>
      </c>
      <c r="F25">
        <v>0</v>
      </c>
      <c r="H25">
        <f>B35</f>
        <v>273.7633029693626</v>
      </c>
      <c r="I25">
        <v>-1</v>
      </c>
      <c r="K25">
        <f>H24</f>
        <v>273.7633029693626</v>
      </c>
      <c r="L25">
        <v>0</v>
      </c>
    </row>
    <row r="26" spans="1:12" x14ac:dyDescent="0.25">
      <c r="A26">
        <v>361.85</v>
      </c>
      <c r="B26">
        <f t="shared" si="0"/>
        <v>2.1838193153529275</v>
      </c>
      <c r="C26">
        <f t="shared" si="1"/>
        <v>-1.747055452282342</v>
      </c>
    </row>
    <row r="27" spans="1:12" x14ac:dyDescent="0.25">
      <c r="A27">
        <v>387.5</v>
      </c>
      <c r="B27">
        <f t="shared" si="0"/>
        <v>2.5043957762534657</v>
      </c>
      <c r="C27">
        <f t="shared" si="1"/>
        <v>-2.0035166210027726</v>
      </c>
    </row>
    <row r="28" spans="1:12" x14ac:dyDescent="0.25">
      <c r="A28">
        <f>A25+50</f>
        <v>400</v>
      </c>
      <c r="B28">
        <f t="shared" si="0"/>
        <v>2.6685757282867315</v>
      </c>
      <c r="C28">
        <f t="shared" si="1"/>
        <v>-2.1348605826293854</v>
      </c>
    </row>
    <row r="29" spans="1:12" x14ac:dyDescent="0.25">
      <c r="A29">
        <v>424.5</v>
      </c>
      <c r="B29">
        <f t="shared" si="0"/>
        <v>3.0054875836325068</v>
      </c>
      <c r="C29">
        <f t="shared" si="1"/>
        <v>-2.4043900669060054</v>
      </c>
    </row>
    <row r="30" spans="1:12" x14ac:dyDescent="0.25">
      <c r="A30">
        <f>A28+50</f>
        <v>450</v>
      </c>
      <c r="B30">
        <f>1/(2*$B$4)*$B$8*$A30^2*$B$5*$B$6</f>
        <v>3.3774161561128948</v>
      </c>
      <c r="C30">
        <f>B30*-0.8</f>
        <v>-2.7019329248903161</v>
      </c>
    </row>
    <row r="31" spans="1:12" x14ac:dyDescent="0.25">
      <c r="A31">
        <f>A30+50</f>
        <v>500</v>
      </c>
      <c r="B31">
        <f t="shared" si="0"/>
        <v>4.1696495754480178</v>
      </c>
      <c r="C31">
        <f t="shared" si="1"/>
        <v>-3.3357196603584143</v>
      </c>
    </row>
    <row r="32" spans="1:12" x14ac:dyDescent="0.25">
      <c r="A32">
        <f t="shared" si="2"/>
        <v>550</v>
      </c>
      <c r="B32">
        <f t="shared" si="0"/>
        <v>5.0452759862921015</v>
      </c>
      <c r="C32">
        <f t="shared" si="1"/>
        <v>-4.0362207890336812</v>
      </c>
    </row>
    <row r="33" spans="1:3" x14ac:dyDescent="0.25">
      <c r="A33">
        <f>A32+50</f>
        <v>600</v>
      </c>
      <c r="B33">
        <f t="shared" si="0"/>
        <v>6.0042953886451453</v>
      </c>
      <c r="C33">
        <f t="shared" si="1"/>
        <v>-4.8034363109161164</v>
      </c>
    </row>
    <row r="35" spans="1:3" x14ac:dyDescent="0.25">
      <c r="A35" t="s">
        <v>506</v>
      </c>
      <c r="B35">
        <f>SQRT(2*B4/(B8*B5*B6*0.8))</f>
        <v>273.7633029693626</v>
      </c>
      <c r="C35" t="s">
        <v>498</v>
      </c>
    </row>
    <row r="36" spans="1:3" x14ac:dyDescent="0.25">
      <c r="A36" t="s">
        <v>507</v>
      </c>
      <c r="B36">
        <f>SQRT(2*B4/(B5*B6*B8))</f>
        <v>244.86134207374593</v>
      </c>
      <c r="C36" t="s">
        <v>498</v>
      </c>
    </row>
    <row r="37" spans="1:3" x14ac:dyDescent="0.25">
      <c r="A37" t="s">
        <v>508</v>
      </c>
      <c r="B37">
        <f>SQRT(2*B4*B2/(B8*B5*B6))</f>
        <v>424.11228528123075</v>
      </c>
      <c r="C37" t="s">
        <v>498</v>
      </c>
    </row>
    <row r="39" spans="1:3" x14ac:dyDescent="0.25">
      <c r="A39" t="s">
        <v>509</v>
      </c>
    </row>
    <row r="40" spans="1:3" x14ac:dyDescent="0.25">
      <c r="A40">
        <f>B37</f>
        <v>424.11228528123075</v>
      </c>
      <c r="B40">
        <v>3</v>
      </c>
    </row>
    <row r="41" spans="1:3" x14ac:dyDescent="0.25">
      <c r="A41">
        <v>600</v>
      </c>
      <c r="B41">
        <v>3</v>
      </c>
    </row>
    <row r="42" spans="1:3" x14ac:dyDescent="0.25">
      <c r="A42">
        <f>A27</f>
        <v>387.5</v>
      </c>
      <c r="B42">
        <v>-2</v>
      </c>
    </row>
    <row r="43" spans="1:3" x14ac:dyDescent="0.25">
      <c r="A43">
        <v>600</v>
      </c>
      <c r="B43">
        <v>-2</v>
      </c>
    </row>
    <row r="45" spans="1:3" x14ac:dyDescent="0.25">
      <c r="A45" t="s">
        <v>510</v>
      </c>
      <c r="B45">
        <v>75</v>
      </c>
      <c r="C45" t="s">
        <v>498</v>
      </c>
    </row>
    <row r="46" spans="1:3" x14ac:dyDescent="0.25">
      <c r="A46" t="s">
        <v>242</v>
      </c>
      <c r="B46">
        <f>'Constraint Sizing'!B3</f>
        <v>1.95</v>
      </c>
    </row>
    <row r="47" spans="1:3" x14ac:dyDescent="0.25">
      <c r="A47" t="s">
        <v>188</v>
      </c>
      <c r="B47">
        <f>'Constraint Sizing'!D3</f>
        <v>0.85</v>
      </c>
    </row>
    <row r="48" spans="1:3" x14ac:dyDescent="0.25">
      <c r="A48" t="s">
        <v>196</v>
      </c>
      <c r="B48">
        <f>2*PI()/(1+2/(B46*B47))</f>
        <v>2.8474038678469347</v>
      </c>
    </row>
    <row r="50" spans="1:5" x14ac:dyDescent="0.25">
      <c r="A50" t="s">
        <v>499</v>
      </c>
      <c r="B50" t="s">
        <v>511</v>
      </c>
      <c r="C50" t="s">
        <v>512</v>
      </c>
      <c r="D50" t="s">
        <v>513</v>
      </c>
    </row>
    <row r="51" spans="1:5" x14ac:dyDescent="0.25">
      <c r="A51">
        <f>0</f>
        <v>0</v>
      </c>
      <c r="B51">
        <f t="shared" ref="B51:B66" si="3">1+1/(2*B$4)*B$8*A51*B$45*B$5*B$48</f>
        <v>1</v>
      </c>
      <c r="C51">
        <f>1+1/(2*B$4)*B$8*A51*-B$45*B$5*B$48</f>
        <v>1</v>
      </c>
      <c r="D51">
        <f>A40</f>
        <v>424.11228528123075</v>
      </c>
      <c r="E51">
        <v>3</v>
      </c>
    </row>
    <row r="52" spans="1:5" x14ac:dyDescent="0.25">
      <c r="A52">
        <f>A51+50</f>
        <v>50</v>
      </c>
      <c r="B52">
        <f t="shared" si="3"/>
        <v>1.1154929603958854</v>
      </c>
      <c r="C52">
        <f t="shared" ref="C52:C67" si="4">1+1/(2*B$4)*B$8*A52*-B$45*B$5*B$48</f>
        <v>0.88450703960411459</v>
      </c>
      <c r="D52">
        <f>A62</f>
        <v>476.5</v>
      </c>
      <c r="E52">
        <v>3</v>
      </c>
    </row>
    <row r="53" spans="1:5" x14ac:dyDescent="0.25">
      <c r="A53">
        <f t="shared" ref="A53:A58" si="5">A52+50</f>
        <v>100</v>
      </c>
      <c r="B53">
        <f t="shared" si="3"/>
        <v>1.2309859207917708</v>
      </c>
      <c r="C53">
        <f t="shared" si="4"/>
        <v>0.76901407920822928</v>
      </c>
      <c r="D53">
        <v>600</v>
      </c>
      <c r="E53">
        <v>3</v>
      </c>
    </row>
    <row r="54" spans="1:5" x14ac:dyDescent="0.25">
      <c r="A54">
        <f t="shared" si="5"/>
        <v>150</v>
      </c>
      <c r="B54">
        <f t="shared" si="3"/>
        <v>1.346478881187656</v>
      </c>
      <c r="C54">
        <f t="shared" si="4"/>
        <v>0.65352111881234387</v>
      </c>
    </row>
    <row r="55" spans="1:5" x14ac:dyDescent="0.25">
      <c r="A55">
        <f t="shared" si="5"/>
        <v>200</v>
      </c>
      <c r="B55">
        <f t="shared" si="3"/>
        <v>1.4619718415835414</v>
      </c>
      <c r="C55">
        <f t="shared" si="4"/>
        <v>0.53802815841645857</v>
      </c>
      <c r="D55" t="s">
        <v>514</v>
      </c>
    </row>
    <row r="56" spans="1:5" x14ac:dyDescent="0.25">
      <c r="A56">
        <f t="shared" si="5"/>
        <v>250</v>
      </c>
      <c r="B56">
        <f t="shared" si="3"/>
        <v>1.5774648019794268</v>
      </c>
      <c r="C56">
        <f t="shared" si="4"/>
        <v>0.42253519802057316</v>
      </c>
      <c r="D56">
        <f>A40</f>
        <v>424.11228528123075</v>
      </c>
      <c r="E56">
        <v>3</v>
      </c>
    </row>
    <row r="57" spans="1:5" x14ac:dyDescent="0.25">
      <c r="A57">
        <f t="shared" si="5"/>
        <v>300</v>
      </c>
      <c r="B57">
        <f t="shared" si="3"/>
        <v>1.6929577623753123</v>
      </c>
      <c r="C57">
        <f t="shared" si="4"/>
        <v>0.30704223762468774</v>
      </c>
      <c r="D57">
        <v>500</v>
      </c>
      <c r="E57">
        <v>3.0106630000000001</v>
      </c>
    </row>
    <row r="58" spans="1:5" x14ac:dyDescent="0.25">
      <c r="A58">
        <f t="shared" si="5"/>
        <v>350</v>
      </c>
      <c r="B58">
        <f t="shared" si="3"/>
        <v>1.8084507227711974</v>
      </c>
      <c r="C58">
        <f t="shared" si="4"/>
        <v>0.19154927722880255</v>
      </c>
      <c r="D58">
        <v>550</v>
      </c>
      <c r="E58">
        <v>3.2117290000000001</v>
      </c>
    </row>
    <row r="59" spans="1:5" x14ac:dyDescent="0.25">
      <c r="A59">
        <f>A58+50</f>
        <v>400</v>
      </c>
      <c r="B59">
        <f t="shared" si="3"/>
        <v>1.9239436831670829</v>
      </c>
      <c r="C59">
        <f t="shared" si="4"/>
        <v>7.6056316832917137E-2</v>
      </c>
    </row>
    <row r="60" spans="1:5" x14ac:dyDescent="0.25">
      <c r="A60">
        <f>A59+50</f>
        <v>450</v>
      </c>
      <c r="B60">
        <f t="shared" si="3"/>
        <v>2.0394366435629685</v>
      </c>
      <c r="C60">
        <f t="shared" si="4"/>
        <v>-3.9436643562968277E-2</v>
      </c>
      <c r="D60">
        <v>550</v>
      </c>
      <c r="E60">
        <v>3.2117290000000001</v>
      </c>
    </row>
    <row r="61" spans="1:5" x14ac:dyDescent="0.25">
      <c r="A61">
        <v>458</v>
      </c>
      <c r="B61">
        <f t="shared" si="3"/>
        <v>2.0579155172263097</v>
      </c>
      <c r="C61">
        <f t="shared" si="4"/>
        <v>-5.7915517226309721E-2</v>
      </c>
      <c r="D61">
        <v>600</v>
      </c>
      <c r="E61">
        <v>3</v>
      </c>
    </row>
    <row r="62" spans="1:5" x14ac:dyDescent="0.25">
      <c r="A62">
        <v>476.5</v>
      </c>
      <c r="B62">
        <f t="shared" si="3"/>
        <v>2.1006479125727875</v>
      </c>
      <c r="C62">
        <f t="shared" si="4"/>
        <v>-0.10064791257278749</v>
      </c>
    </row>
    <row r="63" spans="1:5" x14ac:dyDescent="0.25">
      <c r="A63">
        <f>A60+50</f>
        <v>500</v>
      </c>
      <c r="B63">
        <f t="shared" si="3"/>
        <v>2.1549296039588537</v>
      </c>
      <c r="C63">
        <f t="shared" si="4"/>
        <v>-0.15492960395885369</v>
      </c>
    </row>
    <row r="64" spans="1:5" x14ac:dyDescent="0.25">
      <c r="A64">
        <f>A63+50</f>
        <v>550</v>
      </c>
      <c r="B64">
        <f t="shared" si="3"/>
        <v>2.2704225643547389</v>
      </c>
      <c r="C64">
        <f t="shared" si="4"/>
        <v>-0.27042256435473888</v>
      </c>
    </row>
    <row r="65" spans="1:3" x14ac:dyDescent="0.25">
      <c r="A65">
        <f>A64+50</f>
        <v>600</v>
      </c>
      <c r="B65">
        <f t="shared" si="3"/>
        <v>2.3859155247506245</v>
      </c>
      <c r="C65">
        <f t="shared" si="4"/>
        <v>-0.38591552475062452</v>
      </c>
    </row>
    <row r="66" spans="1:3" x14ac:dyDescent="0.25">
      <c r="A66">
        <f>A65+50</f>
        <v>650</v>
      </c>
      <c r="B66">
        <f t="shared" si="3"/>
        <v>2.5014084851465097</v>
      </c>
      <c r="C66">
        <f t="shared" si="4"/>
        <v>-0.50140848514650971</v>
      </c>
    </row>
    <row r="67" spans="1:3" x14ac:dyDescent="0.25">
      <c r="A67">
        <v>600</v>
      </c>
      <c r="B67">
        <v>3</v>
      </c>
      <c r="C67">
        <f t="shared" si="4"/>
        <v>-0.38591552475062452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BB8F-3DF3-46FE-8495-8CDD273CA7DB}">
  <dimension ref="A1:Z12"/>
  <sheetViews>
    <sheetView tabSelected="1" workbookViewId="0">
      <selection activeCell="Y8" sqref="Y8"/>
    </sheetView>
  </sheetViews>
  <sheetFormatPr defaultRowHeight="15" x14ac:dyDescent="0.25"/>
  <sheetData>
    <row r="1" spans="1:26" x14ac:dyDescent="0.25">
      <c r="A1" t="s">
        <v>515</v>
      </c>
      <c r="F1" t="s">
        <v>516</v>
      </c>
    </row>
    <row r="2" spans="1:26" x14ac:dyDescent="0.25">
      <c r="C2" t="s">
        <v>517</v>
      </c>
      <c r="D2" t="s">
        <v>100</v>
      </c>
      <c r="F2">
        <v>32.585999999999999</v>
      </c>
      <c r="G2" t="s">
        <v>518</v>
      </c>
      <c r="H2" t="s">
        <v>519</v>
      </c>
    </row>
    <row r="3" spans="1:26" x14ac:dyDescent="0.25">
      <c r="C3">
        <v>1.4</v>
      </c>
      <c r="D3">
        <v>45000</v>
      </c>
      <c r="L3" t="s">
        <v>407</v>
      </c>
      <c r="M3" t="s">
        <v>109</v>
      </c>
      <c r="N3" t="s">
        <v>100</v>
      </c>
      <c r="R3" t="s">
        <v>75</v>
      </c>
      <c r="S3" t="s">
        <v>520</v>
      </c>
      <c r="Y3" t="s">
        <v>75</v>
      </c>
      <c r="Z3" t="s">
        <v>521</v>
      </c>
    </row>
    <row r="4" spans="1:26" x14ac:dyDescent="0.25">
      <c r="C4">
        <v>1.7</v>
      </c>
      <c r="D4">
        <v>50000</v>
      </c>
      <c r="L4">
        <v>323700</v>
      </c>
      <c r="M4">
        <v>1.4</v>
      </c>
      <c r="N4">
        <v>55000</v>
      </c>
      <c r="R4">
        <v>125822</v>
      </c>
      <c r="S4">
        <v>0.85</v>
      </c>
      <c r="Y4">
        <v>89626</v>
      </c>
      <c r="Z4">
        <v>1000</v>
      </c>
    </row>
    <row r="5" spans="1:26" x14ac:dyDescent="0.25">
      <c r="C5">
        <v>2</v>
      </c>
      <c r="D5">
        <v>55000</v>
      </c>
      <c r="L5">
        <v>174000</v>
      </c>
      <c r="M5">
        <v>1.7</v>
      </c>
      <c r="N5">
        <v>55000</v>
      </c>
      <c r="R5">
        <v>154178</v>
      </c>
      <c r="S5">
        <v>0.9</v>
      </c>
      <c r="Y5">
        <v>126612</v>
      </c>
      <c r="Z5">
        <v>2000</v>
      </c>
    </row>
    <row r="6" spans="1:26" x14ac:dyDescent="0.25">
      <c r="L6">
        <v>195000</v>
      </c>
      <c r="M6">
        <v>2</v>
      </c>
      <c r="N6">
        <v>55000</v>
      </c>
      <c r="R6">
        <v>195149</v>
      </c>
      <c r="S6">
        <v>0.95</v>
      </c>
      <c r="Y6">
        <v>195149</v>
      </c>
      <c r="Z6">
        <v>3000</v>
      </c>
    </row>
    <row r="7" spans="1:26" x14ac:dyDescent="0.25">
      <c r="L7">
        <v>320000</v>
      </c>
      <c r="M7">
        <v>1.4</v>
      </c>
      <c r="N7">
        <v>50000</v>
      </c>
      <c r="R7">
        <v>257325</v>
      </c>
      <c r="S7">
        <v>1</v>
      </c>
      <c r="Y7">
        <v>346000</v>
      </c>
      <c r="Z7">
        <v>4000</v>
      </c>
    </row>
    <row r="8" spans="1:26" x14ac:dyDescent="0.25">
      <c r="L8">
        <v>199000</v>
      </c>
      <c r="M8">
        <v>1.7</v>
      </c>
      <c r="N8">
        <v>50000</v>
      </c>
    </row>
    <row r="9" spans="1:26" x14ac:dyDescent="0.25">
      <c r="L9">
        <v>216000</v>
      </c>
      <c r="M9">
        <v>2</v>
      </c>
      <c r="N9">
        <v>50000</v>
      </c>
    </row>
    <row r="10" spans="1:26" x14ac:dyDescent="0.25">
      <c r="L10">
        <v>350500</v>
      </c>
      <c r="M10">
        <v>1.4</v>
      </c>
      <c r="N10">
        <v>45000</v>
      </c>
    </row>
    <row r="11" spans="1:26" x14ac:dyDescent="0.25">
      <c r="L11">
        <v>307700</v>
      </c>
      <c r="M11">
        <v>1.7</v>
      </c>
      <c r="N11">
        <v>45000</v>
      </c>
    </row>
    <row r="12" spans="1:26" x14ac:dyDescent="0.25">
      <c r="L12">
        <v>291000</v>
      </c>
      <c r="M12">
        <v>2</v>
      </c>
      <c r="N12">
        <v>45000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Cost Modeling</vt:lpstr>
      <vt:lpstr>Weight Regression</vt:lpstr>
      <vt:lpstr>Weight Sizing Trade Studies</vt:lpstr>
      <vt:lpstr>Sizing</vt:lpstr>
      <vt:lpstr>Drag Polar</vt:lpstr>
      <vt:lpstr>Constraint Sizing</vt:lpstr>
      <vt:lpstr>Constraint Sizing Trade Studies</vt:lpstr>
      <vt:lpstr>Class I Weight</vt:lpstr>
      <vt:lpstr>Class I W&amp;B</vt:lpstr>
      <vt:lpstr>V-n Diagram</vt:lpstr>
      <vt:lpstr>Sheet1</vt:lpstr>
      <vt:lpstr>QD</vt:lpstr>
      <vt:lpstr>S</vt:lpstr>
      <vt:lpstr>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Alec Liberman</dc:creator>
  <cp:keywords/>
  <dc:description/>
  <cp:lastModifiedBy>Charles Evans</cp:lastModifiedBy>
  <cp:revision/>
  <dcterms:created xsi:type="dcterms:W3CDTF">2015-06-05T18:17:20Z</dcterms:created>
  <dcterms:modified xsi:type="dcterms:W3CDTF">2022-04-28T23:21:02Z</dcterms:modified>
  <cp:category/>
  <cp:contentStatus/>
</cp:coreProperties>
</file>