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41EECCF1-8FE5-4713-8D19-14BBB640C2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Cl" sheetId="7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7" l="1"/>
  <c r="M40" i="7"/>
  <c r="L36" i="7"/>
  <c r="L47" i="7" s="1"/>
  <c r="L40" i="7"/>
  <c r="L46" i="7"/>
  <c r="N28" i="7"/>
  <c r="N26" i="7"/>
  <c r="M17" i="7"/>
  <c r="M21" i="7"/>
  <c r="L17" i="7"/>
  <c r="L21" i="7"/>
  <c r="L27" i="7" s="1"/>
  <c r="L26" i="7"/>
  <c r="I47" i="7"/>
  <c r="I45" i="7"/>
  <c r="J45" i="7" s="1"/>
  <c r="I28" i="7"/>
  <c r="J28" i="7" s="1"/>
  <c r="I26" i="7"/>
  <c r="G47" i="7"/>
  <c r="G46" i="7"/>
  <c r="E47" i="7"/>
  <c r="H47" i="7" s="1"/>
  <c r="G28" i="7"/>
  <c r="L28" i="7" s="1"/>
  <c r="E28" i="7"/>
  <c r="H28" i="7"/>
  <c r="M28" i="7" s="1"/>
  <c r="N45" i="7"/>
  <c r="B37" i="7"/>
  <c r="K45" i="7" s="1"/>
  <c r="J26" i="7"/>
  <c r="B18" i="7"/>
  <c r="K28" i="7"/>
  <c r="G45" i="7"/>
  <c r="E45" i="7"/>
  <c r="B38" i="7"/>
  <c r="H46" i="7"/>
  <c r="E26" i="7"/>
  <c r="H26" i="7" s="1"/>
  <c r="M26" i="7" s="1"/>
  <c r="G27" i="7"/>
  <c r="K27" i="7" s="1"/>
  <c r="G26" i="7"/>
  <c r="B19" i="7"/>
  <c r="H27" i="7" s="1"/>
  <c r="M27" i="7" s="1"/>
  <c r="K26" i="7"/>
  <c r="L45" i="7"/>
  <c r="H45" i="7"/>
  <c r="M45" i="7" l="1"/>
  <c r="M30" i="7"/>
  <c r="M31" i="7" s="1"/>
  <c r="M29" i="7"/>
  <c r="K47" i="7"/>
  <c r="M47" i="7" s="1"/>
  <c r="K46" i="7"/>
  <c r="M46" i="7" s="1"/>
</calcChain>
</file>

<file path=xl/sharedStrings.xml><?xml version="1.0" encoding="utf-8"?>
<sst xmlns="http://schemas.openxmlformats.org/spreadsheetml/2006/main" count="103" uniqueCount="49">
  <si>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</si>
  <si>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</si>
  <si>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</si>
  <si>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</si>
  <si>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</si>
  <si>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</si>
  <si>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</si>
  <si>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</si>
  <si>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</si>
  <si>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</si>
  <si>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</si>
  <si>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</si>
  <si>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</si>
  <si>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</si>
  <si>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</si>
  <si>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</si>
  <si>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</si>
  <si>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</si>
  <si>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NaClO</t>
    </r>
    <r>
      <rPr>
        <b/>
        <vertAlign val="subscript"/>
        <sz val="10"/>
        <rFont val="Times New Roman"/>
        <family val="1"/>
      </rPr>
      <t>4</t>
    </r>
  </si>
  <si>
    <t>(reported)</t>
  </si>
  <si>
    <t>De</t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</si>
  <si>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</si>
  <si>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</si>
  <si>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</si>
  <si>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</si>
  <si>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</si>
  <si>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t>Average: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</si>
  <si>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AcCl</t>
    </r>
    <r>
      <rPr>
        <vertAlign val="superscript"/>
        <sz val="10"/>
        <rFont val="Arial"/>
        <family val="2"/>
      </rPr>
      <t>2+</t>
    </r>
  </si>
  <si>
    <r>
      <t>logK = log[AcCl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log[Cl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</si>
  <si>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LiClO</t>
    </r>
    <r>
      <rPr>
        <b/>
        <vertAlign val="subscript"/>
        <sz val="10"/>
        <rFont val="Times New Roman"/>
        <family val="1"/>
      </rPr>
      <t>4</t>
    </r>
  </si>
  <si>
    <t>1968SHA</t>
  </si>
  <si>
    <t>1969SEK/SAK</t>
  </si>
  <si>
    <t>1982FUK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</si>
  <si>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+ 2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AcCl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+</t>
    </r>
  </si>
  <si>
    <r>
      <t>logK = log[AcCl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- 2 log[Cl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</si>
  <si>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NaClO</t>
    </r>
    <r>
      <rPr>
        <vertAlign val="subscript"/>
        <sz val="10"/>
        <rFont val="Arial"/>
        <family val="2"/>
      </rPr>
      <t>4</t>
    </r>
  </si>
  <si>
    <r>
      <t>LiClO</t>
    </r>
    <r>
      <rPr>
        <vertAlign val="subscript"/>
        <sz val="10"/>
        <rFont val="Arial"/>
        <family val="2"/>
      </rPr>
      <t>4</t>
    </r>
  </si>
  <si>
    <t>STDEV:</t>
  </si>
  <si>
    <t>Hummel W. &amp; Thoenen T. (2023): The PSI Chemical Thermodynamic Database 2020 (TDB 2020), Nagra Technical Report NTB 21-03</t>
  </si>
  <si>
    <t>Extrapolation of reported stability constants to I = 0 using SIT as described in NTB 21-03 Chapter 1.5 Medium effects</t>
  </si>
  <si>
    <t>References</t>
  </si>
  <si>
    <t>Chapter 2.3.4 Actinium(III) chloride complexes</t>
  </si>
  <si>
    <t>not used in TDB2020</t>
  </si>
  <si>
    <t>Shahani, C.J., Mathew, K.A., Rao, C.L. &amp; Ramaniah, M.V. (1968): Chemistry of actinium I. Stability constants of chloride, bromide, nitrate and sulphate complexes. Radiochim. Acta, 10, 165-167.</t>
  </si>
  <si>
    <t>Sekine, T. &amp; Sakairi, M. (1969): Studies of actinium(III) in various solutions. III. Actinium(III) complexes of oxalate, sulfate, chloride, and thiocyanate ions in perchlorate media. Bulletin of the Chemical Society of Japan, 42, 2712-2713.</t>
  </si>
  <si>
    <t>Fukusawa, T., Kawasuji, I., Mitsugashira, T., Satô, A &amp; Suzuki, S. (1982): Investigation on the complex formation of some lanthanoids(III) and actinoids(III) with chloride and bromide. Bulletin of the Chemical Society of Japan, 55, 726-729.</t>
  </si>
  <si>
    <t>doi:10.1524/ract.1968.10.34.165</t>
  </si>
  <si>
    <t>doi:10.1246/bcsj.42.2712</t>
  </si>
  <si>
    <t>doi:10.1246/bcsj.55.726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</si>
</sst>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165" fontId="2" fillId="0" borderId="0" xfId="0" applyNumberFormat="1" applyFont="1" applyAlignment="1">
      <alignment horizontal="right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246/bcsj.55.726" TargetMode="External"/><Relationship Id="rId2" Type="http://schemas.openxmlformats.org/officeDocument/2006/relationships/hyperlink" Target="https://doi.org/10.1246/bcsj.42.2712" TargetMode="External"/><Relationship Id="rId1" Type="http://schemas.openxmlformats.org/officeDocument/2006/relationships/hyperlink" Target="https://doi.org/10.1524/ract.1968.10.34.16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abSelected="1" workbookViewId="0">
      <selection activeCell="B11" sqref="B11"/>
    </sheetView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13" x14ac:dyDescent="0.25">
      <c r="A1" s="22" t="s">
        <v>38</v>
      </c>
    </row>
    <row r="3" spans="1:13" x14ac:dyDescent="0.25">
      <c r="A3" t="s">
        <v>41</v>
      </c>
    </row>
    <row r="6" spans="1:13" x14ac:dyDescent="0.25">
      <c r="A6" t="s">
        <v>39</v>
      </c>
    </row>
    <row r="8" spans="1:13" x14ac:dyDescent="0.25">
      <c r="A8" t="s">
        <v>40</v>
      </c>
    </row>
    <row r="9" spans="1:13" x14ac:dyDescent="0.25">
      <c r="A9" s="17" t="s">
        <v>30</v>
      </c>
      <c r="B9" s="29" t="s">
        <v>46</v>
      </c>
      <c r="C9" t="s">
        <v>43</v>
      </c>
    </row>
    <row r="10" spans="1:13" x14ac:dyDescent="0.25">
      <c r="A10" s="17" t="s">
        <v>31</v>
      </c>
      <c r="B10" s="29" t="s">
        <v>47</v>
      </c>
      <c r="C10" s="22" t="s">
        <v>44</v>
      </c>
    </row>
    <row r="11" spans="1:13" x14ac:dyDescent="0.25">
      <c r="A11" s="17" t="s">
        <v>32</v>
      </c>
      <c r="B11" s="29" t="s">
        <v>48</v>
      </c>
      <c r="C11" t="s">
        <v>45</v>
      </c>
    </row>
    <row r="15" spans="1:13" ht="16.8" x14ac:dyDescent="0.35">
      <c r="A15" s="15" t="s">
        <v>27</v>
      </c>
      <c r="B15" s="2"/>
      <c r="C15" s="2"/>
      <c r="L15" s="24" t="s">
        <v>36</v>
      </c>
    </row>
    <row r="16" spans="1:13" ht="15.6" x14ac:dyDescent="0.25">
      <c r="A16" s="15" t="s">
        <v>28</v>
      </c>
      <c r="B16" s="2"/>
      <c r="L16" s="14" t="s">
        <v>20</v>
      </c>
      <c r="M16" s="14" t="s">
        <v>11</v>
      </c>
    </row>
    <row r="17" spans="1:25" x14ac:dyDescent="0.25">
      <c r="C17" s="2"/>
      <c r="L17" s="26">
        <f>0.4-0.1-0.6</f>
        <v>-0.29999999999999993</v>
      </c>
      <c r="M17" s="26">
        <f>SQRT(0.1^2+0.01^2+0.1^2)</f>
        <v>0.14177446878757827</v>
      </c>
    </row>
    <row r="18" spans="1:25" ht="15.6" x14ac:dyDescent="0.25">
      <c r="A18" s="14" t="s">
        <v>17</v>
      </c>
      <c r="B18" s="16">
        <f>2^2-1^2-3^2</f>
        <v>-6</v>
      </c>
      <c r="R18" s="1"/>
      <c r="S18" s="1"/>
      <c r="T18" s="1"/>
      <c r="U18" s="1"/>
      <c r="V18" s="1"/>
    </row>
    <row r="19" spans="1:25" ht="15.6" x14ac:dyDescent="0.35">
      <c r="A19" s="14" t="s">
        <v>16</v>
      </c>
      <c r="B19" s="16">
        <f>1-1-1</f>
        <v>-1</v>
      </c>
      <c r="L19" s="24" t="s">
        <v>35</v>
      </c>
      <c r="R19" s="1"/>
      <c r="S19" s="1"/>
      <c r="T19" s="1"/>
      <c r="U19" s="1"/>
      <c r="V19" s="1"/>
    </row>
    <row r="20" spans="1:25" ht="13.8" x14ac:dyDescent="0.3">
      <c r="C20" s="3" t="s">
        <v>0</v>
      </c>
      <c r="D20" s="4"/>
      <c r="K20" s="24" t="s">
        <v>22</v>
      </c>
      <c r="L20" s="14" t="s">
        <v>20</v>
      </c>
      <c r="M20" s="14" t="s">
        <v>11</v>
      </c>
      <c r="R20" s="1"/>
      <c r="S20" s="1"/>
      <c r="T20" s="1"/>
      <c r="U20" s="1"/>
      <c r="V20" s="1"/>
    </row>
    <row r="21" spans="1:25" x14ac:dyDescent="0.25">
      <c r="C21" s="2" t="s">
        <v>1</v>
      </c>
      <c r="D21" s="2"/>
      <c r="K21">
        <v>0.50900000000000001</v>
      </c>
      <c r="L21" s="26">
        <f>0.4-0.03-0.6</f>
        <v>-0.22999999999999998</v>
      </c>
      <c r="M21" s="26">
        <f>SQRT(0.1^2+0.01^2+0.1^2)</f>
        <v>0.14177446878757827</v>
      </c>
      <c r="R21" s="1"/>
      <c r="S21" s="1"/>
      <c r="T21" s="1"/>
      <c r="U21" s="1"/>
      <c r="V21" s="1"/>
    </row>
    <row r="22" spans="1:25" ht="13.8" x14ac:dyDescent="0.3">
      <c r="C22" s="3" t="s">
        <v>2</v>
      </c>
      <c r="D22" s="4"/>
      <c r="R22" s="1"/>
      <c r="S22" s="1"/>
      <c r="T22" s="1"/>
      <c r="U22" s="1"/>
      <c r="V22" s="1"/>
    </row>
    <row r="23" spans="1:25" ht="15.6" x14ac:dyDescent="0.25">
      <c r="B23" t="s">
        <v>14</v>
      </c>
      <c r="C23" s="6" t="s">
        <v>4</v>
      </c>
      <c r="D23" s="6" t="s">
        <v>21</v>
      </c>
      <c r="E23" s="6" t="s">
        <v>5</v>
      </c>
      <c r="F23" s="6" t="s">
        <v>6</v>
      </c>
      <c r="G23" s="6" t="s">
        <v>7</v>
      </c>
      <c r="H23" s="6" t="s">
        <v>8</v>
      </c>
      <c r="I23" s="5" t="s">
        <v>9</v>
      </c>
      <c r="J23" s="7" t="s">
        <v>10</v>
      </c>
      <c r="K23" s="25" t="s">
        <v>25</v>
      </c>
      <c r="L23" s="24" t="s">
        <v>23</v>
      </c>
      <c r="M23" s="24" t="s">
        <v>24</v>
      </c>
      <c r="N23" s="14" t="s">
        <v>11</v>
      </c>
      <c r="R23" s="1"/>
      <c r="S23" s="1"/>
      <c r="T23" s="1"/>
      <c r="U23" s="1"/>
      <c r="V23" s="1"/>
    </row>
    <row r="24" spans="1:25" x14ac:dyDescent="0.25">
      <c r="A24" t="s">
        <v>3</v>
      </c>
      <c r="B24" t="s">
        <v>15</v>
      </c>
      <c r="C24" s="6" t="s">
        <v>12</v>
      </c>
      <c r="D24" s="6" t="s">
        <v>12</v>
      </c>
      <c r="G24" s="6" t="s">
        <v>13</v>
      </c>
      <c r="H24" s="6" t="s">
        <v>13</v>
      </c>
      <c r="R24" s="1"/>
      <c r="S24" s="1"/>
      <c r="T24" s="1"/>
      <c r="U24" s="1"/>
      <c r="V24" s="1"/>
    </row>
    <row r="25" spans="1:25" ht="13.8" x14ac:dyDescent="0.3">
      <c r="C25" s="3" t="s">
        <v>0</v>
      </c>
      <c r="D25" s="22" t="s">
        <v>19</v>
      </c>
      <c r="E25" s="3" t="s">
        <v>0</v>
      </c>
      <c r="R25" s="1"/>
      <c r="S25" s="1"/>
      <c r="T25" s="1"/>
      <c r="U25" s="1"/>
      <c r="V25" s="1"/>
    </row>
    <row r="26" spans="1:25" ht="14.4" x14ac:dyDescent="0.3">
      <c r="A26" s="17" t="s">
        <v>30</v>
      </c>
      <c r="B26" s="18" t="s">
        <v>18</v>
      </c>
      <c r="C26" s="23">
        <v>1</v>
      </c>
      <c r="D26" s="27">
        <v>0.8</v>
      </c>
      <c r="E26" s="19">
        <f>LOG(D26)</f>
        <v>-9.6910013008056392E-2</v>
      </c>
      <c r="F26" s="19">
        <v>1.0515000000000001</v>
      </c>
      <c r="G26" s="20">
        <f>C26*F26</f>
        <v>1.0515000000000001</v>
      </c>
      <c r="H26" s="21">
        <f>E26+$B$19*LOG(F26)</f>
        <v>-0.11871929003039633</v>
      </c>
      <c r="I26" s="1">
        <f>(LOG(0.8+0.09)-LOG(0.8-0.09))/2</f>
        <v>4.9065828962918737E-2</v>
      </c>
      <c r="J26" s="1">
        <f>2*I26</f>
        <v>9.8131657925837473E-2</v>
      </c>
      <c r="K26" s="21">
        <f>$B$18*($K$21*SQRT(G26)/(1+1.5*SQRT(G26)))</f>
        <v>-1.2338378216968922</v>
      </c>
      <c r="L26" s="21">
        <f>$L$21*G26</f>
        <v>-0.241845</v>
      </c>
      <c r="M26" s="21">
        <f>H26-K26+L26</f>
        <v>0.87327353166649579</v>
      </c>
      <c r="N26" s="1">
        <f>SQRT(0.14^2+0.1^2)</f>
        <v>0.17204650534085256</v>
      </c>
      <c r="R26" s="1"/>
      <c r="S26" s="1"/>
      <c r="T26" s="1"/>
      <c r="U26" s="1"/>
      <c r="V26" s="1"/>
    </row>
    <row r="27" spans="1:25" ht="14.4" x14ac:dyDescent="0.3">
      <c r="A27" s="17" t="s">
        <v>31</v>
      </c>
      <c r="B27" s="18" t="s">
        <v>18</v>
      </c>
      <c r="C27" s="23">
        <v>4</v>
      </c>
      <c r="E27" s="19">
        <v>-0.04</v>
      </c>
      <c r="F27" s="19">
        <v>1.2374000000000001</v>
      </c>
      <c r="G27" s="20">
        <f>C27*F27</f>
        <v>4.9496000000000002</v>
      </c>
      <c r="H27" s="21">
        <f>E27+$B$19*LOG(F27)</f>
        <v>-0.13251011168398208</v>
      </c>
      <c r="K27" s="21">
        <f>$B$18*($K$21*SQRT(G27)/(1+1.5*SQRT(G27)))</f>
        <v>-1.5665677925392458</v>
      </c>
      <c r="L27" s="21">
        <f>$L$21*G27</f>
        <v>-1.1384079999999999</v>
      </c>
      <c r="M27" s="21">
        <f>H27-K27+L27</f>
        <v>0.295649680855264</v>
      </c>
      <c r="O27" s="1"/>
      <c r="R27" s="1"/>
      <c r="S27" s="1"/>
      <c r="T27" s="1"/>
      <c r="U27" s="1"/>
      <c r="V27" s="1"/>
    </row>
    <row r="28" spans="1:25" ht="14.4" x14ac:dyDescent="0.3">
      <c r="A28" s="17" t="s">
        <v>32</v>
      </c>
      <c r="B28" s="18" t="s">
        <v>29</v>
      </c>
      <c r="C28" s="23">
        <v>3</v>
      </c>
      <c r="D28" s="27">
        <v>0.44</v>
      </c>
      <c r="E28" s="19">
        <f>LOG(D28)</f>
        <v>-0.35654732351381258</v>
      </c>
      <c r="F28" s="27">
        <v>1.1605000000000001</v>
      </c>
      <c r="G28" s="20">
        <f>C28*F28</f>
        <v>3.4815000000000005</v>
      </c>
      <c r="H28" s="21">
        <f>E28+$B$19*LOG(F28)</f>
        <v>-0.42119246830574913</v>
      </c>
      <c r="I28" s="1">
        <f>(LOG(0.44+0.02)-LOG(0.44-0.02))/2</f>
        <v>1.9754270641836824E-2</v>
      </c>
      <c r="J28" s="1">
        <f>2*I28</f>
        <v>3.9508541283673648E-2</v>
      </c>
      <c r="K28" s="21">
        <f>$B$18*($K$21*SQRT(G28)/(1+1.5*SQRT(G28)))</f>
        <v>-1.5000436343350585</v>
      </c>
      <c r="L28" s="21">
        <f>$L$17*G28</f>
        <v>-1.0444499999999999</v>
      </c>
      <c r="M28" s="21">
        <f>H28-K28+L28</f>
        <v>3.4401166029309538E-2</v>
      </c>
      <c r="N28" s="1">
        <f>SQRT((0.14*3)^2+0.04^2)</f>
        <v>0.42190046219457977</v>
      </c>
      <c r="R28" s="1"/>
      <c r="S28" s="1"/>
      <c r="T28" s="1"/>
      <c r="U28" s="1"/>
      <c r="V28" s="1"/>
    </row>
    <row r="29" spans="1:25" x14ac:dyDescent="0.25">
      <c r="J29" s="1"/>
      <c r="K29" s="1"/>
      <c r="L29" s="24" t="s">
        <v>26</v>
      </c>
      <c r="M29" s="21">
        <f>AVERAGE(M26:M27)</f>
        <v>0.58446160626087984</v>
      </c>
      <c r="N29" s="1"/>
      <c r="R29" s="1"/>
      <c r="S29" s="1"/>
      <c r="T29" s="1"/>
      <c r="U29" s="1"/>
      <c r="V29" s="1"/>
    </row>
    <row r="30" spans="1:25" x14ac:dyDescent="0.25">
      <c r="J30" s="1"/>
      <c r="K30" s="1"/>
      <c r="L30" s="28" t="s">
        <v>37</v>
      </c>
      <c r="M30" s="1">
        <f>STDEV(M26:M28)</f>
        <v>0.42926428249476883</v>
      </c>
      <c r="R30" s="1"/>
      <c r="S30" s="1"/>
      <c r="T30" s="1"/>
      <c r="U30" s="1"/>
      <c r="V30" s="1"/>
    </row>
    <row r="31" spans="1:25" x14ac:dyDescent="0.25">
      <c r="J31" s="1"/>
      <c r="K31" s="1"/>
      <c r="L31" s="14" t="s">
        <v>11</v>
      </c>
      <c r="M31" s="26">
        <f>M30/SQRT(3)*2</f>
        <v>0.49567169810369271</v>
      </c>
      <c r="N31" s="1"/>
      <c r="R31" s="1"/>
      <c r="S31" s="1"/>
      <c r="T31" s="1"/>
      <c r="U31" s="1"/>
      <c r="V31" s="1"/>
      <c r="W31" s="8"/>
      <c r="Y31" s="1"/>
    </row>
    <row r="32" spans="1:25" x14ac:dyDescent="0.25">
      <c r="J32" s="1"/>
      <c r="K32" s="1"/>
      <c r="N32" s="1"/>
      <c r="R32" s="1"/>
      <c r="S32" s="1"/>
      <c r="T32" s="1"/>
      <c r="U32" s="1"/>
      <c r="V32" s="1"/>
      <c r="W32" s="8"/>
      <c r="Y32" s="1"/>
    </row>
    <row r="33" spans="1:28" x14ac:dyDescent="0.25">
      <c r="J33" s="1"/>
      <c r="K33" s="1"/>
      <c r="N33" s="1"/>
      <c r="R33" s="1"/>
      <c r="S33" s="1"/>
      <c r="T33" s="1"/>
      <c r="U33" s="1"/>
      <c r="V33" s="1"/>
      <c r="W33" s="8"/>
      <c r="Y33" s="1"/>
    </row>
    <row r="34" spans="1:28" ht="16.8" x14ac:dyDescent="0.35">
      <c r="A34" s="15" t="s">
        <v>33</v>
      </c>
      <c r="B34" s="2"/>
      <c r="C34" s="2"/>
      <c r="L34" s="24" t="s">
        <v>36</v>
      </c>
      <c r="N34" s="1"/>
      <c r="R34" s="1"/>
      <c r="S34" s="1"/>
      <c r="T34" s="1"/>
      <c r="U34" s="1"/>
      <c r="V34" s="1"/>
      <c r="W34" s="8"/>
      <c r="Y34" s="1"/>
    </row>
    <row r="35" spans="1:28" ht="16.8" x14ac:dyDescent="0.35">
      <c r="A35" s="15" t="s">
        <v>34</v>
      </c>
      <c r="B35" s="2"/>
      <c r="L35" s="14" t="s">
        <v>20</v>
      </c>
      <c r="M35" s="14" t="s">
        <v>11</v>
      </c>
      <c r="N35" s="1"/>
      <c r="R35" s="1"/>
      <c r="S35" s="1"/>
      <c r="T35" s="1"/>
      <c r="U35" s="1"/>
      <c r="V35" s="1"/>
      <c r="W35" s="8"/>
      <c r="Y35" s="1"/>
    </row>
    <row r="36" spans="1:28" x14ac:dyDescent="0.25">
      <c r="C36" s="2"/>
      <c r="L36" s="26">
        <f>0.4-2*0.1-0.6</f>
        <v>-0.39999999999999997</v>
      </c>
      <c r="M36" s="26">
        <f>SQRT(0.1^2+0.1^2+2*0.01^2)</f>
        <v>0.14212670403551897</v>
      </c>
      <c r="N36" s="1"/>
      <c r="R36" s="1"/>
      <c r="S36" s="1"/>
      <c r="T36" s="1"/>
      <c r="U36" s="1"/>
      <c r="V36" s="1"/>
      <c r="W36" s="8"/>
      <c r="Y36" s="1"/>
    </row>
    <row r="37" spans="1:28" ht="15.6" x14ac:dyDescent="0.25">
      <c r="A37" s="14" t="s">
        <v>17</v>
      </c>
      <c r="B37" s="16">
        <f>1^2-2*1^2-3^2</f>
        <v>-10</v>
      </c>
      <c r="N37" s="1"/>
      <c r="R37" s="1"/>
      <c r="S37" s="1"/>
      <c r="T37" s="1"/>
      <c r="U37" s="1"/>
      <c r="V37" s="1"/>
      <c r="W37" s="8"/>
      <c r="Y37" s="1"/>
    </row>
    <row r="38" spans="1:28" ht="15.6" x14ac:dyDescent="0.35">
      <c r="A38" s="14" t="s">
        <v>16</v>
      </c>
      <c r="B38" s="16">
        <f>1-2-1</f>
        <v>-2</v>
      </c>
      <c r="L38" s="24" t="s">
        <v>35</v>
      </c>
      <c r="N38" s="1"/>
      <c r="R38" s="1"/>
      <c r="S38" s="1"/>
      <c r="T38" s="1"/>
      <c r="U38" s="1"/>
      <c r="V38" s="1"/>
      <c r="W38" s="8"/>
      <c r="Y38" s="1"/>
    </row>
    <row r="39" spans="1:28" ht="13.8" x14ac:dyDescent="0.3">
      <c r="C39" s="3" t="s">
        <v>0</v>
      </c>
      <c r="D39" s="4"/>
      <c r="K39" s="24" t="s">
        <v>22</v>
      </c>
      <c r="L39" s="14" t="s">
        <v>20</v>
      </c>
      <c r="M39" s="14" t="s">
        <v>11</v>
      </c>
      <c r="N39" s="1"/>
      <c r="R39" s="1"/>
      <c r="S39" s="1"/>
      <c r="T39" s="1"/>
      <c r="U39" s="1"/>
      <c r="V39" s="1"/>
      <c r="W39" s="8"/>
      <c r="Y39" s="1"/>
    </row>
    <row r="40" spans="1:28" x14ac:dyDescent="0.25">
      <c r="C40" s="2" t="s">
        <v>1</v>
      </c>
      <c r="D40" s="2"/>
      <c r="K40">
        <v>0.50900000000000001</v>
      </c>
      <c r="L40" s="26">
        <f>0.4-2*0.03-0.6</f>
        <v>-0.25999999999999995</v>
      </c>
      <c r="M40" s="26">
        <f>SQRT(0.1^2+0.1^2+2*0.01^2)</f>
        <v>0.14212670403551897</v>
      </c>
      <c r="N40" s="1"/>
      <c r="R40" s="1"/>
      <c r="S40" s="1"/>
      <c r="T40" s="1"/>
      <c r="U40" s="1"/>
      <c r="V40" s="1"/>
      <c r="W40" s="8"/>
      <c r="Y40" s="1"/>
    </row>
    <row r="41" spans="1:28" ht="13.8" x14ac:dyDescent="0.3">
      <c r="C41" s="3" t="s">
        <v>2</v>
      </c>
      <c r="D41" s="4"/>
      <c r="R41" s="1"/>
      <c r="S41" s="1"/>
      <c r="T41" s="1"/>
      <c r="U41" s="1"/>
      <c r="V41" s="1"/>
      <c r="W41" s="8"/>
      <c r="Y41" s="1"/>
    </row>
    <row r="42" spans="1:28" ht="15.6" x14ac:dyDescent="0.25">
      <c r="B42" t="s">
        <v>14</v>
      </c>
      <c r="C42" s="6" t="s">
        <v>4</v>
      </c>
      <c r="D42" s="6" t="s">
        <v>21</v>
      </c>
      <c r="E42" s="6" t="s">
        <v>5</v>
      </c>
      <c r="F42" s="6" t="s">
        <v>6</v>
      </c>
      <c r="G42" s="6" t="s">
        <v>7</v>
      </c>
      <c r="H42" s="6" t="s">
        <v>8</v>
      </c>
      <c r="I42" s="5" t="s">
        <v>9</v>
      </c>
      <c r="J42" s="7" t="s">
        <v>10</v>
      </c>
      <c r="K42" s="25" t="s">
        <v>25</v>
      </c>
      <c r="L42" s="24" t="s">
        <v>23</v>
      </c>
      <c r="M42" s="24" t="s">
        <v>24</v>
      </c>
      <c r="N42" s="14" t="s">
        <v>11</v>
      </c>
      <c r="R42" s="1"/>
      <c r="S42" s="1"/>
      <c r="T42" s="1"/>
      <c r="U42" s="1"/>
      <c r="V42" s="1"/>
      <c r="W42" s="8"/>
      <c r="Y42" s="1"/>
    </row>
    <row r="43" spans="1:28" x14ac:dyDescent="0.25">
      <c r="A43" t="s">
        <v>3</v>
      </c>
      <c r="B43" t="s">
        <v>15</v>
      </c>
      <c r="C43" s="6" t="s">
        <v>12</v>
      </c>
      <c r="D43" s="6" t="s">
        <v>12</v>
      </c>
      <c r="G43" s="6" t="s">
        <v>13</v>
      </c>
      <c r="H43" s="6" t="s">
        <v>13</v>
      </c>
      <c r="R43" s="1"/>
      <c r="S43" s="1"/>
      <c r="T43" s="1"/>
      <c r="U43" s="1"/>
      <c r="V43" s="1"/>
      <c r="W43" s="8"/>
      <c r="Y43" s="1"/>
    </row>
    <row r="44" spans="1:28" ht="13.8" x14ac:dyDescent="0.3">
      <c r="C44" s="3" t="s">
        <v>0</v>
      </c>
      <c r="D44" s="22" t="s">
        <v>19</v>
      </c>
      <c r="E44" s="3" t="s">
        <v>0</v>
      </c>
      <c r="R44" s="1"/>
      <c r="S44" s="1"/>
      <c r="T44" s="1"/>
      <c r="U44" s="1"/>
      <c r="V44" s="1"/>
      <c r="W44" s="8"/>
      <c r="Z44" s="1"/>
      <c r="AB44" s="1"/>
    </row>
    <row r="45" spans="1:28" ht="14.4" x14ac:dyDescent="0.3">
      <c r="A45" s="17" t="s">
        <v>30</v>
      </c>
      <c r="B45" s="18" t="s">
        <v>18</v>
      </c>
      <c r="C45" s="23">
        <v>1</v>
      </c>
      <c r="D45" s="27">
        <v>0.24</v>
      </c>
      <c r="E45" s="19">
        <f>LOG(D45)</f>
        <v>-0.61978875828839397</v>
      </c>
      <c r="F45" s="19">
        <v>1.0515000000000001</v>
      </c>
      <c r="G45" s="20">
        <f>C45*F45</f>
        <v>1.0515000000000001</v>
      </c>
      <c r="H45" s="21">
        <f>E45+$B$38*LOG(F45)</f>
        <v>-0.66340731233307382</v>
      </c>
      <c r="I45" s="1">
        <f>(LOG(0.24+0.08)-LOG(0.24-0.08))/2</f>
        <v>0.15051499783199065</v>
      </c>
      <c r="J45" s="1">
        <f>2*I45</f>
        <v>0.30102999566398131</v>
      </c>
      <c r="K45" s="21">
        <f>$B$37*($K$40*SQRT(G45)/(1+1.5*SQRT(G45)))</f>
        <v>-2.0563963694948204</v>
      </c>
      <c r="L45" s="21">
        <f>$L$40*G45</f>
        <v>-0.27338999999999997</v>
      </c>
      <c r="M45" s="21">
        <f>H45-K45+L45</f>
        <v>1.1195990571617465</v>
      </c>
      <c r="N45" s="1">
        <f>SQRT(0.14^2+0.05^2)</f>
        <v>0.14866068747318506</v>
      </c>
      <c r="P45" t="s">
        <v>42</v>
      </c>
      <c r="R45" s="1"/>
      <c r="S45" s="1"/>
      <c r="T45" s="1"/>
      <c r="U45" s="1"/>
      <c r="V45" s="1"/>
      <c r="W45" s="8"/>
      <c r="Z45" s="1"/>
      <c r="AB45" s="1"/>
    </row>
    <row r="46" spans="1:28" ht="14.4" x14ac:dyDescent="0.3">
      <c r="A46" s="17" t="s">
        <v>31</v>
      </c>
      <c r="B46" s="18" t="s">
        <v>18</v>
      </c>
      <c r="C46" s="23">
        <v>4</v>
      </c>
      <c r="E46" s="27">
        <v>-1.04</v>
      </c>
      <c r="F46" s="19">
        <v>1.2374000000000001</v>
      </c>
      <c r="G46" s="20">
        <f>C46*F46</f>
        <v>4.9496000000000002</v>
      </c>
      <c r="H46" s="21">
        <f>E46+$B$38*LOG(F46)</f>
        <v>-1.2250202233679641</v>
      </c>
      <c r="J46" s="1"/>
      <c r="K46" s="21">
        <f>$B$37*($K$40*SQRT(G46)/(1+1.5*SQRT(G46)))</f>
        <v>-2.6109463208987433</v>
      </c>
      <c r="L46" s="21">
        <f>$L$40*G46</f>
        <v>-1.2868959999999998</v>
      </c>
      <c r="M46" s="21">
        <f>H46-K46+L46</f>
        <v>9.9030097530779404E-2</v>
      </c>
      <c r="P46" t="s">
        <v>42</v>
      </c>
      <c r="R46" s="1"/>
      <c r="S46" s="1"/>
      <c r="T46" s="1"/>
      <c r="U46" s="1"/>
      <c r="V46" s="1"/>
      <c r="W46" s="8"/>
      <c r="Z46" s="1"/>
      <c r="AB46" s="1"/>
    </row>
    <row r="47" spans="1:28" ht="14.4" x14ac:dyDescent="0.3">
      <c r="A47" s="17" t="s">
        <v>32</v>
      </c>
      <c r="B47" s="18" t="s">
        <v>29</v>
      </c>
      <c r="C47" s="23">
        <v>3</v>
      </c>
      <c r="D47" s="27">
        <v>0.31</v>
      </c>
      <c r="E47" s="19">
        <f>LOG(D47)</f>
        <v>-0.50863830616572736</v>
      </c>
      <c r="F47" s="27">
        <v>1.1605000000000001</v>
      </c>
      <c r="G47" s="20">
        <f>C47*F47</f>
        <v>3.4815000000000005</v>
      </c>
      <c r="H47" s="21">
        <f>E47+$B$38*LOG(F47)</f>
        <v>-0.63792859574960048</v>
      </c>
      <c r="I47" s="1">
        <f>(LOG(0.31+0.02)-LOG(0.31-0.02))/2</f>
        <v>2.8057970989465719E-2</v>
      </c>
      <c r="J47" s="1"/>
      <c r="K47" s="21">
        <f>$B$37*($K$40*SQRT(G47)/(1+1.5*SQRT(G47)))</f>
        <v>-2.5000727238917642</v>
      </c>
      <c r="L47" s="21">
        <f>$L$36*G47</f>
        <v>-1.3926000000000001</v>
      </c>
      <c r="M47" s="21">
        <f>H47-K47+L47</f>
        <v>0.46954412814216373</v>
      </c>
      <c r="P47" t="s">
        <v>42</v>
      </c>
      <c r="R47" s="1"/>
      <c r="S47" s="1"/>
      <c r="T47" s="1"/>
      <c r="U47" s="1"/>
      <c r="V47" s="1"/>
      <c r="W47" s="8"/>
      <c r="Z47" s="1"/>
      <c r="AB47" s="1"/>
    </row>
    <row r="48" spans="1:28" x14ac:dyDescent="0.25">
      <c r="A48" s="9"/>
      <c r="B48" s="9"/>
      <c r="C48" s="10"/>
      <c r="D48" s="11"/>
      <c r="E48" s="1"/>
      <c r="F48" s="12"/>
      <c r="G48" s="8"/>
      <c r="H48" s="13"/>
      <c r="I48" s="11"/>
      <c r="J48" s="1"/>
      <c r="K48" s="1"/>
      <c r="L48" s="1"/>
      <c r="R48" s="1"/>
      <c r="S48" s="1"/>
      <c r="T48" s="1"/>
      <c r="U48" s="1"/>
      <c r="V48" s="1"/>
      <c r="W48" s="8"/>
      <c r="Z48" s="1"/>
      <c r="AB48" s="1"/>
    </row>
    <row r="49" spans="15:29" x14ac:dyDescent="0.25">
      <c r="Q49" s="1"/>
      <c r="R49" s="1"/>
      <c r="S49" s="1"/>
      <c r="T49" s="1"/>
      <c r="U49" s="1"/>
      <c r="V49" s="1"/>
      <c r="W49" s="8"/>
      <c r="Z49" s="1"/>
      <c r="AB49" s="1"/>
    </row>
    <row r="50" spans="15:29" x14ac:dyDescent="0.25">
      <c r="R50" s="1"/>
      <c r="S50" s="1"/>
      <c r="T50" s="1"/>
      <c r="U50" s="1"/>
      <c r="V50" s="1"/>
      <c r="W50" s="8"/>
      <c r="Z50" s="1"/>
      <c r="AB50" s="1"/>
    </row>
    <row r="51" spans="15:29" x14ac:dyDescent="0.25">
      <c r="O51" s="1"/>
      <c r="R51" s="1"/>
      <c r="S51" s="1"/>
      <c r="T51" s="1"/>
      <c r="U51" s="1"/>
      <c r="V51" s="1"/>
      <c r="W51" s="8"/>
      <c r="AA51" s="1"/>
      <c r="AC51" s="1"/>
    </row>
    <row r="52" spans="15:29" x14ac:dyDescent="0.25">
      <c r="O52" s="1"/>
      <c r="R52" s="1"/>
      <c r="S52" s="1"/>
      <c r="T52" s="1"/>
      <c r="U52" s="1"/>
      <c r="V52" s="1"/>
      <c r="W52" s="8"/>
      <c r="AA52" s="1"/>
      <c r="AC52" s="1"/>
    </row>
    <row r="53" spans="15:29" x14ac:dyDescent="0.25">
      <c r="O53" s="1"/>
      <c r="R53" s="1"/>
      <c r="S53" s="1"/>
      <c r="T53" s="1"/>
      <c r="U53" s="1"/>
      <c r="V53" s="1"/>
      <c r="W53" s="8"/>
      <c r="AA53" s="1"/>
      <c r="AC53" s="1"/>
    </row>
    <row r="54" spans="15:29" x14ac:dyDescent="0.25">
      <c r="O54" s="1"/>
      <c r="R54" s="1"/>
      <c r="S54" s="1"/>
      <c r="T54" s="1"/>
      <c r="U54" s="1"/>
      <c r="V54" s="1"/>
      <c r="W54" s="8"/>
      <c r="AA54" s="1"/>
      <c r="AC54" s="1"/>
    </row>
  </sheetData>
  <phoneticPr fontId="7" type="noConversion"/>
  <hyperlinks>
    <hyperlink ref="B9" r:id="rId1" xr:uid="{EC9D6938-210D-46CD-BA7C-EA9A0620EFB3}"/>
    <hyperlink ref="B10" r:id="rId2" xr:uid="{2A8C059D-54A2-4669-A4AC-944CDC73123B}"/>
    <hyperlink ref="B11" r:id="rId3" xr:uid="{78EA3CFF-8681-4FB9-AE07-F612EFD846A1}"/>
  </hyperlinks>
  <pageMargins left="0.75" right="0.75" top="1" bottom="1" header="0.5" footer="0.5"/>
  <pageSetup paperSize="9" orientation="landscape" horizontalDpi="300" verticalDpi="300" r:id="rId4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AcCl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2023-11-14T14:18:06Z</dcterms:modified>
</cp:coreProperties>
</file>