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P:\Montse\Wolfgang\fets\"/>
    </mc:Choice>
  </mc:AlternateContent>
  <xr:revisionPtr revIDLastSave="0" documentId="8_{9799BB1D-C822-4DC1-A357-AD0C3A8799A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CalcAc(ox)" sheetId="7" r:id="rId1"/>
    <sheet name="Solubility Ac(ox)" sheetId="8" r:id="rId2"/>
  </sheets>
  <definedNames>
    <definedName name="_Regression_Out" hidden="1">#REF!</definedName>
    <definedName name="_Regression_X" hidden="1">#REF!</definedName>
    <definedName name="_Regression_Y" hidden="1">#REF!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8" l="1"/>
  <c r="I30" i="8"/>
  <c r="I29" i="8"/>
  <c r="I27" i="8"/>
  <c r="I26" i="8"/>
  <c r="I28" i="8"/>
  <c r="J13" i="8"/>
  <c r="I13" i="8"/>
  <c r="B28" i="8"/>
  <c r="B39" i="8"/>
  <c r="B38" i="8"/>
  <c r="B37" i="8"/>
  <c r="B36" i="8"/>
  <c r="B35" i="8"/>
  <c r="B34" i="8"/>
  <c r="B33" i="8"/>
  <c r="B32" i="8"/>
  <c r="B31" i="8"/>
  <c r="B30" i="8"/>
  <c r="B29" i="8"/>
  <c r="B27" i="8"/>
  <c r="B26" i="8"/>
  <c r="B25" i="8"/>
  <c r="B24" i="8"/>
  <c r="B23" i="8"/>
  <c r="B22" i="8"/>
  <c r="E18" i="8"/>
  <c r="D28" i="8"/>
  <c r="D35" i="8"/>
  <c r="E17" i="8"/>
  <c r="C37" i="8"/>
  <c r="M38" i="7"/>
  <c r="I44" i="7"/>
  <c r="J44" i="7"/>
  <c r="I26" i="7"/>
  <c r="J26" i="7"/>
  <c r="M20" i="7"/>
  <c r="B17" i="7"/>
  <c r="K26" i="7"/>
  <c r="L38" i="7"/>
  <c r="L43" i="7"/>
  <c r="L20" i="7"/>
  <c r="L26" i="7"/>
  <c r="L25" i="7"/>
  <c r="G44" i="7"/>
  <c r="K44" i="7"/>
  <c r="E44" i="7"/>
  <c r="H44" i="7"/>
  <c r="M44" i="7"/>
  <c r="G26" i="7"/>
  <c r="E26" i="7"/>
  <c r="H26" i="7"/>
  <c r="G43" i="7"/>
  <c r="K43" i="7"/>
  <c r="B36" i="7"/>
  <c r="H43" i="7"/>
  <c r="B35" i="7"/>
  <c r="H25" i="7"/>
  <c r="M25" i="7"/>
  <c r="G25" i="7"/>
  <c r="B18" i="7"/>
  <c r="L44" i="7"/>
  <c r="K25" i="7"/>
  <c r="C29" i="8"/>
  <c r="C36" i="8"/>
  <c r="D36" i="8"/>
  <c r="D37" i="8"/>
  <c r="D38" i="8"/>
  <c r="D27" i="8"/>
  <c r="D29" i="8"/>
  <c r="D30" i="8"/>
  <c r="C30" i="8"/>
  <c r="H30" i="8"/>
  <c r="F30" i="8"/>
  <c r="C39" i="8"/>
  <c r="D31" i="8"/>
  <c r="D39" i="8"/>
  <c r="C32" i="8"/>
  <c r="D23" i="8"/>
  <c r="D32" i="8"/>
  <c r="C33" i="8"/>
  <c r="D24" i="8"/>
  <c r="D33" i="8"/>
  <c r="C25" i="8"/>
  <c r="C34" i="8"/>
  <c r="D25" i="8"/>
  <c r="D34" i="8"/>
  <c r="D22" i="8"/>
  <c r="C26" i="8"/>
  <c r="D26" i="8"/>
  <c r="H34" i="8"/>
  <c r="F34" i="8"/>
  <c r="H25" i="8"/>
  <c r="F25" i="8"/>
  <c r="C35" i="8"/>
  <c r="H35" i="8"/>
  <c r="F35" i="8"/>
  <c r="H26" i="8"/>
  <c r="F26" i="8"/>
  <c r="H39" i="8"/>
  <c r="F39" i="8"/>
  <c r="H32" i="8"/>
  <c r="F32" i="8"/>
  <c r="H36" i="8"/>
  <c r="F36" i="8"/>
  <c r="H29" i="8"/>
  <c r="F29" i="8"/>
  <c r="H33" i="8"/>
  <c r="F33" i="8"/>
  <c r="M43" i="7"/>
  <c r="O43" i="7"/>
  <c r="M46" i="7"/>
  <c r="M47" i="7"/>
  <c r="M45" i="7"/>
  <c r="M26" i="7"/>
  <c r="M27" i="7"/>
  <c r="H31" i="8"/>
  <c r="F31" i="8"/>
  <c r="H37" i="8"/>
  <c r="F37" i="8"/>
  <c r="C22" i="8"/>
  <c r="H22" i="8"/>
  <c r="F22" i="8"/>
  <c r="C24" i="8"/>
  <c r="H24" i="8"/>
  <c r="F24" i="8"/>
  <c r="C23" i="8"/>
  <c r="H23" i="8"/>
  <c r="F23" i="8"/>
  <c r="C31" i="8"/>
  <c r="C27" i="8"/>
  <c r="H27" i="8"/>
  <c r="F27" i="8"/>
  <c r="C28" i="8"/>
  <c r="H28" i="8"/>
  <c r="F28" i="8"/>
  <c r="C38" i="8"/>
  <c r="H38" i="8"/>
  <c r="F38" i="8"/>
  <c r="O44" i="7"/>
  <c r="O46" i="7"/>
  <c r="O47" i="7"/>
  <c r="O45" i="7"/>
  <c r="M28" i="7"/>
  <c r="M29" i="7"/>
</calcChain>
</file>

<file path=xl/sharedStrings.xml><?xml version="1.0" encoding="utf-8"?>
<sst xmlns="http://schemas.openxmlformats.org/spreadsheetml/2006/main" count="111" uniqueCount="59">
  <si>
    <t>-------------------------------------------</t>
  </si>
  <si>
    <t xml:space="preserve">   Experimental</t>
  </si>
  <si>
    <t>------ Data -------------------------------</t>
  </si>
  <si>
    <t>Reference</t>
  </si>
  <si>
    <t>I</t>
  </si>
  <si>
    <t>log K</t>
  </si>
  <si>
    <t>rho</t>
  </si>
  <si>
    <t>Im</t>
  </si>
  <si>
    <t>log Km</t>
  </si>
  <si>
    <t>s</t>
  </si>
  <si>
    <t>± (95%)</t>
  </si>
  <si>
    <t>±</t>
  </si>
  <si>
    <t>(molar)</t>
  </si>
  <si>
    <t>(molal)</t>
  </si>
  <si>
    <t>Backgrnd</t>
  </si>
  <si>
    <t>Electrolyte</t>
  </si>
  <si>
    <r>
      <t>Sn</t>
    </r>
    <r>
      <rPr>
        <vertAlign val="subscript"/>
        <sz val="10"/>
        <rFont val="Arial"/>
        <family val="2"/>
      </rPr>
      <t>b</t>
    </r>
    <r>
      <rPr>
        <sz val="10"/>
        <rFont val="Arial"/>
      </rPr>
      <t xml:space="preserve"> =</t>
    </r>
  </si>
  <si>
    <r>
      <t>D</t>
    </r>
    <r>
      <rPr>
        <sz val="10"/>
        <rFont val="Arial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=</t>
    </r>
  </si>
  <si>
    <r>
      <t>NaClO</t>
    </r>
    <r>
      <rPr>
        <b/>
        <vertAlign val="subscript"/>
        <sz val="10"/>
        <rFont val="Times New Roman"/>
        <family val="1"/>
      </rPr>
      <t>4</t>
    </r>
  </si>
  <si>
    <t>(reported)</t>
  </si>
  <si>
    <t>De</t>
  </si>
  <si>
    <t>K</t>
  </si>
  <si>
    <t>A</t>
  </si>
  <si>
    <r>
      <rPr>
        <sz val="10"/>
        <rFont val="Symbol"/>
        <family val="1"/>
        <charset val="2"/>
      </rPr>
      <t>De</t>
    </r>
    <r>
      <rPr>
        <sz val="10"/>
        <rFont val="Arial"/>
      </rPr>
      <t xml:space="preserve"> Im</t>
    </r>
  </si>
  <si>
    <t>log K0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</si>
  <si>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D</t>
    </r>
  </si>
  <si>
    <t>Average:</t>
  </si>
  <si>
    <t>1969SEK</t>
  </si>
  <si>
    <t>1970AZI/LYL</t>
  </si>
  <si>
    <t>STDEV:</t>
  </si>
  <si>
    <r>
      <t xml:space="preserve">Reaction: </t>
    </r>
    <r>
      <rPr>
        <sz val="10"/>
        <rFont val="Arial"/>
      </rPr>
      <t>Ac</t>
    </r>
    <r>
      <rPr>
        <vertAlign val="superscript"/>
        <sz val="10"/>
        <rFont val="Arial"/>
        <family val="2"/>
      </rPr>
      <t>3+</t>
    </r>
    <r>
      <rPr>
        <sz val="10"/>
        <rFont val="Arial"/>
      </rPr>
      <t xml:space="preserve"> + ox</t>
    </r>
    <r>
      <rPr>
        <vertAlign val="superscript"/>
        <sz val="10"/>
        <rFont val="Arial"/>
        <family val="2"/>
      </rPr>
      <t>2-</t>
    </r>
    <r>
      <rPr>
        <sz val="10"/>
        <rFont val="Arial"/>
        <family val="2"/>
      </rPr>
      <t xml:space="preserve"> = Ac(ox)</t>
    </r>
    <r>
      <rPr>
        <vertAlign val="superscript"/>
        <sz val="10"/>
        <rFont val="Arial"/>
        <family val="2"/>
      </rPr>
      <t>+</t>
    </r>
  </si>
  <si>
    <r>
      <t>logK = log[Ac(ox)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] - log[Ac</t>
    </r>
    <r>
      <rPr>
        <vertAlign val="superscript"/>
        <sz val="10"/>
        <rFont val="Arial"/>
        <family val="2"/>
      </rPr>
      <t>3+</t>
    </r>
    <r>
      <rPr>
        <sz val="10"/>
        <rFont val="Arial"/>
        <family val="2"/>
      </rPr>
      <t>] - log[ox</t>
    </r>
    <r>
      <rPr>
        <vertAlign val="superscript"/>
        <sz val="10"/>
        <rFont val="Arial"/>
        <family val="2"/>
      </rPr>
      <t>2-</t>
    </r>
    <r>
      <rPr>
        <sz val="10"/>
        <rFont val="Arial"/>
        <family val="2"/>
      </rPr>
      <t>]</t>
    </r>
  </si>
  <si>
    <r>
      <t xml:space="preserve">Reaction: </t>
    </r>
    <r>
      <rPr>
        <sz val="10"/>
        <rFont val="Arial"/>
      </rPr>
      <t>Ac</t>
    </r>
    <r>
      <rPr>
        <vertAlign val="superscript"/>
        <sz val="10"/>
        <rFont val="Arial"/>
        <family val="2"/>
      </rPr>
      <t>3+</t>
    </r>
    <r>
      <rPr>
        <sz val="10"/>
        <rFont val="Arial"/>
      </rPr>
      <t xml:space="preserve"> + 2 ox</t>
    </r>
    <r>
      <rPr>
        <vertAlign val="superscript"/>
        <sz val="10"/>
        <rFont val="Arial"/>
        <family val="2"/>
      </rPr>
      <t>2-</t>
    </r>
    <r>
      <rPr>
        <sz val="10"/>
        <rFont val="Arial"/>
        <family val="2"/>
      </rPr>
      <t xml:space="preserve"> = Ac(ox)</t>
    </r>
    <r>
      <rPr>
        <vertAlign val="subscript"/>
        <sz val="10"/>
        <rFont val="Arial"/>
        <family val="2"/>
      </rPr>
      <t>2</t>
    </r>
    <r>
      <rPr>
        <vertAlign val="superscript"/>
        <sz val="10"/>
        <rFont val="Arial"/>
        <family val="2"/>
      </rPr>
      <t>-</t>
    </r>
  </si>
  <si>
    <r>
      <t>logK = log[Ac(ox)</t>
    </r>
    <r>
      <rPr>
        <vertAlign val="subscript"/>
        <sz val="10"/>
        <rFont val="Arial"/>
        <family val="2"/>
      </rPr>
      <t>2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] - log[Ac</t>
    </r>
    <r>
      <rPr>
        <vertAlign val="superscript"/>
        <sz val="10"/>
        <rFont val="Arial"/>
        <family val="2"/>
      </rPr>
      <t>3+</t>
    </r>
    <r>
      <rPr>
        <sz val="10"/>
        <rFont val="Arial"/>
        <family val="2"/>
      </rPr>
      <t>] - 2 log[ox</t>
    </r>
    <r>
      <rPr>
        <vertAlign val="superscript"/>
        <sz val="10"/>
        <rFont val="Arial"/>
        <family val="2"/>
      </rPr>
      <t>2-</t>
    </r>
    <r>
      <rPr>
        <sz val="10"/>
        <rFont val="Arial"/>
        <family val="2"/>
      </rPr>
      <t>]</t>
    </r>
  </si>
  <si>
    <t>logK</t>
  </si>
  <si>
    <t>log[Ac(total)]</t>
  </si>
  <si>
    <t>[Ac(total)]</t>
  </si>
  <si>
    <t>Kmax</t>
  </si>
  <si>
    <t>Kmin</t>
  </si>
  <si>
    <t>Hummel W. &amp; Thoenen T. (2023): The PSI Chemical Thermodynamic Database 2020 (TDB 2020), Nagra Technical Report NTB 21-03</t>
  </si>
  <si>
    <t>Extrapolation of reported stability constants to I = 0 using SIT as described in NTB 21-03 Chapter 1.5 Medium effects</t>
  </si>
  <si>
    <t>References</t>
  </si>
  <si>
    <t>Chapter 2.3.8.1 Actinium(III) oxalate complexes</t>
  </si>
  <si>
    <t>Sekine, T. &amp; Sakairi, M. (1969): Studies of actinium(III) in various solutions. III. Actinium(III) complexes of oxalate, sulfate, chloride, and thiocyanate ions in perchlorate media. Bulletin of the Chemical Society of Japan, 42, 2712-2713.</t>
  </si>
  <si>
    <t>Aziz, A. &amp; Lyle, S.J. (1970): Complexes of lanthanum and actinium with fluoride, oxalate and sulphate in aqueous solutions. J. Inorg. Nucl. Chem., 32, 1925-1932.</t>
  </si>
  <si>
    <t>Chapter 2.3.8.2 Actinium(III) oxalate compounds</t>
  </si>
  <si>
    <r>
      <t>Ac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(ox)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(s) = 2 Ac</t>
    </r>
    <r>
      <rPr>
        <vertAlign val="superscript"/>
        <sz val="10"/>
        <rFont val="Arial"/>
        <family val="2"/>
      </rPr>
      <t>3+</t>
    </r>
    <r>
      <rPr>
        <sz val="10"/>
        <rFont val="Arial"/>
        <family val="2"/>
      </rPr>
      <t xml:space="preserve"> + 3 ox</t>
    </r>
    <r>
      <rPr>
        <vertAlign val="superscript"/>
        <sz val="10"/>
        <rFont val="Arial"/>
        <family val="2"/>
      </rPr>
      <t>2-</t>
    </r>
  </si>
  <si>
    <r>
      <rPr>
        <sz val="10"/>
        <rFont val="Arial"/>
      </rPr>
      <t>Ac</t>
    </r>
    <r>
      <rPr>
        <vertAlign val="superscript"/>
        <sz val="10"/>
        <rFont val="Arial"/>
        <family val="2"/>
      </rPr>
      <t>3+</t>
    </r>
    <r>
      <rPr>
        <sz val="10"/>
        <rFont val="Arial"/>
      </rPr>
      <t xml:space="preserve"> + ox</t>
    </r>
    <r>
      <rPr>
        <vertAlign val="superscript"/>
        <sz val="10"/>
        <rFont val="Arial"/>
        <family val="2"/>
      </rPr>
      <t>2-</t>
    </r>
    <r>
      <rPr>
        <sz val="10"/>
        <rFont val="Arial"/>
        <family val="2"/>
      </rPr>
      <t xml:space="preserve"> = Ac(ox)</t>
    </r>
    <r>
      <rPr>
        <vertAlign val="superscript"/>
        <sz val="10"/>
        <rFont val="Arial"/>
        <family val="2"/>
      </rPr>
      <t>+</t>
    </r>
  </si>
  <si>
    <r>
      <rPr>
        <sz val="10"/>
        <rFont val="Arial"/>
      </rPr>
      <t>Ac</t>
    </r>
    <r>
      <rPr>
        <vertAlign val="superscript"/>
        <sz val="10"/>
        <rFont val="Arial"/>
        <family val="2"/>
      </rPr>
      <t>3+</t>
    </r>
    <r>
      <rPr>
        <sz val="10"/>
        <rFont val="Arial"/>
      </rPr>
      <t xml:space="preserve"> + 2 ox</t>
    </r>
    <r>
      <rPr>
        <vertAlign val="superscript"/>
        <sz val="10"/>
        <rFont val="Arial"/>
        <family val="2"/>
      </rPr>
      <t>2-</t>
    </r>
    <r>
      <rPr>
        <sz val="10"/>
        <rFont val="Arial"/>
        <family val="2"/>
      </rPr>
      <t xml:space="preserve"> = Ac(ox)</t>
    </r>
    <r>
      <rPr>
        <vertAlign val="subscript"/>
        <sz val="10"/>
        <rFont val="Arial"/>
        <family val="2"/>
      </rPr>
      <t>2</t>
    </r>
    <r>
      <rPr>
        <vertAlign val="superscript"/>
        <sz val="10"/>
        <rFont val="Arial"/>
        <family val="2"/>
      </rPr>
      <t>-</t>
    </r>
  </si>
  <si>
    <r>
      <t>Ac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(ox)</t>
    </r>
    <r>
      <rPr>
        <vertAlign val="subscript"/>
        <sz val="10"/>
        <rFont val="Arial"/>
        <family val="2"/>
      </rPr>
      <t>3</t>
    </r>
    <r>
      <rPr>
        <sz val="10"/>
        <rFont val="Arial"/>
      </rPr>
      <t>(s) + ox</t>
    </r>
    <r>
      <rPr>
        <vertAlign val="superscript"/>
        <sz val="10"/>
        <rFont val="Arial"/>
        <family val="2"/>
      </rPr>
      <t>2-</t>
    </r>
    <r>
      <rPr>
        <sz val="10"/>
        <rFont val="Arial"/>
      </rPr>
      <t xml:space="preserve"> = 2 Ac(ox)</t>
    </r>
    <r>
      <rPr>
        <vertAlign val="subscript"/>
        <sz val="10"/>
        <rFont val="Arial"/>
        <family val="2"/>
      </rPr>
      <t>2</t>
    </r>
    <r>
      <rPr>
        <vertAlign val="superscript"/>
        <sz val="10"/>
        <rFont val="Arial"/>
        <family val="2"/>
      </rPr>
      <t>-</t>
    </r>
  </si>
  <si>
    <r>
      <t>log[ox</t>
    </r>
    <r>
      <rPr>
        <vertAlign val="superscript"/>
        <sz val="10"/>
        <rFont val="Arial"/>
        <family val="2"/>
      </rPr>
      <t>2-</t>
    </r>
    <r>
      <rPr>
        <sz val="10"/>
        <rFont val="Arial"/>
        <family val="2"/>
      </rPr>
      <t>]</t>
    </r>
  </si>
  <si>
    <r>
      <t>log[Ac</t>
    </r>
    <r>
      <rPr>
        <vertAlign val="superscript"/>
        <sz val="10"/>
        <rFont val="Arial"/>
        <family val="2"/>
      </rPr>
      <t>3+</t>
    </r>
    <r>
      <rPr>
        <sz val="10"/>
        <rFont val="Arial"/>
        <family val="2"/>
      </rPr>
      <t>]</t>
    </r>
  </si>
  <si>
    <r>
      <t>log[Ac(ox)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]</t>
    </r>
  </si>
  <si>
    <r>
      <t>log[Ac(ox)2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]</t>
    </r>
  </si>
  <si>
    <r>
      <t>[ox</t>
    </r>
    <r>
      <rPr>
        <vertAlign val="superscript"/>
        <sz val="10"/>
        <rFont val="Arial"/>
        <family val="2"/>
      </rPr>
      <t>2-</t>
    </r>
    <r>
      <rPr>
        <sz val="10"/>
        <rFont val="Arial"/>
        <family val="2"/>
      </rPr>
      <t>]</t>
    </r>
  </si>
  <si>
    <r>
      <t>Ac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(ox)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</t>
    </r>
    <r>
      <rPr>
        <sz val="10"/>
        <rFont val="Arial"/>
      </rPr>
      <t>s) = 2 Ac(ox)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 xml:space="preserve"> + ox</t>
    </r>
    <r>
      <rPr>
        <vertAlign val="superscript"/>
        <sz val="10"/>
        <rFont val="Arial"/>
        <family val="2"/>
      </rPr>
      <t>2-</t>
    </r>
  </si>
  <si>
    <t>Ziv, D.M. &amp; Shestakova, I.A. (1965a): Investigation of the solubility of certain actinium compounds I. Determination of the solubility of actinium oxalate. Soviet Radiochemistry, 7, 168-175 (translated from: Radiokhimiya, 7 (1965) 166-175).</t>
  </si>
  <si>
    <t>1965ZIV/SHEa</t>
  </si>
  <si>
    <r>
      <t>Calculation of the Ac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(ox)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(s) solubility using solubility data from </t>
    </r>
    <r>
      <rPr>
        <b/>
        <sz val="10"/>
        <rFont val="Arial"/>
        <family val="2"/>
      </rPr>
      <t>1965ZIV/SHEa</t>
    </r>
    <r>
      <rPr>
        <sz val="10"/>
        <rFont val="Arial"/>
        <family val="2"/>
      </rPr>
      <t xml:space="preserve"> and complexation constants derived in this review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</si>
</sst>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3" x14ac:knownFonts="1">
    <font>
      <sz val="10"/>
      <name val="Arial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sz val="10"/>
      <name val="Courier New"/>
      <family val="3"/>
    </font>
    <font>
      <sz val="8"/>
      <name val="Times New Roman"/>
      <family val="1"/>
    </font>
    <font>
      <sz val="8"/>
      <name val="Arial"/>
    </font>
    <font>
      <b/>
      <sz val="10"/>
      <name val="Arial"/>
      <family val="2"/>
    </font>
    <font>
      <b/>
      <sz val="9"/>
      <name val="Times New Roman"/>
      <family val="1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5" fontId="0" fillId="0" borderId="0" xfId="0" applyNumberFormat="1"/>
    <xf numFmtId="0" fontId="0" fillId="0" borderId="0" xfId="0" applyAlignment="1">
      <alignment horizontal="left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2" fontId="7" fillId="0" borderId="0" xfId="0" applyNumberFormat="1" applyFont="1"/>
    <xf numFmtId="2" fontId="6" fillId="0" borderId="0" xfId="0" applyNumberFormat="1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9" fillId="0" borderId="0" xfId="0" applyFont="1"/>
    <xf numFmtId="0" fontId="10" fillId="0" borderId="0" xfId="0" applyFont="1" applyAlignment="1">
      <alignment horizontal="right"/>
    </xf>
    <xf numFmtId="166" fontId="8" fillId="0" borderId="0" xfId="0" applyNumberFormat="1" applyFont="1"/>
    <xf numFmtId="165" fontId="8" fillId="0" borderId="0" xfId="0" applyNumberFormat="1" applyFont="1" applyAlignment="1">
      <alignment horizontal="center"/>
    </xf>
    <xf numFmtId="165" fontId="8" fillId="0" borderId="0" xfId="0" applyNumberFormat="1" applyFont="1"/>
    <xf numFmtId="0" fontId="2" fillId="0" borderId="0" xfId="0" applyFont="1"/>
    <xf numFmtId="16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2" fontId="8" fillId="0" borderId="0" xfId="0" applyNumberFormat="1" applyFont="1"/>
    <xf numFmtId="0" fontId="8" fillId="0" borderId="0" xfId="0" applyFont="1"/>
    <xf numFmtId="165" fontId="0" fillId="0" borderId="0" xfId="0" applyNumberFormat="1" applyAlignment="1">
      <alignment horizontal="right"/>
    </xf>
    <xf numFmtId="11" fontId="8" fillId="0" borderId="0" xfId="0" applyNumberFormat="1" applyFont="1"/>
    <xf numFmtId="11" fontId="0" fillId="0" borderId="0" xfId="0" applyNumberFormat="1"/>
    <xf numFmtId="0" fontId="0" fillId="0" borderId="0" xfId="0" applyAlignment="1">
      <alignment horizontal="right"/>
    </xf>
    <xf numFmtId="11" fontId="2" fillId="0" borderId="0" xfId="0" applyNumberFormat="1" applyFont="1"/>
    <xf numFmtId="0" fontId="12" fillId="0" borderId="0" xfId="0" applyFont="1"/>
    <xf numFmtId="165" fontId="1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'Solubility Ac(ox)'!$A$22:$A$39</c:f>
              <c:numCache>
                <c:formatCode>General</c:formatCode>
                <c:ptCount val="18"/>
                <c:pt idx="0">
                  <c:v>-1</c:v>
                </c:pt>
                <c:pt idx="1">
                  <c:v>-1.5</c:v>
                </c:pt>
                <c:pt idx="2">
                  <c:v>-2</c:v>
                </c:pt>
                <c:pt idx="3">
                  <c:v>-2.5</c:v>
                </c:pt>
                <c:pt idx="4">
                  <c:v>-3</c:v>
                </c:pt>
                <c:pt idx="5">
                  <c:v>-3.5</c:v>
                </c:pt>
                <c:pt idx="6">
                  <c:v>-3.7</c:v>
                </c:pt>
                <c:pt idx="7">
                  <c:v>-4</c:v>
                </c:pt>
                <c:pt idx="8">
                  <c:v>-4.5</c:v>
                </c:pt>
                <c:pt idx="9">
                  <c:v>-5</c:v>
                </c:pt>
                <c:pt idx="10">
                  <c:v>-5.5</c:v>
                </c:pt>
                <c:pt idx="11">
                  <c:v>-6</c:v>
                </c:pt>
                <c:pt idx="12">
                  <c:v>-6.8</c:v>
                </c:pt>
                <c:pt idx="13">
                  <c:v>-7</c:v>
                </c:pt>
                <c:pt idx="14">
                  <c:v>-7.5</c:v>
                </c:pt>
                <c:pt idx="15">
                  <c:v>-8</c:v>
                </c:pt>
                <c:pt idx="16">
                  <c:v>-8.5</c:v>
                </c:pt>
                <c:pt idx="17">
                  <c:v>-9</c:v>
                </c:pt>
              </c:numCache>
            </c:numRef>
          </c:xVal>
          <c:yVal>
            <c:numRef>
              <c:f>'Solubility Ac(ox)'!$B$22:$B$39</c:f>
              <c:numCache>
                <c:formatCode>General</c:formatCode>
                <c:ptCount val="18"/>
                <c:pt idx="0">
                  <c:v>-11.35</c:v>
                </c:pt>
                <c:pt idx="1">
                  <c:v>-10.6</c:v>
                </c:pt>
                <c:pt idx="2">
                  <c:v>-9.85</c:v>
                </c:pt>
                <c:pt idx="3">
                  <c:v>-9.1</c:v>
                </c:pt>
                <c:pt idx="4">
                  <c:v>-8.35</c:v>
                </c:pt>
                <c:pt idx="5">
                  <c:v>-7.6</c:v>
                </c:pt>
                <c:pt idx="6">
                  <c:v>-7.2999999999999989</c:v>
                </c:pt>
                <c:pt idx="7">
                  <c:v>-6.85</c:v>
                </c:pt>
                <c:pt idx="8">
                  <c:v>-6.1</c:v>
                </c:pt>
                <c:pt idx="9">
                  <c:v>-5.35</c:v>
                </c:pt>
                <c:pt idx="10">
                  <c:v>-4.5999999999999996</c:v>
                </c:pt>
                <c:pt idx="11">
                  <c:v>-3.8499999999999996</c:v>
                </c:pt>
                <c:pt idx="12">
                  <c:v>-2.6500000000000004</c:v>
                </c:pt>
                <c:pt idx="13">
                  <c:v>-2.3499999999999996</c:v>
                </c:pt>
                <c:pt idx="14">
                  <c:v>-1.5999999999999996</c:v>
                </c:pt>
                <c:pt idx="15">
                  <c:v>-0.84999999999999964</c:v>
                </c:pt>
                <c:pt idx="16">
                  <c:v>-9.9999999999999645E-2</c:v>
                </c:pt>
                <c:pt idx="17">
                  <c:v>0.65000000000000036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4-42D2-8CC4-23FA634F204E}"/>
            </c:ext>
          </c:extLst>
        </c:ser>
        <c:ser>
          <c:idx val="1"/>
          <c:order val="1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'Solubility Ac(ox)'!$A$22:$A$39</c:f>
              <c:numCache>
                <c:formatCode>General</c:formatCode>
                <c:ptCount val="18"/>
                <c:pt idx="0">
                  <c:v>-1</c:v>
                </c:pt>
                <c:pt idx="1">
                  <c:v>-1.5</c:v>
                </c:pt>
                <c:pt idx="2">
                  <c:v>-2</c:v>
                </c:pt>
                <c:pt idx="3">
                  <c:v>-2.5</c:v>
                </c:pt>
                <c:pt idx="4">
                  <c:v>-3</c:v>
                </c:pt>
                <c:pt idx="5">
                  <c:v>-3.5</c:v>
                </c:pt>
                <c:pt idx="6">
                  <c:v>-3.7</c:v>
                </c:pt>
                <c:pt idx="7">
                  <c:v>-4</c:v>
                </c:pt>
                <c:pt idx="8">
                  <c:v>-4.5</c:v>
                </c:pt>
                <c:pt idx="9">
                  <c:v>-5</c:v>
                </c:pt>
                <c:pt idx="10">
                  <c:v>-5.5</c:v>
                </c:pt>
                <c:pt idx="11">
                  <c:v>-6</c:v>
                </c:pt>
                <c:pt idx="12">
                  <c:v>-6.8</c:v>
                </c:pt>
                <c:pt idx="13">
                  <c:v>-7</c:v>
                </c:pt>
                <c:pt idx="14">
                  <c:v>-7.5</c:v>
                </c:pt>
                <c:pt idx="15">
                  <c:v>-8</c:v>
                </c:pt>
                <c:pt idx="16">
                  <c:v>-8.5</c:v>
                </c:pt>
                <c:pt idx="17">
                  <c:v>-9</c:v>
                </c:pt>
              </c:numCache>
            </c:numRef>
          </c:xVal>
          <c:yVal>
            <c:numRef>
              <c:f>'Solubility Ac(ox)'!$C$22:$C$39</c:f>
              <c:numCache>
                <c:formatCode>0.00</c:formatCode>
                <c:ptCount val="18"/>
                <c:pt idx="0">
                  <c:v>-6.4499999999999993</c:v>
                </c:pt>
                <c:pt idx="1">
                  <c:v>-6.1999999999999993</c:v>
                </c:pt>
                <c:pt idx="2">
                  <c:v>-5.9499999999999993</c:v>
                </c:pt>
                <c:pt idx="3">
                  <c:v>-5.6999999999999993</c:v>
                </c:pt>
                <c:pt idx="4">
                  <c:v>-5.4499999999999993</c:v>
                </c:pt>
                <c:pt idx="5">
                  <c:v>-5.1999999999999993</c:v>
                </c:pt>
                <c:pt idx="6">
                  <c:v>-5.0999999999999996</c:v>
                </c:pt>
                <c:pt idx="7">
                  <c:v>-4.9499999999999993</c:v>
                </c:pt>
                <c:pt idx="8">
                  <c:v>-4.6999999999999993</c:v>
                </c:pt>
                <c:pt idx="9">
                  <c:v>-4.4499999999999993</c:v>
                </c:pt>
                <c:pt idx="10">
                  <c:v>-4.1999999999999993</c:v>
                </c:pt>
                <c:pt idx="11">
                  <c:v>-3.9499999999999993</c:v>
                </c:pt>
                <c:pt idx="12">
                  <c:v>-3.5499999999999994</c:v>
                </c:pt>
                <c:pt idx="13">
                  <c:v>-3.4499999999999993</c:v>
                </c:pt>
                <c:pt idx="14">
                  <c:v>-3.1999999999999993</c:v>
                </c:pt>
                <c:pt idx="15">
                  <c:v>-2.9499999999999993</c:v>
                </c:pt>
                <c:pt idx="16">
                  <c:v>-2.6999999999999993</c:v>
                </c:pt>
                <c:pt idx="17">
                  <c:v>-2.4499999999999993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4-42D2-8CC4-23FA634F204E}"/>
            </c:ext>
          </c:extLst>
        </c:ser>
        <c:ser>
          <c:idx val="2"/>
          <c:order val="2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'Solubility Ac(ox)'!$A$22:$A$39</c:f>
              <c:numCache>
                <c:formatCode>General</c:formatCode>
                <c:ptCount val="18"/>
                <c:pt idx="0">
                  <c:v>-1</c:v>
                </c:pt>
                <c:pt idx="1">
                  <c:v>-1.5</c:v>
                </c:pt>
                <c:pt idx="2">
                  <c:v>-2</c:v>
                </c:pt>
                <c:pt idx="3">
                  <c:v>-2.5</c:v>
                </c:pt>
                <c:pt idx="4">
                  <c:v>-3</c:v>
                </c:pt>
                <c:pt idx="5">
                  <c:v>-3.5</c:v>
                </c:pt>
                <c:pt idx="6">
                  <c:v>-3.7</c:v>
                </c:pt>
                <c:pt idx="7">
                  <c:v>-4</c:v>
                </c:pt>
                <c:pt idx="8">
                  <c:v>-4.5</c:v>
                </c:pt>
                <c:pt idx="9">
                  <c:v>-5</c:v>
                </c:pt>
                <c:pt idx="10">
                  <c:v>-5.5</c:v>
                </c:pt>
                <c:pt idx="11">
                  <c:v>-6</c:v>
                </c:pt>
                <c:pt idx="12">
                  <c:v>-6.8</c:v>
                </c:pt>
                <c:pt idx="13">
                  <c:v>-7</c:v>
                </c:pt>
                <c:pt idx="14">
                  <c:v>-7.5</c:v>
                </c:pt>
                <c:pt idx="15">
                  <c:v>-8</c:v>
                </c:pt>
                <c:pt idx="16">
                  <c:v>-8.5</c:v>
                </c:pt>
                <c:pt idx="17">
                  <c:v>-9</c:v>
                </c:pt>
              </c:numCache>
            </c:numRef>
          </c:xVal>
          <c:yVal>
            <c:numRef>
              <c:f>'Solubility Ac(ox)'!$D$22:$D$39</c:f>
              <c:numCache>
                <c:formatCode>0.00</c:formatCode>
                <c:ptCount val="18"/>
                <c:pt idx="0">
                  <c:v>-3.75</c:v>
                </c:pt>
                <c:pt idx="1">
                  <c:v>-4</c:v>
                </c:pt>
                <c:pt idx="2">
                  <c:v>-4.25</c:v>
                </c:pt>
                <c:pt idx="3">
                  <c:v>-4.5</c:v>
                </c:pt>
                <c:pt idx="4">
                  <c:v>-4.75</c:v>
                </c:pt>
                <c:pt idx="5">
                  <c:v>-5</c:v>
                </c:pt>
                <c:pt idx="6">
                  <c:v>-5.0999999999999996</c:v>
                </c:pt>
                <c:pt idx="7">
                  <c:v>-5.25</c:v>
                </c:pt>
                <c:pt idx="8">
                  <c:v>-5.5</c:v>
                </c:pt>
                <c:pt idx="9">
                  <c:v>-5.75</c:v>
                </c:pt>
                <c:pt idx="10">
                  <c:v>-6</c:v>
                </c:pt>
                <c:pt idx="11">
                  <c:v>-6.25</c:v>
                </c:pt>
                <c:pt idx="12">
                  <c:v>-6.65</c:v>
                </c:pt>
                <c:pt idx="13">
                  <c:v>-6.75</c:v>
                </c:pt>
                <c:pt idx="14">
                  <c:v>-7</c:v>
                </c:pt>
                <c:pt idx="15">
                  <c:v>-7.25</c:v>
                </c:pt>
                <c:pt idx="16">
                  <c:v>-7.5</c:v>
                </c:pt>
                <c:pt idx="17">
                  <c:v>-7.75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4-42D2-8CC4-23FA634F204E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'Solubility Ac(ox)'!$A$22:$A$39</c:f>
              <c:numCache>
                <c:formatCode>General</c:formatCode>
                <c:ptCount val="18"/>
                <c:pt idx="0">
                  <c:v>-1</c:v>
                </c:pt>
                <c:pt idx="1">
                  <c:v>-1.5</c:v>
                </c:pt>
                <c:pt idx="2">
                  <c:v>-2</c:v>
                </c:pt>
                <c:pt idx="3">
                  <c:v>-2.5</c:v>
                </c:pt>
                <c:pt idx="4">
                  <c:v>-3</c:v>
                </c:pt>
                <c:pt idx="5">
                  <c:v>-3.5</c:v>
                </c:pt>
                <c:pt idx="6">
                  <c:v>-3.7</c:v>
                </c:pt>
                <c:pt idx="7">
                  <c:v>-4</c:v>
                </c:pt>
                <c:pt idx="8">
                  <c:v>-4.5</c:v>
                </c:pt>
                <c:pt idx="9">
                  <c:v>-5</c:v>
                </c:pt>
                <c:pt idx="10">
                  <c:v>-5.5</c:v>
                </c:pt>
                <c:pt idx="11">
                  <c:v>-6</c:v>
                </c:pt>
                <c:pt idx="12">
                  <c:v>-6.8</c:v>
                </c:pt>
                <c:pt idx="13">
                  <c:v>-7</c:v>
                </c:pt>
                <c:pt idx="14">
                  <c:v>-7.5</c:v>
                </c:pt>
                <c:pt idx="15">
                  <c:v>-8</c:v>
                </c:pt>
                <c:pt idx="16">
                  <c:v>-8.5</c:v>
                </c:pt>
                <c:pt idx="17">
                  <c:v>-9</c:v>
                </c:pt>
              </c:numCache>
            </c:numRef>
          </c:xVal>
          <c:yVal>
            <c:numRef>
              <c:f>'Solubility Ac(ox)'!$E$22:$E$39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84-42D2-8CC4-23FA634F204E}"/>
            </c:ext>
          </c:extLst>
        </c:ser>
        <c:ser>
          <c:idx val="4"/>
          <c:order val="4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'Solubility Ac(ox)'!$A$22:$A$39</c:f>
              <c:numCache>
                <c:formatCode>General</c:formatCode>
                <c:ptCount val="18"/>
                <c:pt idx="0">
                  <c:v>-1</c:v>
                </c:pt>
                <c:pt idx="1">
                  <c:v>-1.5</c:v>
                </c:pt>
                <c:pt idx="2">
                  <c:v>-2</c:v>
                </c:pt>
                <c:pt idx="3">
                  <c:v>-2.5</c:v>
                </c:pt>
                <c:pt idx="4">
                  <c:v>-3</c:v>
                </c:pt>
                <c:pt idx="5">
                  <c:v>-3.5</c:v>
                </c:pt>
                <c:pt idx="6">
                  <c:v>-3.7</c:v>
                </c:pt>
                <c:pt idx="7">
                  <c:v>-4</c:v>
                </c:pt>
                <c:pt idx="8">
                  <c:v>-4.5</c:v>
                </c:pt>
                <c:pt idx="9">
                  <c:v>-5</c:v>
                </c:pt>
                <c:pt idx="10">
                  <c:v>-5.5</c:v>
                </c:pt>
                <c:pt idx="11">
                  <c:v>-6</c:v>
                </c:pt>
                <c:pt idx="12">
                  <c:v>-6.8</c:v>
                </c:pt>
                <c:pt idx="13">
                  <c:v>-7</c:v>
                </c:pt>
                <c:pt idx="14">
                  <c:v>-7.5</c:v>
                </c:pt>
                <c:pt idx="15">
                  <c:v>-8</c:v>
                </c:pt>
                <c:pt idx="16">
                  <c:v>-8.5</c:v>
                </c:pt>
                <c:pt idx="17">
                  <c:v>-9</c:v>
                </c:pt>
              </c:numCache>
            </c:numRef>
          </c:xVal>
          <c:yVal>
            <c:numRef>
              <c:f>'Solubility Ac(ox)'!$F$22:$F$39</c:f>
              <c:numCache>
                <c:formatCode>0.000</c:formatCode>
                <c:ptCount val="18"/>
                <c:pt idx="0">
                  <c:v>-3.7491343210299459</c:v>
                </c:pt>
                <c:pt idx="1">
                  <c:v>-3.9972682872592276</c:v>
                </c:pt>
                <c:pt idx="2">
                  <c:v>-4.2414189312133512</c:v>
                </c:pt>
                <c:pt idx="3">
                  <c:v>-4.4734173629994611</c:v>
                </c:pt>
                <c:pt idx="4">
                  <c:v>-4.670899315761508</c:v>
                </c:pt>
                <c:pt idx="5">
                  <c:v>-4.7868890417646783</c:v>
                </c:pt>
                <c:pt idx="6">
                  <c:v>-4.7976020545330584</c:v>
                </c:pt>
                <c:pt idx="7">
                  <c:v>-4.769938244588154</c:v>
                </c:pt>
                <c:pt idx="8">
                  <c:v>-4.6214344275263075</c:v>
                </c:pt>
                <c:pt idx="9">
                  <c:v>-4.3795885183065941</c:v>
                </c:pt>
                <c:pt idx="10">
                  <c:v>-4.0495640733873932</c:v>
                </c:pt>
                <c:pt idx="11">
                  <c:v>-3.5951356081963715</c:v>
                </c:pt>
                <c:pt idx="12">
                  <c:v>-2.5984644863366713</c:v>
                </c:pt>
                <c:pt idx="13">
                  <c:v>-2.3167883630297461</c:v>
                </c:pt>
                <c:pt idx="14">
                  <c:v>-1.5892240878991244</c:v>
                </c:pt>
                <c:pt idx="15">
                  <c:v>-0.84656373371509452</c:v>
                </c:pt>
                <c:pt idx="16">
                  <c:v>-9.8910452153784592E-2</c:v>
                </c:pt>
                <c:pt idx="17">
                  <c:v>0.65034483715861091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84-42D2-8CC4-23FA634F2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30416"/>
        <c:axId val="1"/>
      </c:scatterChart>
      <c:valAx>
        <c:axId val="422030416"/>
        <c:scaling>
          <c:orientation val="minMax"/>
          <c:max val="-1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log[ox</a:t>
                </a:r>
                <a:r>
                  <a:rPr lang="en-US" baseline="30000"/>
                  <a:t>2-</a:t>
                </a:r>
                <a:r>
                  <a:rPr lang="en-US"/>
                  <a:t>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-6"/>
        <c:crossBetween val="midCat"/>
      </c:valAx>
      <c:valAx>
        <c:axId val="1"/>
        <c:scaling>
          <c:orientation val="minMax"/>
          <c:max val="-1"/>
          <c:min val="-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log[Acl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030416"/>
        <c:crossesAt val="-8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15</xdr:row>
      <xdr:rowOff>63500</xdr:rowOff>
    </xdr:from>
    <xdr:to>
      <xdr:col>18</xdr:col>
      <xdr:colOff>533400</xdr:colOff>
      <xdr:row>38</xdr:row>
      <xdr:rowOff>152400</xdr:rowOff>
    </xdr:to>
    <xdr:graphicFrame macro="">
      <xdr:nvGraphicFramePr>
        <xdr:cNvPr id="1034" name="Chart 2">
          <a:extLst>
            <a:ext uri="{FF2B5EF4-FFF2-40B4-BE49-F238E27FC236}">
              <a16:creationId xmlns:a16="http://schemas.microsoft.com/office/drawing/2014/main" id="{0BF03F77-F5AA-1A74-373F-271F4030D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"/>
  <sheetViews>
    <sheetView workbookViewId="0"/>
  </sheetViews>
  <sheetFormatPr defaultColWidth="8.77734375" defaultRowHeight="13.2" x14ac:dyDescent="0.25"/>
  <cols>
    <col min="1" max="1" width="12.77734375" customWidth="1"/>
    <col min="2" max="3" width="8.77734375" customWidth="1"/>
    <col min="4" max="4" width="10.5546875" bestFit="1" customWidth="1"/>
    <col min="5" max="8" width="8.77734375" customWidth="1"/>
    <col min="9" max="9" width="9.21875" customWidth="1"/>
    <col min="10" max="22" width="8.77734375" customWidth="1"/>
    <col min="23" max="23" width="9.21875" customWidth="1"/>
  </cols>
  <sheetData>
    <row r="1" spans="1:3" x14ac:dyDescent="0.25">
      <c r="A1" s="22" t="s">
        <v>39</v>
      </c>
    </row>
    <row r="3" spans="1:3" x14ac:dyDescent="0.25">
      <c r="A3" t="s">
        <v>42</v>
      </c>
    </row>
    <row r="6" spans="1:3" x14ac:dyDescent="0.25">
      <c r="A6" t="s">
        <v>40</v>
      </c>
    </row>
    <row r="8" spans="1:3" x14ac:dyDescent="0.25">
      <c r="A8" t="s">
        <v>41</v>
      </c>
    </row>
    <row r="9" spans="1:3" x14ac:dyDescent="0.25">
      <c r="A9" s="17" t="s">
        <v>27</v>
      </c>
      <c r="B9" s="22" t="s">
        <v>43</v>
      </c>
    </row>
    <row r="10" spans="1:3" x14ac:dyDescent="0.25">
      <c r="A10" s="17" t="s">
        <v>28</v>
      </c>
      <c r="B10" t="s">
        <v>44</v>
      </c>
    </row>
    <row r="14" spans="1:3" ht="15.6" x14ac:dyDescent="0.25">
      <c r="A14" s="15" t="s">
        <v>30</v>
      </c>
      <c r="B14" s="2"/>
      <c r="C14" s="2"/>
    </row>
    <row r="15" spans="1:3" ht="15.6" x14ac:dyDescent="0.25">
      <c r="A15" s="15" t="s">
        <v>31</v>
      </c>
      <c r="B15" s="2"/>
    </row>
    <row r="16" spans="1:3" x14ac:dyDescent="0.25">
      <c r="C16" s="2"/>
    </row>
    <row r="17" spans="1:25" ht="15.6" x14ac:dyDescent="0.25">
      <c r="A17" s="14" t="s">
        <v>17</v>
      </c>
      <c r="B17" s="16">
        <f>1^2-2^2-3^2</f>
        <v>-12</v>
      </c>
      <c r="R17" s="1"/>
      <c r="S17" s="1"/>
      <c r="T17" s="1"/>
      <c r="U17" s="1"/>
      <c r="V17" s="1"/>
    </row>
    <row r="18" spans="1:25" ht="15.6" x14ac:dyDescent="0.35">
      <c r="A18" s="14" t="s">
        <v>16</v>
      </c>
      <c r="B18" s="16">
        <f>1-1-1</f>
        <v>-1</v>
      </c>
      <c r="R18" s="1"/>
      <c r="S18" s="1"/>
      <c r="T18" s="1"/>
      <c r="U18" s="1"/>
      <c r="V18" s="1"/>
    </row>
    <row r="19" spans="1:25" ht="13.8" x14ac:dyDescent="0.3">
      <c r="C19" s="3" t="s">
        <v>0</v>
      </c>
      <c r="D19" s="4"/>
      <c r="K19" s="24" t="s">
        <v>22</v>
      </c>
      <c r="L19" s="14" t="s">
        <v>20</v>
      </c>
      <c r="M19" s="14" t="s">
        <v>11</v>
      </c>
      <c r="R19" s="1"/>
      <c r="S19" s="1"/>
      <c r="T19" s="1"/>
      <c r="U19" s="1"/>
      <c r="V19" s="1"/>
    </row>
    <row r="20" spans="1:25" x14ac:dyDescent="0.25">
      <c r="C20" s="2" t="s">
        <v>1</v>
      </c>
      <c r="D20" s="2"/>
      <c r="K20">
        <v>0.50900000000000001</v>
      </c>
      <c r="L20" s="26">
        <f>0.08+0.08-0.6</f>
        <v>-0.43999999999999995</v>
      </c>
      <c r="M20" s="26">
        <f>SQRT(0.1^2+0.1^2+0.01^2)</f>
        <v>0.14177446878757827</v>
      </c>
      <c r="R20" s="1"/>
      <c r="S20" s="1"/>
      <c r="T20" s="1"/>
      <c r="U20" s="1"/>
      <c r="V20" s="1"/>
    </row>
    <row r="21" spans="1:25" ht="13.8" x14ac:dyDescent="0.3">
      <c r="C21" s="3" t="s">
        <v>2</v>
      </c>
      <c r="D21" s="4"/>
      <c r="R21" s="1"/>
      <c r="S21" s="1"/>
      <c r="T21" s="1"/>
      <c r="U21" s="1"/>
      <c r="V21" s="1"/>
    </row>
    <row r="22" spans="1:25" ht="15.6" x14ac:dyDescent="0.25">
      <c r="B22" t="s">
        <v>14</v>
      </c>
      <c r="C22" s="6" t="s">
        <v>4</v>
      </c>
      <c r="D22" s="6" t="s">
        <v>21</v>
      </c>
      <c r="E22" s="6" t="s">
        <v>5</v>
      </c>
      <c r="F22" s="6" t="s">
        <v>6</v>
      </c>
      <c r="G22" s="6" t="s">
        <v>7</v>
      </c>
      <c r="H22" s="6" t="s">
        <v>8</v>
      </c>
      <c r="I22" s="5" t="s">
        <v>9</v>
      </c>
      <c r="J22" s="7" t="s">
        <v>10</v>
      </c>
      <c r="K22" s="25" t="s">
        <v>25</v>
      </c>
      <c r="L22" s="24" t="s">
        <v>23</v>
      </c>
      <c r="M22" s="24" t="s">
        <v>24</v>
      </c>
      <c r="N22" s="14" t="s">
        <v>11</v>
      </c>
      <c r="R22" s="1"/>
      <c r="S22" s="1"/>
      <c r="T22" s="1"/>
      <c r="U22" s="1"/>
      <c r="V22" s="1"/>
    </row>
    <row r="23" spans="1:25" x14ac:dyDescent="0.25">
      <c r="A23" t="s">
        <v>3</v>
      </c>
      <c r="B23" t="s">
        <v>15</v>
      </c>
      <c r="C23" s="6" t="s">
        <v>12</v>
      </c>
      <c r="D23" s="6" t="s">
        <v>12</v>
      </c>
      <c r="G23" s="6" t="s">
        <v>13</v>
      </c>
      <c r="H23" s="6" t="s">
        <v>13</v>
      </c>
      <c r="R23" s="1"/>
      <c r="S23" s="1"/>
      <c r="T23" s="1"/>
      <c r="U23" s="1"/>
      <c r="V23" s="1"/>
    </row>
    <row r="24" spans="1:25" ht="13.8" x14ac:dyDescent="0.3">
      <c r="C24" s="3" t="s">
        <v>0</v>
      </c>
      <c r="D24" s="22" t="s">
        <v>19</v>
      </c>
      <c r="E24" s="3" t="s">
        <v>0</v>
      </c>
      <c r="R24" s="1"/>
      <c r="S24" s="1"/>
      <c r="T24" s="1"/>
      <c r="U24" s="1"/>
      <c r="V24" s="1"/>
    </row>
    <row r="25" spans="1:25" ht="14.4" x14ac:dyDescent="0.3">
      <c r="A25" s="17" t="s">
        <v>27</v>
      </c>
      <c r="B25" s="18" t="s">
        <v>18</v>
      </c>
      <c r="C25" s="23">
        <v>1</v>
      </c>
      <c r="E25" s="27">
        <v>3.56</v>
      </c>
      <c r="F25" s="19">
        <v>1.0515000000000001</v>
      </c>
      <c r="G25" s="20">
        <f>C25*F25</f>
        <v>1.0515000000000001</v>
      </c>
      <c r="H25" s="21">
        <f>E25+$B$18*LOG(F25)</f>
        <v>3.5381907229776601</v>
      </c>
      <c r="K25" s="21">
        <f>$B$17*($K$20*SQRT(G25)/(1+1.5*SQRT(G25)))</f>
        <v>-2.4676756433937843</v>
      </c>
      <c r="L25" s="21">
        <f>$L$20*G25</f>
        <v>-0.46266000000000002</v>
      </c>
      <c r="M25" s="21">
        <f>H25-K25+L25</f>
        <v>5.5432063663714448</v>
      </c>
      <c r="O25" s="1"/>
      <c r="R25" s="1"/>
      <c r="S25" s="1"/>
      <c r="T25" s="1"/>
      <c r="U25" s="1"/>
      <c r="V25" s="1"/>
    </row>
    <row r="26" spans="1:25" ht="14.4" x14ac:dyDescent="0.3">
      <c r="A26" s="17" t="s">
        <v>28</v>
      </c>
      <c r="B26" s="18" t="s">
        <v>18</v>
      </c>
      <c r="C26" s="23">
        <v>0.5</v>
      </c>
      <c r="D26" s="29">
        <v>29600</v>
      </c>
      <c r="E26" s="19">
        <f>LOG(D26)</f>
        <v>4.4712917110589387</v>
      </c>
      <c r="F26" s="19">
        <v>1.0265</v>
      </c>
      <c r="G26" s="20">
        <f>C26*F26</f>
        <v>0.51324999999999998</v>
      </c>
      <c r="H26" s="21">
        <f>E26+$B$18*LOG(F26)</f>
        <v>4.4599327573523277</v>
      </c>
      <c r="I26" s="1">
        <f>(LOG((2.96+0.09)*10^4)-LOG((2.96-0.09)*10^4))/2</f>
        <v>1.3208971306396755E-2</v>
      </c>
      <c r="J26" s="1">
        <f>2*I26</f>
        <v>2.641794261279351E-2</v>
      </c>
      <c r="K26" s="21">
        <f>$B$17*($K$20*SQRT(G26)/(1+1.5*SQRT(G26)))</f>
        <v>-2.1092328318895643</v>
      </c>
      <c r="L26" s="21">
        <f>$L$20*G26</f>
        <v>-0.22582999999999998</v>
      </c>
      <c r="M26" s="21">
        <f>H26-K26+L26</f>
        <v>6.3433355892418923</v>
      </c>
      <c r="R26" s="1"/>
      <c r="S26" s="1"/>
      <c r="T26" s="1"/>
      <c r="U26" s="1"/>
      <c r="V26" s="1"/>
    </row>
    <row r="27" spans="1:25" x14ac:dyDescent="0.25">
      <c r="J27" s="1"/>
      <c r="K27" s="1"/>
      <c r="L27" s="24" t="s">
        <v>26</v>
      </c>
      <c r="M27" s="21">
        <f>AVERAGE(M25:M26)</f>
        <v>5.9432709778066686</v>
      </c>
      <c r="N27" s="1"/>
      <c r="R27" s="1"/>
      <c r="S27" s="1"/>
      <c r="T27" s="1"/>
      <c r="U27" s="1"/>
      <c r="V27" s="1"/>
    </row>
    <row r="28" spans="1:25" x14ac:dyDescent="0.25">
      <c r="J28" s="1"/>
      <c r="K28" s="1"/>
      <c r="L28" s="28" t="s">
        <v>29</v>
      </c>
      <c r="M28" s="1">
        <f>STDEV(M25:M26)</f>
        <v>0.56577679931721581</v>
      </c>
      <c r="R28" s="1"/>
      <c r="S28" s="1"/>
      <c r="T28" s="1"/>
      <c r="U28" s="1"/>
      <c r="V28" s="1"/>
    </row>
    <row r="29" spans="1:25" x14ac:dyDescent="0.25">
      <c r="J29" s="1"/>
      <c r="K29" s="1"/>
      <c r="L29" s="14" t="s">
        <v>11</v>
      </c>
      <c r="M29" s="8">
        <f>M28/SQRT(3)*2</f>
        <v>0.65330277477407883</v>
      </c>
      <c r="N29" s="1"/>
      <c r="R29" s="1"/>
      <c r="S29" s="1"/>
      <c r="T29" s="1"/>
      <c r="U29" s="1"/>
      <c r="V29" s="1"/>
      <c r="W29" s="8"/>
      <c r="Y29" s="1"/>
    </row>
    <row r="30" spans="1:25" x14ac:dyDescent="0.25">
      <c r="J30" s="1"/>
      <c r="K30" s="1"/>
      <c r="N30" s="1"/>
      <c r="R30" s="1"/>
      <c r="S30" s="1"/>
      <c r="T30" s="1"/>
      <c r="U30" s="1"/>
      <c r="V30" s="1"/>
      <c r="W30" s="8"/>
      <c r="Y30" s="1"/>
    </row>
    <row r="31" spans="1:25" x14ac:dyDescent="0.25">
      <c r="J31" s="1"/>
      <c r="K31" s="1"/>
      <c r="N31" s="1"/>
      <c r="R31" s="1"/>
      <c r="S31" s="1"/>
      <c r="T31" s="1"/>
      <c r="U31" s="1"/>
      <c r="V31" s="1"/>
      <c r="W31" s="8"/>
      <c r="Y31" s="1"/>
    </row>
    <row r="32" spans="1:25" ht="16.8" x14ac:dyDescent="0.35">
      <c r="A32" s="15" t="s">
        <v>32</v>
      </c>
      <c r="B32" s="2"/>
      <c r="C32" s="2"/>
      <c r="N32" s="1"/>
      <c r="R32" s="1"/>
      <c r="S32" s="1"/>
      <c r="T32" s="1"/>
      <c r="U32" s="1"/>
      <c r="V32" s="1"/>
      <c r="W32" s="8"/>
      <c r="Y32" s="1"/>
    </row>
    <row r="33" spans="1:28" ht="16.8" x14ac:dyDescent="0.35">
      <c r="A33" s="15" t="s">
        <v>33</v>
      </c>
      <c r="B33" s="2"/>
      <c r="N33" s="1"/>
      <c r="R33" s="1"/>
      <c r="S33" s="1"/>
      <c r="T33" s="1"/>
      <c r="U33" s="1"/>
      <c r="V33" s="1"/>
      <c r="W33" s="8"/>
      <c r="Y33" s="1"/>
    </row>
    <row r="34" spans="1:28" x14ac:dyDescent="0.25">
      <c r="C34" s="2"/>
      <c r="N34" s="1"/>
      <c r="R34" s="1"/>
      <c r="S34" s="1"/>
      <c r="T34" s="1"/>
      <c r="U34" s="1"/>
      <c r="V34" s="1"/>
      <c r="W34" s="8"/>
      <c r="Y34" s="1"/>
    </row>
    <row r="35" spans="1:28" ht="15.6" x14ac:dyDescent="0.25">
      <c r="A35" s="14" t="s">
        <v>17</v>
      </c>
      <c r="B35" s="16">
        <f>1^2-2*2^2-3^2</f>
        <v>-16</v>
      </c>
      <c r="N35" s="1"/>
      <c r="R35" s="1"/>
      <c r="S35" s="1"/>
      <c r="T35" s="1"/>
      <c r="U35" s="1"/>
      <c r="V35" s="1"/>
      <c r="W35" s="8"/>
      <c r="Y35" s="1"/>
    </row>
    <row r="36" spans="1:28" ht="15.6" x14ac:dyDescent="0.35">
      <c r="A36" s="14" t="s">
        <v>16</v>
      </c>
      <c r="B36" s="16">
        <f>1-2-1</f>
        <v>-2</v>
      </c>
      <c r="N36" s="1"/>
      <c r="R36" s="1"/>
      <c r="S36" s="1"/>
      <c r="T36" s="1"/>
      <c r="U36" s="1"/>
      <c r="V36" s="1"/>
      <c r="W36" s="8"/>
      <c r="Y36" s="1"/>
    </row>
    <row r="37" spans="1:28" ht="13.8" x14ac:dyDescent="0.3">
      <c r="C37" s="3" t="s">
        <v>0</v>
      </c>
      <c r="D37" s="4"/>
      <c r="K37" s="24" t="s">
        <v>22</v>
      </c>
      <c r="L37" s="14" t="s">
        <v>20</v>
      </c>
      <c r="M37" s="14" t="s">
        <v>11</v>
      </c>
      <c r="N37" s="1"/>
      <c r="R37" s="1"/>
      <c r="S37" s="1"/>
      <c r="T37" s="1"/>
      <c r="U37" s="1"/>
      <c r="V37" s="1"/>
      <c r="W37" s="8"/>
      <c r="Y37" s="1"/>
    </row>
    <row r="38" spans="1:28" x14ac:dyDescent="0.25">
      <c r="C38" s="2" t="s">
        <v>1</v>
      </c>
      <c r="D38" s="2"/>
      <c r="K38">
        <v>0.50900000000000001</v>
      </c>
      <c r="L38" s="26">
        <f>-0.21+2*0.08-0.6</f>
        <v>-0.64999999999999991</v>
      </c>
      <c r="M38" s="26">
        <f>SQRT(0.08^2+0.1^2+2*0.01^2)</f>
        <v>0.12884098726725127</v>
      </c>
      <c r="N38" s="1"/>
      <c r="R38" s="1"/>
      <c r="S38" s="1"/>
      <c r="T38" s="1"/>
      <c r="U38" s="1"/>
      <c r="V38" s="1"/>
      <c r="W38" s="8"/>
      <c r="Y38" s="1"/>
    </row>
    <row r="39" spans="1:28" ht="13.8" x14ac:dyDescent="0.3">
      <c r="C39" s="3" t="s">
        <v>2</v>
      </c>
      <c r="D39" s="4"/>
      <c r="R39" s="1"/>
      <c r="S39" s="1"/>
      <c r="T39" s="1"/>
      <c r="U39" s="1"/>
      <c r="V39" s="1"/>
      <c r="W39" s="8"/>
      <c r="Y39" s="1"/>
    </row>
    <row r="40" spans="1:28" ht="15.6" x14ac:dyDescent="0.25">
      <c r="B40" t="s">
        <v>14</v>
      </c>
      <c r="C40" s="6" t="s">
        <v>4</v>
      </c>
      <c r="D40" s="6" t="s">
        <v>21</v>
      </c>
      <c r="E40" s="6" t="s">
        <v>5</v>
      </c>
      <c r="F40" s="6" t="s">
        <v>6</v>
      </c>
      <c r="G40" s="6" t="s">
        <v>7</v>
      </c>
      <c r="H40" s="6" t="s">
        <v>8</v>
      </c>
      <c r="I40" s="5" t="s">
        <v>9</v>
      </c>
      <c r="J40" s="7" t="s">
        <v>10</v>
      </c>
      <c r="K40" s="25" t="s">
        <v>25</v>
      </c>
      <c r="L40" s="24" t="s">
        <v>23</v>
      </c>
      <c r="M40" s="24" t="s">
        <v>24</v>
      </c>
      <c r="N40" s="1"/>
      <c r="R40" s="1"/>
      <c r="S40" s="1"/>
      <c r="T40" s="1"/>
      <c r="U40" s="1"/>
      <c r="V40" s="1"/>
      <c r="W40" s="8"/>
      <c r="Y40" s="1"/>
    </row>
    <row r="41" spans="1:28" x14ac:dyDescent="0.25">
      <c r="A41" t="s">
        <v>3</v>
      </c>
      <c r="B41" t="s">
        <v>15</v>
      </c>
      <c r="C41" s="6" t="s">
        <v>12</v>
      </c>
      <c r="D41" s="6" t="s">
        <v>12</v>
      </c>
      <c r="G41" s="6" t="s">
        <v>13</v>
      </c>
      <c r="H41" s="6" t="s">
        <v>13</v>
      </c>
      <c r="R41" s="1"/>
      <c r="S41" s="1"/>
      <c r="T41" s="1"/>
      <c r="U41" s="1"/>
      <c r="V41" s="1"/>
      <c r="W41" s="8"/>
      <c r="Y41" s="1"/>
    </row>
    <row r="42" spans="1:28" ht="13.8" x14ac:dyDescent="0.3">
      <c r="C42" s="3" t="s">
        <v>0</v>
      </c>
      <c r="D42" s="22" t="s">
        <v>19</v>
      </c>
      <c r="E42" s="3" t="s">
        <v>0</v>
      </c>
      <c r="R42" s="1"/>
      <c r="S42" s="1"/>
      <c r="T42" s="1"/>
      <c r="U42" s="1"/>
      <c r="V42" s="1"/>
      <c r="W42" s="8"/>
      <c r="Z42" s="1"/>
      <c r="AB42" s="1"/>
    </row>
    <row r="43" spans="1:28" ht="14.4" x14ac:dyDescent="0.3">
      <c r="A43" s="17" t="s">
        <v>27</v>
      </c>
      <c r="B43" s="18" t="s">
        <v>18</v>
      </c>
      <c r="C43" s="23">
        <v>1</v>
      </c>
      <c r="E43" s="19">
        <v>6.16</v>
      </c>
      <c r="F43" s="19">
        <v>1.0515000000000001</v>
      </c>
      <c r="G43" s="20">
        <f>C43*F43</f>
        <v>1.0515000000000001</v>
      </c>
      <c r="H43" s="21">
        <f>E43+$B$36*LOG(F43)</f>
        <v>6.1163814459553203</v>
      </c>
      <c r="K43" s="21">
        <f>$B$35*($K$38*SQRT(G43)/(1+1.5*SQRT(G43)))</f>
        <v>-3.2902341911917126</v>
      </c>
      <c r="L43" s="21">
        <f>$L$38*G43</f>
        <v>-0.68347499999999994</v>
      </c>
      <c r="M43" s="21">
        <f>H43-K43+L43</f>
        <v>8.7231406371470328</v>
      </c>
      <c r="O43" s="1">
        <f>M43-M25</f>
        <v>3.179934270775588</v>
      </c>
      <c r="R43" s="1"/>
      <c r="S43" s="1"/>
      <c r="T43" s="1"/>
      <c r="U43" s="1"/>
      <c r="V43" s="1"/>
      <c r="W43" s="8"/>
      <c r="Z43" s="1"/>
      <c r="AB43" s="1"/>
    </row>
    <row r="44" spans="1:28" ht="14.4" x14ac:dyDescent="0.3">
      <c r="A44" s="17" t="s">
        <v>28</v>
      </c>
      <c r="B44" s="18" t="s">
        <v>18</v>
      </c>
      <c r="C44" s="23">
        <v>0.5</v>
      </c>
      <c r="D44" s="29">
        <v>99900000</v>
      </c>
      <c r="E44" s="19">
        <f>LOG(D44)</f>
        <v>7.9995654882259819</v>
      </c>
      <c r="F44" s="19">
        <v>1.0265</v>
      </c>
      <c r="G44" s="20">
        <f>C44*F44</f>
        <v>0.51324999999999998</v>
      </c>
      <c r="H44" s="21">
        <f>E44+$B$18*LOG(F44)</f>
        <v>7.9882065345193709</v>
      </c>
      <c r="I44" s="1">
        <f>(LOG((9.99+0.72)*10^7)-LOG((9.99-0.72)*10^7))/2</f>
        <v>3.1354868343679509E-2</v>
      </c>
      <c r="J44" s="1">
        <f>2*I44</f>
        <v>6.2709736687359019E-2</v>
      </c>
      <c r="K44" s="21">
        <f>$B$35*($K$38*SQRT(G44)/(1+1.5*SQRT(G44)))</f>
        <v>-2.812310442519419</v>
      </c>
      <c r="L44" s="21">
        <f>$L$38*G44</f>
        <v>-0.33361249999999992</v>
      </c>
      <c r="M44" s="21">
        <f>H44-K44+L44</f>
        <v>10.46690447703879</v>
      </c>
      <c r="O44" s="1">
        <f>M44-M26</f>
        <v>4.1235688877968979</v>
      </c>
      <c r="R44" s="1"/>
      <c r="S44" s="1"/>
      <c r="T44" s="1"/>
      <c r="U44" s="1"/>
      <c r="V44" s="1"/>
      <c r="W44" s="8"/>
      <c r="Z44" s="1"/>
      <c r="AB44" s="1"/>
    </row>
    <row r="45" spans="1:28" x14ac:dyDescent="0.25">
      <c r="A45" s="9"/>
      <c r="B45" s="9"/>
      <c r="C45" s="10"/>
      <c r="D45" s="11"/>
      <c r="E45" s="1"/>
      <c r="F45" s="12"/>
      <c r="G45" s="8"/>
      <c r="H45" s="13"/>
      <c r="I45" s="11"/>
      <c r="J45" s="1"/>
      <c r="K45" s="1"/>
      <c r="L45" s="24" t="s">
        <v>26</v>
      </c>
      <c r="M45" s="21">
        <f>AVERAGE(M43:M44)</f>
        <v>9.5950225570929106</v>
      </c>
      <c r="N45" s="24" t="s">
        <v>26</v>
      </c>
      <c r="O45" s="21">
        <f>AVERAGE(O43:O44)</f>
        <v>3.6517515792862429</v>
      </c>
      <c r="R45" s="1"/>
      <c r="S45" s="1"/>
      <c r="T45" s="1"/>
      <c r="U45" s="1"/>
      <c r="V45" s="1"/>
      <c r="W45" s="8"/>
      <c r="Z45" s="1"/>
      <c r="AB45" s="1"/>
    </row>
    <row r="46" spans="1:28" x14ac:dyDescent="0.25">
      <c r="A46" s="9"/>
      <c r="B46" s="9"/>
      <c r="C46" s="10"/>
      <c r="D46" s="11"/>
      <c r="E46" s="1"/>
      <c r="F46" s="12"/>
      <c r="G46" s="8"/>
      <c r="H46" s="13"/>
      <c r="I46" s="11"/>
      <c r="J46" s="1"/>
      <c r="K46" s="1"/>
      <c r="L46" s="28" t="s">
        <v>29</v>
      </c>
      <c r="M46" s="1">
        <f>STDEV(M43:M44)</f>
        <v>1.2330272359753549</v>
      </c>
      <c r="N46" s="28" t="s">
        <v>29</v>
      </c>
      <c r="O46" s="1">
        <f>STDEV(O43:O44)</f>
        <v>0.66725043665813943</v>
      </c>
      <c r="R46" s="1"/>
      <c r="S46" s="1"/>
      <c r="T46" s="1"/>
      <c r="U46" s="1"/>
      <c r="V46" s="1"/>
      <c r="W46" s="8"/>
      <c r="Z46" s="1"/>
      <c r="AB46" s="1"/>
    </row>
    <row r="47" spans="1:28" x14ac:dyDescent="0.25">
      <c r="A47" s="9"/>
      <c r="B47" s="9"/>
      <c r="C47" s="10"/>
      <c r="D47" s="11"/>
      <c r="E47" s="1"/>
      <c r="F47" s="12"/>
      <c r="G47" s="8"/>
      <c r="H47" s="13"/>
      <c r="I47" s="11"/>
      <c r="J47" s="1"/>
      <c r="K47" s="1"/>
      <c r="L47" s="14" t="s">
        <v>11</v>
      </c>
      <c r="M47" s="8">
        <f>M46/SQRT(3)*2</f>
        <v>1.4237772132170228</v>
      </c>
      <c r="N47" s="14" t="s">
        <v>11</v>
      </c>
      <c r="O47" s="8">
        <f>O46/SQRT(3)*2</f>
        <v>0.77047443844294428</v>
      </c>
      <c r="Q47" s="1"/>
      <c r="R47" s="1"/>
      <c r="S47" s="1"/>
      <c r="T47" s="1"/>
      <c r="U47" s="1"/>
      <c r="V47" s="1"/>
      <c r="W47" s="8"/>
      <c r="Z47" s="1"/>
      <c r="AB47" s="1"/>
    </row>
    <row r="48" spans="1:28" x14ac:dyDescent="0.25">
      <c r="A48" s="9"/>
      <c r="B48" s="9"/>
      <c r="C48" s="10"/>
      <c r="D48" s="11"/>
      <c r="E48" s="1"/>
      <c r="F48" s="12"/>
      <c r="G48" s="8"/>
      <c r="H48" s="13"/>
      <c r="I48" s="11"/>
      <c r="J48" s="1"/>
      <c r="K48" s="1"/>
      <c r="N48" s="1"/>
      <c r="R48" s="1"/>
      <c r="S48" s="1"/>
      <c r="T48" s="1"/>
      <c r="U48" s="1"/>
      <c r="V48" s="1"/>
      <c r="W48" s="8"/>
      <c r="Z48" s="1"/>
      <c r="AB48" s="1"/>
    </row>
    <row r="49" spans="1:29" x14ac:dyDescent="0.25">
      <c r="A49" s="9"/>
      <c r="B49" s="9"/>
      <c r="C49" s="10"/>
      <c r="D49" s="11"/>
      <c r="E49" s="1"/>
      <c r="F49" s="12"/>
      <c r="G49" s="8"/>
      <c r="H49" s="13"/>
      <c r="I49" s="11"/>
      <c r="J49" s="1"/>
      <c r="K49" s="1"/>
      <c r="O49" s="1"/>
      <c r="R49" s="1"/>
      <c r="S49" s="1"/>
      <c r="T49" s="1"/>
      <c r="U49" s="1"/>
      <c r="V49" s="1"/>
      <c r="W49" s="8"/>
      <c r="AA49" s="1"/>
      <c r="AC49" s="1"/>
    </row>
    <row r="50" spans="1:29" x14ac:dyDescent="0.25">
      <c r="A50" s="9"/>
      <c r="B50" s="9"/>
      <c r="C50" s="10"/>
      <c r="D50" s="11"/>
      <c r="E50" s="1"/>
      <c r="F50" s="12"/>
      <c r="G50" s="8"/>
      <c r="H50" s="13"/>
      <c r="I50" s="11"/>
      <c r="J50" s="1"/>
      <c r="K50" s="1"/>
      <c r="O50" s="1"/>
      <c r="R50" s="1"/>
      <c r="S50" s="1"/>
      <c r="T50" s="1"/>
      <c r="U50" s="1"/>
      <c r="V50" s="1"/>
      <c r="W50" s="8"/>
      <c r="AA50" s="1"/>
      <c r="AC50" s="1"/>
    </row>
    <row r="51" spans="1:29" x14ac:dyDescent="0.25">
      <c r="A51" s="9"/>
      <c r="B51" s="9"/>
      <c r="C51" s="10"/>
      <c r="D51" s="11"/>
      <c r="E51" s="1"/>
      <c r="F51" s="12"/>
      <c r="G51" s="8"/>
      <c r="H51" s="13"/>
      <c r="I51" s="11"/>
      <c r="J51" s="1"/>
      <c r="K51" s="1"/>
      <c r="O51" s="1"/>
      <c r="R51" s="1"/>
      <c r="S51" s="1"/>
      <c r="T51" s="1"/>
      <c r="U51" s="1"/>
      <c r="V51" s="1"/>
      <c r="W51" s="8"/>
      <c r="AA51" s="1"/>
      <c r="AC51" s="1"/>
    </row>
    <row r="52" spans="1:29" x14ac:dyDescent="0.25">
      <c r="A52" s="9"/>
      <c r="B52" s="9"/>
      <c r="C52" s="10"/>
      <c r="D52" s="11"/>
      <c r="E52" s="1"/>
      <c r="F52" s="12"/>
      <c r="G52" s="8"/>
      <c r="H52" s="13"/>
      <c r="I52" s="11"/>
      <c r="J52" s="1"/>
      <c r="K52" s="1"/>
      <c r="O52" s="1"/>
      <c r="R52" s="1"/>
      <c r="S52" s="1"/>
      <c r="T52" s="1"/>
      <c r="U52" s="1"/>
      <c r="V52" s="1"/>
      <c r="W52" s="8"/>
      <c r="AA52" s="1"/>
      <c r="AC52" s="1"/>
    </row>
  </sheetData>
  <phoneticPr fontId="7" type="noConversion"/>
  <pageMargins left="0.75" right="0.75" top="1" bottom="1" header="0.5" footer="0.5"/>
  <pageSetup paperSize="9" orientation="landscape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"/>
  <sheetViews>
    <sheetView tabSelected="1" workbookViewId="0">
      <selection activeCell="C9" sqref="C9"/>
    </sheetView>
  </sheetViews>
  <sheetFormatPr defaultColWidth="8.77734375" defaultRowHeight="13.2" x14ac:dyDescent="0.25"/>
  <cols>
    <col min="1" max="7" width="8.77734375" customWidth="1"/>
    <col min="8" max="9" width="9.21875" customWidth="1"/>
  </cols>
  <sheetData>
    <row r="1" spans="1:10" x14ac:dyDescent="0.25">
      <c r="A1" s="22" t="s">
        <v>39</v>
      </c>
    </row>
    <row r="3" spans="1:10" x14ac:dyDescent="0.25">
      <c r="A3" s="22" t="s">
        <v>45</v>
      </c>
    </row>
    <row r="6" spans="1:10" ht="15.6" x14ac:dyDescent="0.35">
      <c r="A6" s="22" t="s">
        <v>58</v>
      </c>
    </row>
    <row r="8" spans="1:10" x14ac:dyDescent="0.25">
      <c r="A8" t="s">
        <v>41</v>
      </c>
    </row>
    <row r="9" spans="1:10" x14ac:dyDescent="0.25">
      <c r="A9" s="17" t="s">
        <v>57</v>
      </c>
      <c r="C9" t="s">
        <v>56</v>
      </c>
    </row>
    <row r="10" spans="1:10" x14ac:dyDescent="0.25">
      <c r="A10" s="17"/>
    </row>
    <row r="12" spans="1:10" x14ac:dyDescent="0.25">
      <c r="D12" s="31" t="s">
        <v>21</v>
      </c>
      <c r="E12" s="31" t="s">
        <v>34</v>
      </c>
      <c r="I12" s="24" t="s">
        <v>37</v>
      </c>
      <c r="J12" s="24" t="s">
        <v>38</v>
      </c>
    </row>
    <row r="13" spans="1:10" ht="16.8" x14ac:dyDescent="0.35">
      <c r="A13" s="22" t="s">
        <v>46</v>
      </c>
      <c r="D13" s="30">
        <v>2.0000000000000001E-26</v>
      </c>
      <c r="E13" s="31">
        <v>-25.7</v>
      </c>
      <c r="F13" s="5" t="s">
        <v>11</v>
      </c>
      <c r="G13">
        <v>0.6</v>
      </c>
      <c r="I13" s="30">
        <f>10^($E13+$G13)</f>
        <v>7.9432823472428014E-26</v>
      </c>
      <c r="J13" s="30">
        <f>10^($E13-$G13)</f>
        <v>5.0118723362727E-27</v>
      </c>
    </row>
    <row r="14" spans="1:10" ht="15.6" x14ac:dyDescent="0.25">
      <c r="A14" s="15" t="s">
        <v>47</v>
      </c>
      <c r="E14">
        <v>5.9</v>
      </c>
      <c r="F14" s="6"/>
    </row>
    <row r="15" spans="1:10" ht="16.8" x14ac:dyDescent="0.35">
      <c r="A15" s="15" t="s">
        <v>48</v>
      </c>
      <c r="E15">
        <v>9.6</v>
      </c>
    </row>
    <row r="17" spans="1:9" ht="16.8" x14ac:dyDescent="0.35">
      <c r="A17" s="22" t="s">
        <v>55</v>
      </c>
      <c r="E17">
        <f>E13+2*E14</f>
        <v>-13.899999999999999</v>
      </c>
    </row>
    <row r="18" spans="1:9" ht="16.8" x14ac:dyDescent="0.35">
      <c r="A18" s="22" t="s">
        <v>49</v>
      </c>
      <c r="E18">
        <f>E13+2*E15</f>
        <v>-6.5</v>
      </c>
    </row>
    <row r="20" spans="1:9" ht="15.6" x14ac:dyDescent="0.25">
      <c r="A20" s="22" t="s">
        <v>50</v>
      </c>
      <c r="B20" s="22" t="s">
        <v>51</v>
      </c>
      <c r="C20" s="22" t="s">
        <v>52</v>
      </c>
      <c r="D20" s="22" t="s">
        <v>53</v>
      </c>
      <c r="F20" s="33" t="s">
        <v>35</v>
      </c>
      <c r="H20" s="22" t="s">
        <v>36</v>
      </c>
      <c r="I20" s="24" t="s">
        <v>54</v>
      </c>
    </row>
    <row r="21" spans="1:9" x14ac:dyDescent="0.25">
      <c r="F21" s="33"/>
    </row>
    <row r="22" spans="1:9" x14ac:dyDescent="0.25">
      <c r="A22">
        <v>-1</v>
      </c>
      <c r="B22">
        <f>($E$13-3*$A22)/2</f>
        <v>-11.35</v>
      </c>
      <c r="C22" s="8">
        <f>($E$17-$A22)/2</f>
        <v>-6.4499999999999993</v>
      </c>
      <c r="D22" s="8">
        <f>($E$18+$A22)/2</f>
        <v>-3.75</v>
      </c>
      <c r="F22" s="34">
        <f>LOG(H22)</f>
        <v>-3.7491343210299459</v>
      </c>
      <c r="H22" s="32">
        <f>10^$B22+10^$C22+10^$D22</f>
        <v>1.7818275885996153E-4</v>
      </c>
    </row>
    <row r="23" spans="1:9" x14ac:dyDescent="0.25">
      <c r="A23">
        <v>-1.5</v>
      </c>
      <c r="B23">
        <f t="shared" ref="B23:B28" si="0">($E$13-3*$A23)/2</f>
        <v>-10.6</v>
      </c>
      <c r="C23" s="8">
        <f t="shared" ref="C23:C28" si="1">($E$17-$A23)/2</f>
        <v>-6.1999999999999993</v>
      </c>
      <c r="D23" s="8">
        <f t="shared" ref="D23:D28" si="2">($E$18+$A23)/2</f>
        <v>-4</v>
      </c>
      <c r="F23" s="34">
        <f t="shared" ref="F23:F39" si="3">LOG(H23)</f>
        <v>-3.9972682872592276</v>
      </c>
      <c r="H23" s="32">
        <f t="shared" ref="H23:H39" si="4">10^$B23+10^$C23+10^$D23</f>
        <v>1.0063098246334452E-4</v>
      </c>
    </row>
    <row r="24" spans="1:9" x14ac:dyDescent="0.25">
      <c r="A24">
        <v>-2</v>
      </c>
      <c r="B24">
        <f t="shared" si="0"/>
        <v>-9.85</v>
      </c>
      <c r="C24" s="8">
        <f t="shared" si="1"/>
        <v>-5.9499999999999993</v>
      </c>
      <c r="D24" s="8">
        <f t="shared" si="2"/>
        <v>-4.25</v>
      </c>
      <c r="F24" s="34">
        <f t="shared" si="3"/>
        <v>-4.2414189312133512</v>
      </c>
      <c r="H24" s="32">
        <f t="shared" si="4"/>
        <v>5.7356292227091312E-5</v>
      </c>
    </row>
    <row r="25" spans="1:9" x14ac:dyDescent="0.25">
      <c r="A25">
        <v>-2.5</v>
      </c>
      <c r="B25">
        <f t="shared" si="0"/>
        <v>-9.1</v>
      </c>
      <c r="C25" s="8">
        <f t="shared" si="1"/>
        <v>-5.6999999999999993</v>
      </c>
      <c r="D25" s="8">
        <f t="shared" si="2"/>
        <v>-4.5</v>
      </c>
      <c r="F25" s="34">
        <f t="shared" si="3"/>
        <v>-4.4734173629994611</v>
      </c>
      <c r="H25" s="32">
        <f t="shared" si="4"/>
        <v>3.3618833244887357E-5</v>
      </c>
    </row>
    <row r="26" spans="1:9" x14ac:dyDescent="0.25">
      <c r="A26">
        <v>-3</v>
      </c>
      <c r="B26">
        <f t="shared" si="0"/>
        <v>-8.35</v>
      </c>
      <c r="C26" s="8">
        <f t="shared" si="1"/>
        <v>-5.4499999999999993</v>
      </c>
      <c r="D26" s="8">
        <f t="shared" si="2"/>
        <v>-4.75</v>
      </c>
      <c r="F26" s="34">
        <f t="shared" si="3"/>
        <v>-4.670899315761508</v>
      </c>
      <c r="H26" s="32">
        <f t="shared" si="4"/>
        <v>2.133539482864648E-5</v>
      </c>
      <c r="I26" s="30">
        <f t="shared" ref="I26:I31" si="5">10^A26</f>
        <v>1E-3</v>
      </c>
    </row>
    <row r="27" spans="1:9" x14ac:dyDescent="0.25">
      <c r="A27">
        <v>-3.5</v>
      </c>
      <c r="B27">
        <f t="shared" si="0"/>
        <v>-7.6</v>
      </c>
      <c r="C27" s="8">
        <f t="shared" si="1"/>
        <v>-5.1999999999999993</v>
      </c>
      <c r="D27" s="8">
        <f t="shared" si="2"/>
        <v>-5</v>
      </c>
      <c r="F27" s="34">
        <f t="shared" si="3"/>
        <v>-4.7868890417646783</v>
      </c>
      <c r="H27" s="32">
        <f t="shared" si="4"/>
        <v>1.633469230911703E-5</v>
      </c>
      <c r="I27" s="30">
        <f t="shared" si="5"/>
        <v>3.1622776601683783E-4</v>
      </c>
    </row>
    <row r="28" spans="1:9" x14ac:dyDescent="0.25">
      <c r="A28">
        <v>-3.7</v>
      </c>
      <c r="B28">
        <f t="shared" si="0"/>
        <v>-7.2999999999999989</v>
      </c>
      <c r="C28" s="8">
        <f t="shared" si="1"/>
        <v>-5.0999999999999996</v>
      </c>
      <c r="D28" s="8">
        <f t="shared" si="2"/>
        <v>-5.0999999999999996</v>
      </c>
      <c r="F28" s="34">
        <f t="shared" si="3"/>
        <v>-4.7976020545330584</v>
      </c>
      <c r="H28" s="29">
        <f t="shared" si="4"/>
        <v>1.5936683417848339E-5</v>
      </c>
      <c r="I28" s="29">
        <f t="shared" si="5"/>
        <v>1.9952623149688758E-4</v>
      </c>
    </row>
    <row r="29" spans="1:9" x14ac:dyDescent="0.25">
      <c r="A29">
        <v>-4</v>
      </c>
      <c r="B29">
        <f t="shared" ref="B29:B39" si="6">($E$13-3*$A29)/2</f>
        <v>-6.85</v>
      </c>
      <c r="C29" s="8">
        <f t="shared" ref="C29:C39" si="7">($E$17-$A29)/2</f>
        <v>-4.9499999999999993</v>
      </c>
      <c r="D29" s="8">
        <f t="shared" ref="D29:D39" si="8">($E$18+$A29)/2</f>
        <v>-5.25</v>
      </c>
      <c r="F29" s="34">
        <f t="shared" si="3"/>
        <v>-4.769938244588154</v>
      </c>
      <c r="H29" s="32">
        <f t="shared" si="4"/>
        <v>1.6984851549385407E-5</v>
      </c>
      <c r="I29" s="30">
        <f t="shared" si="5"/>
        <v>1E-4</v>
      </c>
    </row>
    <row r="30" spans="1:9" x14ac:dyDescent="0.25">
      <c r="A30">
        <v>-4.5</v>
      </c>
      <c r="B30">
        <f t="shared" si="6"/>
        <v>-6.1</v>
      </c>
      <c r="C30" s="8">
        <f t="shared" si="7"/>
        <v>-4.6999999999999993</v>
      </c>
      <c r="D30" s="8">
        <f t="shared" si="8"/>
        <v>-5.5</v>
      </c>
      <c r="F30" s="34">
        <f t="shared" si="3"/>
        <v>-4.6214344275263075</v>
      </c>
      <c r="H30" s="32">
        <f t="shared" si="4"/>
        <v>2.3909229044581462E-5</v>
      </c>
      <c r="I30" s="30">
        <f t="shared" si="5"/>
        <v>3.1622776601683748E-5</v>
      </c>
    </row>
    <row r="31" spans="1:9" x14ac:dyDescent="0.25">
      <c r="A31">
        <v>-5</v>
      </c>
      <c r="B31">
        <f t="shared" si="6"/>
        <v>-5.35</v>
      </c>
      <c r="C31" s="8">
        <f t="shared" si="7"/>
        <v>-4.4499999999999993</v>
      </c>
      <c r="D31" s="8">
        <f t="shared" si="8"/>
        <v>-5.75</v>
      </c>
      <c r="F31" s="34">
        <f t="shared" si="3"/>
        <v>-4.3795885183065941</v>
      </c>
      <c r="H31" s="32">
        <f t="shared" si="4"/>
        <v>4.172645425490609E-5</v>
      </c>
      <c r="I31" s="30">
        <f t="shared" si="5"/>
        <v>1.0000000000000001E-5</v>
      </c>
    </row>
    <row r="32" spans="1:9" x14ac:dyDescent="0.25">
      <c r="A32">
        <v>-5.5</v>
      </c>
      <c r="B32">
        <f t="shared" si="6"/>
        <v>-4.5999999999999996</v>
      </c>
      <c r="C32" s="8">
        <f t="shared" si="7"/>
        <v>-4.1999999999999993</v>
      </c>
      <c r="D32" s="8">
        <f t="shared" si="8"/>
        <v>-6</v>
      </c>
      <c r="F32" s="34">
        <f t="shared" si="3"/>
        <v>-4.0495640733873932</v>
      </c>
      <c r="H32" s="32">
        <f t="shared" si="4"/>
        <v>8.9214598763115183E-5</v>
      </c>
    </row>
    <row r="33" spans="1:8" x14ac:dyDescent="0.25">
      <c r="A33">
        <v>-6</v>
      </c>
      <c r="B33">
        <f t="shared" si="6"/>
        <v>-3.8499999999999996</v>
      </c>
      <c r="C33" s="8">
        <f t="shared" si="7"/>
        <v>-3.9499999999999993</v>
      </c>
      <c r="D33" s="8">
        <f t="shared" si="8"/>
        <v>-6.25</v>
      </c>
      <c r="F33" s="34">
        <f t="shared" si="3"/>
        <v>-3.5951356081963715</v>
      </c>
      <c r="H33" s="32">
        <f t="shared" si="4"/>
        <v>2.5401794121766207E-4</v>
      </c>
    </row>
    <row r="34" spans="1:8" x14ac:dyDescent="0.25">
      <c r="A34">
        <v>-6.8</v>
      </c>
      <c r="B34">
        <f t="shared" si="6"/>
        <v>-2.6500000000000004</v>
      </c>
      <c r="C34" s="8">
        <f t="shared" si="7"/>
        <v>-3.5499999999999994</v>
      </c>
      <c r="D34" s="8">
        <f t="shared" si="8"/>
        <v>-6.65</v>
      </c>
      <c r="F34" s="34">
        <f t="shared" si="3"/>
        <v>-2.5984644863366713</v>
      </c>
      <c r="H34" s="32">
        <f t="shared" si="4"/>
        <v>2.5207833038086392E-3</v>
      </c>
    </row>
    <row r="35" spans="1:8" x14ac:dyDescent="0.25">
      <c r="A35">
        <v>-7</v>
      </c>
      <c r="B35">
        <f t="shared" si="6"/>
        <v>-2.3499999999999996</v>
      </c>
      <c r="C35" s="8">
        <f t="shared" si="7"/>
        <v>-3.4499999999999993</v>
      </c>
      <c r="D35" s="8">
        <f t="shared" si="8"/>
        <v>-6.75</v>
      </c>
      <c r="F35" s="34">
        <f t="shared" si="3"/>
        <v>-2.3167883630297461</v>
      </c>
      <c r="H35" s="32">
        <f t="shared" si="4"/>
        <v>4.8218271386842116E-3</v>
      </c>
    </row>
    <row r="36" spans="1:8" x14ac:dyDescent="0.25">
      <c r="A36">
        <v>-7.5</v>
      </c>
      <c r="B36">
        <f t="shared" si="6"/>
        <v>-1.5999999999999996</v>
      </c>
      <c r="C36" s="8">
        <f t="shared" si="7"/>
        <v>-3.1999999999999993</v>
      </c>
      <c r="D36" s="8">
        <f t="shared" si="8"/>
        <v>-7</v>
      </c>
      <c r="F36" s="34">
        <f t="shared" si="3"/>
        <v>-1.5892240878991244</v>
      </c>
      <c r="H36" s="32">
        <f t="shared" si="4"/>
        <v>2.574992165957601E-2</v>
      </c>
    </row>
    <row r="37" spans="1:8" x14ac:dyDescent="0.25">
      <c r="A37">
        <v>-8</v>
      </c>
      <c r="B37">
        <f t="shared" si="6"/>
        <v>-0.84999999999999964</v>
      </c>
      <c r="C37" s="8">
        <f t="shared" si="7"/>
        <v>-2.9499999999999993</v>
      </c>
      <c r="D37" s="8">
        <f t="shared" si="8"/>
        <v>-7.25</v>
      </c>
      <c r="F37" s="34">
        <f t="shared" si="3"/>
        <v>-0.84656373371509452</v>
      </c>
      <c r="H37" s="32">
        <f t="shared" si="4"/>
        <v>0.14237582915070998</v>
      </c>
    </row>
    <row r="38" spans="1:8" x14ac:dyDescent="0.25">
      <c r="A38">
        <v>-8.5</v>
      </c>
      <c r="B38">
        <f t="shared" si="6"/>
        <v>-9.9999999999999645E-2</v>
      </c>
      <c r="C38" s="8">
        <f t="shared" si="7"/>
        <v>-2.6999999999999993</v>
      </c>
      <c r="D38" s="8">
        <f t="shared" si="8"/>
        <v>-7.5</v>
      </c>
      <c r="F38" s="34">
        <f t="shared" si="3"/>
        <v>-9.8910452153784592E-2</v>
      </c>
      <c r="H38" s="32">
        <f t="shared" si="4"/>
        <v>0.7963235286620276</v>
      </c>
    </row>
    <row r="39" spans="1:8" x14ac:dyDescent="0.25">
      <c r="A39">
        <v>-9</v>
      </c>
      <c r="B39">
        <f t="shared" si="6"/>
        <v>0.65000000000000036</v>
      </c>
      <c r="C39" s="8">
        <f t="shared" si="7"/>
        <v>-2.4499999999999993</v>
      </c>
      <c r="D39" s="8">
        <f t="shared" si="8"/>
        <v>-7.75</v>
      </c>
      <c r="F39" s="34">
        <f t="shared" si="3"/>
        <v>0.65034483715861091</v>
      </c>
      <c r="H39" s="32">
        <f t="shared" si="4"/>
        <v>4.4703840731847651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CalcAc(ox)</vt:lpstr>
      <vt:lpstr>Solubility Ac(ox)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I.Puigdomenech</dc:creator>
  <cp:lastModifiedBy>Josep Bonet</cp:lastModifiedBy>
  <cp:lastPrinted>2002-08-12T14:38:15Z</cp:lastPrinted>
  <dcterms:created xsi:type="dcterms:W3CDTF">2000-02-23T12:13:48Z</dcterms:created>
  <dcterms:modified xsi:type="dcterms:W3CDTF">2023-11-14T14:30:42Z</dcterms:modified>
</cp:coreProperties>
</file>