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92B54C29-E4A9-4B16-B564-B359723A17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 LiF(aq)" sheetId="7" r:id="rId1"/>
    <sheet name="Plot LiF(aq)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H38" i="7"/>
  <c r="H37" i="7"/>
  <c r="O37" i="7"/>
  <c r="Q37" i="7" s="1"/>
  <c r="H36" i="7"/>
  <c r="H35" i="7"/>
  <c r="O35" i="7"/>
  <c r="Q35" i="7" s="1"/>
  <c r="H34" i="7"/>
  <c r="O36" i="7"/>
  <c r="Q36" i="7" s="1"/>
  <c r="F36" i="7"/>
  <c r="L36" i="7" s="1"/>
  <c r="F35" i="7"/>
  <c r="L35" i="7" s="1"/>
  <c r="O34" i="7"/>
  <c r="Q34" i="7" s="1"/>
  <c r="F34" i="7"/>
  <c r="L34" i="7" s="1"/>
  <c r="D39" i="7"/>
  <c r="D38" i="7"/>
  <c r="D37" i="7"/>
  <c r="D36" i="7"/>
  <c r="D35" i="7"/>
  <c r="D34" i="7"/>
  <c r="F37" i="7"/>
  <c r="L37" i="7" s="1"/>
  <c r="S37" i="7" s="1"/>
  <c r="B23" i="7"/>
  <c r="F39" i="7"/>
  <c r="L39" i="7" s="1"/>
  <c r="F38" i="7"/>
  <c r="L38" i="7" s="1"/>
  <c r="O39" i="7"/>
  <c r="Q39" i="7" s="1"/>
  <c r="O38" i="7"/>
  <c r="Q38" i="7" s="1"/>
  <c r="B22" i="7"/>
  <c r="G38" i="7" l="1"/>
  <c r="G34" i="7"/>
  <c r="G39" i="7"/>
  <c r="N39" i="7" s="1"/>
  <c r="N34" i="7"/>
  <c r="T34" i="7" s="1"/>
  <c r="G36" i="7"/>
  <c r="N36" i="7" s="1"/>
  <c r="T36" i="7" s="1"/>
  <c r="G35" i="7"/>
  <c r="N35" i="7" s="1"/>
  <c r="T35" i="7" s="1"/>
  <c r="G37" i="7"/>
  <c r="N37" i="7" s="1"/>
  <c r="T37" i="7" s="1"/>
  <c r="S34" i="7"/>
  <c r="R34" i="7"/>
  <c r="N38" i="7"/>
  <c r="T38" i="7" s="1"/>
  <c r="R35" i="7"/>
  <c r="S35" i="7"/>
  <c r="R38" i="7"/>
  <c r="S38" i="7"/>
  <c r="Q42" i="7"/>
  <c r="S39" i="7"/>
  <c r="R39" i="7"/>
  <c r="S36" i="7"/>
  <c r="R36" i="7"/>
  <c r="U34" i="7"/>
  <c r="R37" i="7"/>
  <c r="U38" i="7" l="1"/>
  <c r="T39" i="7"/>
  <c r="U39" i="7"/>
  <c r="U35" i="7"/>
  <c r="U37" i="7"/>
  <c r="U36" i="7"/>
  <c r="N28" i="7"/>
  <c r="N30" i="7" s="1"/>
  <c r="R42" i="7"/>
  <c r="S42" i="7"/>
  <c r="T42" i="7"/>
  <c r="U42" i="7" l="1"/>
  <c r="T48" i="7" s="1"/>
  <c r="T45" i="7"/>
  <c r="T44" i="7"/>
  <c r="X50" i="7" s="1"/>
  <c r="T46" i="7"/>
  <c r="T49" i="7"/>
  <c r="T47" i="7" l="1"/>
  <c r="I15" i="7" s="1"/>
  <c r="T50" i="7"/>
  <c r="I16" i="7"/>
  <c r="I22" i="7" s="1"/>
  <c r="J16" i="7"/>
  <c r="J22" i="7" s="1"/>
  <c r="X47" i="7"/>
  <c r="M15" i="7"/>
  <c r="Z20" i="7"/>
  <c r="Z19" i="7" l="1"/>
  <c r="J15" i="7"/>
  <c r="AC19" i="7" l="1"/>
  <c r="AC20" i="7"/>
  <c r="N15" i="7"/>
  <c r="AA20" i="7" l="1"/>
  <c r="AB20" i="7"/>
  <c r="AA19" i="7"/>
  <c r="AB19" i="7"/>
</calcChain>
</file>

<file path=xl/sharedStrings.xml><?xml version="1.0" encoding="utf-8"?>
<sst xmlns="http://schemas.openxmlformats.org/spreadsheetml/2006/main" count="84" uniqueCount="68">
  <si>
    <t>a0</t>
  </si>
  <si>
    <t>a1</t>
  </si>
  <si>
    <t>A =</t>
  </si>
  <si>
    <t>-------------------------------------------</t>
  </si>
  <si>
    <t>N =</t>
  </si>
  <si>
    <t xml:space="preserve">   Experimental</t>
  </si>
  <si>
    <t>Averages:</t>
  </si>
  <si>
    <t>------ Data -------------------------------</t>
  </si>
  <si>
    <t>------------- PLOT 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</si>
  <si>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</si>
  <si>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</si>
  <si>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</si>
  <si>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</si>
  <si>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</si>
  <si>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</si>
  <si>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</si>
  <si>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</si>
  <si>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Y</t>
  </si>
  <si>
    <t>Ycalc</t>
  </si>
  <si>
    <t>±</t>
  </si>
  <si>
    <t>(molar)</t>
  </si>
  <si>
    <t>(molal)</t>
  </si>
  <si>
    <t>x</t>
  </si>
  <si>
    <t>-----------------------------------------------</t>
  </si>
  <si>
    <r>
      <t>Y</t>
    </r>
    <r>
      <rPr>
        <vertAlign val="subscript"/>
        <sz val="10"/>
        <rFont val="Arial"/>
        <family val="2"/>
      </rPr>
      <t>calc</t>
    </r>
  </si>
  <si>
    <t>calc.</t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</si>
  <si>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+ (±)</t>
    </r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</si>
  <si>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 xml:space="preserve"> (±)</t>
    </r>
  </si>
  <si>
    <t>Backgrnd</t>
  </si>
  <si>
    <t>Electrolyte</t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</si>
  <si>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</si>
  <si>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r>
      <t>-De</t>
    </r>
    <r>
      <rPr>
        <sz val="10"/>
        <rFont val="Arial"/>
        <family val="2"/>
      </rPr>
      <t>(NaClO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</si>
  <si>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t>NaClO4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</si>
  <si>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</si>
  <si>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</si>
  <si>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</si>
  <si>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</si>
  <si>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</si>
  <si>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</si>
  <si>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</si>
  <si>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</si>
  <si>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</si>
  <si>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</si>
  <si>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</si>
  <si>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s(</t>
    </r>
    <r>
      <rPr>
        <b/>
        <sz val="10"/>
        <rFont val="Arial"/>
      </rPr>
      <t>X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</rPr>
      <t>)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</si>
  <si>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</si>
  <si>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</si>
  <si>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</si>
  <si>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s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De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</si>
  <si>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-De</t>
    </r>
    <r>
      <rPr>
        <sz val="10"/>
        <rFont val="Symbol"/>
        <family val="1"/>
        <charset val="2"/>
      </rPr>
      <t xml:space="preserve">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</si>
  <si>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t>Weighted linear regression according to Grenthe et al. (1992), p.704</t>
  </si>
  <si>
    <r>
      <t>NaClO</t>
    </r>
    <r>
      <rPr>
        <b/>
        <vertAlign val="subscript"/>
        <sz val="10"/>
        <rFont val="Times New Roman"/>
        <family val="1"/>
      </rPr>
      <t>4</t>
    </r>
  </si>
  <si>
    <r>
      <t>[ClO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</si>
  <si>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 xml:space="preserve">log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</si>
  <si>
    <t>Chan et al. (1984), Table 3</t>
  </si>
  <si>
    <t>1984CHA/TIO</t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</si>
  <si>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</si>
  <si>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r>
      <t xml:space="preserve">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</si>
  <si>
    <r>
      <t>Reaction: Li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 xml:space="preserve"> + F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 xml:space="preserve"> = LiF(aq)</t>
    </r>
  </si>
  <si>
    <r>
      <t>e</t>
    </r>
    <r>
      <rPr>
        <sz val="10"/>
        <rFont val="Arial"/>
        <family val="2"/>
      </rPr>
      <t>(Li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ClO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</si>
  <si>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</si>
  <si>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(LiF(aq), NaClO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</si>
  <si>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t>Hummel W. &amp; Thoenen T. (2023): The PSI Chemical Thermodynamic Database 2020 (TDB 2020), Nagra Technical Report NTB 21-03</t>
  </si>
  <si>
    <t>References</t>
  </si>
  <si>
    <t>Chapter 3.1.4.1 Lithium(I) fluoride complexes</t>
  </si>
  <si>
    <t>Extrapolation of reported stability constants to I = 0 using SIT linear regression as described in NTB 21-03 Chapter 1.5 Medium effects</t>
  </si>
  <si>
    <t>Chan, C.B., Tioh, N.H. &amp; Hefter, G.T. (1984): Fluoride complexes of the alkali metal anions. Polyhedron, 3, 845–851.</t>
  </si>
  <si>
    <t>doi:10.1016/S0277-5387(00)84633-1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</si>
</sst>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b/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165" fontId="3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/>
    <xf numFmtId="16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9" fillId="0" borderId="0" xfId="0" applyNumberFormat="1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9157447091265"/>
          <c:y val="0.10943211643999046"/>
          <c:w val="0.81012741681440448"/>
          <c:h val="0.71778418262994448"/>
        </c:manualLayout>
      </c:layout>
      <c:scatterChart>
        <c:scatterStyle val="lineMarker"/>
        <c:varyColors val="0"/>
        <c:ser>
          <c:idx val="2"/>
          <c:order val="0"/>
          <c:tx>
            <c:v>Chan et al. (1984)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 LiF(aq)'!$O$34:$O$39</c:f>
                <c:numCache>
                  <c:formatCode>General</c:formatCode>
                  <c:ptCount val="6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</c:numCache>
              </c:numRef>
            </c:plus>
            <c:minus>
              <c:numRef>
                <c:f>'Calc LiF(aq)'!$O$34:$O$39</c:f>
                <c:numCache>
                  <c:formatCode>General</c:formatCode>
                  <c:ptCount val="6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'Calc LiF(aq)'!$L$34:$L$40</c:f>
              <c:numCache>
                <c:formatCode>0.000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0.10073000000000001</c:v>
                </c:pt>
                <c:pt idx="3">
                  <c:v>0.20236000000000001</c:v>
                </c:pt>
                <c:pt idx="4">
                  <c:v>0.51280000000000003</c:v>
                </c:pt>
                <c:pt idx="5">
                  <c:v>1.0499000000000001</c:v>
                </c:pt>
              </c:numCache>
            </c:numRef>
          </c:xVal>
          <c:yVal>
            <c:numRef>
              <c:f>'Calc LiF(aq)'!$N$34:$N$40</c:f>
              <c:numCache>
                <c:formatCode>0.000</c:formatCode>
                <c:ptCount val="7"/>
                <c:pt idx="0">
                  <c:v>0.24912876841210407</c:v>
                </c:pt>
                <c:pt idx="1">
                  <c:v>0.21970978770570682</c:v>
                </c:pt>
                <c:pt idx="2">
                  <c:v>0.24919508475015367</c:v>
                </c:pt>
                <c:pt idx="3">
                  <c:v>0.24611872798822979</c:v>
                </c:pt>
                <c:pt idx="4">
                  <c:v>0.13989607669481435</c:v>
                </c:pt>
                <c:pt idx="5">
                  <c:v>0.26514999226903846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7-4A39-B997-CEAD9176FB77}"/>
            </c:ext>
          </c:extLst>
        </c:ser>
        <c:ser>
          <c:idx val="1"/>
          <c:order val="1"/>
          <c:tx>
            <c:strRef>
              <c:f>'Calc LiF(aq)'!$Z$16</c:f>
              <c:strCache>
                <c:ptCount val="1"/>
                <c:pt idx="0">
                  <c:v>calc.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E927-4A39-B997-CEAD9176FB77}"/>
              </c:ext>
            </c:extLst>
          </c:dPt>
          <c:xVal>
            <c:numRef>
              <c:f>'Calc LiF(aq)'!$Y$19:$Y$23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LiF(aq)'!$Z$19:$Z$23</c:f>
              <c:numCache>
                <c:formatCode>General</c:formatCode>
                <c:ptCount val="5"/>
                <c:pt idx="0">
                  <c:v>0.22850544801637096</c:v>
                </c:pt>
                <c:pt idx="1">
                  <c:v>0.22490477281034224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7-4A39-B997-CEAD9176FB77}"/>
            </c:ext>
          </c:extLst>
        </c:ser>
        <c:ser>
          <c:idx val="4"/>
          <c:order val="2"/>
          <c:tx>
            <c:strRef>
              <c:f>'Calc LiF(aq)'!$AA$16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'Calc LiF(aq)'!$Y$19:$Y$23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LiF(aq)'!$AA$19:$AA$23</c:f>
              <c:numCache>
                <c:formatCode>General</c:formatCode>
                <c:ptCount val="5"/>
                <c:pt idx="0">
                  <c:v>0.33761969088173982</c:v>
                </c:pt>
                <c:pt idx="1">
                  <c:v>1.0843921252158133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7-4A39-B997-CEAD9176FB77}"/>
            </c:ext>
          </c:extLst>
        </c:ser>
        <c:ser>
          <c:idx val="5"/>
          <c:order val="3"/>
          <c:tx>
            <c:strRef>
              <c:f>'Calc LiF(aq)'!$AB$16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'Calc LiF(aq)'!$Y$19:$Y$23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LiF(aq)'!$AB$19:$AB$23</c:f>
              <c:numCache>
                <c:formatCode>General</c:formatCode>
                <c:ptCount val="5"/>
                <c:pt idx="0">
                  <c:v>0.11939120515100209</c:v>
                </c:pt>
                <c:pt idx="1">
                  <c:v>-0.63458257959512876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7-4A39-B997-CEAD9176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56240"/>
        <c:axId val="1"/>
      </c:scatterChart>
      <c:valAx>
        <c:axId val="250556240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[NaClO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4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 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/ molal</a:t>
                </a:r>
              </a:p>
            </c:rich>
          </c:tx>
          <c:layout>
            <c:manualLayout>
              <c:xMode val="edge"/>
              <c:yMode val="edge"/>
              <c:x val="0.46308066713179835"/>
              <c:y val="0.89819673109043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"/>
        <c:crossBetween val="midCat"/>
      </c:valAx>
      <c:valAx>
        <c:axId val="1"/>
        <c:scaling>
          <c:orientation val="minMax"/>
          <c:max val="1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+ 2 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3.2700421940928273E-2"/>
              <c:y val="0.359536506800286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50556240"/>
        <c:crosses val="autoZero"/>
        <c:crossBetween val="midCat"/>
        <c:majorUnit val="0.2"/>
        <c:min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31</xdr:row>
      <xdr:rowOff>6350</xdr:rowOff>
    </xdr:to>
    <xdr:graphicFrame macro="">
      <xdr:nvGraphicFramePr>
        <xdr:cNvPr id="5203" name="Chart 1">
          <a:extLst>
            <a:ext uri="{FF2B5EF4-FFF2-40B4-BE49-F238E27FC236}">
              <a16:creationId xmlns:a16="http://schemas.microsoft.com/office/drawing/2014/main" id="{5C1CE6EE-A78C-CDC8-7957-AA20263D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S0277-5387(00)84633-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4"/>
  <sheetViews>
    <sheetView tabSelected="1" workbookViewId="0">
      <selection activeCell="B9" sqref="B9"/>
    </sheetView>
  </sheetViews>
  <sheetFormatPr defaultColWidth="11.5546875" defaultRowHeight="13.2" x14ac:dyDescent="0.25"/>
  <cols>
    <col min="1" max="1" width="12.77734375" customWidth="1"/>
    <col min="2" max="8" width="8.77734375" customWidth="1"/>
    <col min="9" max="9" width="9.21875" customWidth="1"/>
    <col min="10" max="15" width="8.77734375" customWidth="1"/>
    <col min="16" max="16" width="9.21875" customWidth="1"/>
    <col min="17" max="256" width="8.77734375" customWidth="1"/>
  </cols>
  <sheetData>
    <row r="1" spans="1:29" x14ac:dyDescent="0.25">
      <c r="A1" s="32" t="s">
        <v>62</v>
      </c>
    </row>
    <row r="3" spans="1:29" x14ac:dyDescent="0.25">
      <c r="A3" t="s">
        <v>64</v>
      </c>
    </row>
    <row r="6" spans="1:29" x14ac:dyDescent="0.25">
      <c r="A6" t="s">
        <v>65</v>
      </c>
    </row>
    <row r="8" spans="1:29" x14ac:dyDescent="0.25">
      <c r="A8" t="s">
        <v>63</v>
      </c>
    </row>
    <row r="9" spans="1:29" x14ac:dyDescent="0.25">
      <c r="A9" s="26" t="s">
        <v>55</v>
      </c>
      <c r="B9" s="36" t="s">
        <v>67</v>
      </c>
      <c r="C9" t="s">
        <v>66</v>
      </c>
    </row>
    <row r="14" spans="1:29" x14ac:dyDescent="0.25">
      <c r="A14" s="32" t="s">
        <v>54</v>
      </c>
    </row>
    <row r="15" spans="1:29" ht="16.2" x14ac:dyDescent="0.3">
      <c r="H15" s="1" t="s">
        <v>0</v>
      </c>
      <c r="I15" s="2">
        <f>T47</f>
        <v>0.22850544801637096</v>
      </c>
      <c r="J15" s="2">
        <f>X47</f>
        <v>0.10911424286536887</v>
      </c>
      <c r="K15" s="32" t="s">
        <v>53</v>
      </c>
      <c r="M15" s="10">
        <f>10^I15</f>
        <v>1.6924094747699299</v>
      </c>
      <c r="N15" s="10">
        <f>((10^(I15+J15))-10^(I15-J15))/2</f>
        <v>0.42969675058100931</v>
      </c>
      <c r="O15" s="32" t="s">
        <v>57</v>
      </c>
      <c r="Y15" s="4" t="s">
        <v>8</v>
      </c>
    </row>
    <row r="16" spans="1:29" ht="15.6" x14ac:dyDescent="0.35">
      <c r="A16" t="s">
        <v>50</v>
      </c>
      <c r="H16" s="1" t="s">
        <v>1</v>
      </c>
      <c r="I16" s="2">
        <f>T50</f>
        <v>-9.4754610684966492E-4</v>
      </c>
      <c r="J16" s="2">
        <f>X50</f>
        <v>0.22435080102747093</v>
      </c>
      <c r="K16" s="18" t="s">
        <v>31</v>
      </c>
      <c r="Z16" s="7" t="s">
        <v>25</v>
      </c>
      <c r="AA16" s="7"/>
      <c r="AB16" s="7"/>
      <c r="AC16" s="7" t="s">
        <v>18</v>
      </c>
    </row>
    <row r="17" spans="1:30" ht="15.6" x14ac:dyDescent="0.35">
      <c r="Y17" s="1" t="s">
        <v>22</v>
      </c>
      <c r="Z17" s="7" t="s">
        <v>24</v>
      </c>
      <c r="AA17" s="7" t="s">
        <v>26</v>
      </c>
      <c r="AB17" s="7" t="s">
        <v>27</v>
      </c>
      <c r="AC17" s="7" t="s">
        <v>19</v>
      </c>
    </row>
    <row r="18" spans="1:30" ht="16.8" x14ac:dyDescent="0.35">
      <c r="G18" s="23" t="s">
        <v>59</v>
      </c>
      <c r="I18" s="10">
        <v>0.15</v>
      </c>
      <c r="J18">
        <v>0.01</v>
      </c>
      <c r="Y18" s="4" t="s">
        <v>23</v>
      </c>
    </row>
    <row r="19" spans="1:30" ht="15.6" x14ac:dyDescent="0.25">
      <c r="A19" s="24" t="s">
        <v>58</v>
      </c>
      <c r="B19" s="3"/>
      <c r="C19" s="3"/>
      <c r="G19" s="23" t="s">
        <v>60</v>
      </c>
      <c r="I19">
        <v>0.02</v>
      </c>
      <c r="J19">
        <v>0.02</v>
      </c>
      <c r="Y19">
        <v>0</v>
      </c>
      <c r="Z19">
        <f>$I$15+$I$16*Y19</f>
        <v>0.22850544801637096</v>
      </c>
      <c r="AA19">
        <f>Z19+AC19</f>
        <v>0.33761969088173982</v>
      </c>
      <c r="AB19">
        <f>Z19-AC19</f>
        <v>0.11939120515100209</v>
      </c>
      <c r="AC19">
        <f>SQRT($J$15*$J$15+($J$16*Y19)^2)</f>
        <v>0.10911424286536887</v>
      </c>
      <c r="AD19" t="s">
        <v>32</v>
      </c>
    </row>
    <row r="20" spans="1:30" x14ac:dyDescent="0.25">
      <c r="B20" s="3"/>
      <c r="Y20" s="10">
        <v>3.8</v>
      </c>
      <c r="Z20">
        <f>$I$15+$I$16*Y20</f>
        <v>0.22490477281034224</v>
      </c>
      <c r="AA20">
        <f>Z20+AC20</f>
        <v>1.0843921252158133</v>
      </c>
      <c r="AB20">
        <f>Z20-AC20</f>
        <v>-0.63458257959512876</v>
      </c>
      <c r="AC20">
        <f>SQRT($J$15*$J$15+($J$16*Y20)^2)</f>
        <v>0.85948735240547103</v>
      </c>
      <c r="AD20" t="s">
        <v>32</v>
      </c>
    </row>
    <row r="21" spans="1:30" x14ac:dyDescent="0.25">
      <c r="C21" s="3"/>
    </row>
    <row r="22" spans="1:30" ht="16.8" x14ac:dyDescent="0.35">
      <c r="A22" s="16" t="s">
        <v>30</v>
      </c>
      <c r="B22" s="25">
        <f>0^2-1^2-1^2</f>
        <v>-2</v>
      </c>
      <c r="G22" s="23" t="s">
        <v>61</v>
      </c>
      <c r="I22" s="2">
        <f>-I16+I18+I19</f>
        <v>0.17094754610684965</v>
      </c>
      <c r="J22" s="10">
        <f>SQRT(J16^2+J18^2+J19^2)</f>
        <v>0.2254623736273258</v>
      </c>
      <c r="K22" s="10"/>
    </row>
    <row r="23" spans="1:30" ht="15.6" x14ac:dyDescent="0.35">
      <c r="A23" s="34" t="s">
        <v>56</v>
      </c>
      <c r="B23" s="3">
        <f>1-1-1</f>
        <v>-1</v>
      </c>
    </row>
    <row r="24" spans="1:30" x14ac:dyDescent="0.25">
      <c r="A24" s="3"/>
      <c r="B24" s="3"/>
    </row>
    <row r="25" spans="1:30" x14ac:dyDescent="0.25">
      <c r="A25" s="3"/>
      <c r="B25" s="3"/>
    </row>
    <row r="27" spans="1:30" x14ac:dyDescent="0.25">
      <c r="A27" s="3"/>
      <c r="B27" s="3"/>
      <c r="M27" t="s">
        <v>2</v>
      </c>
      <c r="N27">
        <v>0.5091</v>
      </c>
      <c r="Y27" s="10"/>
    </row>
    <row r="28" spans="1:30" ht="13.8" x14ac:dyDescent="0.3">
      <c r="C28" s="4" t="s">
        <v>3</v>
      </c>
      <c r="D28" s="5"/>
      <c r="M28" t="s">
        <v>4</v>
      </c>
      <c r="N28">
        <f>COUNT(N34:N40)</f>
        <v>6</v>
      </c>
    </row>
    <row r="29" spans="1:30" x14ac:dyDescent="0.25">
      <c r="C29" s="3" t="s">
        <v>5</v>
      </c>
      <c r="D29" s="3"/>
      <c r="N29" s="1" t="s">
        <v>6</v>
      </c>
      <c r="O29" s="1"/>
    </row>
    <row r="30" spans="1:30" ht="13.8" x14ac:dyDescent="0.3">
      <c r="C30" s="4" t="s">
        <v>7</v>
      </c>
      <c r="D30" s="5"/>
      <c r="M30" s="6"/>
      <c r="N30">
        <f>SUM(N34:N40)/$N$28</f>
        <v>0.22819973963667453</v>
      </c>
    </row>
    <row r="31" spans="1:30" ht="16.8" x14ac:dyDescent="0.35">
      <c r="B31" t="s">
        <v>28</v>
      </c>
      <c r="C31" s="7" t="s">
        <v>10</v>
      </c>
      <c r="D31" s="7" t="s">
        <v>11</v>
      </c>
      <c r="E31" s="7" t="s">
        <v>12</v>
      </c>
      <c r="F31" s="7" t="s">
        <v>13</v>
      </c>
      <c r="G31" s="7" t="s">
        <v>14</v>
      </c>
      <c r="H31" s="6" t="s">
        <v>15</v>
      </c>
      <c r="I31" s="8" t="s">
        <v>16</v>
      </c>
      <c r="L31" s="31" t="s">
        <v>52</v>
      </c>
      <c r="N31" s="7" t="s">
        <v>17</v>
      </c>
      <c r="O31" s="8" t="s">
        <v>16</v>
      </c>
      <c r="Y31" s="7"/>
      <c r="AB31" s="7"/>
      <c r="AC31" s="7"/>
      <c r="AD31" s="7"/>
    </row>
    <row r="32" spans="1:30" x14ac:dyDescent="0.25">
      <c r="A32" t="s">
        <v>9</v>
      </c>
      <c r="B32" t="s">
        <v>29</v>
      </c>
      <c r="C32" s="7" t="s">
        <v>20</v>
      </c>
      <c r="D32" s="7" t="s">
        <v>20</v>
      </c>
      <c r="F32" s="7" t="s">
        <v>21</v>
      </c>
      <c r="G32" s="7" t="s">
        <v>21</v>
      </c>
      <c r="Y32" s="9"/>
      <c r="Z32" s="1"/>
      <c r="AA32" s="1"/>
      <c r="AB32" s="9"/>
      <c r="AC32" s="9"/>
      <c r="AD32" s="3"/>
    </row>
    <row r="33" spans="1:24" ht="16.8" x14ac:dyDescent="0.35">
      <c r="C33" s="4" t="s">
        <v>3</v>
      </c>
      <c r="D33" s="5"/>
      <c r="Q33" s="19" t="s">
        <v>33</v>
      </c>
      <c r="R33" s="19" t="s">
        <v>34</v>
      </c>
      <c r="S33" s="19" t="s">
        <v>35</v>
      </c>
      <c r="T33" s="19" t="s">
        <v>36</v>
      </c>
      <c r="U33" s="19" t="s">
        <v>37</v>
      </c>
    </row>
    <row r="34" spans="1:24" ht="14.4" x14ac:dyDescent="0.3">
      <c r="A34" s="26" t="s">
        <v>55</v>
      </c>
      <c r="B34" s="27" t="s">
        <v>51</v>
      </c>
      <c r="C34" s="28">
        <v>0.02</v>
      </c>
      <c r="D34" s="35">
        <f>LOG(1.35)</f>
        <v>0.13033376849500614</v>
      </c>
      <c r="E34">
        <v>1</v>
      </c>
      <c r="F34" s="29">
        <f t="shared" ref="F34:F39" si="0">C34*E34</f>
        <v>0.02</v>
      </c>
      <c r="G34" s="35">
        <f t="shared" ref="G34:G39" si="1">D34+$B$23*LOG(E34)</f>
        <v>0.13033376849500614</v>
      </c>
      <c r="H34">
        <f>(LOG(1.35+0.07)-LOG(1.35-0.07))/2</f>
        <v>2.2539187367594075E-2</v>
      </c>
      <c r="I34" s="35">
        <v>0.2</v>
      </c>
      <c r="L34" s="2">
        <f t="shared" ref="L34:L39" si="2">F34</f>
        <v>0.02</v>
      </c>
      <c r="N34" s="2">
        <f t="shared" ref="N34:N39" si="3">G34-$B$22*($N$27*SQRT(F34)/(1+1.5*SQRT(F34)))</f>
        <v>0.24912876841210407</v>
      </c>
      <c r="O34" s="2">
        <f t="shared" ref="O34:O39" si="4">I34</f>
        <v>0.2</v>
      </c>
      <c r="Q34" s="30">
        <f t="shared" ref="Q34:Q39" si="5">1/O34^2</f>
        <v>24.999999999999996</v>
      </c>
      <c r="R34" s="30">
        <f t="shared" ref="R34:R39" si="6">L34*Q34</f>
        <v>0.49999999999999994</v>
      </c>
      <c r="S34" s="30">
        <f t="shared" ref="S34:S39" si="7">L34*L34*Q34</f>
        <v>9.9999999999999985E-3</v>
      </c>
      <c r="T34" s="30">
        <f t="shared" ref="T34:T39" si="8">N34*Q34</f>
        <v>6.2282192103026013</v>
      </c>
      <c r="U34" s="30">
        <f t="shared" ref="U34:U39" si="9">L34*N34*Q34</f>
        <v>0.12456438420605201</v>
      </c>
    </row>
    <row r="35" spans="1:24" ht="14.4" x14ac:dyDescent="0.3">
      <c r="A35" s="26" t="s">
        <v>55</v>
      </c>
      <c r="B35" s="27" t="s">
        <v>51</v>
      </c>
      <c r="C35" s="28">
        <v>0.05</v>
      </c>
      <c r="D35" s="35">
        <f>LOG(1.12)</f>
        <v>4.9218022670181653E-2</v>
      </c>
      <c r="E35">
        <v>1</v>
      </c>
      <c r="F35" s="29">
        <f t="shared" si="0"/>
        <v>0.05</v>
      </c>
      <c r="G35" s="35">
        <f t="shared" si="1"/>
        <v>4.9218022670181653E-2</v>
      </c>
      <c r="H35">
        <f>(LOG(1.12+0.26)-LOG(1.12-0.26))/2</f>
        <v>0.1026903175788344</v>
      </c>
      <c r="I35" s="35">
        <v>0.2</v>
      </c>
      <c r="L35" s="2">
        <f t="shared" si="2"/>
        <v>0.05</v>
      </c>
      <c r="N35" s="2">
        <f t="shared" si="3"/>
        <v>0.21970978770570682</v>
      </c>
      <c r="O35" s="2">
        <f t="shared" si="4"/>
        <v>0.2</v>
      </c>
      <c r="Q35" s="30">
        <f t="shared" si="5"/>
        <v>24.999999999999996</v>
      </c>
      <c r="R35" s="30">
        <f t="shared" si="6"/>
        <v>1.25</v>
      </c>
      <c r="S35" s="30">
        <f t="shared" si="7"/>
        <v>6.25E-2</v>
      </c>
      <c r="T35" s="30">
        <f t="shared" si="8"/>
        <v>5.4927446926426695</v>
      </c>
      <c r="U35" s="30">
        <f t="shared" si="9"/>
        <v>0.27463723463213346</v>
      </c>
    </row>
    <row r="36" spans="1:24" ht="14.4" x14ac:dyDescent="0.3">
      <c r="A36" s="26" t="s">
        <v>55</v>
      </c>
      <c r="B36" s="27" t="s">
        <v>51</v>
      </c>
      <c r="C36" s="28">
        <v>0.1</v>
      </c>
      <c r="D36" s="35">
        <f>LOG(1.08)</f>
        <v>3.342375548694973E-2</v>
      </c>
      <c r="E36">
        <v>1.0073000000000001</v>
      </c>
      <c r="F36" s="29">
        <f t="shared" si="0"/>
        <v>0.10073000000000001</v>
      </c>
      <c r="G36" s="35">
        <f t="shared" si="1"/>
        <v>3.0264921536087667E-2</v>
      </c>
      <c r="H36">
        <f>(LOG(1.08+0.03)-LOG(1.08-0.03))/2</f>
        <v>1.2066839858359692E-2</v>
      </c>
      <c r="I36" s="35">
        <v>0.2</v>
      </c>
      <c r="L36" s="2">
        <f t="shared" si="2"/>
        <v>0.10073000000000001</v>
      </c>
      <c r="N36" s="2">
        <f t="shared" si="3"/>
        <v>0.24919508475015367</v>
      </c>
      <c r="O36" s="2">
        <f t="shared" si="4"/>
        <v>0.2</v>
      </c>
      <c r="Q36" s="30">
        <f t="shared" si="5"/>
        <v>24.999999999999996</v>
      </c>
      <c r="R36" s="30">
        <f t="shared" si="6"/>
        <v>2.5182500000000001</v>
      </c>
      <c r="S36" s="30">
        <f t="shared" si="7"/>
        <v>0.25366332250000007</v>
      </c>
      <c r="T36" s="30">
        <f t="shared" si="8"/>
        <v>6.2298771187538406</v>
      </c>
      <c r="U36" s="30">
        <f t="shared" si="9"/>
        <v>0.62753552217207453</v>
      </c>
    </row>
    <row r="37" spans="1:24" ht="14.4" x14ac:dyDescent="0.3">
      <c r="A37" s="26" t="s">
        <v>55</v>
      </c>
      <c r="B37" s="27" t="s">
        <v>51</v>
      </c>
      <c r="C37" s="28">
        <v>0.2</v>
      </c>
      <c r="D37" s="35">
        <f>LOG(0.95)</f>
        <v>-2.2276394711152253E-2</v>
      </c>
      <c r="E37">
        <v>1.0118</v>
      </c>
      <c r="F37" s="29">
        <f t="shared" si="0"/>
        <v>0.20236000000000001</v>
      </c>
      <c r="G37" s="35">
        <f t="shared" si="1"/>
        <v>-2.7371069783700824E-2</v>
      </c>
      <c r="H37">
        <f>(LOG(0.95+0.02)-LOG(0.95-0.02))/2</f>
        <v>9.1443928561548756E-3</v>
      </c>
      <c r="I37" s="35">
        <v>0.2</v>
      </c>
      <c r="L37" s="2">
        <f t="shared" si="2"/>
        <v>0.20236000000000001</v>
      </c>
      <c r="N37" s="2">
        <f t="shared" si="3"/>
        <v>0.24611872798822979</v>
      </c>
      <c r="O37" s="2">
        <f t="shared" si="4"/>
        <v>0.2</v>
      </c>
      <c r="Q37" s="30">
        <f t="shared" si="5"/>
        <v>24.999999999999996</v>
      </c>
      <c r="R37" s="30">
        <f t="shared" si="6"/>
        <v>5.0589999999999993</v>
      </c>
      <c r="S37" s="30">
        <f t="shared" si="7"/>
        <v>1.0237392400000001</v>
      </c>
      <c r="T37" s="30">
        <f t="shared" si="8"/>
        <v>6.1529681997057439</v>
      </c>
      <c r="U37" s="30">
        <f t="shared" si="9"/>
        <v>1.2451146448924544</v>
      </c>
    </row>
    <row r="38" spans="1:24" ht="14.4" x14ac:dyDescent="0.3">
      <c r="A38" s="26" t="s">
        <v>55</v>
      </c>
      <c r="B38" s="27" t="s">
        <v>51</v>
      </c>
      <c r="C38" s="28">
        <v>0.5</v>
      </c>
      <c r="D38" s="35">
        <f>LOG(0.63)</f>
        <v>-0.20065945054641829</v>
      </c>
      <c r="E38">
        <v>1.0256000000000001</v>
      </c>
      <c r="F38" s="29">
        <f t="shared" si="0"/>
        <v>0.51280000000000003</v>
      </c>
      <c r="G38" s="35">
        <f t="shared" si="1"/>
        <v>-0.21163746272116052</v>
      </c>
      <c r="H38">
        <f>(LOG(0.63+0.02)-LOG(0.63-0.02))/2</f>
        <v>1.3791760816044274E-2</v>
      </c>
      <c r="I38" s="35">
        <v>0.2</v>
      </c>
      <c r="L38" s="2">
        <f t="shared" si="2"/>
        <v>0.51280000000000003</v>
      </c>
      <c r="N38" s="2">
        <f t="shared" si="3"/>
        <v>0.13989607669481435</v>
      </c>
      <c r="O38" s="2">
        <f t="shared" si="4"/>
        <v>0.2</v>
      </c>
      <c r="Q38" s="30">
        <f t="shared" si="5"/>
        <v>24.999999999999996</v>
      </c>
      <c r="R38" s="30">
        <f t="shared" si="6"/>
        <v>12.819999999999999</v>
      </c>
      <c r="S38" s="30">
        <f t="shared" si="7"/>
        <v>6.5740960000000008</v>
      </c>
      <c r="T38" s="30">
        <f t="shared" si="8"/>
        <v>3.4974019173703583</v>
      </c>
      <c r="U38" s="30">
        <f t="shared" si="9"/>
        <v>1.7934677032275201</v>
      </c>
    </row>
    <row r="39" spans="1:24" ht="14.4" x14ac:dyDescent="0.3">
      <c r="A39" s="26" t="s">
        <v>55</v>
      </c>
      <c r="B39" s="27" t="s">
        <v>51</v>
      </c>
      <c r="C39" s="33">
        <v>1</v>
      </c>
      <c r="D39" s="35">
        <f>LOG(0.75)</f>
        <v>-0.12493873660829995</v>
      </c>
      <c r="E39">
        <v>1.0499000000000001</v>
      </c>
      <c r="F39" s="29">
        <f t="shared" si="0"/>
        <v>1.0499000000000001</v>
      </c>
      <c r="G39" s="35">
        <f t="shared" si="1"/>
        <v>-0.14608667232929462</v>
      </c>
      <c r="H39">
        <f>(LOG(0.75+0.05)-LOG(0.75-0.05))/2</f>
        <v>2.8995973488843398E-2</v>
      </c>
      <c r="I39" s="35">
        <v>0.2</v>
      </c>
      <c r="L39" s="2">
        <f t="shared" si="2"/>
        <v>1.0499000000000001</v>
      </c>
      <c r="N39" s="2">
        <f t="shared" si="3"/>
        <v>0.26514999226903846</v>
      </c>
      <c r="O39" s="2">
        <f t="shared" si="4"/>
        <v>0.2</v>
      </c>
      <c r="Q39" s="30">
        <f t="shared" si="5"/>
        <v>24.999999999999996</v>
      </c>
      <c r="R39" s="30">
        <f t="shared" si="6"/>
        <v>26.247499999999999</v>
      </c>
      <c r="S39" s="30">
        <f t="shared" si="7"/>
        <v>27.557250249999999</v>
      </c>
      <c r="T39" s="30">
        <f t="shared" si="8"/>
        <v>6.6287498067259607</v>
      </c>
      <c r="U39" s="30">
        <f t="shared" si="9"/>
        <v>6.9595244220815866</v>
      </c>
    </row>
    <row r="42" spans="1:24" x14ac:dyDescent="0.25">
      <c r="K42" s="1"/>
      <c r="P42" s="16" t="s">
        <v>38</v>
      </c>
      <c r="Q42">
        <f>SUM(Q34:Q40)</f>
        <v>149.99999999999997</v>
      </c>
      <c r="R42">
        <f>SUM(R34:R40)</f>
        <v>48.394750000000002</v>
      </c>
      <c r="S42">
        <f>SUM(S34:S40)</f>
        <v>35.481248812499999</v>
      </c>
      <c r="T42">
        <f>SUM(T34:T40)</f>
        <v>34.229960945501176</v>
      </c>
      <c r="U42">
        <f>SUM(U34:U40)</f>
        <v>11.024843911211821</v>
      </c>
    </row>
    <row r="44" spans="1:24" ht="16.8" x14ac:dyDescent="0.35">
      <c r="E44" s="17"/>
      <c r="S44" s="16" t="s">
        <v>39</v>
      </c>
      <c r="T44">
        <f>Q42*S42-R42^2</f>
        <v>2980.1354943124988</v>
      </c>
    </row>
    <row r="45" spans="1:24" ht="16.8" x14ac:dyDescent="0.35">
      <c r="E45" s="17"/>
      <c r="S45" s="16" t="s">
        <v>40</v>
      </c>
      <c r="T45">
        <f>S42*T42</f>
        <v>1214.521761149485</v>
      </c>
    </row>
    <row r="46" spans="1:24" ht="16.8" x14ac:dyDescent="0.35">
      <c r="S46" s="16" t="s">
        <v>41</v>
      </c>
      <c r="T46">
        <f>R42*U42</f>
        <v>533.54456487211826</v>
      </c>
    </row>
    <row r="47" spans="1:24" ht="16.8" x14ac:dyDescent="0.35">
      <c r="E47" s="17"/>
      <c r="Q47" s="1" t="s">
        <v>42</v>
      </c>
      <c r="S47" s="20" t="s">
        <v>43</v>
      </c>
      <c r="T47">
        <f>(T45-T46)/T44</f>
        <v>0.22850544801637096</v>
      </c>
      <c r="W47" s="21" t="s">
        <v>44</v>
      </c>
      <c r="X47">
        <f>SQRT(S42/T44)</f>
        <v>0.10911424286536887</v>
      </c>
    </row>
    <row r="48" spans="1:24" ht="16.8" x14ac:dyDescent="0.35">
      <c r="K48" s="2"/>
      <c r="M48" s="2"/>
      <c r="N48" s="2"/>
      <c r="O48" s="2"/>
      <c r="S48" s="16" t="s">
        <v>45</v>
      </c>
      <c r="T48">
        <f>Q42*U42</f>
        <v>1653.7265866817729</v>
      </c>
    </row>
    <row r="49" spans="1:24" ht="16.8" x14ac:dyDescent="0.35">
      <c r="A49" s="11"/>
      <c r="B49" s="11"/>
      <c r="C49" s="12"/>
      <c r="J49" s="2"/>
      <c r="K49" s="2"/>
      <c r="M49" s="2"/>
      <c r="N49" s="2"/>
      <c r="O49" s="2"/>
      <c r="S49" s="16" t="s">
        <v>46</v>
      </c>
      <c r="T49">
        <f>R42*T42</f>
        <v>1656.5504024672932</v>
      </c>
    </row>
    <row r="50" spans="1:24" ht="16.8" x14ac:dyDescent="0.35">
      <c r="A50" s="11"/>
      <c r="B50" s="11"/>
      <c r="C50" s="12"/>
      <c r="J50" s="2"/>
      <c r="M50" s="2"/>
      <c r="N50" s="2"/>
      <c r="O50" s="2"/>
      <c r="Q50" s="1" t="s">
        <v>47</v>
      </c>
      <c r="S50" s="22" t="s">
        <v>49</v>
      </c>
      <c r="T50">
        <f>(T48-T49)/T44</f>
        <v>-9.4754610684966492E-4</v>
      </c>
      <c r="W50" s="21" t="s">
        <v>48</v>
      </c>
      <c r="X50">
        <f>SQRT(Q42/T44)</f>
        <v>0.22435080102747093</v>
      </c>
    </row>
    <row r="51" spans="1:24" x14ac:dyDescent="0.25">
      <c r="A51" s="11"/>
      <c r="B51" s="11"/>
      <c r="C51" s="12"/>
      <c r="J51" s="2"/>
      <c r="M51" s="2"/>
      <c r="N51" s="2"/>
      <c r="O51" s="2"/>
    </row>
    <row r="52" spans="1:24" x14ac:dyDescent="0.25">
      <c r="J52" s="2"/>
      <c r="M52" s="2"/>
      <c r="N52" s="2"/>
      <c r="O52" s="2"/>
    </row>
    <row r="53" spans="1:24" x14ac:dyDescent="0.25">
      <c r="J53" s="2"/>
      <c r="M53" s="2"/>
      <c r="N53" s="2"/>
      <c r="O53" s="2"/>
    </row>
    <row r="54" spans="1:24" x14ac:dyDescent="0.25">
      <c r="J54" s="2"/>
      <c r="M54" s="2"/>
      <c r="N54" s="2"/>
      <c r="O54" s="2"/>
    </row>
    <row r="55" spans="1:24" x14ac:dyDescent="0.25">
      <c r="J55" s="2"/>
      <c r="M55" s="2"/>
      <c r="N55" s="2"/>
      <c r="O55" s="2"/>
    </row>
    <row r="56" spans="1:24" x14ac:dyDescent="0.25">
      <c r="J56" s="2"/>
      <c r="K56" s="2"/>
      <c r="M56" s="2"/>
      <c r="N56" s="2"/>
      <c r="O56" s="2"/>
    </row>
    <row r="57" spans="1:24" x14ac:dyDescent="0.25">
      <c r="J57" s="2"/>
      <c r="L57" s="2"/>
      <c r="M57" s="2"/>
      <c r="N57" s="2"/>
      <c r="O57" s="2"/>
    </row>
    <row r="58" spans="1:24" x14ac:dyDescent="0.25">
      <c r="J58" s="2"/>
      <c r="K58" s="2"/>
      <c r="M58" s="2"/>
      <c r="N58" s="2"/>
      <c r="O58" s="2"/>
    </row>
    <row r="59" spans="1:24" x14ac:dyDescent="0.25">
      <c r="J59" s="2"/>
      <c r="M59" s="2"/>
      <c r="N59" s="2"/>
      <c r="O59" s="2"/>
    </row>
    <row r="60" spans="1:24" x14ac:dyDescent="0.25">
      <c r="J60" s="2"/>
      <c r="K60" s="2"/>
      <c r="M60" s="2"/>
      <c r="N60" s="2"/>
      <c r="O60" s="2"/>
      <c r="P60" s="10"/>
      <c r="R60" s="2"/>
    </row>
    <row r="61" spans="1:24" x14ac:dyDescent="0.25">
      <c r="J61" s="2"/>
      <c r="M61" s="2"/>
      <c r="N61" s="2"/>
      <c r="O61" s="2"/>
      <c r="P61" s="10"/>
      <c r="R61" s="2"/>
    </row>
    <row r="62" spans="1:24" x14ac:dyDescent="0.25">
      <c r="J62" s="2"/>
      <c r="M62" s="2"/>
      <c r="N62" s="2"/>
      <c r="O62" s="2"/>
      <c r="P62" s="10"/>
      <c r="R62" s="2"/>
    </row>
    <row r="63" spans="1:24" x14ac:dyDescent="0.25">
      <c r="J63" s="2"/>
      <c r="M63" s="2"/>
      <c r="N63" s="2"/>
      <c r="O63" s="2"/>
      <c r="P63" s="10"/>
      <c r="R63" s="2"/>
    </row>
    <row r="64" spans="1:24" x14ac:dyDescent="0.25">
      <c r="J64" s="2"/>
      <c r="M64" s="2"/>
      <c r="N64" s="2"/>
      <c r="O64" s="2"/>
      <c r="P64" s="10"/>
      <c r="R64" s="2"/>
    </row>
    <row r="65" spans="1:21" x14ac:dyDescent="0.25">
      <c r="J65" s="2"/>
      <c r="M65" s="2"/>
      <c r="N65" s="2"/>
      <c r="O65" s="2"/>
      <c r="P65" s="10"/>
      <c r="R65" s="2"/>
    </row>
    <row r="66" spans="1:21" x14ac:dyDescent="0.25">
      <c r="J66" s="2"/>
      <c r="M66" s="2"/>
      <c r="N66" s="2"/>
      <c r="O66" s="2"/>
      <c r="P66" s="10"/>
      <c r="R66" s="2"/>
    </row>
    <row r="67" spans="1:21" x14ac:dyDescent="0.25">
      <c r="J67" s="2"/>
      <c r="M67" s="2"/>
      <c r="N67" s="2"/>
      <c r="O67" s="2"/>
      <c r="P67" s="10"/>
      <c r="R67" s="2"/>
    </row>
    <row r="68" spans="1:21" x14ac:dyDescent="0.25">
      <c r="J68" s="2"/>
      <c r="M68" s="2"/>
      <c r="N68" s="2"/>
      <c r="O68" s="2"/>
      <c r="P68" s="10"/>
      <c r="R68" s="2"/>
    </row>
    <row r="69" spans="1:21" x14ac:dyDescent="0.25">
      <c r="J69" s="2"/>
      <c r="M69" s="2"/>
      <c r="N69" s="2"/>
      <c r="O69" s="2"/>
      <c r="P69" s="10"/>
      <c r="R69" s="2"/>
    </row>
    <row r="70" spans="1:21" x14ac:dyDescent="0.25">
      <c r="J70" s="2"/>
      <c r="M70" s="2"/>
      <c r="N70" s="2"/>
      <c r="O70" s="2"/>
      <c r="P70" s="10"/>
      <c r="R70" s="2"/>
    </row>
    <row r="71" spans="1:21" x14ac:dyDescent="0.25">
      <c r="A71" s="11"/>
      <c r="B71" s="11"/>
      <c r="C71" s="12"/>
      <c r="J71" s="2"/>
      <c r="K71" s="2"/>
      <c r="M71" s="2"/>
      <c r="N71" s="2"/>
      <c r="O71" s="2"/>
      <c r="P71" s="10"/>
      <c r="R71" s="2"/>
    </row>
    <row r="72" spans="1:21" x14ac:dyDescent="0.25">
      <c r="A72" s="11"/>
      <c r="B72" s="11"/>
      <c r="C72" s="12"/>
      <c r="J72" s="2"/>
      <c r="M72" s="2"/>
      <c r="N72" s="2"/>
      <c r="O72" s="2"/>
      <c r="P72" s="10"/>
      <c r="R72" s="2"/>
    </row>
    <row r="73" spans="1:21" x14ac:dyDescent="0.25">
      <c r="A73" s="11"/>
      <c r="B73" s="11"/>
      <c r="C73" s="12"/>
      <c r="J73" s="2"/>
      <c r="K73" s="2"/>
      <c r="M73" s="2"/>
      <c r="N73" s="2"/>
      <c r="O73" s="2"/>
      <c r="P73" s="10"/>
      <c r="R73" s="2"/>
    </row>
    <row r="74" spans="1:21" x14ac:dyDescent="0.25">
      <c r="A74" s="11"/>
      <c r="B74" s="11"/>
      <c r="C74" s="12"/>
      <c r="J74" s="2"/>
      <c r="K74" s="2"/>
      <c r="M74" s="2"/>
      <c r="N74" s="2"/>
      <c r="O74" s="2"/>
      <c r="P74" s="10"/>
      <c r="S74" s="2"/>
      <c r="U74" s="2"/>
    </row>
    <row r="75" spans="1:21" x14ac:dyDescent="0.25">
      <c r="A75" s="11"/>
      <c r="B75" s="11"/>
      <c r="C75" s="12"/>
      <c r="J75" s="2"/>
      <c r="K75" s="2"/>
      <c r="M75" s="2"/>
      <c r="N75" s="2"/>
      <c r="O75" s="2"/>
      <c r="P75" s="10"/>
      <c r="S75" s="2"/>
      <c r="U75" s="2"/>
    </row>
    <row r="76" spans="1:21" x14ac:dyDescent="0.25">
      <c r="A76" s="11"/>
      <c r="B76" s="11"/>
      <c r="C76" s="12"/>
      <c r="J76" s="2"/>
      <c r="K76" s="2"/>
      <c r="M76" s="2"/>
      <c r="N76" s="2"/>
      <c r="O76" s="2"/>
      <c r="P76" s="10"/>
      <c r="S76" s="2"/>
      <c r="U76" s="2"/>
    </row>
    <row r="77" spans="1:21" x14ac:dyDescent="0.25">
      <c r="A77" s="11"/>
      <c r="B77" s="11"/>
      <c r="C77" s="12"/>
      <c r="D77" s="13"/>
      <c r="E77" s="2"/>
      <c r="F77" s="14"/>
      <c r="G77" s="10"/>
      <c r="H77" s="15"/>
      <c r="I77" s="13"/>
      <c r="J77" s="2"/>
      <c r="K77" s="2"/>
      <c r="M77" s="2"/>
      <c r="N77" s="2"/>
      <c r="O77" s="2"/>
      <c r="P77" s="10"/>
      <c r="S77" s="2"/>
      <c r="U77" s="2"/>
    </row>
    <row r="78" spans="1:21" x14ac:dyDescent="0.25">
      <c r="A78" s="11"/>
      <c r="B78" s="11"/>
      <c r="C78" s="12"/>
      <c r="D78" s="13"/>
      <c r="E78" s="2"/>
      <c r="F78" s="14"/>
      <c r="G78" s="10"/>
      <c r="H78" s="15"/>
      <c r="I78" s="13"/>
      <c r="J78" s="2"/>
      <c r="K78" s="2"/>
      <c r="M78" s="2"/>
      <c r="N78" s="2"/>
      <c r="O78" s="2"/>
      <c r="P78" s="10"/>
      <c r="S78" s="2"/>
      <c r="U78" s="2"/>
    </row>
    <row r="79" spans="1:21" x14ac:dyDescent="0.25">
      <c r="A79" s="11"/>
      <c r="B79" s="11"/>
      <c r="C79" s="12"/>
      <c r="D79" s="13"/>
      <c r="E79" s="2"/>
      <c r="F79" s="14"/>
      <c r="G79" s="10"/>
      <c r="H79" s="15"/>
      <c r="I79" s="13"/>
      <c r="J79" s="2"/>
      <c r="M79" s="2"/>
      <c r="N79" s="2"/>
      <c r="O79" s="2"/>
      <c r="P79" s="10"/>
      <c r="S79" s="2"/>
      <c r="U79" s="2"/>
    </row>
    <row r="80" spans="1:21" x14ac:dyDescent="0.25">
      <c r="A80" s="11"/>
      <c r="B80" s="11"/>
      <c r="C80" s="12"/>
      <c r="D80" s="13"/>
      <c r="E80" s="2"/>
      <c r="F80" s="14"/>
      <c r="G80" s="10"/>
      <c r="H80" s="15"/>
      <c r="I80" s="13"/>
      <c r="J80" s="2"/>
      <c r="M80" s="2"/>
      <c r="N80" s="2"/>
      <c r="O80" s="2"/>
      <c r="P80" s="10"/>
      <c r="S80" s="2"/>
      <c r="U80" s="2"/>
    </row>
    <row r="81" spans="1:22" x14ac:dyDescent="0.25">
      <c r="A81" s="11"/>
      <c r="B81" s="11"/>
      <c r="C81" s="12"/>
      <c r="D81" s="13"/>
      <c r="E81" s="2"/>
      <c r="F81" s="14"/>
      <c r="G81" s="10"/>
      <c r="H81" s="15"/>
      <c r="I81" s="13"/>
      <c r="J81" s="2"/>
      <c r="L81" s="2"/>
      <c r="M81" s="2"/>
      <c r="N81" s="2"/>
      <c r="O81" s="2"/>
      <c r="P81" s="10"/>
      <c r="T81" s="2"/>
      <c r="V81" s="2"/>
    </row>
    <row r="82" spans="1:22" x14ac:dyDescent="0.25">
      <c r="A82" s="11"/>
      <c r="B82" s="11"/>
      <c r="C82" s="12"/>
      <c r="D82" s="13"/>
      <c r="E82" s="2"/>
      <c r="F82" s="14"/>
      <c r="G82" s="10"/>
      <c r="H82" s="15"/>
      <c r="I82" s="13"/>
      <c r="J82" s="2"/>
      <c r="L82" s="2"/>
      <c r="M82" s="2"/>
      <c r="N82" s="2"/>
      <c r="O82" s="2"/>
      <c r="P82" s="10"/>
      <c r="T82" s="2"/>
      <c r="V82" s="2"/>
    </row>
    <row r="83" spans="1:22" x14ac:dyDescent="0.25">
      <c r="A83" s="11"/>
      <c r="B83" s="11"/>
      <c r="C83" s="12"/>
      <c r="D83" s="13"/>
      <c r="E83" s="2"/>
      <c r="F83" s="14"/>
      <c r="G83" s="10"/>
      <c r="H83" s="15"/>
      <c r="I83" s="13"/>
      <c r="J83" s="2"/>
      <c r="L83" s="2"/>
      <c r="M83" s="2"/>
      <c r="N83" s="2"/>
      <c r="O83" s="2"/>
      <c r="P83" s="10"/>
      <c r="T83" s="2"/>
      <c r="V83" s="2"/>
    </row>
    <row r="84" spans="1:22" x14ac:dyDescent="0.25">
      <c r="A84" s="11"/>
      <c r="B84" s="11"/>
      <c r="C84" s="12"/>
      <c r="D84" s="13"/>
      <c r="E84" s="2"/>
      <c r="F84" s="14"/>
      <c r="G84" s="10"/>
      <c r="H84" s="15"/>
      <c r="I84" s="13"/>
      <c r="J84" s="2"/>
      <c r="L84" s="2"/>
      <c r="M84" s="2"/>
      <c r="N84" s="2"/>
      <c r="O84" s="2"/>
      <c r="P84" s="10"/>
      <c r="T84" s="2"/>
      <c r="V84" s="2"/>
    </row>
  </sheetData>
  <phoneticPr fontId="8" type="noConversion"/>
  <hyperlinks>
    <hyperlink ref="B9" r:id="rId1" xr:uid="{3C876ABB-D59B-4BE5-8250-5B3D1071B0A3}"/>
  </hyperlinks>
  <pageMargins left="0.75" right="0.75" top="1" bottom="1" header="0.5" footer="0.5"/>
  <pageSetup paperSize="9" orientation="landscape" horizontalDpi="300" verticalDpi="300" r:id="rId2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43" sqref="F43"/>
    </sheetView>
  </sheetViews>
  <sheetFormatPr defaultColWidth="11.5546875" defaultRowHeight="13.2" x14ac:dyDescent="0.25"/>
  <cols>
    <col min="1" max="256" width="8.77734375" customWidth="1"/>
  </cols>
  <sheetData/>
  <phoneticPr fontId="8" type="noConversion"/>
  <printOptions horizontalCentered="1"/>
  <pageMargins left="0.39370078740157483" right="0.39370078740157483" top="1.3779527559055118" bottom="0.78740157480314965" header="0.78740157480314965" footer="0.51181102362204722"/>
  <pageSetup paperSize="9" orientation="portrait" horizontalDpi="300" r:id="rId1"/>
  <headerFooter alignWithMargins="0">
    <oddHeader>Multi12_edta.xls</oddHeader>
    <oddFooter>&amp;L&amp;6&amp;F; &amp;A&amp;R&amp;6Page &amp;P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LiF(aq)</vt:lpstr>
      <vt:lpstr>Plot LiF(aq)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2023-11-14T16:00:34Z</dcterms:modified>
</cp:coreProperties>
</file>