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P:\Montse\Wolfgang\fets\"/>
    </mc:Choice>
  </mc:AlternateContent>
  <xr:revisionPtr revIDLastSave="0" documentId="13_ncr:1_{DFBCD991-DC5F-4158-88C7-291A161CE44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iTemp" sheetId="13" r:id="rId1"/>
  </sheets>
  <definedNames>
    <definedName name="_Regression_Out" hidden="1">#REF!</definedName>
    <definedName name="_Regression_X" hidden="1">#REF!</definedName>
    <definedName name="_Regression_Y" hidden="1">#REF!</definedName>
  </definedNames>
  <calcPr calcId="191029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56" i="13" l="1"/>
  <c r="AD55" i="13"/>
  <c r="AD54" i="13"/>
  <c r="AI46" i="13"/>
  <c r="AI45" i="13"/>
  <c r="AI44" i="13"/>
  <c r="AB44" i="13"/>
  <c r="F67" i="13"/>
  <c r="H67" i="13" s="1"/>
  <c r="F28" i="13"/>
  <c r="F45" i="13"/>
  <c r="G45" i="13" s="1"/>
  <c r="F46" i="13"/>
  <c r="G46" i="13" s="1"/>
  <c r="N46" i="13" s="1"/>
  <c r="J67" i="13"/>
  <c r="J28" i="13"/>
  <c r="I46" i="13"/>
  <c r="I44" i="13"/>
  <c r="E44" i="13"/>
  <c r="M67" i="13"/>
  <c r="B59" i="13"/>
  <c r="V58" i="13"/>
  <c r="U58" i="13"/>
  <c r="B58" i="13"/>
  <c r="U57" i="13"/>
  <c r="V56" i="13"/>
  <c r="U56" i="13"/>
  <c r="M46" i="13"/>
  <c r="M45" i="13"/>
  <c r="M44" i="13"/>
  <c r="U53" i="13"/>
  <c r="U52" i="13"/>
  <c r="U51" i="13"/>
  <c r="X36" i="13"/>
  <c r="X39" i="13" s="1"/>
  <c r="W46" i="13"/>
  <c r="Y46" i="13" s="1"/>
  <c r="W45" i="13"/>
  <c r="Y45" i="13" s="1"/>
  <c r="W44" i="13"/>
  <c r="Y44" i="13" s="1"/>
  <c r="G28" i="13"/>
  <c r="U28" i="13" s="1"/>
  <c r="E46" i="13"/>
  <c r="F44" i="13"/>
  <c r="G44" i="13" s="1"/>
  <c r="B36" i="13"/>
  <c r="H45" i="13" s="1"/>
  <c r="B35" i="13"/>
  <c r="M28" i="13"/>
  <c r="B20" i="13"/>
  <c r="B19" i="13"/>
  <c r="X45" i="13"/>
  <c r="H28" i="13" l="1"/>
  <c r="T45" i="13"/>
  <c r="V45" i="13" s="1"/>
  <c r="Q45" i="13" s="1"/>
  <c r="N28" i="13"/>
  <c r="H46" i="13"/>
  <c r="T46" i="13" s="1"/>
  <c r="N45" i="13"/>
  <c r="U45" i="13"/>
  <c r="X44" i="13"/>
  <c r="Z44" i="13" s="1"/>
  <c r="AJ44" i="13" s="1"/>
  <c r="AI48" i="13"/>
  <c r="T28" i="13"/>
  <c r="V28" i="13" s="1"/>
  <c r="Q28" i="13" s="1"/>
  <c r="X38" i="13"/>
  <c r="Z45" i="13" s="1"/>
  <c r="U44" i="13"/>
  <c r="N44" i="13"/>
  <c r="X46" i="13"/>
  <c r="U46" i="13"/>
  <c r="H44" i="13"/>
  <c r="T44" i="13" s="1"/>
  <c r="G67" i="13"/>
  <c r="Z46" i="13" l="1"/>
  <c r="V44" i="13"/>
  <c r="P44" i="13" s="1"/>
  <c r="AK44" i="13"/>
  <c r="AL45" i="13"/>
  <c r="AJ45" i="13"/>
  <c r="AK45" i="13"/>
  <c r="AM45" i="13"/>
  <c r="V57" i="13"/>
  <c r="V46" i="13"/>
  <c r="AM46" i="13" s="1"/>
  <c r="U67" i="13"/>
  <c r="N67" i="13"/>
  <c r="P46" i="13"/>
  <c r="AL44" i="13"/>
  <c r="AM44" i="13"/>
  <c r="AC44" i="13" a="1"/>
  <c r="AK46" i="13"/>
  <c r="AJ46" i="13"/>
  <c r="T67" i="13"/>
  <c r="V67" i="13" s="1"/>
  <c r="Q67" i="13" s="1"/>
  <c r="AJ48" i="13" l="1"/>
  <c r="AL46" i="13"/>
  <c r="AL48" i="13" s="1"/>
  <c r="AL55" i="13" s="1"/>
  <c r="AK48" i="13"/>
  <c r="AL50" i="13" s="1"/>
  <c r="AP56" i="13" s="1"/>
  <c r="AM48" i="13"/>
  <c r="AL54" i="13" s="1"/>
  <c r="AC48" i="13"/>
  <c r="AD48" i="13"/>
  <c r="AC47" i="13"/>
  <c r="AC45" i="13"/>
  <c r="AC50" i="13" s="1"/>
  <c r="AC46" i="13"/>
  <c r="AD47" i="13"/>
  <c r="AD46" i="13"/>
  <c r="AD44" i="13"/>
  <c r="AD45" i="13"/>
  <c r="AD50" i="13" s="1"/>
  <c r="AC44" i="13"/>
  <c r="AL51" i="13" l="1"/>
  <c r="AL53" i="13" s="1"/>
  <c r="AL52" i="13"/>
  <c r="AL56" i="13"/>
  <c r="AP53" i="13"/>
  <c r="W52" i="13"/>
  <c r="W53" i="13"/>
  <c r="V52" i="13"/>
  <c r="X51" i="13"/>
  <c r="V53" i="13"/>
  <c r="V51" i="13"/>
  <c r="X52" i="13"/>
  <c r="W51" i="13"/>
  <c r="X53" i="13"/>
  <c r="AE55" i="13" l="1"/>
  <c r="AE54" i="13"/>
  <c r="AG55" i="13"/>
  <c r="AG54" i="13"/>
  <c r="AF56" i="13"/>
  <c r="AF54" i="13"/>
  <c r="AF55" i="13"/>
  <c r="AG56" i="13"/>
  <c r="AE56" i="13"/>
</calcChain>
</file>

<file path=xl/sharedStrings.xml><?xml version="1.0" encoding="utf-8"?>
<sst xmlns="http://schemas.openxmlformats.org/spreadsheetml/2006/main" count="182" uniqueCount="89">
  <si>
    <t>A =</t>
  </si>
  <si>
    <t>-------------------------------------------</t>
  </si>
  <si>
    <t xml:space="preserve">   Experimental</t>
  </si>
  <si>
    <t>------ Data -------------------------------</t>
  </si>
  <si>
    <t>Reference</t>
  </si>
  <si>
    <t>I</t>
  </si>
  <si>
    <t>log K</t>
  </si>
  <si>
    <t>rho</t>
  </si>
  <si>
    <t>Im</t>
  </si>
  <si>
    <t>log Km</t>
  </si>
  <si>
    <t>s</t>
  </si>
  <si>
    <t>± (95%)</t>
  </si>
  <si>
    <t>Y</t>
  </si>
  <si>
    <t>±</t>
  </si>
  <si>
    <t>(molar)</t>
  </si>
  <si>
    <t>(molal)</t>
  </si>
  <si>
    <r>
      <t xml:space="preserve">log </t>
    </r>
    <r>
      <rPr>
        <i/>
        <sz val="10"/>
        <rFont val="Arial"/>
        <family val="2"/>
      </rPr>
      <t>K</t>
    </r>
    <r>
      <rPr>
        <vertAlign val="super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1</t>
    </r>
  </si>
  <si>
    <t>Backgrnd</t>
  </si>
  <si>
    <t>Electrolyte</t>
  </si>
  <si>
    <r>
      <t>Sn</t>
    </r>
    <r>
      <rPr>
        <vertAlign val="subscript"/>
        <sz val="10"/>
        <rFont val="Arial"/>
        <family val="2"/>
      </rPr>
      <t>b</t>
    </r>
    <r>
      <rPr>
        <sz val="10"/>
        <rFont val="Arial"/>
      </rPr>
      <t xml:space="preserve"> =</t>
    </r>
  </si>
  <si>
    <r>
      <t>D</t>
    </r>
    <r>
      <rPr>
        <sz val="10"/>
        <rFont val="Arial"/>
      </rPr>
      <t>z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 xml:space="preserve"> =</t>
    </r>
  </si>
  <si>
    <r>
      <t xml:space="preserve">1 / 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</si>
  <si>
    <r>
      <t>m</t>
    </r>
    <r>
      <rPr>
        <vertAlign val="subscript"/>
        <sz val="10"/>
        <rFont val="Arial"/>
        <family val="2"/>
      </rPr>
      <t>i</t>
    </r>
    <r>
      <rPr>
        <sz val="10"/>
        <rFont val="Arial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</si>
  <si>
    <r>
      <t>m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</si>
  <si>
    <r>
      <t>X</t>
    </r>
    <r>
      <rPr>
        <vertAlign val="subscript"/>
        <sz val="10"/>
        <rFont val="Arial"/>
        <family val="2"/>
      </rPr>
      <t>i</t>
    </r>
    <r>
      <rPr>
        <sz val="10"/>
        <rFont val="Arial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</si>
  <si>
    <r>
      <t>m</t>
    </r>
    <r>
      <rPr>
        <vertAlign val="subscript"/>
        <sz val="10"/>
        <rFont val="Arial"/>
        <family val="2"/>
      </rPr>
      <t>i</t>
    </r>
    <r>
      <rPr>
        <sz val="10"/>
        <rFont val="Arial"/>
      </rPr>
      <t>X</t>
    </r>
    <r>
      <rPr>
        <vertAlign val="subscript"/>
        <sz val="10"/>
        <rFont val="Arial"/>
        <family val="2"/>
      </rPr>
      <t>i</t>
    </r>
    <r>
      <rPr>
        <sz val="10"/>
        <rFont val="Arial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</si>
  <si>
    <r>
      <t>S</t>
    </r>
    <r>
      <rPr>
        <sz val="10"/>
        <rFont val="Arial"/>
        <family val="2"/>
      </rPr>
      <t xml:space="preserve">(i) </t>
    </r>
    <r>
      <rPr>
        <sz val="10"/>
        <rFont val="Arial"/>
      </rPr>
      <t>=</t>
    </r>
  </si>
  <si>
    <r>
      <t>D</t>
    </r>
    <r>
      <rPr>
        <sz val="10"/>
        <rFont val="Arial"/>
        <family val="2"/>
      </rPr>
      <t xml:space="preserve"> = </t>
    </r>
    <r>
      <rPr>
        <sz val="10"/>
        <rFont val="Symbol"/>
        <family val="1"/>
        <charset val="2"/>
      </rPr>
      <t>S</t>
    </r>
    <r>
      <rPr>
        <sz val="10"/>
        <rFont val="Arial"/>
      </rPr>
      <t>1/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 xml:space="preserve">2 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m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-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m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=</t>
    </r>
  </si>
  <si>
    <r>
      <t>S</t>
    </r>
    <r>
      <rPr>
        <sz val="10"/>
        <rFont val="Arial"/>
        <family val="2"/>
      </rPr>
      <t>1</t>
    </r>
    <r>
      <rPr>
        <sz val="10"/>
        <rFont val="Symbol"/>
        <family val="1"/>
        <charset val="2"/>
      </rPr>
      <t xml:space="preserve"> = S</t>
    </r>
    <r>
      <rPr>
        <sz val="10"/>
        <rFont val="Arial"/>
      </rPr>
      <t>m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 xml:space="preserve">2 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X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=</t>
    </r>
  </si>
  <si>
    <r>
      <t>S</t>
    </r>
    <r>
      <rPr>
        <sz val="10"/>
        <rFont val="Arial"/>
        <family val="2"/>
      </rPr>
      <t>2</t>
    </r>
    <r>
      <rPr>
        <sz val="10"/>
        <rFont val="Symbol"/>
        <family val="1"/>
        <charset val="2"/>
      </rPr>
      <t xml:space="preserve"> = S</t>
    </r>
    <r>
      <rPr>
        <sz val="10"/>
        <rFont val="Arial"/>
      </rPr>
      <t>m</t>
    </r>
    <r>
      <rPr>
        <vertAlign val="subscript"/>
        <sz val="10"/>
        <rFont val="Arial"/>
        <family val="2"/>
      </rPr>
      <t>i</t>
    </r>
    <r>
      <rPr>
        <sz val="10"/>
        <rFont val="Arial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 xml:space="preserve">2 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m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X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=</t>
    </r>
  </si>
  <si>
    <t>Intercept</t>
  </si>
  <si>
    <r>
      <t>S</t>
    </r>
    <r>
      <rPr>
        <sz val="10"/>
        <rFont val="Arial"/>
        <family val="2"/>
      </rPr>
      <t>3</t>
    </r>
    <r>
      <rPr>
        <sz val="10"/>
        <rFont val="Symbol"/>
        <family val="1"/>
        <charset val="2"/>
      </rPr>
      <t xml:space="preserve"> = S</t>
    </r>
    <r>
      <rPr>
        <sz val="10"/>
        <rFont val="Arial"/>
      </rPr>
      <t>1/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 xml:space="preserve">2 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m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X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=</t>
    </r>
  </si>
  <si>
    <r>
      <t>S</t>
    </r>
    <r>
      <rPr>
        <sz val="10"/>
        <rFont val="Arial"/>
        <family val="2"/>
      </rPr>
      <t xml:space="preserve">4 = </t>
    </r>
    <r>
      <rPr>
        <sz val="10"/>
        <rFont val="Symbol"/>
        <family val="1"/>
        <charset val="2"/>
      </rPr>
      <t>S</t>
    </r>
    <r>
      <rPr>
        <sz val="10"/>
        <rFont val="Arial"/>
      </rPr>
      <t>m</t>
    </r>
    <r>
      <rPr>
        <vertAlign val="subscript"/>
        <sz val="10"/>
        <rFont val="Arial"/>
        <family val="2"/>
      </rPr>
      <t>i</t>
    </r>
    <r>
      <rPr>
        <sz val="10"/>
        <rFont val="Arial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 xml:space="preserve">2 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X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=</t>
    </r>
  </si>
  <si>
    <t>Slope</t>
  </si>
  <si>
    <t>(reported)</t>
  </si>
  <si>
    <t>K</t>
  </si>
  <si>
    <r>
      <t>Pr</t>
    </r>
    <r>
      <rPr>
        <b/>
        <vertAlign val="subscript"/>
        <sz val="10"/>
        <rFont val="Times New Roman"/>
        <family val="1"/>
      </rPr>
      <t>4</t>
    </r>
    <r>
      <rPr>
        <b/>
        <sz val="10"/>
        <rFont val="Times New Roman"/>
        <family val="1"/>
      </rPr>
      <t>NCl</t>
    </r>
  </si>
  <si>
    <t>1956SMI/ALB</t>
  </si>
  <si>
    <r>
      <t>[I</t>
    </r>
    <r>
      <rPr>
        <vertAlign val="superscript"/>
        <sz val="10"/>
        <rFont val="Arial"/>
        <family val="2"/>
      </rPr>
      <t>-</t>
    </r>
    <r>
      <rPr>
        <sz val="10"/>
        <rFont val="Arial"/>
        <family val="2"/>
      </rPr>
      <t>]</t>
    </r>
  </si>
  <si>
    <r>
      <t>Me</t>
    </r>
    <r>
      <rPr>
        <b/>
        <vertAlign val="subscript"/>
        <sz val="10"/>
        <rFont val="Times New Roman"/>
        <family val="1"/>
      </rPr>
      <t>4</t>
    </r>
    <r>
      <rPr>
        <b/>
        <sz val="10"/>
        <rFont val="Times New Roman"/>
        <family val="1"/>
      </rPr>
      <t>NCl</t>
    </r>
  </si>
  <si>
    <r>
      <t>Temp [</t>
    </r>
    <r>
      <rPr>
        <sz val="10"/>
        <rFont val="Calibri"/>
        <family val="2"/>
      </rPr>
      <t>°</t>
    </r>
    <r>
      <rPr>
        <sz val="10"/>
        <rFont val="Arial"/>
      </rPr>
      <t>C]</t>
    </r>
  </si>
  <si>
    <t>1983DAN/GRA</t>
  </si>
  <si>
    <r>
      <t>(25</t>
    </r>
    <r>
      <rPr>
        <sz val="10"/>
        <rFont val="Calibri"/>
        <family val="2"/>
      </rPr>
      <t>°</t>
    </r>
    <r>
      <rPr>
        <sz val="10"/>
        <rFont val="Arial"/>
      </rPr>
      <t>C)</t>
    </r>
  </si>
  <si>
    <r>
      <t>(37</t>
    </r>
    <r>
      <rPr>
        <sz val="10"/>
        <rFont val="Calibri"/>
        <family val="2"/>
      </rPr>
      <t>°</t>
    </r>
    <r>
      <rPr>
        <sz val="10"/>
        <rFont val="Arial"/>
      </rPr>
      <t>C)</t>
    </r>
  </si>
  <si>
    <r>
      <t>(0</t>
    </r>
    <r>
      <rPr>
        <sz val="10"/>
        <rFont val="Calibri"/>
        <family val="2"/>
      </rPr>
      <t>°</t>
    </r>
    <r>
      <rPr>
        <sz val="10"/>
        <rFont val="Arial"/>
      </rPr>
      <t>C)</t>
    </r>
  </si>
  <si>
    <r>
      <t>De</t>
    </r>
    <r>
      <rPr>
        <sz val="10"/>
        <rFont val="Arial"/>
        <family val="2"/>
      </rPr>
      <t>(Et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NI)</t>
    </r>
  </si>
  <si>
    <r>
      <t>De</t>
    </r>
    <r>
      <rPr>
        <sz val="10"/>
        <rFont val="Arial"/>
        <family val="2"/>
      </rPr>
      <t>(Et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NI)</t>
    </r>
    <r>
      <rPr>
        <sz val="10"/>
        <rFont val="Calibri"/>
        <family val="2"/>
      </rPr>
      <t xml:space="preserve"> Im</t>
    </r>
  </si>
  <si>
    <t>1 / T [K]</t>
  </si>
  <si>
    <t>T</t>
  </si>
  <si>
    <t>X1</t>
  </si>
  <si>
    <r>
      <t>[</t>
    </r>
    <r>
      <rPr>
        <sz val="10"/>
        <rFont val="Calibri"/>
        <family val="2"/>
      </rPr>
      <t>°</t>
    </r>
    <r>
      <rPr>
        <sz val="10"/>
        <rFont val="Arial"/>
        <family val="2"/>
      </rPr>
      <t>C]</t>
    </r>
  </si>
  <si>
    <t>[K]</t>
  </si>
  <si>
    <t>R</t>
  </si>
  <si>
    <r>
      <t>kJ K</t>
    </r>
    <r>
      <rPr>
        <vertAlign val="superscript"/>
        <sz val="10"/>
        <rFont val="Arial"/>
        <family val="2"/>
      </rPr>
      <t>-1</t>
    </r>
    <r>
      <rPr>
        <sz val="10"/>
        <rFont val="Arial"/>
      </rPr>
      <t xml:space="preserve"> mol</t>
    </r>
    <r>
      <rPr>
        <vertAlign val="superscript"/>
        <sz val="10"/>
        <rFont val="Arial"/>
        <family val="2"/>
      </rPr>
      <t>-1</t>
    </r>
  </si>
  <si>
    <t>ln(10)</t>
  </si>
  <si>
    <t>R ln(10)</t>
  </si>
  <si>
    <t>R T ln(10)</t>
  </si>
  <si>
    <r>
      <t>D</t>
    </r>
    <r>
      <rPr>
        <b/>
        <vertAlign val="subscript"/>
        <sz val="10"/>
        <rFont val="Arial"/>
        <family val="2"/>
      </rPr>
      <t>r</t>
    </r>
    <r>
      <rPr>
        <b/>
        <i/>
        <sz val="10"/>
        <rFont val="Arial"/>
        <family val="2"/>
      </rPr>
      <t>H</t>
    </r>
    <r>
      <rPr>
        <b/>
        <vertAlign val="subscript"/>
        <sz val="10"/>
        <rFont val="Arial"/>
        <family val="2"/>
      </rPr>
      <t>m</t>
    </r>
  </si>
  <si>
    <r>
      <t>log</t>
    </r>
    <r>
      <rPr>
        <b/>
        <vertAlign val="subscript"/>
        <sz val="10"/>
        <rFont val="Arial"/>
        <family val="2"/>
      </rPr>
      <t>10</t>
    </r>
    <r>
      <rPr>
        <b/>
        <i/>
        <sz val="10"/>
        <rFont val="Arial"/>
        <family val="2"/>
      </rPr>
      <t>K</t>
    </r>
  </si>
  <si>
    <t>kJ/mol</t>
  </si>
  <si>
    <r>
      <t>m</t>
    </r>
    <r>
      <rPr>
        <vertAlign val="sub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, m</t>
    </r>
    <r>
      <rPr>
        <vertAlign val="subscript"/>
        <sz val="10"/>
        <color indexed="8"/>
        <rFont val="Arial"/>
        <family val="2"/>
      </rPr>
      <t>1</t>
    </r>
  </si>
  <si>
    <t>b</t>
  </si>
  <si>
    <t>r2</t>
  </si>
  <si>
    <t>standard error for the y estimate</t>
  </si>
  <si>
    <t>F</t>
  </si>
  <si>
    <t>degrees of freedom (df)</t>
  </si>
  <si>
    <t>residual sum of squares</t>
  </si>
  <si>
    <t>calc</t>
  </si>
  <si>
    <r>
      <t>log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K</t>
    </r>
  </si>
  <si>
    <t>+</t>
  </si>
  <si>
    <t>-</t>
  </si>
  <si>
    <r>
      <t>Reaction: Li</t>
    </r>
    <r>
      <rPr>
        <vertAlign val="superscript"/>
        <sz val="10"/>
        <rFont val="Arial"/>
        <family val="2"/>
      </rPr>
      <t>+</t>
    </r>
    <r>
      <rPr>
        <sz val="10"/>
        <rFont val="Arial"/>
      </rPr>
      <t xml:space="preserve"> + 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3-</t>
    </r>
    <r>
      <rPr>
        <sz val="10"/>
        <rFont val="Arial"/>
        <family val="2"/>
      </rPr>
      <t xml:space="preserve"> = LiPO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</si>
  <si>
    <r>
      <t>Reaction: Li</t>
    </r>
    <r>
      <rPr>
        <vertAlign val="superscript"/>
        <sz val="10"/>
        <rFont val="Arial"/>
        <family val="2"/>
      </rPr>
      <t>+</t>
    </r>
    <r>
      <rPr>
        <sz val="10"/>
        <rFont val="Arial"/>
      </rPr>
      <t xml:space="preserve"> + HPO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  <r>
      <rPr>
        <sz val="10"/>
        <rFont val="Arial"/>
        <family val="2"/>
      </rPr>
      <t xml:space="preserve"> = LiHPO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</si>
  <si>
    <r>
      <t>Reaction: Li</t>
    </r>
    <r>
      <rPr>
        <vertAlign val="superscript"/>
        <sz val="10"/>
        <rFont val="Arial"/>
        <family val="2"/>
      </rPr>
      <t>+</t>
    </r>
    <r>
      <rPr>
        <sz val="10"/>
        <rFont val="Arial"/>
      </rPr>
      <t xml:space="preserve"> + H</t>
    </r>
    <r>
      <rPr>
        <vertAlign val="subscript"/>
        <sz val="10"/>
        <rFont val="Arial"/>
        <family val="2"/>
      </rPr>
      <t>2</t>
    </r>
    <r>
      <rPr>
        <sz val="10"/>
        <rFont val="Arial"/>
      </rPr>
      <t>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  <r>
      <rPr>
        <sz val="10"/>
        <rFont val="Arial"/>
        <family val="2"/>
      </rPr>
      <t xml:space="preserve"> = LiH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PO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(aq)</t>
    </r>
  </si>
  <si>
    <r>
      <t>log</t>
    </r>
    <r>
      <rPr>
        <b/>
        <vertAlign val="subscript"/>
        <sz val="10"/>
        <rFont val="Arial"/>
        <family val="2"/>
      </rPr>
      <t>10</t>
    </r>
    <r>
      <rPr>
        <b/>
        <sz val="10"/>
        <rFont val="Arial"/>
        <family val="2"/>
      </rPr>
      <t>K</t>
    </r>
    <r>
      <rPr>
        <b/>
        <vertAlign val="superscript"/>
        <sz val="10"/>
        <rFont val="Arial"/>
        <family val="2"/>
      </rPr>
      <t>o</t>
    </r>
    <r>
      <rPr>
        <sz val="10"/>
        <rFont val="Arial"/>
      </rPr>
      <t xml:space="preserve"> = (</t>
    </r>
    <r>
      <rPr>
        <sz val="10"/>
        <rFont val="Symbol"/>
        <family val="1"/>
        <charset val="2"/>
      </rPr>
      <t>S</t>
    </r>
    <r>
      <rPr>
        <sz val="10"/>
        <rFont val="Arial"/>
      </rPr>
      <t xml:space="preserve">1 - </t>
    </r>
    <r>
      <rPr>
        <sz val="10"/>
        <rFont val="Symbol"/>
        <family val="1"/>
        <charset val="2"/>
      </rPr>
      <t>S</t>
    </r>
    <r>
      <rPr>
        <sz val="10"/>
        <rFont val="Arial"/>
      </rPr>
      <t xml:space="preserve">2) / </t>
    </r>
    <r>
      <rPr>
        <sz val="10"/>
        <rFont val="Symbol"/>
        <family val="1"/>
        <charset val="2"/>
      </rPr>
      <t>D</t>
    </r>
    <r>
      <rPr>
        <sz val="10"/>
        <rFont val="Arial"/>
      </rPr>
      <t xml:space="preserve">  =  </t>
    </r>
  </si>
  <si>
    <r>
      <t>s</t>
    </r>
    <r>
      <rPr>
        <b/>
        <sz val="10"/>
        <rFont val="Arial"/>
        <family val="2"/>
      </rPr>
      <t>(log</t>
    </r>
    <r>
      <rPr>
        <b/>
        <vertAlign val="subscript"/>
        <sz val="10"/>
        <rFont val="Arial"/>
        <family val="2"/>
      </rPr>
      <t>10</t>
    </r>
    <r>
      <rPr>
        <b/>
        <sz val="10"/>
        <rFont val="Arial"/>
        <family val="2"/>
      </rPr>
      <t>K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>)</t>
    </r>
    <r>
      <rPr>
        <sz val="10"/>
        <rFont val="Arial"/>
        <family val="2"/>
      </rPr>
      <t xml:space="preserve"> = </t>
    </r>
    <r>
      <rPr>
        <sz val="10"/>
        <rFont val="Arial"/>
      </rPr>
      <t>(</t>
    </r>
    <r>
      <rPr>
        <sz val="10"/>
        <rFont val="Symbol"/>
        <family val="1"/>
        <charset val="2"/>
      </rPr>
      <t>S</t>
    </r>
    <r>
      <rPr>
        <sz val="10"/>
        <rFont val="Arial"/>
      </rPr>
      <t>m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 xml:space="preserve"> / </t>
    </r>
    <r>
      <rPr>
        <sz val="10"/>
        <rFont val="Symbol"/>
        <family val="1"/>
        <charset val="2"/>
      </rPr>
      <t>D</t>
    </r>
    <r>
      <rPr>
        <sz val="10"/>
        <rFont val="Arial"/>
      </rPr>
      <t>)</t>
    </r>
    <r>
      <rPr>
        <vertAlign val="superscript"/>
        <sz val="10"/>
        <rFont val="Arial"/>
        <family val="2"/>
      </rPr>
      <t>0.5</t>
    </r>
    <r>
      <rPr>
        <sz val="10"/>
        <rFont val="Arial"/>
      </rPr>
      <t xml:space="preserve"> = </t>
    </r>
  </si>
  <si>
    <r>
      <t>D</t>
    </r>
    <r>
      <rPr>
        <b/>
        <vertAlign val="subscript"/>
        <sz val="10"/>
        <rFont val="Arial"/>
        <family val="2"/>
      </rPr>
      <t>r</t>
    </r>
    <r>
      <rPr>
        <b/>
        <sz val="10"/>
        <rFont val="Arial"/>
        <family val="2"/>
      </rPr>
      <t>H</t>
    </r>
    <r>
      <rPr>
        <b/>
        <vertAlign val="subscript"/>
        <sz val="10"/>
        <rFont val="Arial"/>
        <family val="2"/>
      </rPr>
      <t>m</t>
    </r>
    <r>
      <rPr>
        <b/>
        <sz val="10"/>
        <rFont val="Calibri"/>
        <family val="2"/>
      </rPr>
      <t xml:space="preserve">° </t>
    </r>
    <r>
      <rPr>
        <sz val="10"/>
        <rFont val="Arial"/>
        <family val="2"/>
      </rPr>
      <t>=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 xml:space="preserve">3 - 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 xml:space="preserve">4) / </t>
    </r>
    <r>
      <rPr>
        <sz val="10"/>
        <rFont val="Symbol"/>
        <family val="1"/>
        <charset val="2"/>
      </rPr>
      <t xml:space="preserve">D </t>
    </r>
    <r>
      <rPr>
        <sz val="10"/>
        <rFont val="Arial"/>
        <family val="2"/>
      </rPr>
      <t xml:space="preserve"> =</t>
    </r>
    <r>
      <rPr>
        <sz val="10"/>
        <rFont val="Symbol"/>
        <family val="1"/>
        <charset val="2"/>
      </rPr>
      <t xml:space="preserve">  </t>
    </r>
  </si>
  <si>
    <r>
      <t>s</t>
    </r>
    <r>
      <rPr>
        <b/>
        <sz val="10"/>
        <rFont val="Arial"/>
        <family val="2"/>
      </rPr>
      <t>(slope)</t>
    </r>
    <r>
      <rPr>
        <sz val="10"/>
        <rFont val="Arial"/>
        <family val="2"/>
      </rPr>
      <t xml:space="preserve"> =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1/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/ </t>
    </r>
    <r>
      <rPr>
        <sz val="10"/>
        <rFont val="Symbol"/>
        <family val="1"/>
        <charset val="2"/>
      </rPr>
      <t>D</t>
    </r>
    <r>
      <rPr>
        <sz val="10"/>
        <rFont val="Arial"/>
        <family val="2"/>
      </rPr>
      <t>)</t>
    </r>
    <r>
      <rPr>
        <vertAlign val="superscript"/>
        <sz val="10"/>
        <rFont val="Arial"/>
        <family val="2"/>
      </rPr>
      <t>0.5</t>
    </r>
    <r>
      <rPr>
        <sz val="10"/>
        <rFont val="Arial"/>
        <family val="2"/>
      </rPr>
      <t xml:space="preserve"> =</t>
    </r>
  </si>
  <si>
    <r>
      <t>Temp (</t>
    </r>
    <r>
      <rPr>
        <sz val="10"/>
        <rFont val="Calibri"/>
        <family val="2"/>
      </rPr>
      <t>°</t>
    </r>
    <r>
      <rPr>
        <sz val="10"/>
        <rFont val="Arial"/>
        <family val="2"/>
      </rPr>
      <t>C)</t>
    </r>
  </si>
  <si>
    <r>
      <t>log K</t>
    </r>
    <r>
      <rPr>
        <sz val="10"/>
        <rFont val="Symbol"/>
        <family val="1"/>
        <charset val="2"/>
      </rPr>
      <t>°</t>
    </r>
  </si>
  <si>
    <t>Hummel W. &amp; Thoenen T. (2023): The PSI Chemical Thermodynamic Database 2020 (TDB 2020), Nagra Technical Report NTB 21-03</t>
  </si>
  <si>
    <t>References</t>
  </si>
  <si>
    <t>Chapter 3.1.8.1 Lithium(I) phosphate complexes</t>
  </si>
  <si>
    <r>
      <t>Daniele, P.G., Grasso, M., Rigano, C., Sammartano, S. (1983): The formation of proton- and alkali metal complexes with ligands of biological interest in aqueous solution. Formation constants of H</t>
    </r>
    <r>
      <rPr>
        <vertAlign val="superscript"/>
        <sz val="10"/>
        <rFont val="Arial"/>
        <family val="2"/>
      </rPr>
      <t>+</t>
    </r>
    <r>
      <rPr>
        <sz val="10"/>
        <rFont val="Arial"/>
      </rPr>
      <t>, Li</t>
    </r>
    <r>
      <rPr>
        <vertAlign val="superscript"/>
        <sz val="10"/>
        <rFont val="Arial"/>
        <family val="2"/>
      </rPr>
      <t>+</t>
    </r>
    <r>
      <rPr>
        <sz val="10"/>
        <rFont val="Arial"/>
      </rPr>
      <t>, Na</t>
    </r>
    <r>
      <rPr>
        <vertAlign val="superscript"/>
        <sz val="10"/>
        <rFont val="Arial"/>
        <family val="2"/>
      </rPr>
      <t>+</t>
    </r>
    <r>
      <rPr>
        <sz val="10"/>
        <rFont val="Arial"/>
      </rPr>
      <t>, K</t>
    </r>
    <r>
      <rPr>
        <vertAlign val="superscript"/>
        <sz val="10"/>
        <rFont val="Arial"/>
        <family val="2"/>
      </rPr>
      <t>+</t>
    </r>
    <r>
      <rPr>
        <sz val="10"/>
        <rFont val="Arial"/>
      </rPr>
      <t xml:space="preserve"> – phosphate  complexes and their dependence on ionic strength. Annali di Chimica, 73, 495–515.</t>
    </r>
  </si>
  <si>
    <t>The extrapolated constants at dfferent temperatures have been used for a weighted linear regression according to Grenthe et al. (1992), p.704</t>
  </si>
  <si>
    <t>1) Extrapolation of reported stability constants to I = 0 using SIT as described in NTB 21-03 Chapter 1.5 Medium effects</t>
  </si>
  <si>
    <r>
      <t>2) For the reaction Li</t>
    </r>
    <r>
      <rPr>
        <vertAlign val="superscript"/>
        <sz val="10"/>
        <rFont val="Arial"/>
        <family val="2"/>
      </rPr>
      <t>+</t>
    </r>
    <r>
      <rPr>
        <sz val="10"/>
        <rFont val="Arial"/>
      </rPr>
      <t xml:space="preserve"> + HPO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  <r>
      <rPr>
        <sz val="10"/>
        <rFont val="Arial"/>
        <family val="2"/>
      </rPr>
      <t xml:space="preserve"> = LiHPO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  <r>
      <rPr>
        <sz val="10"/>
        <rFont val="Arial"/>
        <family val="2"/>
      </rPr>
      <t xml:space="preserve"> data for three different temperatures are available.</t>
    </r>
  </si>
  <si>
    <t>doi:10.1021/j150536a010</t>
  </si>
  <si>
    <t>Smith, R.M. &amp; Alberty, R.A. (1956a): The apparent stability constants of ionic complexes of various adenosine phosphates with monovalent cations. J. Phys. Chem., 60, 180–184.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</si>
</sst>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24" x14ac:knownFonts="1">
    <font>
      <sz val="10"/>
      <name val="Arial"/>
    </font>
    <font>
      <vertAlign val="superscript"/>
      <sz val="10"/>
      <name val="Arial"/>
      <family val="2"/>
    </font>
    <font>
      <sz val="10"/>
      <name val="Arial"/>
      <family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sz val="10"/>
      <name val="Courier New"/>
      <family val="3"/>
    </font>
    <font>
      <b/>
      <sz val="10"/>
      <name val="Arial"/>
      <family val="2"/>
    </font>
    <font>
      <i/>
      <sz val="10"/>
      <name val="Arial"/>
      <family val="2"/>
    </font>
    <font>
      <b/>
      <vertAlign val="superscript"/>
      <sz val="10"/>
      <name val="Arial"/>
      <family val="2"/>
    </font>
    <font>
      <b/>
      <sz val="10"/>
      <name val="Symbol"/>
      <family val="1"/>
      <charset val="2"/>
    </font>
    <font>
      <b/>
      <sz val="9"/>
      <name val="Times New Roman"/>
      <family val="1"/>
    </font>
    <font>
      <b/>
      <sz val="10"/>
      <name val="Times New Roman"/>
      <family val="1"/>
    </font>
    <font>
      <b/>
      <vertAlign val="subscript"/>
      <sz val="10"/>
      <name val="Times New Roman"/>
      <family val="1"/>
    </font>
    <font>
      <sz val="10"/>
      <name val="Calibri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b/>
      <vertAlign val="subscript"/>
      <sz val="10"/>
      <name val="Arial"/>
      <family val="2"/>
    </font>
    <font>
      <b/>
      <i/>
      <sz val="10"/>
      <name val="Arial"/>
      <family val="2"/>
    </font>
    <font>
      <vertAlign val="subscript"/>
      <sz val="10"/>
      <color indexed="8"/>
      <name val="Arial"/>
      <family val="2"/>
    </font>
    <font>
      <b/>
      <sz val="10"/>
      <name val="Calibri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0" fillId="0" borderId="0"/>
    <xf numFmtId="0" fontId="2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/>
    <xf numFmtId="0" fontId="0" fillId="0" borderId="0" xfId="0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/>
    <xf numFmtId="0" fontId="3" fillId="0" borderId="0" xfId="0" applyFont="1" applyAlignment="1">
      <alignment horizontal="right"/>
    </xf>
    <xf numFmtId="0" fontId="0" fillId="0" borderId="1" xfId="0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10" fillId="0" borderId="0" xfId="0" applyFont="1"/>
    <xf numFmtId="0" fontId="11" fillId="0" borderId="0" xfId="0" applyFont="1" applyAlignment="1">
      <alignment horizontal="right"/>
    </xf>
    <xf numFmtId="165" fontId="6" fillId="0" borderId="0" xfId="0" applyNumberFormat="1" applyFont="1" applyAlignment="1">
      <alignment horizontal="center"/>
    </xf>
    <xf numFmtId="165" fontId="6" fillId="0" borderId="0" xfId="0" applyNumberFormat="1" applyFont="1"/>
    <xf numFmtId="2" fontId="6" fillId="0" borderId="0" xfId="0" applyNumberFormat="1" applyFont="1"/>
    <xf numFmtId="49" fontId="2" fillId="0" borderId="0" xfId="0" applyNumberFormat="1" applyFont="1" applyAlignment="1">
      <alignment horizontal="right"/>
    </xf>
    <xf numFmtId="0" fontId="2" fillId="0" borderId="0" xfId="0" applyFont="1"/>
    <xf numFmtId="166" fontId="0" fillId="0" borderId="0" xfId="0" applyNumberFormat="1"/>
    <xf numFmtId="0" fontId="6" fillId="0" borderId="0" xfId="0" applyFont="1"/>
    <xf numFmtId="0" fontId="6" fillId="0" borderId="0" xfId="0" applyFont="1" applyAlignment="1">
      <alignment horizontal="center"/>
    </xf>
    <xf numFmtId="2" fontId="21" fillId="0" borderId="0" xfId="0" applyNumberFormat="1" applyFont="1"/>
    <xf numFmtId="2" fontId="6" fillId="0" borderId="0" xfId="0" applyNumberFormat="1" applyFont="1" applyAlignment="1">
      <alignment horizontal="center"/>
    </xf>
    <xf numFmtId="164" fontId="21" fillId="0" borderId="0" xfId="0" applyNumberFormat="1" applyFont="1"/>
    <xf numFmtId="0" fontId="3" fillId="0" borderId="0" xfId="0" quotePrefix="1" applyFont="1" applyAlignment="1">
      <alignment horizontal="right"/>
    </xf>
    <xf numFmtId="0" fontId="2" fillId="0" borderId="0" xfId="0" quotePrefix="1" applyFont="1" applyAlignment="1">
      <alignment horizontal="right"/>
    </xf>
    <xf numFmtId="0" fontId="21" fillId="0" borderId="0" xfId="0" applyFont="1"/>
    <xf numFmtId="0" fontId="2" fillId="0" borderId="0" xfId="0" applyFont="1" applyAlignment="1">
      <alignment horizontal="right"/>
    </xf>
    <xf numFmtId="0" fontId="9" fillId="0" borderId="0" xfId="2" applyFont="1" applyAlignment="1">
      <alignment horizontal="right"/>
    </xf>
    <xf numFmtId="0" fontId="14" fillId="0" borderId="0" xfId="2" applyFont="1" applyAlignment="1">
      <alignment horizontal="right"/>
    </xf>
    <xf numFmtId="0" fontId="2" fillId="0" borderId="0" xfId="1"/>
    <xf numFmtId="0" fontId="15" fillId="0" borderId="0" xfId="2" applyFont="1" applyAlignment="1">
      <alignment horizontal="right"/>
    </xf>
    <xf numFmtId="0" fontId="15" fillId="0" borderId="0" xfId="2" applyFont="1"/>
    <xf numFmtId="0" fontId="13" fillId="0" borderId="0" xfId="1" applyFont="1" applyAlignment="1">
      <alignment horizontal="right"/>
    </xf>
    <xf numFmtId="0" fontId="2" fillId="0" borderId="0" xfId="0" quotePrefix="1" applyFont="1" applyAlignment="1">
      <alignment horizontal="center"/>
    </xf>
    <xf numFmtId="0" fontId="0" fillId="0" borderId="0" xfId="0" quotePrefix="1"/>
    <xf numFmtId="166" fontId="6" fillId="0" borderId="0" xfId="0" applyNumberFormat="1" applyFont="1" applyAlignment="1">
      <alignment horizontal="center"/>
    </xf>
    <xf numFmtId="165" fontId="22" fillId="0" borderId="0" xfId="0" applyNumberFormat="1" applyFont="1"/>
    <xf numFmtId="0" fontId="0" fillId="0" borderId="0" xfId="0" applyAlignment="1">
      <alignment vertical="center"/>
    </xf>
    <xf numFmtId="0" fontId="15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9" fillId="0" borderId="0" xfId="0" applyFont="1" applyAlignment="1">
      <alignment horizontal="right"/>
    </xf>
    <xf numFmtId="0" fontId="9" fillId="0" borderId="0" xfId="0" quotePrefix="1" applyFont="1" applyAlignment="1">
      <alignment horizontal="right" vertical="center"/>
    </xf>
    <xf numFmtId="0" fontId="2" fillId="0" borderId="0" xfId="1" applyAlignment="1">
      <alignment horizontal="center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center"/>
    </xf>
    <xf numFmtId="0" fontId="2" fillId="0" borderId="0" xfId="0" quotePrefix="1" applyFont="1"/>
    <xf numFmtId="0" fontId="23" fillId="0" borderId="0" xfId="3"/>
  </cellXfs>
  <cellStyles count="4">
    <cellStyle name="Enllaç" xfId="3" builtinId="8"/>
    <cellStyle name="Normal" xfId="0" builtinId="0"/>
    <cellStyle name="Normal 2" xfId="1" xr:uid="{00000000-0005-0000-0000-000000000000}"/>
    <cellStyle name="Normal 3" xfId="2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a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03421213733027"/>
          <c:y val="1.6942417639642271E-2"/>
          <c:w val="0.82223520727618282"/>
          <c:h val="0.84363743056231921"/>
        </c:manualLayout>
      </c:layout>
      <c:scatterChart>
        <c:scatterStyle val="lineMarker"/>
        <c:varyColors val="0"/>
        <c:ser>
          <c:idx val="1"/>
          <c:order val="0"/>
          <c:tx>
            <c:v>Daniele et al. (1983)</c:v>
          </c:tx>
          <c:spPr>
            <a:ln w="28575">
              <a:noFill/>
            </a:ln>
          </c:spPr>
          <c:marker>
            <c:symbol val="squar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LiTemp!$J$45</c:f>
                <c:numCache>
                  <c:formatCode>General</c:formatCode>
                  <c:ptCount val="1"/>
                  <c:pt idx="0">
                    <c:v>0.2</c:v>
                  </c:pt>
                </c:numCache>
              </c:numRef>
            </c:plus>
            <c:minus>
              <c:numRef>
                <c:f>LiTemp!$J$45</c:f>
                <c:numCache>
                  <c:formatCode>General</c:formatCode>
                  <c:ptCount val="1"/>
                  <c:pt idx="0">
                    <c:v>0.2</c:v>
                  </c:pt>
                </c:numCache>
              </c:numRef>
            </c:minus>
            <c:spPr>
              <a:ln w="3175">
                <a:solidFill>
                  <a:srgbClr val="333333"/>
                </a:solidFill>
                <a:prstDash val="solid"/>
              </a:ln>
            </c:spPr>
          </c:errBars>
          <c:xVal>
            <c:numRef>
              <c:f>LiTemp!$M$44:$M$46</c:f>
              <c:numCache>
                <c:formatCode>General</c:formatCode>
                <c:ptCount val="3"/>
                <c:pt idx="0">
                  <c:v>3.3540164346805303E-3</c:v>
                </c:pt>
                <c:pt idx="1">
                  <c:v>3.224246332419797E-3</c:v>
                </c:pt>
                <c:pt idx="2">
                  <c:v>3.6609921288669233E-3</c:v>
                </c:pt>
              </c:numCache>
            </c:numRef>
          </c:xVal>
          <c:yVal>
            <c:numRef>
              <c:f>LiTemp!$Q$44:$Q$46</c:f>
              <c:numCache>
                <c:formatCode>0.000</c:formatCode>
                <c:ptCount val="3"/>
                <c:pt idx="1">
                  <c:v>1.370907563281097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D4-4B09-8A09-C122C8F292C7}"/>
            </c:ext>
          </c:extLst>
        </c:ser>
        <c:ser>
          <c:idx val="0"/>
          <c:order val="1"/>
          <c:tx>
            <c:v>Smith &amp; Alberty (1956a)</c:v>
          </c:tx>
          <c:spPr>
            <a:ln w="28575">
              <a:noFill/>
            </a:ln>
          </c:spPr>
          <c:marker>
            <c:symbol val="diamond"/>
            <c:size val="9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LiTemp!$J$44</c:f>
                <c:numCache>
                  <c:formatCode>General</c:formatCode>
                  <c:ptCount val="1"/>
                  <c:pt idx="0">
                    <c:v>0.2</c:v>
                  </c:pt>
                </c:numCache>
              </c:numRef>
            </c:plus>
            <c:minus>
              <c:numRef>
                <c:f>LiTemp!$J$44</c:f>
                <c:numCache>
                  <c:formatCode>General</c:formatCode>
                  <c:ptCount val="1"/>
                  <c:pt idx="0">
                    <c:v>0.2</c:v>
                  </c:pt>
                </c:numCache>
              </c:numRef>
            </c:minus>
            <c:spPr>
              <a:ln w="3175">
                <a:solidFill>
                  <a:srgbClr val="333333"/>
                </a:solidFill>
                <a:prstDash val="solid"/>
              </a:ln>
            </c:spPr>
          </c:errBars>
          <c:xVal>
            <c:numRef>
              <c:f>LiTemp!$M$44:$M$46</c:f>
              <c:numCache>
                <c:formatCode>General</c:formatCode>
                <c:ptCount val="3"/>
                <c:pt idx="0">
                  <c:v>3.3540164346805303E-3</c:v>
                </c:pt>
                <c:pt idx="1">
                  <c:v>3.224246332419797E-3</c:v>
                </c:pt>
                <c:pt idx="2">
                  <c:v>3.6609921288669233E-3</c:v>
                </c:pt>
              </c:numCache>
            </c:numRef>
          </c:xVal>
          <c:yVal>
            <c:numRef>
              <c:f>LiTemp!$P$44:$P$46</c:f>
              <c:numCache>
                <c:formatCode>General</c:formatCode>
                <c:ptCount val="3"/>
                <c:pt idx="0" formatCode="0.000">
                  <c:v>1.3524328981765092</c:v>
                </c:pt>
                <c:pt idx="2" formatCode="0.000">
                  <c:v>0.93908418267745697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D4-4B09-8A09-C122C8F292C7}"/>
            </c:ext>
          </c:extLst>
        </c:ser>
        <c:ser>
          <c:idx val="2"/>
          <c:order val="2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LiTemp!$AD$54:$AD$56</c:f>
              <c:numCache>
                <c:formatCode>General</c:formatCode>
                <c:ptCount val="3"/>
                <c:pt idx="0">
                  <c:v>3.687995574405311E-3</c:v>
                </c:pt>
                <c:pt idx="1">
                  <c:v>3.3540164346805303E-3</c:v>
                </c:pt>
                <c:pt idx="2">
                  <c:v>3.2138839787883662E-3</c:v>
                </c:pt>
              </c:numCache>
            </c:numRef>
          </c:xVal>
          <c:yVal>
            <c:numRef>
              <c:f>LiTemp!$AE$54:$AE$56</c:f>
              <c:numCache>
                <c:formatCode>General</c:formatCode>
                <c:ptCount val="3"/>
                <c:pt idx="0">
                  <c:v>0.9312683744533623</c:v>
                </c:pt>
                <c:pt idx="1">
                  <c:v>1.2830200477995437</c:v>
                </c:pt>
                <c:pt idx="2">
                  <c:v>1.4306095825555114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FD4-4B09-8A09-C122C8F292C7}"/>
            </c:ext>
          </c:extLst>
        </c:ser>
        <c:ser>
          <c:idx val="3"/>
          <c:order val="3"/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LiTemp!$AD$54:$AD$56</c:f>
              <c:numCache>
                <c:formatCode>General</c:formatCode>
                <c:ptCount val="3"/>
                <c:pt idx="0">
                  <c:v>3.687995574405311E-3</c:v>
                </c:pt>
                <c:pt idx="1">
                  <c:v>3.3540164346805303E-3</c:v>
                </c:pt>
                <c:pt idx="2">
                  <c:v>3.2138839787883662E-3</c:v>
                </c:pt>
              </c:numCache>
            </c:numRef>
          </c:xVal>
          <c:yVal>
            <c:numRef>
              <c:f>LiTemp!$AF$54:$AF$56</c:f>
              <c:numCache>
                <c:formatCode>General</c:formatCode>
                <c:ptCount val="3"/>
                <c:pt idx="0">
                  <c:v>1.2631853395776711</c:v>
                </c:pt>
                <c:pt idx="1">
                  <c:v>1.4043483145851663</c:v>
                </c:pt>
                <c:pt idx="2">
                  <c:v>1.6402975939217461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FD4-4B09-8A09-C122C8F292C7}"/>
            </c:ext>
          </c:extLst>
        </c:ser>
        <c:ser>
          <c:idx val="4"/>
          <c:order val="4"/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LiTemp!$AD$54:$AD$56</c:f>
              <c:numCache>
                <c:formatCode>General</c:formatCode>
                <c:ptCount val="3"/>
                <c:pt idx="0">
                  <c:v>3.687995574405311E-3</c:v>
                </c:pt>
                <c:pt idx="1">
                  <c:v>3.3540164346805303E-3</c:v>
                </c:pt>
                <c:pt idx="2">
                  <c:v>3.2138839787883662E-3</c:v>
                </c:pt>
              </c:numCache>
            </c:numRef>
          </c:xVal>
          <c:yVal>
            <c:numRef>
              <c:f>LiTemp!$AG$54:$AG$56</c:f>
              <c:numCache>
                <c:formatCode>General</c:formatCode>
                <c:ptCount val="3"/>
                <c:pt idx="0">
                  <c:v>0.5993514093290534</c:v>
                </c:pt>
                <c:pt idx="1">
                  <c:v>1.1616917810139211</c:v>
                </c:pt>
                <c:pt idx="2">
                  <c:v>1.2209215711892767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FD4-4B09-8A09-C122C8F29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854992"/>
        <c:axId val="1"/>
      </c:scatterChart>
      <c:valAx>
        <c:axId val="264854992"/>
        <c:scaling>
          <c:orientation val="minMax"/>
          <c:max val="3.700000000000001E-3"/>
          <c:min val="3.200000000000001E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 / T [K]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333333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crossBetween val="midCat"/>
        <c:majorUnit val="1.0000000000000003E-4"/>
        <c:minorUnit val="5.0000000000000023E-5"/>
      </c:valAx>
      <c:valAx>
        <c:axId val="1"/>
        <c:scaling>
          <c:orientation val="minMax"/>
          <c:min val="0.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log</a:t>
                </a:r>
                <a:r>
                  <a:rPr lang="en-US" sz="1400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10</a:t>
                </a:r>
                <a:r>
                  <a:rPr lang="en-US" sz="14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</a:t>
                </a: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°</a:t>
                </a:r>
              </a:p>
            </c:rich>
          </c:tx>
          <c:layout>
            <c:manualLayout>
              <c:xMode val="edge"/>
              <c:yMode val="edge"/>
              <c:x val="7.8760057490912527E-3"/>
              <c:y val="0.36802277328930272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alpha val="93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64854992"/>
        <c:crosses val="autoZero"/>
        <c:crossBetween val="midCat"/>
        <c:minorUnit val="0.1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56923107466468204"/>
          <c:y val="4.9306662674143117E-2"/>
          <c:w val="0.36263755721881291"/>
          <c:h val="0.10015415855685321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88900</xdr:colOff>
      <xdr:row>15</xdr:row>
      <xdr:rowOff>120650</xdr:rowOff>
    </xdr:from>
    <xdr:to>
      <xdr:col>32</xdr:col>
      <xdr:colOff>533400</xdr:colOff>
      <xdr:row>39</xdr:row>
      <xdr:rowOff>25400</xdr:rowOff>
    </xdr:to>
    <xdr:graphicFrame macro="">
      <xdr:nvGraphicFramePr>
        <xdr:cNvPr id="349271" name="Diagramm 5">
          <a:extLst>
            <a:ext uri="{FF2B5EF4-FFF2-40B4-BE49-F238E27FC236}">
              <a16:creationId xmlns:a16="http://schemas.microsoft.com/office/drawing/2014/main" id="{83CF8DDB-738D-E540-FD99-419F24B958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0.13242</cdr:x>
      <cdr:y>0.77738</cdr:y>
    </cdr:from>
    <cdr:to>
      <cdr:x>0.24449</cdr:x>
      <cdr:y>0.84769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759304" y="3208498"/>
          <a:ext cx="647418" cy="2906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200">
              <a:latin typeface="Times New Roman" panose="02020603050405020304" pitchFamily="18" charset="0"/>
              <a:cs typeface="Times New Roman" panose="02020603050405020304" pitchFamily="18" charset="0"/>
            </a:rPr>
            <a:t>37°C</a:t>
          </a:r>
        </a:p>
      </cdr:txBody>
    </cdr:sp>
  </cdr:relSizeAnchor>
  <cdr:relSizeAnchor xmlns:cdr="http://schemas.openxmlformats.org/drawingml/2006/chartDrawing">
    <cdr:from>
      <cdr:x>0.34905</cdr:x>
      <cdr:y>0.77415</cdr:y>
    </cdr:from>
    <cdr:to>
      <cdr:x>0.46087</cdr:x>
      <cdr:y>0.84472</cdr:y>
    </cdr:to>
    <cdr:sp macro="" textlink="">
      <cdr:nvSpPr>
        <cdr:cNvPr id="3" name="Textfeld 1"/>
        <cdr:cNvSpPr txBox="1"/>
      </cdr:nvSpPr>
      <cdr:spPr>
        <a:xfrm xmlns:a="http://schemas.openxmlformats.org/drawingml/2006/main">
          <a:off x="2012173" y="3195187"/>
          <a:ext cx="647419" cy="2907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200">
              <a:latin typeface="Times New Roman" panose="02020603050405020304" pitchFamily="18" charset="0"/>
              <a:cs typeface="Times New Roman" panose="02020603050405020304" pitchFamily="18" charset="0"/>
            </a:rPr>
            <a:t>25°C</a:t>
          </a:r>
        </a:p>
      </cdr:txBody>
    </cdr:sp>
  </cdr:relSizeAnchor>
  <cdr:relSizeAnchor xmlns:cdr="http://schemas.openxmlformats.org/drawingml/2006/chartDrawing">
    <cdr:from>
      <cdr:x>0.85782</cdr:x>
      <cdr:y>0.77548</cdr:y>
    </cdr:from>
    <cdr:to>
      <cdr:x>0.94174</cdr:x>
      <cdr:y>0.84579</cdr:y>
    </cdr:to>
    <cdr:sp macro="" textlink="">
      <cdr:nvSpPr>
        <cdr:cNvPr id="4" name="Textfeld 1"/>
        <cdr:cNvSpPr txBox="1"/>
      </cdr:nvSpPr>
      <cdr:spPr>
        <a:xfrm xmlns:a="http://schemas.openxmlformats.org/drawingml/2006/main">
          <a:off x="4956175" y="3198813"/>
          <a:ext cx="484981" cy="2905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200">
              <a:latin typeface="Times New Roman" panose="02020603050405020304" pitchFamily="18" charset="0"/>
              <a:cs typeface="Times New Roman" panose="02020603050405020304" pitchFamily="18" charset="0"/>
            </a:rPr>
            <a:t>0°C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21/j150536a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7"/>
  <sheetViews>
    <sheetView tabSelected="1" workbookViewId="0">
      <selection activeCell="B10" sqref="B10"/>
    </sheetView>
  </sheetViews>
  <sheetFormatPr defaultColWidth="11.5546875" defaultRowHeight="13.2" x14ac:dyDescent="0.25"/>
  <sheetData>
    <row r="1" spans="1:8" x14ac:dyDescent="0.25">
      <c r="A1" s="20" t="s">
        <v>80</v>
      </c>
    </row>
    <row r="3" spans="1:8" x14ac:dyDescent="0.25">
      <c r="A3" t="s">
        <v>82</v>
      </c>
    </row>
    <row r="6" spans="1:8" x14ac:dyDescent="0.25">
      <c r="A6" s="20" t="s">
        <v>85</v>
      </c>
    </row>
    <row r="7" spans="1:8" ht="16.8" x14ac:dyDescent="0.35">
      <c r="A7" s="12" t="s">
        <v>86</v>
      </c>
      <c r="H7" s="20" t="s">
        <v>84</v>
      </c>
    </row>
    <row r="9" spans="1:8" x14ac:dyDescent="0.25">
      <c r="A9" t="s">
        <v>81</v>
      </c>
    </row>
    <row r="10" spans="1:8" x14ac:dyDescent="0.25">
      <c r="A10" s="14" t="s">
        <v>37</v>
      </c>
      <c r="B10" s="50" t="s">
        <v>87</v>
      </c>
      <c r="C10" t="s">
        <v>88</v>
      </c>
    </row>
    <row r="11" spans="1:8" ht="15.6" x14ac:dyDescent="0.25">
      <c r="A11" s="14" t="s">
        <v>41</v>
      </c>
      <c r="C11" s="20" t="s">
        <v>83</v>
      </c>
    </row>
    <row r="12" spans="1:8" x14ac:dyDescent="0.25">
      <c r="A12" s="14"/>
    </row>
    <row r="16" spans="1:8" ht="16.8" x14ac:dyDescent="0.35">
      <c r="A16" s="12" t="s">
        <v>71</v>
      </c>
      <c r="B16" s="3"/>
      <c r="C16" s="3"/>
    </row>
    <row r="17" spans="1:22" x14ac:dyDescent="0.25">
      <c r="B17" s="3"/>
    </row>
    <row r="18" spans="1:22" x14ac:dyDescent="0.25">
      <c r="C18" s="3"/>
    </row>
    <row r="19" spans="1:22" ht="15.6" x14ac:dyDescent="0.25">
      <c r="A19" s="10" t="s">
        <v>20</v>
      </c>
      <c r="B19" s="13">
        <f>2^2-3^2-1^2</f>
        <v>-6</v>
      </c>
    </row>
    <row r="20" spans="1:22" ht="15.6" x14ac:dyDescent="0.35">
      <c r="A20" s="10" t="s">
        <v>19</v>
      </c>
      <c r="B20" s="13">
        <f>1-1-1</f>
        <v>-1</v>
      </c>
    </row>
    <row r="21" spans="1:22" ht="13.8" x14ac:dyDescent="0.25">
      <c r="A21" s="10"/>
      <c r="B21" s="13"/>
    </row>
    <row r="22" spans="1:22" ht="13.8" x14ac:dyDescent="0.3">
      <c r="C22" s="4" t="s">
        <v>1</v>
      </c>
      <c r="D22" s="5"/>
      <c r="T22">
        <v>0.49099999999999999</v>
      </c>
      <c r="U22" s="20" t="s">
        <v>44</v>
      </c>
    </row>
    <row r="23" spans="1:22" ht="13.8" x14ac:dyDescent="0.3">
      <c r="C23" s="3" t="s">
        <v>2</v>
      </c>
      <c r="D23" s="3"/>
      <c r="S23" t="s">
        <v>0</v>
      </c>
      <c r="T23">
        <v>0.50900000000000001</v>
      </c>
      <c r="U23" s="20" t="s">
        <v>42</v>
      </c>
    </row>
    <row r="24" spans="1:22" ht="13.8" x14ac:dyDescent="0.3">
      <c r="C24" s="4" t="s">
        <v>3</v>
      </c>
      <c r="D24" s="5"/>
      <c r="R24" s="6"/>
      <c r="T24" s="2">
        <v>0.52</v>
      </c>
      <c r="U24" s="20" t="s">
        <v>43</v>
      </c>
    </row>
    <row r="25" spans="1:22" ht="16.8" x14ac:dyDescent="0.35">
      <c r="B25" t="s">
        <v>17</v>
      </c>
      <c r="C25" s="7" t="s">
        <v>5</v>
      </c>
      <c r="D25" s="7" t="s">
        <v>35</v>
      </c>
      <c r="E25" s="7" t="s">
        <v>6</v>
      </c>
      <c r="F25" s="7" t="s">
        <v>7</v>
      </c>
      <c r="G25" s="7" t="s">
        <v>8</v>
      </c>
      <c r="H25" s="7" t="s">
        <v>9</v>
      </c>
      <c r="I25" s="6" t="s">
        <v>10</v>
      </c>
      <c r="J25" s="8" t="s">
        <v>11</v>
      </c>
      <c r="L25" s="20" t="s">
        <v>40</v>
      </c>
      <c r="M25" s="28" t="s">
        <v>47</v>
      </c>
      <c r="N25" s="19" t="s">
        <v>38</v>
      </c>
      <c r="O25" s="1" t="s">
        <v>16</v>
      </c>
      <c r="P25" s="1" t="s">
        <v>16</v>
      </c>
      <c r="Q25" s="1" t="s">
        <v>16</v>
      </c>
      <c r="U25" s="27" t="s">
        <v>45</v>
      </c>
    </row>
    <row r="26" spans="1:22" x14ac:dyDescent="0.25">
      <c r="A26" t="s">
        <v>4</v>
      </c>
      <c r="B26" t="s">
        <v>18</v>
      </c>
      <c r="C26" s="7" t="s">
        <v>14</v>
      </c>
      <c r="D26" s="7" t="s">
        <v>14</v>
      </c>
      <c r="E26" s="7" t="s">
        <v>14</v>
      </c>
      <c r="G26" s="7" t="s">
        <v>15</v>
      </c>
      <c r="H26" s="7" t="s">
        <v>15</v>
      </c>
      <c r="U26" s="21">
        <v>-0.6</v>
      </c>
    </row>
    <row r="27" spans="1:22" ht="16.8" x14ac:dyDescent="0.35">
      <c r="C27" s="4" t="s">
        <v>1</v>
      </c>
      <c r="D27" s="20" t="s">
        <v>34</v>
      </c>
      <c r="E27" s="20" t="s">
        <v>34</v>
      </c>
      <c r="F27" s="4" t="s">
        <v>1</v>
      </c>
      <c r="T27" s="7" t="s">
        <v>12</v>
      </c>
      <c r="U27" s="27" t="s">
        <v>46</v>
      </c>
      <c r="V27" s="1" t="s">
        <v>16</v>
      </c>
    </row>
    <row r="28" spans="1:22" ht="14.4" x14ac:dyDescent="0.3">
      <c r="A28" s="14" t="s">
        <v>41</v>
      </c>
      <c r="B28" s="15" t="s">
        <v>39</v>
      </c>
      <c r="C28" s="25">
        <v>0.15</v>
      </c>
      <c r="E28" s="24">
        <v>0.95</v>
      </c>
      <c r="F28" s="17">
        <f>1.013+(1.03-1.013)/(0.25-0.1)*0.05</f>
        <v>1.0186666666666666</v>
      </c>
      <c r="G28" s="39">
        <f>C28*F28</f>
        <v>0.15279999999999999</v>
      </c>
      <c r="H28" s="17">
        <f>E28+$B$20*LOG(F28)</f>
        <v>0.94196790481601012</v>
      </c>
      <c r="I28">
        <v>0.15</v>
      </c>
      <c r="J28" s="18">
        <f>2*I28</f>
        <v>0.3</v>
      </c>
      <c r="L28">
        <v>37</v>
      </c>
      <c r="M28">
        <f>1/(273.15+L28)</f>
        <v>3.224246332419797E-3</v>
      </c>
      <c r="N28" s="2">
        <f>G28</f>
        <v>0.15279999999999999</v>
      </c>
      <c r="Q28" s="2">
        <f>V28</f>
        <v>1.8024573925136402</v>
      </c>
      <c r="R28" s="2"/>
      <c r="T28" s="2">
        <f>H28-$B$19*($T$24*SQRT(G28)/(1+1.5*SQRT(G28)))</f>
        <v>1.7107773925136402</v>
      </c>
      <c r="U28" s="2">
        <f>$U$26*G28</f>
        <v>-9.1679999999999998E-2</v>
      </c>
      <c r="V28" s="17">
        <f>T28-U28</f>
        <v>1.8024573925136402</v>
      </c>
    </row>
    <row r="32" spans="1:22" ht="16.8" x14ac:dyDescent="0.35">
      <c r="A32" s="12" t="s">
        <v>72</v>
      </c>
      <c r="B32" s="3"/>
      <c r="C32" s="3"/>
    </row>
    <row r="33" spans="1:39" x14ac:dyDescent="0.25">
      <c r="B33" s="3"/>
    </row>
    <row r="34" spans="1:39" ht="15.6" x14ac:dyDescent="0.25">
      <c r="C34" s="3"/>
      <c r="W34" t="s">
        <v>52</v>
      </c>
      <c r="X34">
        <v>8.3145100000000007E-3</v>
      </c>
      <c r="Y34" s="20" t="s">
        <v>53</v>
      </c>
    </row>
    <row r="35" spans="1:39" ht="15.6" x14ac:dyDescent="0.25">
      <c r="A35" s="10" t="s">
        <v>20</v>
      </c>
      <c r="B35" s="13">
        <f>1^2-2^2-1^2</f>
        <v>-4</v>
      </c>
      <c r="W35" t="s">
        <v>48</v>
      </c>
      <c r="X35">
        <v>298.14999999999998</v>
      </c>
      <c r="Y35" s="20" t="s">
        <v>35</v>
      </c>
    </row>
    <row r="36" spans="1:39" ht="15.6" x14ac:dyDescent="0.35">
      <c r="A36" s="10" t="s">
        <v>19</v>
      </c>
      <c r="B36" s="13">
        <f>1-1-1</f>
        <v>-1</v>
      </c>
      <c r="W36" t="s">
        <v>54</v>
      </c>
      <c r="X36">
        <f>LN(10)</f>
        <v>2.3025850929940459</v>
      </c>
    </row>
    <row r="37" spans="1:39" ht="13.8" x14ac:dyDescent="0.25">
      <c r="A37" s="10"/>
      <c r="B37" s="13"/>
    </row>
    <row r="38" spans="1:39" ht="13.8" x14ac:dyDescent="0.3">
      <c r="C38" s="4" t="s">
        <v>1</v>
      </c>
      <c r="D38" s="5"/>
      <c r="T38">
        <v>0.49099999999999999</v>
      </c>
      <c r="U38" s="20" t="s">
        <v>44</v>
      </c>
      <c r="W38" s="20" t="s">
        <v>55</v>
      </c>
      <c r="X38">
        <f>X34*X36</f>
        <v>1.9144866781549925E-2</v>
      </c>
    </row>
    <row r="39" spans="1:39" ht="13.8" x14ac:dyDescent="0.3">
      <c r="C39" s="3" t="s">
        <v>2</v>
      </c>
      <c r="D39" s="3"/>
      <c r="S39" t="s">
        <v>0</v>
      </c>
      <c r="T39">
        <v>0.50900000000000001</v>
      </c>
      <c r="U39" s="20" t="s">
        <v>42</v>
      </c>
      <c r="W39" t="s">
        <v>56</v>
      </c>
      <c r="X39">
        <f>X34*X35*X36</f>
        <v>5.7080420309191107</v>
      </c>
    </row>
    <row r="40" spans="1:39" ht="13.8" x14ac:dyDescent="0.3">
      <c r="C40" s="4" t="s">
        <v>3</v>
      </c>
      <c r="D40" s="5"/>
      <c r="R40" s="6"/>
      <c r="T40" s="2">
        <v>0.52</v>
      </c>
      <c r="U40" s="20" t="s">
        <v>43</v>
      </c>
    </row>
    <row r="41" spans="1:39" ht="15.6" x14ac:dyDescent="0.35">
      <c r="B41" t="s">
        <v>17</v>
      </c>
      <c r="C41" s="7" t="s">
        <v>5</v>
      </c>
      <c r="D41" s="7" t="s">
        <v>35</v>
      </c>
      <c r="E41" s="7" t="s">
        <v>6</v>
      </c>
      <c r="F41" s="7" t="s">
        <v>7</v>
      </c>
      <c r="G41" s="7" t="s">
        <v>8</v>
      </c>
      <c r="H41" s="7" t="s">
        <v>9</v>
      </c>
      <c r="I41" s="6" t="s">
        <v>10</v>
      </c>
      <c r="J41" s="8" t="s">
        <v>11</v>
      </c>
      <c r="L41" s="20" t="s">
        <v>40</v>
      </c>
      <c r="T41" s="7" t="s">
        <v>12</v>
      </c>
      <c r="U41" s="27" t="s">
        <v>45</v>
      </c>
    </row>
    <row r="42" spans="1:39" ht="15.6" x14ac:dyDescent="0.35">
      <c r="A42" t="s">
        <v>4</v>
      </c>
      <c r="B42" t="s">
        <v>18</v>
      </c>
      <c r="C42" s="7" t="s">
        <v>14</v>
      </c>
      <c r="D42" s="7" t="s">
        <v>14</v>
      </c>
      <c r="E42" s="7" t="s">
        <v>14</v>
      </c>
      <c r="G42" s="7" t="s">
        <v>15</v>
      </c>
      <c r="H42" s="7" t="s">
        <v>15</v>
      </c>
      <c r="U42" s="21">
        <v>-0.5</v>
      </c>
      <c r="W42" s="30" t="s">
        <v>48</v>
      </c>
      <c r="X42" s="30" t="s">
        <v>48</v>
      </c>
      <c r="Y42" s="28" t="s">
        <v>47</v>
      </c>
      <c r="Z42" s="30" t="s">
        <v>49</v>
      </c>
      <c r="AB42" s="31"/>
      <c r="AC42" s="31" t="s">
        <v>57</v>
      </c>
      <c r="AD42" s="32" t="s">
        <v>58</v>
      </c>
    </row>
    <row r="43" spans="1:39" ht="16.8" x14ac:dyDescent="0.35">
      <c r="C43" s="4" t="s">
        <v>1</v>
      </c>
      <c r="D43" s="20" t="s">
        <v>34</v>
      </c>
      <c r="E43" s="20" t="s">
        <v>34</v>
      </c>
      <c r="F43" s="4" t="s">
        <v>1</v>
      </c>
      <c r="U43" s="27" t="s">
        <v>46</v>
      </c>
      <c r="V43" s="1" t="s">
        <v>16</v>
      </c>
      <c r="W43" s="30" t="s">
        <v>50</v>
      </c>
      <c r="X43" s="30" t="s">
        <v>51</v>
      </c>
      <c r="AB43" s="14" t="s">
        <v>37</v>
      </c>
      <c r="AC43" s="34" t="s">
        <v>59</v>
      </c>
      <c r="AD43" s="33"/>
      <c r="AE43" s="9"/>
      <c r="AF43" s="9"/>
      <c r="AI43" s="11" t="s">
        <v>21</v>
      </c>
      <c r="AJ43" s="11" t="s">
        <v>22</v>
      </c>
      <c r="AK43" s="11" t="s">
        <v>23</v>
      </c>
      <c r="AL43" s="11" t="s">
        <v>24</v>
      </c>
      <c r="AM43" s="11" t="s">
        <v>25</v>
      </c>
    </row>
    <row r="44" spans="1:39" ht="15.6" x14ac:dyDescent="0.35">
      <c r="A44" s="14" t="s">
        <v>37</v>
      </c>
      <c r="B44" s="15" t="s">
        <v>36</v>
      </c>
      <c r="C44" s="23">
        <v>0.2</v>
      </c>
      <c r="D44" s="26">
        <v>5.2</v>
      </c>
      <c r="E44" s="40">
        <f>LOG(D44)</f>
        <v>0.71600334363479923</v>
      </c>
      <c r="F44" s="17">
        <f>1.026+(1.065-1.026)/(0.25-0.1)*0.1</f>
        <v>1.052</v>
      </c>
      <c r="G44" s="39">
        <f>C44*F44</f>
        <v>0.21040000000000003</v>
      </c>
      <c r="H44" s="17">
        <f>E44+$B$36*LOG(F44)</f>
        <v>0.69398760381707891</v>
      </c>
      <c r="I44" s="2">
        <f>(LOG(5.2+0.5)-LOG(5.2-0.5))/2</f>
        <v>4.188849886838697E-2</v>
      </c>
      <c r="J44" s="18">
        <v>0.2</v>
      </c>
      <c r="L44">
        <v>25</v>
      </c>
      <c r="M44">
        <f>1/(273.15+L44)</f>
        <v>3.3540164346805303E-3</v>
      </c>
      <c r="N44" s="2">
        <f>G44</f>
        <v>0.21040000000000003</v>
      </c>
      <c r="P44" s="2">
        <f>V44</f>
        <v>1.3524328981765092</v>
      </c>
      <c r="T44" s="2">
        <f>H44-$B$35*($T$39*SQRT(G44)/(1+1.5*SQRT(G44)))</f>
        <v>1.2472328981765093</v>
      </c>
      <c r="U44" s="2">
        <f>$U$42*G44</f>
        <v>-0.10520000000000002</v>
      </c>
      <c r="V44" s="17">
        <f>T44-U44</f>
        <v>1.3524328981765092</v>
      </c>
      <c r="W44">
        <f>L44</f>
        <v>25</v>
      </c>
      <c r="X44">
        <f>273.15+$W44</f>
        <v>298.14999999999998</v>
      </c>
      <c r="Y44">
        <f>1/(273.15+W44)</f>
        <v>3.3540164346805303E-3</v>
      </c>
      <c r="Z44">
        <f>(1/$X$35-1/$X44)/$X$38</f>
        <v>0</v>
      </c>
      <c r="AA44" s="34" t="s">
        <v>60</v>
      </c>
      <c r="AB44">
        <f>6*4.184</f>
        <v>25.103999999999999</v>
      </c>
      <c r="AC44" s="22">
        <f t="array" ref="AC44:AD48">LINEST(V44:V46,Z44:Z46,TRUE,TRUE)</f>
        <v>20.163651334479553</v>
      </c>
      <c r="AD44" s="22">
        <v>1.2830200477995437</v>
      </c>
      <c r="AE44" s="35" t="s">
        <v>61</v>
      </c>
      <c r="AF44" s="35"/>
      <c r="AI44" s="20">
        <f>1/J44^2</f>
        <v>24.999999999999996</v>
      </c>
      <c r="AJ44" s="20">
        <f>Z44*AI44</f>
        <v>0</v>
      </c>
      <c r="AK44" s="20">
        <f>Z44*Z44*AI44</f>
        <v>0</v>
      </c>
      <c r="AL44" s="20">
        <f>V44*AI44</f>
        <v>33.81082245441273</v>
      </c>
      <c r="AM44" s="20">
        <f>Z44*V44*AI44</f>
        <v>0</v>
      </c>
    </row>
    <row r="45" spans="1:39" ht="14.4" x14ac:dyDescent="0.3">
      <c r="A45" s="14" t="s">
        <v>41</v>
      </c>
      <c r="B45" s="15" t="s">
        <v>39</v>
      </c>
      <c r="C45" s="25">
        <v>0.15</v>
      </c>
      <c r="E45" s="24">
        <v>0.79</v>
      </c>
      <c r="F45" s="17">
        <f>1.013+(1.03-1.013)/(0.25-0.1)*0.05</f>
        <v>1.0186666666666666</v>
      </c>
      <c r="G45" s="39">
        <f>C45*F45</f>
        <v>0.15279999999999999</v>
      </c>
      <c r="H45" s="17">
        <f>E45+$B$36*LOG(F45)</f>
        <v>0.7819679048160102</v>
      </c>
      <c r="I45">
        <v>0.04</v>
      </c>
      <c r="J45" s="18">
        <v>0.2</v>
      </c>
      <c r="L45">
        <v>37</v>
      </c>
      <c r="M45">
        <f>1/(273.15+L45)</f>
        <v>3.224246332419797E-3</v>
      </c>
      <c r="N45" s="2">
        <f>G45</f>
        <v>0.15279999999999999</v>
      </c>
      <c r="Q45" s="2">
        <f>V45</f>
        <v>1.370907563281097</v>
      </c>
      <c r="R45" s="2"/>
      <c r="T45" s="2">
        <f>H45-$B$35*($T$40*SQRT(G45)/(1+1.5*SQRT(G45)))</f>
        <v>1.294507563281097</v>
      </c>
      <c r="U45" s="2">
        <f>$U$42*G45</f>
        <v>-7.6399999999999996E-2</v>
      </c>
      <c r="V45" s="17">
        <f>T45-U45</f>
        <v>1.370907563281097</v>
      </c>
      <c r="W45">
        <f>L45</f>
        <v>37</v>
      </c>
      <c r="X45">
        <f>273.15+$W45</f>
        <v>310.14999999999998</v>
      </c>
      <c r="Y45">
        <f>1/(273.15+W45)</f>
        <v>3.224246332419797E-3</v>
      </c>
      <c r="Z45">
        <f>(1/$X$35-1/$X45)/$X$38</f>
        <v>6.7783235966830469E-3</v>
      </c>
      <c r="AA45" s="34"/>
      <c r="AC45">
        <v>5.2701638903237322</v>
      </c>
      <c r="AD45">
        <v>5.2968545491948224E-2</v>
      </c>
      <c r="AE45" s="35"/>
      <c r="AF45" s="35"/>
      <c r="AI45" s="20">
        <f>1/J45^2</f>
        <v>24.999999999999996</v>
      </c>
      <c r="AJ45" s="20">
        <f>Z45*AI45</f>
        <v>0.16945808991707614</v>
      </c>
      <c r="AK45" s="20">
        <f>Z45*Z45*AI45</f>
        <v>1.1486417695337548E-3</v>
      </c>
      <c r="AL45" s="20">
        <f>V45*AI45</f>
        <v>34.272689082027419</v>
      </c>
      <c r="AM45" s="20">
        <f>Z45*V45*AI45</f>
        <v>0.23231137712648789</v>
      </c>
    </row>
    <row r="46" spans="1:39" ht="14.4" x14ac:dyDescent="0.3">
      <c r="A46" s="14" t="s">
        <v>37</v>
      </c>
      <c r="B46" s="15" t="s">
        <v>36</v>
      </c>
      <c r="C46" s="23">
        <v>0.2</v>
      </c>
      <c r="D46" s="29">
        <v>2.1</v>
      </c>
      <c r="E46" s="40">
        <f>LOG(D46)</f>
        <v>0.3222192947339193</v>
      </c>
      <c r="F46" s="17">
        <f>1.026+(1.065-1.026)/(0.25-0.1)*0.1</f>
        <v>1.052</v>
      </c>
      <c r="G46" s="39">
        <f>C46*F46</f>
        <v>0.21040000000000003</v>
      </c>
      <c r="H46" s="17">
        <f>E46+$B$36*LOG(F46)</f>
        <v>0.30020355491619904</v>
      </c>
      <c r="I46" s="2">
        <f>(LOG(2.1+0.3)-LOG(2.1-0.3))/2</f>
        <v>6.246936830414998E-2</v>
      </c>
      <c r="J46" s="18">
        <v>0.2</v>
      </c>
      <c r="L46">
        <v>0</v>
      </c>
      <c r="M46">
        <f>1/(273.15+L46)</f>
        <v>3.6609921288669233E-3</v>
      </c>
      <c r="N46" s="2">
        <f>G46</f>
        <v>0.21040000000000003</v>
      </c>
      <c r="P46" s="2">
        <f>V46</f>
        <v>0.93908418267745697</v>
      </c>
      <c r="T46" s="2">
        <f>H46-$B$35*($T$38*SQRT(G46)/(1+1.5*SQRT(G46)))</f>
        <v>0.83388418267745701</v>
      </c>
      <c r="U46" s="2">
        <f>$U$42*G46</f>
        <v>-0.10520000000000002</v>
      </c>
      <c r="V46" s="17">
        <f>T46-U46</f>
        <v>0.93908418267745697</v>
      </c>
      <c r="W46">
        <f>L46</f>
        <v>0</v>
      </c>
      <c r="X46">
        <f>273.15+$W46</f>
        <v>273.14999999999998</v>
      </c>
      <c r="Y46">
        <f>1/(273.15+W46)</f>
        <v>3.6609921288669233E-3</v>
      </c>
      <c r="Z46">
        <f>(1/$X$35-1/$X46)/$X$38</f>
        <v>-1.6034360420947306E-2</v>
      </c>
      <c r="AA46" s="34" t="s">
        <v>62</v>
      </c>
      <c r="AC46">
        <v>0.93605435780245005</v>
      </c>
      <c r="AD46">
        <v>8.7314435284136099E-2</v>
      </c>
      <c r="AE46" s="35" t="s">
        <v>63</v>
      </c>
      <c r="AF46" s="35"/>
      <c r="AI46" s="20">
        <f>1/J46^2</f>
        <v>24.999999999999996</v>
      </c>
      <c r="AJ46" s="20">
        <f>Z46*AI46</f>
        <v>-0.40085901052368261</v>
      </c>
      <c r="AK46" s="20">
        <f>Z46*Z46*AI46</f>
        <v>6.4275178527210359E-3</v>
      </c>
      <c r="AL46" s="20">
        <f>V46*AI46</f>
        <v>23.477104566936422</v>
      </c>
      <c r="AM46" s="20">
        <f>Z46*V46*AI46</f>
        <v>-0.37644035626652655</v>
      </c>
    </row>
    <row r="47" spans="1:39" x14ac:dyDescent="0.25">
      <c r="AA47" s="34" t="s">
        <v>64</v>
      </c>
      <c r="AC47">
        <v>14.638282229000977</v>
      </c>
      <c r="AD47">
        <v>1</v>
      </c>
      <c r="AE47" s="35" t="s">
        <v>65</v>
      </c>
      <c r="AF47" s="35"/>
    </row>
    <row r="48" spans="1:39" x14ac:dyDescent="0.25">
      <c r="V48" s="30" t="s">
        <v>67</v>
      </c>
      <c r="AA48" s="1"/>
      <c r="AC48">
        <v>0.11159949135481217</v>
      </c>
      <c r="AD48">
        <v>7.6238106089875912E-3</v>
      </c>
      <c r="AE48" s="35" t="s">
        <v>66</v>
      </c>
      <c r="AF48" s="35"/>
      <c r="AH48" s="10" t="s">
        <v>26</v>
      </c>
      <c r="AI48">
        <f>SUM(AI44:AI46)</f>
        <v>74.999999999999986</v>
      </c>
      <c r="AJ48">
        <f>SUM(AJ44:AJ46)</f>
        <v>-0.23140092060660647</v>
      </c>
      <c r="AK48">
        <f>SUM(AK44:AK46)</f>
        <v>7.5761596222547909E-3</v>
      </c>
      <c r="AL48">
        <f>SUM(AL44:AL46)</f>
        <v>91.56061610337656</v>
      </c>
      <c r="AM48">
        <f>SUM(AM44:AM46)</f>
        <v>-0.14412897914003867</v>
      </c>
    </row>
    <row r="49" spans="1:42" ht="15.6" x14ac:dyDescent="0.35">
      <c r="V49" s="30" t="s">
        <v>68</v>
      </c>
      <c r="W49" s="37" t="s">
        <v>69</v>
      </c>
      <c r="X49" s="37" t="s">
        <v>70</v>
      </c>
      <c r="AH49" s="10"/>
      <c r="AN49" s="41"/>
      <c r="AO49" s="42"/>
    </row>
    <row r="50" spans="1:42" ht="16.8" x14ac:dyDescent="0.35">
      <c r="AC50">
        <f>AC45*2</f>
        <v>10.540327780647464</v>
      </c>
      <c r="AD50">
        <f>AD45*2</f>
        <v>0.10593709098389645</v>
      </c>
      <c r="AH50" s="10"/>
      <c r="AK50" s="10" t="s">
        <v>27</v>
      </c>
      <c r="AL50">
        <f>AI48*AK48-AJ48^2</f>
        <v>0.5146655856115242</v>
      </c>
    </row>
    <row r="51" spans="1:42" ht="16.8" x14ac:dyDescent="0.35">
      <c r="T51" s="38">
        <v>0</v>
      </c>
      <c r="U51">
        <f>1/(273.15+T51)</f>
        <v>3.6609921288669233E-3</v>
      </c>
      <c r="V51" s="2">
        <f>$AD$44+$AC$44*$Z46</f>
        <v>0.95970879490018346</v>
      </c>
      <c r="W51" s="2">
        <f>($AD$44+$AD$51+($AC$44-$AC$51)*$Z46)</f>
        <v>1.2280695793201302</v>
      </c>
      <c r="X51" s="2">
        <f>($AD$44-$AD$51+($AC$44+$AC$51)*$Z46)</f>
        <v>0.69134801048023664</v>
      </c>
      <c r="AA51" s="36" t="s">
        <v>13</v>
      </c>
      <c r="AC51" s="18">
        <v>10.5</v>
      </c>
      <c r="AD51" s="22">
        <v>0.1</v>
      </c>
      <c r="AH51" s="10"/>
      <c r="AK51" s="10" t="s">
        <v>28</v>
      </c>
      <c r="AL51">
        <f>AK48*AL48</f>
        <v>0.69367784271117328</v>
      </c>
    </row>
    <row r="52" spans="1:42" ht="16.8" x14ac:dyDescent="0.35">
      <c r="T52">
        <v>25</v>
      </c>
      <c r="U52">
        <f>1/(273.15+T52)</f>
        <v>3.3540164346805303E-3</v>
      </c>
      <c r="V52" s="2">
        <f>$AD$44+$AC$44*$Z44</f>
        <v>1.2830200477995437</v>
      </c>
      <c r="W52" s="2">
        <f>($AD$44+$AD$51+($AC$44+$AC$51)*$Z44)</f>
        <v>1.3830200477995438</v>
      </c>
      <c r="X52" s="2">
        <f>($AD$44-$AD$51+($AC$44+$AC$51)*$Z44)</f>
        <v>1.1830200477995436</v>
      </c>
      <c r="AK52" s="10" t="s">
        <v>29</v>
      </c>
      <c r="AL52">
        <f>AJ48*AM48</f>
        <v>3.3351578459095324E-2</v>
      </c>
    </row>
    <row r="53" spans="1:42" ht="16.8" x14ac:dyDescent="0.35">
      <c r="T53">
        <v>37</v>
      </c>
      <c r="U53">
        <f>1/(273.15+T53)</f>
        <v>3.224246332419797E-3</v>
      </c>
      <c r="V53" s="2">
        <f>$AD$44+$AC$44*$Z45</f>
        <v>1.419695801435336</v>
      </c>
      <c r="W53" s="2">
        <f>($AD$44+$AD$51+($AC$44+$AC$51)*$Z45)</f>
        <v>1.590868199200508</v>
      </c>
      <c r="X53" s="2">
        <f>($AD$44-$AD$51+($AC$44-$AC$51)*$Z45)</f>
        <v>1.248523403670164</v>
      </c>
      <c r="AC53" s="46" t="s">
        <v>78</v>
      </c>
      <c r="AD53" s="47" t="s">
        <v>47</v>
      </c>
      <c r="AE53" s="46" t="s">
        <v>79</v>
      </c>
      <c r="AF53" s="48" t="s">
        <v>69</v>
      </c>
      <c r="AG53" s="48" t="s">
        <v>70</v>
      </c>
      <c r="AH53" s="1" t="s">
        <v>30</v>
      </c>
      <c r="AK53" s="43" t="s">
        <v>74</v>
      </c>
      <c r="AL53" s="22">
        <f>(AL51-AL52)/AL50</f>
        <v>1.2830200477995437</v>
      </c>
      <c r="AO53" s="44" t="s">
        <v>75</v>
      </c>
      <c r="AP53" s="22">
        <f>SQRT(AK48/AL50)</f>
        <v>0.1213282667856226</v>
      </c>
    </row>
    <row r="54" spans="1:42" ht="16.8" x14ac:dyDescent="0.35">
      <c r="AC54" s="49">
        <v>-2</v>
      </c>
      <c r="AD54">
        <f>1/(273.15+AC54)</f>
        <v>3.687995574405311E-3</v>
      </c>
      <c r="AE54">
        <f>$AL$53+$AL$56/$X$38*(1/$X$35-$AD54)</f>
        <v>0.9312683744533623</v>
      </c>
      <c r="AF54">
        <f>($AL$53+$AP$53)+($AL$56-$AP$56)/$X$38*(1/$X$35-$AD54)</f>
        <v>1.2631853395776711</v>
      </c>
      <c r="AG54">
        <f>($AL$53-$AP$53)+($AL$56+$AP$56)/$X$38*(1/$X$35-$AD54)</f>
        <v>0.5993514093290534</v>
      </c>
      <c r="AK54" s="10" t="s">
        <v>31</v>
      </c>
      <c r="AL54">
        <f>AI48*AM48</f>
        <v>-10.809673435502898</v>
      </c>
    </row>
    <row r="55" spans="1:42" ht="16.8" x14ac:dyDescent="0.35">
      <c r="A55" s="12" t="s">
        <v>73</v>
      </c>
      <c r="B55" s="3"/>
      <c r="C55" s="3"/>
      <c r="AC55">
        <v>25</v>
      </c>
      <c r="AD55">
        <f>1/(273.15+AC55)</f>
        <v>3.3540164346805303E-3</v>
      </c>
      <c r="AE55">
        <f>$AL$53+$AL$56/$X$38*(1/$X$35-$AD55)</f>
        <v>1.2830200477995437</v>
      </c>
      <c r="AF55">
        <f>($AL$53+$AP$53)+($AL$56-$AP$56)/$X$38*(1/$X$35-$AD55)</f>
        <v>1.4043483145851663</v>
      </c>
      <c r="AG55">
        <f>($AL$53-$AP$53)+($AL$56+$AP$56)/$X$38*(1/$X$35-$AD55)</f>
        <v>1.1616917810139211</v>
      </c>
      <c r="AK55" s="10" t="s">
        <v>32</v>
      </c>
      <c r="AL55">
        <f>AJ48*AL48</f>
        <v>-21.187210857629413</v>
      </c>
    </row>
    <row r="56" spans="1:42" ht="16.8" x14ac:dyDescent="0.35">
      <c r="B56" s="3"/>
      <c r="T56" s="38">
        <v>0</v>
      </c>
      <c r="U56">
        <f>1/(273.15+T56)</f>
        <v>3.6609921288669233E-3</v>
      </c>
      <c r="V56" s="2">
        <f>$AE$49+$AD$49*$Z51</f>
        <v>0</v>
      </c>
      <c r="AC56">
        <v>38</v>
      </c>
      <c r="AD56">
        <f>1/(273.15+AC56)</f>
        <v>3.2138839787883662E-3</v>
      </c>
      <c r="AE56">
        <f>$AL$53+$AL$56/$X$38*(1/$X$35-$AD56)</f>
        <v>1.4306095825555114</v>
      </c>
      <c r="AF56">
        <f>($AL$53+$AP$53)+($AL$56+$AP$56)/$X$38*(1/$X$35-$AD56)</f>
        <v>1.6402975939217461</v>
      </c>
      <c r="AG56">
        <f>($AL$53-$AP$53)+($AL$56-$AP$56)/$X$38*(1/$X$35-$AD56)</f>
        <v>1.2209215711892767</v>
      </c>
      <c r="AH56" s="1" t="s">
        <v>33</v>
      </c>
      <c r="AK56" s="45" t="s">
        <v>76</v>
      </c>
      <c r="AL56" s="22">
        <f>(AL54-AL55)/AL50</f>
        <v>20.163651334479564</v>
      </c>
      <c r="AO56" s="44" t="s">
        <v>77</v>
      </c>
      <c r="AP56" s="22">
        <f>SQRT(AI48/AL50)</f>
        <v>12.071689802891624</v>
      </c>
    </row>
    <row r="57" spans="1:42" x14ac:dyDescent="0.25">
      <c r="C57" s="3"/>
      <c r="T57">
        <v>25</v>
      </c>
      <c r="U57">
        <f>1/(273.15+T57)</f>
        <v>3.3540164346805303E-3</v>
      </c>
      <c r="V57" s="2">
        <f>$AE$49+$AD$49*$Z44</f>
        <v>0</v>
      </c>
    </row>
    <row r="58" spans="1:42" ht="15.6" x14ac:dyDescent="0.25">
      <c r="A58" s="10" t="s">
        <v>20</v>
      </c>
      <c r="B58" s="13">
        <f>0^2-1^2-1^2</f>
        <v>-2</v>
      </c>
      <c r="T58">
        <v>37</v>
      </c>
      <c r="U58">
        <f>1/(273.15+T58)</f>
        <v>3.224246332419797E-3</v>
      </c>
      <c r="V58" s="2">
        <f>$AE$49+$AD$49*$Z50</f>
        <v>0</v>
      </c>
    </row>
    <row r="59" spans="1:42" ht="15.6" x14ac:dyDescent="0.35">
      <c r="A59" s="10" t="s">
        <v>19</v>
      </c>
      <c r="B59" s="13">
        <f>1-1-1</f>
        <v>-1</v>
      </c>
    </row>
    <row r="60" spans="1:42" ht="13.8" x14ac:dyDescent="0.25">
      <c r="A60" s="10"/>
      <c r="B60" s="13"/>
    </row>
    <row r="61" spans="1:42" ht="13.8" x14ac:dyDescent="0.3">
      <c r="C61" s="4" t="s">
        <v>1</v>
      </c>
      <c r="D61" s="5"/>
      <c r="T61">
        <v>0.49099999999999999</v>
      </c>
      <c r="U61" s="20" t="s">
        <v>44</v>
      </c>
    </row>
    <row r="62" spans="1:42" ht="13.8" x14ac:dyDescent="0.3">
      <c r="C62" s="3" t="s">
        <v>2</v>
      </c>
      <c r="D62" s="3"/>
      <c r="S62" t="s">
        <v>0</v>
      </c>
      <c r="T62">
        <v>0.50900000000000001</v>
      </c>
      <c r="U62" s="20" t="s">
        <v>42</v>
      </c>
    </row>
    <row r="63" spans="1:42" ht="13.8" x14ac:dyDescent="0.3">
      <c r="C63" s="4" t="s">
        <v>3</v>
      </c>
      <c r="D63" s="5"/>
      <c r="R63" s="6"/>
      <c r="T63" s="2">
        <v>0.52</v>
      </c>
      <c r="U63" s="20" t="s">
        <v>43</v>
      </c>
    </row>
    <row r="64" spans="1:42" ht="15.6" x14ac:dyDescent="0.35">
      <c r="B64" t="s">
        <v>17</v>
      </c>
      <c r="C64" s="7" t="s">
        <v>5</v>
      </c>
      <c r="D64" s="7" t="s">
        <v>35</v>
      </c>
      <c r="E64" s="7" t="s">
        <v>6</v>
      </c>
      <c r="F64" s="7" t="s">
        <v>7</v>
      </c>
      <c r="G64" s="7" t="s">
        <v>8</v>
      </c>
      <c r="H64" s="7" t="s">
        <v>9</v>
      </c>
      <c r="I64" s="6" t="s">
        <v>10</v>
      </c>
      <c r="J64" s="8" t="s">
        <v>11</v>
      </c>
      <c r="L64" s="20" t="s">
        <v>40</v>
      </c>
      <c r="T64" s="7" t="s">
        <v>12</v>
      </c>
      <c r="U64" s="27" t="s">
        <v>45</v>
      </c>
    </row>
    <row r="65" spans="1:22" x14ac:dyDescent="0.25">
      <c r="A65" t="s">
        <v>4</v>
      </c>
      <c r="B65" t="s">
        <v>18</v>
      </c>
      <c r="C65" s="7" t="s">
        <v>14</v>
      </c>
      <c r="D65" s="7" t="s">
        <v>14</v>
      </c>
      <c r="E65" s="7" t="s">
        <v>14</v>
      </c>
      <c r="G65" s="7" t="s">
        <v>15</v>
      </c>
      <c r="H65" s="7" t="s">
        <v>15</v>
      </c>
      <c r="U65" s="21">
        <v>-0.3</v>
      </c>
    </row>
    <row r="66" spans="1:22" ht="16.8" x14ac:dyDescent="0.35">
      <c r="C66" s="4" t="s">
        <v>1</v>
      </c>
      <c r="D66" s="20" t="s">
        <v>34</v>
      </c>
      <c r="E66" s="20" t="s">
        <v>34</v>
      </c>
      <c r="F66" s="4" t="s">
        <v>1</v>
      </c>
      <c r="U66" s="27" t="s">
        <v>46</v>
      </c>
      <c r="V66" s="1" t="s">
        <v>16</v>
      </c>
    </row>
    <row r="67" spans="1:22" ht="14.4" x14ac:dyDescent="0.3">
      <c r="A67" s="14" t="s">
        <v>41</v>
      </c>
      <c r="B67" s="15" t="s">
        <v>39</v>
      </c>
      <c r="C67" s="23">
        <v>0.3</v>
      </c>
      <c r="E67" s="24">
        <v>0.2</v>
      </c>
      <c r="F67" s="17">
        <f>1.03+(1.06-1.03)/(0.5-0.25)*0.05</f>
        <v>1.036</v>
      </c>
      <c r="G67" s="16">
        <f>C67*F67</f>
        <v>0.31080000000000002</v>
      </c>
      <c r="H67" s="17">
        <f>E67+$B$59*LOG(F67)</f>
        <v>0.18464024459078579</v>
      </c>
      <c r="I67">
        <v>0.2</v>
      </c>
      <c r="J67" s="18">
        <f>2*I67</f>
        <v>0.4</v>
      </c>
      <c r="K67" s="1"/>
      <c r="L67">
        <v>37</v>
      </c>
      <c r="M67">
        <f>1/(273.15+L67)</f>
        <v>3.224246332419797E-3</v>
      </c>
      <c r="N67" s="2">
        <f>G67</f>
        <v>0.31080000000000002</v>
      </c>
      <c r="Q67" s="2">
        <f>V67</f>
        <v>0.59363072804366346</v>
      </c>
      <c r="T67" s="2">
        <f>H67-$B$58*($T$63*SQRT(G67)/(1+1.5*SQRT(G67)))</f>
        <v>0.50039072804366347</v>
      </c>
      <c r="U67" s="2">
        <f>$U$65*G67</f>
        <v>-9.3240000000000003E-2</v>
      </c>
      <c r="V67" s="17">
        <f>T67-U67</f>
        <v>0.59363072804366346</v>
      </c>
    </row>
  </sheetData>
  <hyperlinks>
    <hyperlink ref="B10" r:id="rId1" xr:uid="{6BEB2005-19F1-4E9D-8181-916E543FF658}"/>
  </hyperlinks>
  <pageMargins left="0.7" right="0.7" top="0.78740157499999996" bottom="0.78740157499999996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LiTemp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I.Puigdomenech</dc:creator>
  <cp:lastModifiedBy>Josep Bonet</cp:lastModifiedBy>
  <cp:lastPrinted>2002-08-12T14:38:15Z</cp:lastPrinted>
  <dcterms:created xsi:type="dcterms:W3CDTF">2000-02-23T12:13:48Z</dcterms:created>
  <dcterms:modified xsi:type="dcterms:W3CDTF">2023-12-03T11:27:35Z</dcterms:modified>
</cp:coreProperties>
</file>