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P:\Montse\Wolfgang\fets\"/>
    </mc:Choice>
  </mc:AlternateContent>
  <xr:revisionPtr revIDLastSave="0" documentId="8_{1CCC38DC-60CB-4B5A-A11F-841E84A9C6A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NaF" sheetId="2" r:id="rId1"/>
  </sheets>
  <calcPr calcId="191029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2" i="2" l="1"/>
  <c r="F23" i="2" l="1"/>
  <c r="F21" i="2"/>
  <c r="F22" i="2"/>
  <c r="A24" i="2"/>
  <c r="K24" i="2" s="1"/>
  <c r="D24" i="2"/>
  <c r="E24" i="2" s="1"/>
  <c r="A25" i="2"/>
  <c r="K25" i="2" s="1"/>
  <c r="D25" i="2"/>
  <c r="N25" i="2" s="1"/>
  <c r="I26" i="2"/>
  <c r="N26" i="2"/>
  <c r="A26" i="2"/>
  <c r="K26" i="2" s="1"/>
  <c r="H27" i="2"/>
  <c r="D27" i="2"/>
  <c r="G27" i="2" s="1"/>
  <c r="A27" i="2"/>
  <c r="K27" i="2" s="1"/>
  <c r="A46" i="2"/>
  <c r="C46" i="2" s="1"/>
  <c r="A45" i="2"/>
  <c r="C45" i="2" s="1"/>
  <c r="A44" i="2"/>
  <c r="C44" i="2" s="1"/>
  <c r="A43" i="2"/>
  <c r="C43" i="2" s="1"/>
  <c r="A42" i="2"/>
  <c r="C42" i="2" s="1"/>
  <c r="A41" i="2"/>
  <c r="C41" i="2" s="1"/>
  <c r="A40" i="2"/>
  <c r="C40" i="2" s="1"/>
  <c r="A39" i="2"/>
  <c r="C39" i="2" s="1"/>
  <c r="A38" i="2"/>
  <c r="C38" i="2" s="1"/>
  <c r="A37" i="2"/>
  <c r="C37" i="2" s="1"/>
  <c r="A36" i="2"/>
  <c r="C36" i="2" s="1"/>
  <c r="A35" i="2"/>
  <c r="C35" i="2" s="1"/>
  <c r="A34" i="2"/>
  <c r="C34" i="2" s="1"/>
  <c r="A33" i="2"/>
  <c r="C33" i="2" s="1"/>
  <c r="H29" i="2"/>
  <c r="A47" i="2"/>
  <c r="A32" i="2"/>
  <c r="A31" i="2"/>
  <c r="D29" i="2"/>
  <c r="G29" i="2" s="1"/>
  <c r="D28" i="2"/>
  <c r="G28" i="2" s="1"/>
  <c r="A29" i="2"/>
  <c r="K29" i="2" s="1"/>
  <c r="A28" i="2"/>
  <c r="C28" i="2" s="1"/>
  <c r="A23" i="2"/>
  <c r="A22" i="2"/>
  <c r="A21" i="2"/>
  <c r="E25" i="2" l="1"/>
  <c r="C24" i="2"/>
  <c r="C25" i="2"/>
  <c r="N24" i="2"/>
  <c r="C26" i="2"/>
  <c r="N27" i="2"/>
  <c r="C27" i="2"/>
  <c r="K28" i="2"/>
  <c r="N28" i="2"/>
  <c r="N29" i="2"/>
  <c r="C29" i="2"/>
  <c r="C47" i="2"/>
  <c r="C32" i="2"/>
  <c r="C31" i="2"/>
  <c r="D23" i="2"/>
  <c r="E23" i="2" s="1"/>
  <c r="D22" i="2"/>
  <c r="E22" i="2" s="1"/>
  <c r="D21" i="2"/>
  <c r="E21" i="2" s="1"/>
  <c r="N23" i="2" l="1"/>
  <c r="N22" i="2"/>
  <c r="N21" i="2"/>
  <c r="K23" i="2"/>
  <c r="K22" i="2"/>
  <c r="L15" i="2"/>
  <c r="L16" i="2" s="1"/>
  <c r="L25" i="2" l="1"/>
  <c r="L24" i="2"/>
  <c r="L27" i="2"/>
  <c r="L26" i="2"/>
  <c r="L29" i="2"/>
  <c r="L28" i="2"/>
  <c r="L22" i="2"/>
  <c r="L23" i="2"/>
  <c r="C23" i="2"/>
  <c r="C22" i="2"/>
  <c r="C21" i="2"/>
  <c r="K21" i="2"/>
  <c r="L21" i="2" s="1"/>
  <c r="S19" i="2" l="1" a="1"/>
  <c r="T19" i="2" l="1"/>
  <c r="T22" i="2"/>
  <c r="S23" i="2"/>
  <c r="T23" i="2"/>
  <c r="S19" i="2"/>
  <c r="S22" i="2"/>
  <c r="T21" i="2"/>
  <c r="S21" i="2"/>
  <c r="T20" i="2"/>
  <c r="T25" i="2" s="1"/>
  <c r="S20" i="2"/>
  <c r="S25" i="2" s="1"/>
  <c r="F33" i="2" l="1"/>
  <c r="D41" i="2"/>
  <c r="D33" i="2"/>
  <c r="D40" i="2"/>
  <c r="D39" i="2"/>
  <c r="D46" i="2"/>
  <c r="D38" i="2"/>
  <c r="D45" i="2"/>
  <c r="D44" i="2"/>
  <c r="D36" i="2"/>
  <c r="D43" i="2"/>
  <c r="D34" i="2"/>
  <c r="D37" i="2"/>
  <c r="D35" i="2"/>
  <c r="D42" i="2"/>
  <c r="F35" i="2"/>
  <c r="F37" i="2"/>
  <c r="E39" i="2"/>
  <c r="E37" i="2"/>
  <c r="F43" i="2"/>
  <c r="E40" i="2"/>
  <c r="F44" i="2"/>
  <c r="F42" i="2"/>
  <c r="F38" i="2"/>
  <c r="F45" i="2"/>
  <c r="F32" i="2"/>
  <c r="E45" i="2"/>
  <c r="F46" i="2"/>
  <c r="F40" i="2"/>
  <c r="E34" i="2"/>
  <c r="E36" i="2"/>
  <c r="E38" i="2"/>
  <c r="F41" i="2"/>
  <c r="E46" i="2"/>
  <c r="E42" i="2"/>
  <c r="E35" i="2"/>
  <c r="E44" i="2"/>
  <c r="E41" i="2"/>
  <c r="E33" i="2"/>
  <c r="E32" i="2"/>
  <c r="F36" i="2"/>
  <c r="F39" i="2"/>
  <c r="E43" i="2"/>
  <c r="F34" i="2"/>
  <c r="D47" i="2"/>
  <c r="F31" i="2"/>
  <c r="E31" i="2"/>
  <c r="F47" i="2"/>
  <c r="E47" i="2"/>
  <c r="D31" i="2"/>
  <c r="D32" i="2"/>
</calcChain>
</file>

<file path=xl/sharedStrings.xml><?xml version="1.0" encoding="utf-8"?>
<sst xmlns="http://schemas.openxmlformats.org/spreadsheetml/2006/main" count="56" uniqueCount="49">
  <si>
    <t>Temperature</t>
  </si>
  <si>
    <t>Molality</t>
  </si>
  <si>
    <t>1/K</t>
  </si>
  <si>
    <t>1 / T</t>
  </si>
  <si>
    <t>K</t>
  </si>
  <si>
    <t>R =</t>
  </si>
  <si>
    <t>ln(10) =</t>
  </si>
  <si>
    <t>R * ln(10) =</t>
  </si>
  <si>
    <r>
      <t>T</t>
    </r>
    <r>
      <rPr>
        <vertAlign val="superscript"/>
        <sz val="10"/>
        <rFont val="Arial"/>
        <family val="2"/>
      </rPr>
      <t>o</t>
    </r>
    <r>
      <rPr>
        <sz val="11"/>
        <color theme="1"/>
        <rFont val="Calibri"/>
        <family val="2"/>
        <scheme val="minor"/>
      </rPr>
      <t xml:space="preserve"> =</t>
    </r>
  </si>
  <si>
    <t>T (K)</t>
  </si>
  <si>
    <r>
      <t>(1/T</t>
    </r>
    <r>
      <rPr>
        <vertAlign val="superscript"/>
        <sz val="10"/>
        <rFont val="Arial"/>
        <family val="2"/>
      </rPr>
      <t>o</t>
    </r>
    <r>
      <rPr>
        <sz val="11"/>
        <color theme="1"/>
        <rFont val="Calibri"/>
        <family val="2"/>
        <scheme val="minor"/>
      </rPr>
      <t>-1/T)</t>
    </r>
  </si>
  <si>
    <t>R * ln(10)</t>
  </si>
  <si>
    <r>
      <t>D</t>
    </r>
    <r>
      <rPr>
        <vertAlign val="subscript"/>
        <sz val="10"/>
        <rFont val="Arial"/>
        <family val="2"/>
      </rPr>
      <t>r</t>
    </r>
    <r>
      <rPr>
        <i/>
        <sz val="10"/>
        <rFont val="Arial"/>
        <family val="2"/>
      </rPr>
      <t>H</t>
    </r>
    <r>
      <rPr>
        <vertAlign val="subscript"/>
        <sz val="10"/>
        <rFont val="Arial"/>
        <family val="2"/>
      </rPr>
      <t>m</t>
    </r>
    <r>
      <rPr>
        <vertAlign val="superscript"/>
        <sz val="10"/>
        <rFont val="Arial"/>
        <family val="2"/>
      </rPr>
      <t>o</t>
    </r>
  </si>
  <si>
    <t>log(K)</t>
  </si>
  <si>
    <t>kJ/mol</t>
  </si>
  <si>
    <r>
      <t>log</t>
    </r>
    <r>
      <rPr>
        <vertAlign val="subscript"/>
        <sz val="10"/>
        <rFont val="Arial"/>
        <family val="2"/>
      </rPr>
      <t>10</t>
    </r>
    <r>
      <rPr>
        <i/>
        <sz val="10"/>
        <rFont val="Arial"/>
        <family val="2"/>
      </rPr>
      <t>K</t>
    </r>
    <r>
      <rPr>
        <vertAlign val="superscript"/>
        <sz val="10"/>
        <rFont val="Arial"/>
        <family val="2"/>
      </rPr>
      <t>o</t>
    </r>
  </si>
  <si>
    <t>standard error for the coefficients:</t>
  </si>
  <si>
    <t>r2</t>
  </si>
  <si>
    <t>F</t>
  </si>
  <si>
    <t>regression sum of squares:</t>
  </si>
  <si>
    <t>residual sum of squares</t>
  </si>
  <si>
    <t>m</t>
  </si>
  <si>
    <t>b</t>
  </si>
  <si>
    <t>degrees of freedom (df)</t>
  </si>
  <si>
    <t>R</t>
  </si>
  <si>
    <r>
      <t>kJ K</t>
    </r>
    <r>
      <rPr>
        <vertAlign val="superscript"/>
        <sz val="10"/>
        <rFont val="Arial"/>
        <family val="2"/>
      </rPr>
      <t>-1</t>
    </r>
    <r>
      <rPr>
        <sz val="10"/>
        <rFont val="Arial"/>
        <family val="2"/>
      </rPr>
      <t xml:space="preserve"> mol</t>
    </r>
    <r>
      <rPr>
        <vertAlign val="superscript"/>
        <sz val="10"/>
        <rFont val="Arial"/>
        <family val="2"/>
      </rPr>
      <t>-1</t>
    </r>
  </si>
  <si>
    <t>T</t>
  </si>
  <si>
    <t>ln(10)</t>
  </si>
  <si>
    <t>Hummel W. &amp; Thoenen T. (2023): The PSI Chemical Thermodynamic Database 2020 (TDB 2020), Nagra Technical Report NTB 21-03</t>
  </si>
  <si>
    <t>Chapter 3.2.4.1 Sodium(I) fluoride complexes</t>
  </si>
  <si>
    <t>References</t>
  </si>
  <si>
    <t>1970BUT/HUS</t>
  </si>
  <si>
    <t>Butler, J.N. &amp; Huston, R. (1970): Potentiometric studies of multicomponent activity coefficients using the lanthanum fluoride membrane electrode. Analytical Chemistry, 42,1308–1311.</t>
  </si>
  <si>
    <t>1984CHA/TIO</t>
  </si>
  <si>
    <t>Chan, C.B., Tioh, N.H. &amp; Hefter, G.T. (1984): Fluoride complexes of the alkali metal anions. Polyhedron, 3, 845–851.</t>
  </si>
  <si>
    <t>1979RIC/HOL</t>
  </si>
  <si>
    <t>Richardson, C.K. &amp; Holland, H.D. (1979): The solubility of fluorite in hydrothermal solutions, an experimental study. Geochim. Cosmochim. Acta, 43, 1313–1325.</t>
  </si>
  <si>
    <t>°C</t>
  </si>
  <si>
    <t>±</t>
  </si>
  <si>
    <r>
      <t xml:space="preserve">1979RIC/HOL       </t>
    </r>
    <r>
      <rPr>
        <b/>
        <sz val="9"/>
        <rFont val="Symbol"/>
        <family val="1"/>
        <charset val="2"/>
      </rPr>
      <t>±</t>
    </r>
  </si>
  <si>
    <r>
      <t xml:space="preserve">1970BUT/HUS        </t>
    </r>
    <r>
      <rPr>
        <b/>
        <sz val="9"/>
        <rFont val="Symbol"/>
        <family val="1"/>
        <charset val="2"/>
      </rPr>
      <t>±</t>
    </r>
  </si>
  <si>
    <t>calculated</t>
  </si>
  <si>
    <t>standard error for the y estimate</t>
  </si>
  <si>
    <t>Least squares regression analysis of experimental data using the two-term integrated van't Hoff equation as described in NTB 21-03 Chapter 1.6.3 Constant enthalpy of reaction</t>
  </si>
  <si>
    <t>+</t>
  </si>
  <si>
    <t>-</t>
  </si>
  <si>
    <t>doi:10.1021/ac60294a013</t>
  </si>
  <si>
    <t>doi:10.1016/0016-7037(79)90121-2</t>
  </si>
  <si>
    <t>doi:10.1016/S0277-5387(00)84633-1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</si>
</sst>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vertAlign val="superscript"/>
      <sz val="10"/>
      <name val="Arial"/>
      <family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9"/>
      <name val="Times New Roman"/>
      <family val="1"/>
    </font>
    <font>
      <sz val="10"/>
      <color theme="1"/>
      <name val="Symbol"/>
      <family val="1"/>
      <charset val="2"/>
    </font>
    <font>
      <b/>
      <sz val="9"/>
      <name val="Symbol"/>
      <family val="1"/>
      <charset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 applyAlignment="1">
      <alignment horizontal="center"/>
    </xf>
    <xf numFmtId="0" fontId="1" fillId="0" borderId="0" xfId="0" quotePrefix="1" applyFont="1" applyAlignment="1">
      <alignment horizontal="right"/>
    </xf>
    <xf numFmtId="0" fontId="0" fillId="0" borderId="1" xfId="0" applyBorder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2" fontId="2" fillId="0" borderId="0" xfId="0" applyNumberFormat="1" applyFont="1"/>
    <xf numFmtId="0" fontId="7" fillId="0" borderId="0" xfId="1"/>
    <xf numFmtId="164" fontId="2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9" fillId="0" borderId="0" xfId="0" quotePrefix="1" applyFont="1" applyAlignment="1">
      <alignment horizontal="center"/>
    </xf>
    <xf numFmtId="0" fontId="11" fillId="0" borderId="0" xfId="3"/>
  </cellXfs>
  <cellStyles count="4">
    <cellStyle name="Hyperlink" xfId="3" builtinId="8"/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colors>
    <mruColors>
      <color rgb="FFFFCC00"/>
      <color rgb="FF00FFFF"/>
      <color rgb="FFFF99FF"/>
      <color rgb="FFCC66FF"/>
      <color rgb="FF66CCFF"/>
      <color rgb="FF3399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57695474981515"/>
          <c:y val="2.6932044145932404E-2"/>
          <c:w val="0.85695047734417817"/>
          <c:h val="0.81580444783724859"/>
        </c:manualLayout>
      </c:layout>
      <c:scatterChart>
        <c:scatterStyle val="lineMarker"/>
        <c:varyColors val="0"/>
        <c:ser>
          <c:idx val="0"/>
          <c:order val="0"/>
          <c:tx>
            <c:v>Chan et al. (1984)</c:v>
          </c:tx>
          <c:spPr>
            <a:ln w="28575">
              <a:noFill/>
            </a:ln>
          </c:spPr>
          <c:marker>
            <c:symbol val="circle"/>
            <c:size val="8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NaF!$F$21:$F$29</c:f>
                <c:numCache>
                  <c:formatCode>General</c:formatCode>
                  <c:ptCount val="9"/>
                  <c:pt idx="0">
                    <c:v>0.2632414347745814</c:v>
                  </c:pt>
                  <c:pt idx="1">
                    <c:v>8.7150175718900158E-2</c:v>
                  </c:pt>
                  <c:pt idx="2">
                    <c:v>7.2550667148611692E-2</c:v>
                  </c:pt>
                </c:numCache>
              </c:numRef>
            </c:plus>
            <c:minus>
              <c:numRef>
                <c:f>NaF!$F$21:$F$29</c:f>
                <c:numCache>
                  <c:formatCode>General</c:formatCode>
                  <c:ptCount val="9"/>
                  <c:pt idx="0">
                    <c:v>0.2632414347745814</c:v>
                  </c:pt>
                  <c:pt idx="1">
                    <c:v>8.7150175718900158E-2</c:v>
                  </c:pt>
                  <c:pt idx="2">
                    <c:v>7.2550667148611692E-2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NaF!$B$21:$B$29</c:f>
              <c:numCache>
                <c:formatCode>General</c:formatCode>
                <c:ptCount val="9"/>
                <c:pt idx="0">
                  <c:v>15</c:v>
                </c:pt>
                <c:pt idx="1">
                  <c:v>25</c:v>
                </c:pt>
                <c:pt idx="2">
                  <c:v>35</c:v>
                </c:pt>
                <c:pt idx="3">
                  <c:v>25</c:v>
                </c:pt>
                <c:pt idx="4">
                  <c:v>35</c:v>
                </c:pt>
                <c:pt idx="5">
                  <c:v>25</c:v>
                </c:pt>
                <c:pt idx="6">
                  <c:v>200</c:v>
                </c:pt>
                <c:pt idx="7">
                  <c:v>200</c:v>
                </c:pt>
                <c:pt idx="8">
                  <c:v>260</c:v>
                </c:pt>
              </c:numCache>
            </c:numRef>
          </c:xVal>
          <c:yVal>
            <c:numRef>
              <c:f>NaF!$E$21:$E$29</c:f>
              <c:numCache>
                <c:formatCode>0.000</c:formatCode>
                <c:ptCount val="9"/>
                <c:pt idx="0">
                  <c:v>-0.769551078621726</c:v>
                </c:pt>
                <c:pt idx="1">
                  <c:v>-0.69897000433601875</c:v>
                </c:pt>
                <c:pt idx="2">
                  <c:v>-0.61978875828839397</c:v>
                </c:pt>
                <c:pt idx="3">
                  <c:v>-0.69897000433601875</c:v>
                </c:pt>
                <c:pt idx="4">
                  <c:v>-0.61978875828839397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B8-49AB-B19A-AC11B522F734}"/>
            </c:ext>
          </c:extLst>
        </c:ser>
        <c:ser>
          <c:idx val="4"/>
          <c:order val="1"/>
          <c:tx>
            <c:v>Richardson &amp; Holland (1979)</c:v>
          </c:tx>
          <c:spPr>
            <a:ln w="28575">
              <a:noFill/>
            </a:ln>
          </c:spPr>
          <c:marker>
            <c:symbol val="diamond"/>
            <c:size val="10"/>
            <c:spPr>
              <a:solidFill>
                <a:schemeClr val="bg1">
                  <a:lumMod val="65000"/>
                </a:schemeClr>
              </a:solidFill>
              <a:ln>
                <a:solidFill>
                  <a:schemeClr val="tx1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NaF!$H$21:$H$29</c:f>
                <c:numCache>
                  <c:formatCode>General</c:formatCode>
                  <c:ptCount val="9"/>
                  <c:pt idx="6">
                    <c:v>0.21298436613614055</c:v>
                  </c:pt>
                  <c:pt idx="8">
                    <c:v>0.38907562519182182</c:v>
                  </c:pt>
                </c:numCache>
              </c:numRef>
            </c:plus>
            <c:minus>
              <c:numRef>
                <c:f>NaF!$H$21:$H$29</c:f>
                <c:numCache>
                  <c:formatCode>General</c:formatCode>
                  <c:ptCount val="9"/>
                  <c:pt idx="6">
                    <c:v>0.21298436613614055</c:v>
                  </c:pt>
                  <c:pt idx="8">
                    <c:v>0.38907562519182182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NaF!$B$21:$B$29</c:f>
              <c:numCache>
                <c:formatCode>General</c:formatCode>
                <c:ptCount val="9"/>
                <c:pt idx="0">
                  <c:v>15</c:v>
                </c:pt>
                <c:pt idx="1">
                  <c:v>25</c:v>
                </c:pt>
                <c:pt idx="2">
                  <c:v>35</c:v>
                </c:pt>
                <c:pt idx="3">
                  <c:v>25</c:v>
                </c:pt>
                <c:pt idx="4">
                  <c:v>35</c:v>
                </c:pt>
                <c:pt idx="5">
                  <c:v>25</c:v>
                </c:pt>
                <c:pt idx="6">
                  <c:v>200</c:v>
                </c:pt>
                <c:pt idx="7">
                  <c:v>200</c:v>
                </c:pt>
                <c:pt idx="8">
                  <c:v>260</c:v>
                </c:pt>
              </c:numCache>
            </c:numRef>
          </c:xVal>
          <c:yVal>
            <c:numRef>
              <c:f>NaF!$G$21:$G$29</c:f>
              <c:numCache>
                <c:formatCode>General</c:formatCode>
                <c:ptCount val="9"/>
                <c:pt idx="6" formatCode="0.000">
                  <c:v>4.1392685158225077E-2</c:v>
                </c:pt>
                <c:pt idx="7" formatCode="0.000">
                  <c:v>4.1392685158225077E-2</c:v>
                </c:pt>
                <c:pt idx="8" formatCode="0.000">
                  <c:v>0.54406804435027567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B8-49AB-B19A-AC11B522F734}"/>
            </c:ext>
          </c:extLst>
        </c:ser>
        <c:ser>
          <c:idx val="5"/>
          <c:order val="2"/>
          <c:tx>
            <c:v>Butler &amp; Huston (1970)</c:v>
          </c:tx>
          <c:spPr>
            <a:ln w="28575">
              <a:noFill/>
            </a:ln>
          </c:spPr>
          <c:marker>
            <c:symbol val="square"/>
            <c:size val="7"/>
            <c:spPr>
              <a:solidFill>
                <a:schemeClr val="bg1">
                  <a:lumMod val="65000"/>
                </a:schemeClr>
              </a:solidFill>
              <a:ln>
                <a:solidFill>
                  <a:schemeClr val="tx1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NaF!$J$21:$J$26</c:f>
                <c:numCache>
                  <c:formatCode>General</c:formatCode>
                  <c:ptCount val="6"/>
                  <c:pt idx="5">
                    <c:v>0.08</c:v>
                  </c:pt>
                </c:numCache>
              </c:numRef>
            </c:plus>
            <c:minus>
              <c:numRef>
                <c:f>NaF!$J$21:$J$26</c:f>
                <c:numCache>
                  <c:formatCode>General</c:formatCode>
                  <c:ptCount val="6"/>
                  <c:pt idx="5">
                    <c:v>0.08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NaF!$B$21:$B$29</c:f>
              <c:numCache>
                <c:formatCode>General</c:formatCode>
                <c:ptCount val="9"/>
                <c:pt idx="0">
                  <c:v>15</c:v>
                </c:pt>
                <c:pt idx="1">
                  <c:v>25</c:v>
                </c:pt>
                <c:pt idx="2">
                  <c:v>35</c:v>
                </c:pt>
                <c:pt idx="3">
                  <c:v>25</c:v>
                </c:pt>
                <c:pt idx="4">
                  <c:v>35</c:v>
                </c:pt>
                <c:pt idx="5">
                  <c:v>25</c:v>
                </c:pt>
                <c:pt idx="6">
                  <c:v>200</c:v>
                </c:pt>
                <c:pt idx="7">
                  <c:v>200</c:v>
                </c:pt>
                <c:pt idx="8">
                  <c:v>260</c:v>
                </c:pt>
              </c:numCache>
            </c:numRef>
          </c:xVal>
          <c:yVal>
            <c:numRef>
              <c:f>NaF!$I$21:$I$29</c:f>
              <c:numCache>
                <c:formatCode>General</c:formatCode>
                <c:ptCount val="9"/>
                <c:pt idx="5" formatCode="0.000">
                  <c:v>-0.79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B8-49AB-B19A-AC11B522F734}"/>
            </c:ext>
          </c:extLst>
        </c:ser>
        <c:ser>
          <c:idx val="1"/>
          <c:order val="3"/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NaF!$B$31:$B$47</c:f>
              <c:numCache>
                <c:formatCode>General</c:formatCode>
                <c:ptCount val="1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175</c:v>
                </c:pt>
                <c:pt idx="13">
                  <c:v>200</c:v>
                </c:pt>
                <c:pt idx="14">
                  <c:v>225</c:v>
                </c:pt>
                <c:pt idx="15">
                  <c:v>250</c:v>
                </c:pt>
                <c:pt idx="16">
                  <c:v>270</c:v>
                </c:pt>
              </c:numCache>
            </c:numRef>
          </c:xVal>
          <c:yVal>
            <c:numRef>
              <c:f>NaF!$D$31:$D$47</c:f>
              <c:numCache>
                <c:formatCode>0.000</c:formatCode>
                <c:ptCount val="17"/>
                <c:pt idx="0">
                  <c:v>-0.84498635017432622</c:v>
                </c:pt>
                <c:pt idx="1">
                  <c:v>-0.80130071550949133</c:v>
                </c:pt>
                <c:pt idx="2">
                  <c:v>-0.75910529522858405</c:v>
                </c:pt>
                <c:pt idx="3">
                  <c:v>-0.71832511627858087</c:v>
                </c:pt>
                <c:pt idx="4">
                  <c:v>-0.67889015187418222</c:v>
                </c:pt>
                <c:pt idx="5">
                  <c:v>-0.64073492021047485</c:v>
                </c:pt>
                <c:pt idx="6">
                  <c:v>-0.6037981216192152</c:v>
                </c:pt>
                <c:pt idx="7">
                  <c:v>-0.53335359439720298</c:v>
                </c:pt>
                <c:pt idx="8">
                  <c:v>-0.37494699020667416</c:v>
                </c:pt>
                <c:pt idx="9">
                  <c:v>-0.2377659795027493</c:v>
                </c:pt>
                <c:pt idx="10">
                  <c:v>-0.11781227141139849</c:v>
                </c:pt>
                <c:pt idx="11">
                  <c:v>-1.2032462420998646E-2</c:v>
                </c:pt>
                <c:pt idx="12">
                  <c:v>8.1945515821838733E-2</c:v>
                </c:pt>
                <c:pt idx="13">
                  <c:v>0.16599239628988638</c:v>
                </c:pt>
                <c:pt idx="14">
                  <c:v>0.24160337587787262</c:v>
                </c:pt>
                <c:pt idx="15">
                  <c:v>0.30998784494421283</c:v>
                </c:pt>
                <c:pt idx="16">
                  <c:v>0.36016289532130541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5B8-49AB-B19A-AC11B522F734}"/>
            </c:ext>
          </c:extLst>
        </c:ser>
        <c:ser>
          <c:idx val="2"/>
          <c:order val="4"/>
          <c:spPr>
            <a:ln w="25400"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NaF!$B$31:$B$47</c:f>
              <c:numCache>
                <c:formatCode>General</c:formatCode>
                <c:ptCount val="1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175</c:v>
                </c:pt>
                <c:pt idx="13">
                  <c:v>200</c:v>
                </c:pt>
                <c:pt idx="14">
                  <c:v>225</c:v>
                </c:pt>
                <c:pt idx="15">
                  <c:v>250</c:v>
                </c:pt>
                <c:pt idx="16">
                  <c:v>270</c:v>
                </c:pt>
              </c:numCache>
            </c:numRef>
          </c:xVal>
          <c:yVal>
            <c:numRef>
              <c:f>NaF!$E$31:$E$47</c:f>
              <c:numCache>
                <c:formatCode>0.000</c:formatCode>
                <c:ptCount val="17"/>
                <c:pt idx="0">
                  <c:v>-0.73493206603698991</c:v>
                </c:pt>
                <c:pt idx="1">
                  <c:v>-0.69838246156285855</c:v>
                </c:pt>
                <c:pt idx="2">
                  <c:v>-0.66307964557496746</c:v>
                </c:pt>
                <c:pt idx="3">
                  <c:v>-0.62896089183721526</c:v>
                </c:pt>
                <c:pt idx="4">
                  <c:v>-0.58308424245517732</c:v>
                </c:pt>
                <c:pt idx="5">
                  <c:v>-0.53869636962293777</c:v>
                </c:pt>
                <c:pt idx="6">
                  <c:v>-0.49572596039702854</c:v>
                </c:pt>
                <c:pt idx="7">
                  <c:v>-0.41377434905267518</c:v>
                </c:pt>
                <c:pt idx="8">
                  <c:v>-0.22949209217716054</c:v>
                </c:pt>
                <c:pt idx="9">
                  <c:v>-6.9902620625980738E-2</c:v>
                </c:pt>
                <c:pt idx="10">
                  <c:v>6.964547562051715E-2</c:v>
                </c:pt>
                <c:pt idx="11">
                  <c:v>0.19270437226326986</c:v>
                </c:pt>
                <c:pt idx="12">
                  <c:v>0.30203361403123119</c:v>
                </c:pt>
                <c:pt idx="13">
                  <c:v>0.399809517347543</c:v>
                </c:pt>
                <c:pt idx="14">
                  <c:v>0.48777151889568093</c:v>
                </c:pt>
                <c:pt idx="15">
                  <c:v>0.56732656244437962</c:v>
                </c:pt>
                <c:pt idx="16">
                  <c:v>0.62569768636047518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5B8-49AB-B19A-AC11B522F734}"/>
            </c:ext>
          </c:extLst>
        </c:ser>
        <c:ser>
          <c:idx val="3"/>
          <c:order val="5"/>
          <c:spPr>
            <a:ln w="25400">
              <a:solidFill>
                <a:schemeClr val="tx1"/>
              </a:solidFill>
              <a:prstDash val="sysDot"/>
            </a:ln>
          </c:spPr>
          <c:marker>
            <c:symbol val="none"/>
          </c:marker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6-85B8-49AB-B19A-AC11B522F734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8-85B8-49AB-B19A-AC11B522F734}"/>
              </c:ext>
            </c:extLst>
          </c:dPt>
          <c:xVal>
            <c:numRef>
              <c:f>NaF!$B$31:$B$47</c:f>
              <c:numCache>
                <c:formatCode>General</c:formatCode>
                <c:ptCount val="1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175</c:v>
                </c:pt>
                <c:pt idx="13">
                  <c:v>200</c:v>
                </c:pt>
                <c:pt idx="14">
                  <c:v>225</c:v>
                </c:pt>
                <c:pt idx="15">
                  <c:v>250</c:v>
                </c:pt>
                <c:pt idx="16">
                  <c:v>270</c:v>
                </c:pt>
              </c:numCache>
            </c:numRef>
          </c:xVal>
          <c:yVal>
            <c:numRef>
              <c:f>NaF!$F$31:$F$47</c:f>
              <c:numCache>
                <c:formatCode>0.000</c:formatCode>
                <c:ptCount val="17"/>
                <c:pt idx="0">
                  <c:v>-0.95504063431166264</c:v>
                </c:pt>
                <c:pt idx="1">
                  <c:v>-0.90421896945612423</c:v>
                </c:pt>
                <c:pt idx="2">
                  <c:v>-0.85513094488220065</c:v>
                </c:pt>
                <c:pt idx="3">
                  <c:v>-0.80768934071994647</c:v>
                </c:pt>
                <c:pt idx="4">
                  <c:v>-0.77469606129318724</c:v>
                </c:pt>
                <c:pt idx="5">
                  <c:v>-0.74277347079801193</c:v>
                </c:pt>
                <c:pt idx="6">
                  <c:v>-0.71187028284140186</c:v>
                </c:pt>
                <c:pt idx="7">
                  <c:v>-0.65293283974173089</c:v>
                </c:pt>
                <c:pt idx="8">
                  <c:v>-0.52040188823618783</c:v>
                </c:pt>
                <c:pt idx="9">
                  <c:v>-0.40562933837951776</c:v>
                </c:pt>
                <c:pt idx="10">
                  <c:v>-0.30527001844331403</c:v>
                </c:pt>
                <c:pt idx="11">
                  <c:v>-0.21676929710526704</c:v>
                </c:pt>
                <c:pt idx="12">
                  <c:v>-0.13814258238755361</c:v>
                </c:pt>
                <c:pt idx="13">
                  <c:v>-6.7824724767770128E-2</c:v>
                </c:pt>
                <c:pt idx="14">
                  <c:v>-4.5647671399355882E-3</c:v>
                </c:pt>
                <c:pt idx="15">
                  <c:v>5.2649127444046262E-2</c:v>
                </c:pt>
                <c:pt idx="16">
                  <c:v>9.4628104282135861E-2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5B8-49AB-B19A-AC11B522F7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42208"/>
        <c:axId val="51744128"/>
      </c:scatterChart>
      <c:valAx>
        <c:axId val="5174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 b="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sz="16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 [°C]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200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51744128"/>
        <c:crossesAt val="-2"/>
        <c:crossBetween val="midCat"/>
      </c:valAx>
      <c:valAx>
        <c:axId val="51744128"/>
        <c:scaling>
          <c:orientation val="minMax"/>
          <c:max val="1"/>
          <c:min val="-1.2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600" b="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sz="16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log</a:t>
                </a:r>
                <a:r>
                  <a:rPr lang="en-US" sz="1600" b="0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10</a:t>
                </a:r>
                <a:r>
                  <a:rPr lang="en-US" sz="1600" b="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</a:t>
                </a:r>
                <a:r>
                  <a:rPr lang="en-US" sz="1600" b="0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</a:t>
                </a:r>
              </a:p>
            </c:rich>
          </c:tx>
          <c:layout>
            <c:manualLayout>
              <c:xMode val="edge"/>
              <c:yMode val="edge"/>
              <c:x val="5.4945054945054949E-3"/>
              <c:y val="0.41817928370595059"/>
            </c:manualLayout>
          </c:layout>
          <c:overlay val="0"/>
        </c:title>
        <c:numFmt formatCode="#,##0.0" sourceLinked="0"/>
        <c:majorTickMark val="out"/>
        <c:minorTickMark val="out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200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51742208"/>
        <c:crosses val="autoZero"/>
        <c:crossBetween val="midCat"/>
        <c:majorUnit val="0.2"/>
        <c:minorUnit val="5.000000000000001E-2"/>
      </c:valAx>
      <c:spPr>
        <a:noFill/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12817686250757115"/>
          <c:y val="5.5442079351161376E-2"/>
          <c:w val="0.37950549450549448"/>
          <c:h val="0.14595416900092961"/>
        </c:manualLayout>
      </c:layout>
      <c:overlay val="0"/>
      <c:spPr>
        <a:ln>
          <a:solidFill>
            <a:schemeClr val="tx1"/>
          </a:solidFill>
        </a:ln>
      </c:spPr>
      <c:txPr>
        <a:bodyPr/>
        <a:lstStyle/>
        <a:p>
          <a:pPr>
            <a:defRPr sz="1400"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31</xdr:row>
      <xdr:rowOff>52387</xdr:rowOff>
    </xdr:from>
    <xdr:to>
      <xdr:col>18</xdr:col>
      <xdr:colOff>19050</xdr:colOff>
      <xdr:row>61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S0277-5387(00)84633-1" TargetMode="External"/><Relationship Id="rId2" Type="http://schemas.openxmlformats.org/officeDocument/2006/relationships/hyperlink" Target="https://doi.org/10.1016/0016-7037(79)90121-2" TargetMode="External"/><Relationship Id="rId1" Type="http://schemas.openxmlformats.org/officeDocument/2006/relationships/hyperlink" Target="https://doi.org/10.1021/ac60294a013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6"/>
  <sheetViews>
    <sheetView tabSelected="1" workbookViewId="0">
      <selection activeCell="C14" sqref="C14"/>
    </sheetView>
  </sheetViews>
  <sheetFormatPr defaultColWidth="8.77734375" defaultRowHeight="14.4" x14ac:dyDescent="0.3"/>
  <cols>
    <col min="1" max="1" width="12" style="2" bestFit="1" customWidth="1"/>
    <col min="2" max="6" width="12" style="2" customWidth="1"/>
    <col min="7" max="11" width="9.21875" customWidth="1"/>
    <col min="12" max="12" width="9.21875" style="2"/>
    <col min="17" max="17" width="12.44140625" bestFit="1" customWidth="1"/>
    <col min="19" max="20" width="9.21875" customWidth="1"/>
  </cols>
  <sheetData>
    <row r="1" spans="1:13" x14ac:dyDescent="0.3">
      <c r="A1" s="16" t="s">
        <v>28</v>
      </c>
      <c r="B1"/>
    </row>
    <row r="2" spans="1:13" x14ac:dyDescent="0.3">
      <c r="A2"/>
      <c r="B2"/>
    </row>
    <row r="3" spans="1:13" x14ac:dyDescent="0.3">
      <c r="A3" t="s">
        <v>29</v>
      </c>
      <c r="B3"/>
    </row>
    <row r="4" spans="1:13" x14ac:dyDescent="0.3">
      <c r="A4"/>
      <c r="B4"/>
    </row>
    <row r="5" spans="1:13" x14ac:dyDescent="0.3">
      <c r="A5"/>
      <c r="B5"/>
    </row>
    <row r="6" spans="1:13" x14ac:dyDescent="0.3">
      <c r="A6" t="s">
        <v>43</v>
      </c>
      <c r="B6"/>
    </row>
    <row r="7" spans="1:13" x14ac:dyDescent="0.3">
      <c r="A7"/>
      <c r="B7"/>
    </row>
    <row r="8" spans="1:13" x14ac:dyDescent="0.3">
      <c r="A8" t="s">
        <v>30</v>
      </c>
      <c r="B8"/>
    </row>
    <row r="9" spans="1:13" x14ac:dyDescent="0.3">
      <c r="A9" s="17" t="s">
        <v>31</v>
      </c>
      <c r="B9" s="21" t="s">
        <v>46</v>
      </c>
      <c r="C9" t="s">
        <v>32</v>
      </c>
      <c r="G9" s="2"/>
      <c r="L9"/>
      <c r="M9" s="2"/>
    </row>
    <row r="10" spans="1:13" x14ac:dyDescent="0.3">
      <c r="A10" s="17" t="s">
        <v>35</v>
      </c>
      <c r="B10" s="21" t="s">
        <v>47</v>
      </c>
      <c r="C10" t="s">
        <v>36</v>
      </c>
      <c r="G10" s="2"/>
      <c r="L10"/>
      <c r="M10" s="2"/>
    </row>
    <row r="11" spans="1:13" x14ac:dyDescent="0.3">
      <c r="A11" s="17" t="s">
        <v>33</v>
      </c>
      <c r="B11" s="21" t="s">
        <v>48</v>
      </c>
      <c r="C11" t="s">
        <v>34</v>
      </c>
      <c r="G11" s="2"/>
      <c r="L11"/>
      <c r="M11" s="2"/>
    </row>
    <row r="12" spans="1:13" x14ac:dyDescent="0.3">
      <c r="A12" s="17"/>
      <c r="B12"/>
    </row>
    <row r="14" spans="1:13" ht="16.2" x14ac:dyDescent="0.3">
      <c r="K14" s="4" t="s">
        <v>5</v>
      </c>
      <c r="L14" s="3">
        <v>8.3145100000000007E-3</v>
      </c>
      <c r="M14" s="12" t="s">
        <v>25</v>
      </c>
    </row>
    <row r="15" spans="1:13" x14ac:dyDescent="0.3">
      <c r="A15"/>
      <c r="B15"/>
      <c r="C15"/>
      <c r="D15"/>
      <c r="E15"/>
      <c r="F15"/>
      <c r="K15" s="4" t="s">
        <v>6</v>
      </c>
      <c r="L15">
        <f>LN(10)</f>
        <v>2.3025850929940459</v>
      </c>
    </row>
    <row r="16" spans="1:13" s="1" customFormat="1" ht="12" customHeight="1" x14ac:dyDescent="0.3">
      <c r="A16"/>
      <c r="B16"/>
      <c r="C16"/>
      <c r="D16"/>
      <c r="E16"/>
      <c r="F16"/>
      <c r="G16"/>
      <c r="H16"/>
      <c r="I16"/>
      <c r="J16"/>
      <c r="K16" s="4" t="s">
        <v>7</v>
      </c>
      <c r="L16">
        <f>L14*L15</f>
        <v>1.9144866781549925E-2</v>
      </c>
      <c r="M16"/>
    </row>
    <row r="17" spans="1:21" s="1" customFormat="1" ht="12" customHeight="1" x14ac:dyDescent="0.35">
      <c r="A17" t="s">
        <v>0</v>
      </c>
      <c r="B17" t="s">
        <v>0</v>
      </c>
      <c r="C17" s="6" t="s">
        <v>3</v>
      </c>
      <c r="D17" s="4" t="s">
        <v>1</v>
      </c>
      <c r="H17"/>
      <c r="I17"/>
      <c r="J17"/>
      <c r="K17" s="4" t="s">
        <v>8</v>
      </c>
      <c r="L17">
        <v>298.14999999999998</v>
      </c>
      <c r="M17" t="s">
        <v>4</v>
      </c>
      <c r="N17" s="4" t="s">
        <v>1</v>
      </c>
      <c r="S17" s="8" t="s">
        <v>12</v>
      </c>
      <c r="T17" s="4" t="s">
        <v>15</v>
      </c>
    </row>
    <row r="18" spans="1:21" s="1" customFormat="1" ht="12" customHeight="1" x14ac:dyDescent="0.3">
      <c r="A18"/>
      <c r="B18"/>
      <c r="C18" s="6"/>
      <c r="D18" s="4"/>
      <c r="H18"/>
      <c r="I18"/>
      <c r="J18"/>
      <c r="N18" s="4"/>
      <c r="P18"/>
      <c r="S18" s="9" t="s">
        <v>14</v>
      </c>
    </row>
    <row r="19" spans="1:21" s="1" customFormat="1" ht="12" customHeight="1" x14ac:dyDescent="0.3">
      <c r="A19" s="4" t="s">
        <v>4</v>
      </c>
      <c r="B19" s="4" t="s">
        <v>37</v>
      </c>
      <c r="C19" s="5" t="s">
        <v>2</v>
      </c>
      <c r="D19" s="4" t="s">
        <v>13</v>
      </c>
      <c r="E19" s="18" t="s">
        <v>33</v>
      </c>
      <c r="F19" s="19" t="s">
        <v>38</v>
      </c>
      <c r="G19" s="17" t="s">
        <v>39</v>
      </c>
      <c r="H19"/>
      <c r="I19" s="17" t="s">
        <v>40</v>
      </c>
      <c r="J19"/>
      <c r="K19" s="4" t="s">
        <v>9</v>
      </c>
      <c r="L19" s="7" t="s">
        <v>10</v>
      </c>
      <c r="M19"/>
      <c r="N19" s="4" t="s">
        <v>13</v>
      </c>
      <c r="P19"/>
      <c r="R19" s="1" t="s">
        <v>21</v>
      </c>
      <c r="S19" s="10">
        <f t="array" ref="S19:T23">LINEST(D21:D29,L21:L29,TRUE,TRUE)</f>
        <v>13.647596812100476</v>
      </c>
      <c r="T19" s="10">
        <v>-0.71832511627858087</v>
      </c>
      <c r="U19" s="1" t="s">
        <v>22</v>
      </c>
    </row>
    <row r="20" spans="1:21" s="1" customFormat="1" ht="12" customHeight="1" x14ac:dyDescent="0.3">
      <c r="A20"/>
      <c r="B20"/>
      <c r="C20"/>
      <c r="D20"/>
      <c r="H20"/>
      <c r="I20"/>
      <c r="J20"/>
      <c r="K20" s="4"/>
      <c r="L20" t="s">
        <v>11</v>
      </c>
      <c r="M20"/>
      <c r="N20"/>
      <c r="P20" t="s">
        <v>16</v>
      </c>
      <c r="S20">
        <v>1.1146646217788982</v>
      </c>
      <c r="T20">
        <v>4.4682112220682808E-2</v>
      </c>
    </row>
    <row r="21" spans="1:21" s="1" customFormat="1" ht="12" customHeight="1" x14ac:dyDescent="0.3">
      <c r="A21">
        <f t="shared" ref="A21:A29" si="0">273.15+B21</f>
        <v>288.14999999999998</v>
      </c>
      <c r="B21" s="10">
        <v>15</v>
      </c>
      <c r="C21">
        <f t="shared" ref="C21:C29" si="1">1/A21</f>
        <v>3.4704147145583901E-3</v>
      </c>
      <c r="D21" s="13">
        <f>LOG(0.17)</f>
        <v>-0.769551078621726</v>
      </c>
      <c r="E21" s="14">
        <f>D21</f>
        <v>-0.769551078621726</v>
      </c>
      <c r="F21" s="15">
        <f>(LOG(0.17+0.05)-LOG(0.17-0.05))/2*2</f>
        <v>0.2632414347745814</v>
      </c>
      <c r="H21"/>
      <c r="I21"/>
      <c r="J21"/>
      <c r="K21">
        <f>A21</f>
        <v>288.14999999999998</v>
      </c>
      <c r="L21" s="10">
        <f t="shared" ref="L21:L29" si="2">(1/$L$17-1/$K21)/$L$16</f>
        <v>-6.0798688863185945E-3</v>
      </c>
      <c r="M21"/>
      <c r="N21" s="13">
        <f t="shared" ref="N21:N29" si="3">D21</f>
        <v>-0.769551078621726</v>
      </c>
      <c r="P21"/>
      <c r="R21" s="1" t="s">
        <v>17</v>
      </c>
      <c r="S21">
        <v>0.95538778451043149</v>
      </c>
      <c r="T21">
        <v>0.10843279923001843</v>
      </c>
      <c r="U21" s="1" t="s">
        <v>42</v>
      </c>
    </row>
    <row r="22" spans="1:21" s="1" customFormat="1" ht="12" customHeight="1" x14ac:dyDescent="0.3">
      <c r="A22">
        <f t="shared" si="0"/>
        <v>298.14999999999998</v>
      </c>
      <c r="B22" s="10">
        <v>25</v>
      </c>
      <c r="C22">
        <f t="shared" si="1"/>
        <v>3.3540164346805303E-3</v>
      </c>
      <c r="D22" s="13">
        <f>LOG(0.2)</f>
        <v>-0.69897000433601875</v>
      </c>
      <c r="E22" s="14">
        <f t="shared" ref="E22:E25" si="4">D22</f>
        <v>-0.69897000433601875</v>
      </c>
      <c r="F22" s="15">
        <f>(LOG(0.2+0.02)-LOG(0.2-0.02))/2*2</f>
        <v>8.7150175718900158E-2</v>
      </c>
      <c r="H22"/>
      <c r="I22"/>
      <c r="J22"/>
      <c r="K22">
        <f t="shared" ref="K22:K27" si="5">A22</f>
        <v>298.14999999999998</v>
      </c>
      <c r="L22" s="10">
        <f t="shared" si="2"/>
        <v>0</v>
      </c>
      <c r="M22"/>
      <c r="N22" s="13">
        <f t="shared" si="3"/>
        <v>-0.69897000433601875</v>
      </c>
      <c r="P22"/>
      <c r="R22" s="1" t="s">
        <v>18</v>
      </c>
      <c r="S22">
        <v>149.90769721214104</v>
      </c>
      <c r="T22">
        <v>7</v>
      </c>
      <c r="U22" s="1" t="s">
        <v>23</v>
      </c>
    </row>
    <row r="23" spans="1:21" s="1" customFormat="1" ht="12" customHeight="1" x14ac:dyDescent="0.3">
      <c r="A23">
        <f t="shared" si="0"/>
        <v>308.14999999999998</v>
      </c>
      <c r="B23" s="10">
        <v>35</v>
      </c>
      <c r="C23">
        <f t="shared" si="1"/>
        <v>3.2451728054518907E-3</v>
      </c>
      <c r="D23" s="13">
        <f>LOG(0.24)</f>
        <v>-0.61978875828839397</v>
      </c>
      <c r="E23" s="14">
        <f t="shared" si="4"/>
        <v>-0.61978875828839397</v>
      </c>
      <c r="F23" s="15">
        <f>(LOG(0.24+0.02)-LOG(0.24-0.02))/2*2</f>
        <v>7.2550667148611692E-2</v>
      </c>
      <c r="H23"/>
      <c r="I23"/>
      <c r="J23"/>
      <c r="K23">
        <f t="shared" si="5"/>
        <v>308.14999999999998</v>
      </c>
      <c r="L23" s="10">
        <f t="shared" si="2"/>
        <v>5.6852643829067113E-3</v>
      </c>
      <c r="M23"/>
      <c r="N23" s="13">
        <f t="shared" si="3"/>
        <v>-0.61978875828839397</v>
      </c>
      <c r="R23" s="4" t="s">
        <v>19</v>
      </c>
      <c r="S23">
        <v>1.7625655264290123</v>
      </c>
      <c r="T23">
        <v>8.2303703642002402E-2</v>
      </c>
      <c r="U23" s="1" t="s">
        <v>20</v>
      </c>
    </row>
    <row r="24" spans="1:21" s="1" customFormat="1" ht="12" customHeight="1" x14ac:dyDescent="0.3">
      <c r="A24">
        <f t="shared" si="0"/>
        <v>298.14999999999998</v>
      </c>
      <c r="B24" s="10">
        <v>25</v>
      </c>
      <c r="C24">
        <f t="shared" si="1"/>
        <v>3.3540164346805303E-3</v>
      </c>
      <c r="D24" s="13">
        <f>LOG(0.2)</f>
        <v>-0.69897000433601875</v>
      </c>
      <c r="E24" s="14">
        <f t="shared" si="4"/>
        <v>-0.69897000433601875</v>
      </c>
      <c r="F24"/>
      <c r="H24"/>
      <c r="I24"/>
      <c r="J24"/>
      <c r="K24">
        <f t="shared" ref="K24:K26" si="6">A24</f>
        <v>298.14999999999998</v>
      </c>
      <c r="L24" s="10">
        <f t="shared" si="2"/>
        <v>0</v>
      </c>
      <c r="M24"/>
      <c r="N24" s="13">
        <f t="shared" si="3"/>
        <v>-0.69897000433601875</v>
      </c>
      <c r="R24" s="4"/>
      <c r="S24"/>
      <c r="T24"/>
    </row>
    <row r="25" spans="1:21" s="1" customFormat="1" ht="12" customHeight="1" x14ac:dyDescent="0.3">
      <c r="A25">
        <f t="shared" si="0"/>
        <v>308.14999999999998</v>
      </c>
      <c r="B25" s="10">
        <v>35</v>
      </c>
      <c r="C25">
        <f t="shared" si="1"/>
        <v>3.2451728054518907E-3</v>
      </c>
      <c r="D25" s="13">
        <f>LOG(0.24)</f>
        <v>-0.61978875828839397</v>
      </c>
      <c r="E25" s="14">
        <f t="shared" si="4"/>
        <v>-0.61978875828839397</v>
      </c>
      <c r="F25"/>
      <c r="H25"/>
      <c r="I25"/>
      <c r="J25"/>
      <c r="K25">
        <f t="shared" si="6"/>
        <v>308.14999999999998</v>
      </c>
      <c r="L25" s="10">
        <f t="shared" si="2"/>
        <v>5.6852643829067113E-3</v>
      </c>
      <c r="M25"/>
      <c r="N25" s="13">
        <f t="shared" si="3"/>
        <v>-0.61978875828839397</v>
      </c>
      <c r="R25" s="4"/>
      <c r="S25" s="11">
        <f>2*S20</f>
        <v>2.2293292435577965</v>
      </c>
      <c r="T25" s="11">
        <f>T20*2</f>
        <v>8.9364224441365617E-2</v>
      </c>
    </row>
    <row r="26" spans="1:21" s="1" customFormat="1" ht="12" customHeight="1" x14ac:dyDescent="0.3">
      <c r="A26">
        <f t="shared" si="0"/>
        <v>298.14999999999998</v>
      </c>
      <c r="B26" s="10">
        <v>25</v>
      </c>
      <c r="C26">
        <f t="shared" si="1"/>
        <v>3.3540164346805303E-3</v>
      </c>
      <c r="D26" s="13">
        <v>-0.79</v>
      </c>
      <c r="E26" s="14"/>
      <c r="F26"/>
      <c r="H26"/>
      <c r="I26" s="15">
        <f>D26</f>
        <v>-0.79</v>
      </c>
      <c r="J26">
        <v>0.08</v>
      </c>
      <c r="K26">
        <f t="shared" si="6"/>
        <v>298.14999999999998</v>
      </c>
      <c r="L26" s="10">
        <f t="shared" si="2"/>
        <v>0</v>
      </c>
      <c r="M26"/>
      <c r="N26" s="13">
        <f t="shared" si="3"/>
        <v>-0.79</v>
      </c>
      <c r="R26" s="4"/>
      <c r="S26" s="11"/>
      <c r="T26" s="11"/>
    </row>
    <row r="27" spans="1:21" s="1" customFormat="1" ht="12" customHeight="1" x14ac:dyDescent="0.3">
      <c r="A27">
        <f t="shared" si="0"/>
        <v>473.15</v>
      </c>
      <c r="B27" s="10">
        <v>200</v>
      </c>
      <c r="C27">
        <f t="shared" si="1"/>
        <v>2.1134946634259748E-3</v>
      </c>
      <c r="D27" s="13">
        <f>LOG(1.1)</f>
        <v>4.1392685158225077E-2</v>
      </c>
      <c r="E27" s="14"/>
      <c r="F27" s="14"/>
      <c r="G27" s="14">
        <f>D27</f>
        <v>4.1392685158225077E-2</v>
      </c>
      <c r="H27" s="15">
        <f>(LOG(1.1+0.5)-LOG(1.1-0.5))/2</f>
        <v>0.21298436613614055</v>
      </c>
      <c r="I27"/>
      <c r="J27"/>
      <c r="K27">
        <f t="shared" si="5"/>
        <v>473.15</v>
      </c>
      <c r="L27" s="10">
        <f t="shared" si="2"/>
        <v>6.4796573693062062E-2</v>
      </c>
      <c r="M27"/>
      <c r="N27" s="13">
        <f t="shared" si="3"/>
        <v>4.1392685158225077E-2</v>
      </c>
      <c r="R27" s="4"/>
      <c r="S27"/>
      <c r="T27"/>
    </row>
    <row r="28" spans="1:21" s="1" customFormat="1" ht="12" customHeight="1" x14ac:dyDescent="0.3">
      <c r="A28">
        <f t="shared" si="0"/>
        <v>473.15</v>
      </c>
      <c r="B28" s="10">
        <v>200</v>
      </c>
      <c r="C28">
        <f t="shared" si="1"/>
        <v>2.1134946634259748E-3</v>
      </c>
      <c r="D28" s="13">
        <f>LOG(1.1)</f>
        <v>4.1392685158225077E-2</v>
      </c>
      <c r="E28" s="14"/>
      <c r="F28" s="14"/>
      <c r="G28" s="14">
        <f>D28</f>
        <v>4.1392685158225077E-2</v>
      </c>
      <c r="H28"/>
      <c r="I28"/>
      <c r="J28"/>
      <c r="K28">
        <f t="shared" ref="K28:K29" si="7">A28</f>
        <v>473.15</v>
      </c>
      <c r="L28" s="10">
        <f t="shared" si="2"/>
        <v>6.4796573693062062E-2</v>
      </c>
      <c r="M28"/>
      <c r="N28" s="13">
        <f t="shared" si="3"/>
        <v>4.1392685158225077E-2</v>
      </c>
      <c r="R28" s="4"/>
      <c r="S28"/>
      <c r="T28"/>
    </row>
    <row r="29" spans="1:21" s="1" customFormat="1" ht="12" customHeight="1" x14ac:dyDescent="0.3">
      <c r="A29">
        <f t="shared" si="0"/>
        <v>533.15</v>
      </c>
      <c r="B29" s="10">
        <v>260</v>
      </c>
      <c r="C29">
        <f t="shared" si="1"/>
        <v>1.8756447528838038E-3</v>
      </c>
      <c r="D29" s="13">
        <f>LOG(3.5)</f>
        <v>0.54406804435027567</v>
      </c>
      <c r="E29" s="14"/>
      <c r="F29" s="14"/>
      <c r="G29" s="14">
        <f>D29</f>
        <v>0.54406804435027567</v>
      </c>
      <c r="H29" s="15">
        <f>(LOG(3.5+2.5)-LOG(3.5-2.5))/2</f>
        <v>0.38907562519182182</v>
      </c>
      <c r="I29"/>
      <c r="J29"/>
      <c r="K29">
        <f t="shared" si="7"/>
        <v>533.15</v>
      </c>
      <c r="L29" s="10">
        <f t="shared" si="2"/>
        <v>7.7220264766817079E-2</v>
      </c>
      <c r="M29"/>
      <c r="N29" s="13">
        <f t="shared" si="3"/>
        <v>0.54406804435027567</v>
      </c>
      <c r="R29" s="4"/>
      <c r="S29"/>
      <c r="T29"/>
    </row>
    <row r="30" spans="1:21" ht="12" customHeight="1" x14ac:dyDescent="0.3">
      <c r="A30"/>
      <c r="B30" s="10"/>
      <c r="C30"/>
      <c r="D30" s="4" t="s">
        <v>41</v>
      </c>
      <c r="E30" s="5" t="s">
        <v>44</v>
      </c>
      <c r="F30" s="20" t="s">
        <v>45</v>
      </c>
      <c r="L30"/>
      <c r="N30" s="15"/>
    </row>
    <row r="31" spans="1:21" ht="12" customHeight="1" x14ac:dyDescent="0.3">
      <c r="A31">
        <f t="shared" ref="A31:A47" si="8">273.15+B31</f>
        <v>283.14999999999998</v>
      </c>
      <c r="B31" s="10">
        <v>10</v>
      </c>
      <c r="C31">
        <f t="shared" ref="C31:C47" si="9">1/A31</f>
        <v>3.5316969803990822E-3</v>
      </c>
      <c r="D31" s="15">
        <f t="shared" ref="D31:D47" si="10">$T$19+$S$19/($B$50*$B$52)*(1/$B$51-1/$A31)</f>
        <v>-0.84498635017432622</v>
      </c>
      <c r="E31" s="15">
        <f>($T$19+$T$25)+($S$19-$S$25)/($B$50*$B$52)*(1/$B$51-1/$A31)</f>
        <v>-0.73493206603698991</v>
      </c>
      <c r="F31" s="15">
        <f>($T$19-$T$25)+($S$19+$S$25)/($B$50*$B$52)*(1/$B$51-1/$A31)</f>
        <v>-0.95504063431166264</v>
      </c>
      <c r="L31"/>
    </row>
    <row r="32" spans="1:21" ht="12" customHeight="1" x14ac:dyDescent="0.3">
      <c r="A32">
        <f t="shared" si="8"/>
        <v>288.14999999999998</v>
      </c>
      <c r="B32" s="10">
        <v>15</v>
      </c>
      <c r="C32">
        <f t="shared" si="9"/>
        <v>3.4704147145583901E-3</v>
      </c>
      <c r="D32" s="15">
        <f t="shared" si="10"/>
        <v>-0.80130071550949133</v>
      </c>
      <c r="E32" s="15">
        <f>($T$19+$T$25)+($S$19-$S$25)/($B$50*$B$52)*(1/$B$51-1/$A32)</f>
        <v>-0.69838246156285855</v>
      </c>
      <c r="F32" s="15">
        <f>($T$19-$T$25)+($S$19+$S$25)/($B$50*$B$52)*(1/$B$51-1/$A32)</f>
        <v>-0.90421896945612423</v>
      </c>
      <c r="L32"/>
    </row>
    <row r="33" spans="1:20" ht="12" customHeight="1" x14ac:dyDescent="0.3">
      <c r="A33">
        <f t="shared" si="8"/>
        <v>293.14999999999998</v>
      </c>
      <c r="B33" s="10">
        <v>20</v>
      </c>
      <c r="C33">
        <f t="shared" si="9"/>
        <v>3.4112229234180458E-3</v>
      </c>
      <c r="D33" s="15">
        <f t="shared" si="10"/>
        <v>-0.75910529522858405</v>
      </c>
      <c r="E33" s="15">
        <f>($T$19+$T$25)+($S$19-$S$25)/($B$50*$B$52)*(1/$B$51-1/$A33)</f>
        <v>-0.66307964557496746</v>
      </c>
      <c r="F33" s="15">
        <f>($T$19-$T$25)+($S$19+$S$25)/($B$50*$B$52)*(1/$B$51-1/$A33)</f>
        <v>-0.85513094488220065</v>
      </c>
      <c r="L33"/>
      <c r="S33" s="11"/>
      <c r="T33" s="11"/>
    </row>
    <row r="34" spans="1:20" ht="12" customHeight="1" x14ac:dyDescent="0.3">
      <c r="A34">
        <f t="shared" si="8"/>
        <v>298.14999999999998</v>
      </c>
      <c r="B34" s="10">
        <v>25</v>
      </c>
      <c r="C34">
        <f t="shared" si="9"/>
        <v>3.3540164346805303E-3</v>
      </c>
      <c r="D34" s="15">
        <f t="shared" si="10"/>
        <v>-0.71832511627858087</v>
      </c>
      <c r="E34" s="15">
        <f t="shared" ref="E34:E47" si="11">($T$19+$T$25)+($S$19+$S$25)/($B$50*$B$52)*(1/$B$51-1/$A34)</f>
        <v>-0.62896089183721526</v>
      </c>
      <c r="F34" s="15">
        <f t="shared" ref="F34:F47" si="12">($T$19-$T$25)+($S$19-$S$25)/($B$50*$B$52)*(1/$B$51-1/$A34)</f>
        <v>-0.80768934071994647</v>
      </c>
      <c r="L34"/>
      <c r="S34" s="11"/>
      <c r="T34" s="11"/>
    </row>
    <row r="35" spans="1:20" ht="12" customHeight="1" x14ac:dyDescent="0.3">
      <c r="A35">
        <f t="shared" si="8"/>
        <v>303.14999999999998</v>
      </c>
      <c r="B35" s="10">
        <v>30</v>
      </c>
      <c r="C35">
        <f t="shared" si="9"/>
        <v>3.298697014679202E-3</v>
      </c>
      <c r="D35" s="15">
        <f t="shared" si="10"/>
        <v>-0.67889015187418222</v>
      </c>
      <c r="E35" s="15">
        <f t="shared" si="11"/>
        <v>-0.58308424245517732</v>
      </c>
      <c r="F35" s="15">
        <f t="shared" si="12"/>
        <v>-0.77469606129318724</v>
      </c>
      <c r="L35"/>
      <c r="S35" s="11"/>
      <c r="T35" s="11"/>
    </row>
    <row r="36" spans="1:20" ht="12" customHeight="1" x14ac:dyDescent="0.3">
      <c r="A36">
        <f t="shared" si="8"/>
        <v>308.14999999999998</v>
      </c>
      <c r="B36" s="10">
        <v>35</v>
      </c>
      <c r="C36">
        <f t="shared" si="9"/>
        <v>3.2451728054518907E-3</v>
      </c>
      <c r="D36" s="15">
        <f t="shared" si="10"/>
        <v>-0.64073492021047485</v>
      </c>
      <c r="E36" s="15">
        <f t="shared" si="11"/>
        <v>-0.53869636962293777</v>
      </c>
      <c r="F36" s="15">
        <f t="shared" si="12"/>
        <v>-0.74277347079801193</v>
      </c>
      <c r="L36"/>
      <c r="S36" s="11"/>
      <c r="T36" s="11"/>
    </row>
    <row r="37" spans="1:20" ht="12" customHeight="1" x14ac:dyDescent="0.3">
      <c r="A37">
        <f t="shared" si="8"/>
        <v>313.14999999999998</v>
      </c>
      <c r="B37" s="10">
        <v>40</v>
      </c>
      <c r="C37">
        <f t="shared" si="9"/>
        <v>3.1933578157432542E-3</v>
      </c>
      <c r="D37" s="15">
        <f t="shared" si="10"/>
        <v>-0.6037981216192152</v>
      </c>
      <c r="E37" s="15">
        <f t="shared" si="11"/>
        <v>-0.49572596039702854</v>
      </c>
      <c r="F37" s="15">
        <f t="shared" si="12"/>
        <v>-0.71187028284140186</v>
      </c>
      <c r="L37"/>
      <c r="S37" s="11"/>
      <c r="T37" s="11"/>
    </row>
    <row r="38" spans="1:20" ht="12" customHeight="1" x14ac:dyDescent="0.3">
      <c r="A38">
        <f t="shared" si="8"/>
        <v>323.14999999999998</v>
      </c>
      <c r="B38" s="10">
        <v>50</v>
      </c>
      <c r="C38">
        <f t="shared" si="9"/>
        <v>3.0945381401825778E-3</v>
      </c>
      <c r="D38" s="15">
        <f t="shared" si="10"/>
        <v>-0.53335359439720298</v>
      </c>
      <c r="E38" s="15">
        <f t="shared" si="11"/>
        <v>-0.41377434905267518</v>
      </c>
      <c r="F38" s="15">
        <f t="shared" si="12"/>
        <v>-0.65293283974173089</v>
      </c>
      <c r="L38"/>
      <c r="S38" s="11"/>
      <c r="T38" s="11"/>
    </row>
    <row r="39" spans="1:20" ht="12" customHeight="1" x14ac:dyDescent="0.3">
      <c r="A39">
        <f t="shared" si="8"/>
        <v>348.15</v>
      </c>
      <c r="B39" s="10">
        <v>75</v>
      </c>
      <c r="C39">
        <f t="shared" si="9"/>
        <v>2.8723251472066642E-3</v>
      </c>
      <c r="D39" s="15">
        <f t="shared" si="10"/>
        <v>-0.37494699020667416</v>
      </c>
      <c r="E39" s="15">
        <f t="shared" si="11"/>
        <v>-0.22949209217716054</v>
      </c>
      <c r="F39" s="15">
        <f t="shared" si="12"/>
        <v>-0.52040188823618783</v>
      </c>
      <c r="L39"/>
      <c r="S39" s="11"/>
      <c r="T39" s="11"/>
    </row>
    <row r="40" spans="1:20" ht="12" customHeight="1" x14ac:dyDescent="0.3">
      <c r="A40">
        <f t="shared" si="8"/>
        <v>373.15</v>
      </c>
      <c r="B40" s="10">
        <v>100</v>
      </c>
      <c r="C40">
        <f t="shared" si="9"/>
        <v>2.6798874447273215E-3</v>
      </c>
      <c r="D40" s="15">
        <f t="shared" si="10"/>
        <v>-0.2377659795027493</v>
      </c>
      <c r="E40" s="15">
        <f t="shared" si="11"/>
        <v>-6.9902620625980738E-2</v>
      </c>
      <c r="F40" s="15">
        <f t="shared" si="12"/>
        <v>-0.40562933837951776</v>
      </c>
      <c r="L40"/>
      <c r="S40" s="11"/>
      <c r="T40" s="11"/>
    </row>
    <row r="41" spans="1:20" ht="12" customHeight="1" x14ac:dyDescent="0.3">
      <c r="A41">
        <f t="shared" si="8"/>
        <v>398.15</v>
      </c>
      <c r="B41" s="10">
        <v>125</v>
      </c>
      <c r="C41">
        <f t="shared" si="9"/>
        <v>2.511616225040814E-3</v>
      </c>
      <c r="D41" s="15">
        <f t="shared" si="10"/>
        <v>-0.11781227141139849</v>
      </c>
      <c r="E41" s="15">
        <f t="shared" si="11"/>
        <v>6.964547562051715E-2</v>
      </c>
      <c r="F41" s="15">
        <f t="shared" si="12"/>
        <v>-0.30527001844331403</v>
      </c>
      <c r="L41"/>
      <c r="S41" s="11"/>
      <c r="T41" s="11"/>
    </row>
    <row r="42" spans="1:20" ht="12" customHeight="1" x14ac:dyDescent="0.3">
      <c r="A42">
        <f t="shared" si="8"/>
        <v>423.15</v>
      </c>
      <c r="B42" s="10">
        <v>150</v>
      </c>
      <c r="C42">
        <f t="shared" si="9"/>
        <v>2.3632281696797826E-3</v>
      </c>
      <c r="D42" s="15">
        <f t="shared" si="10"/>
        <v>-1.2032462420998646E-2</v>
      </c>
      <c r="E42" s="15">
        <f t="shared" si="11"/>
        <v>0.19270437226326986</v>
      </c>
      <c r="F42" s="15">
        <f t="shared" si="12"/>
        <v>-0.21676929710526704</v>
      </c>
      <c r="L42"/>
      <c r="S42" s="11"/>
      <c r="T42" s="11"/>
    </row>
    <row r="43" spans="1:20" ht="12" customHeight="1" x14ac:dyDescent="0.3">
      <c r="A43">
        <f t="shared" si="8"/>
        <v>448.15</v>
      </c>
      <c r="B43" s="10">
        <v>175</v>
      </c>
      <c r="C43">
        <f t="shared" si="9"/>
        <v>2.2313957380341405E-3</v>
      </c>
      <c r="D43" s="15">
        <f t="shared" si="10"/>
        <v>8.1945515821838733E-2</v>
      </c>
      <c r="E43" s="15">
        <f t="shared" si="11"/>
        <v>0.30203361403123119</v>
      </c>
      <c r="F43" s="15">
        <f t="shared" si="12"/>
        <v>-0.13814258238755361</v>
      </c>
      <c r="L43"/>
      <c r="S43" s="11"/>
      <c r="T43" s="11"/>
    </row>
    <row r="44" spans="1:20" ht="12" customHeight="1" x14ac:dyDescent="0.3">
      <c r="A44">
        <f t="shared" si="8"/>
        <v>473.15</v>
      </c>
      <c r="B44" s="10">
        <v>200</v>
      </c>
      <c r="C44">
        <f t="shared" si="9"/>
        <v>2.1134946634259748E-3</v>
      </c>
      <c r="D44" s="15">
        <f t="shared" si="10"/>
        <v>0.16599239628988638</v>
      </c>
      <c r="E44" s="15">
        <f t="shared" si="11"/>
        <v>0.399809517347543</v>
      </c>
      <c r="F44" s="15">
        <f t="shared" si="12"/>
        <v>-6.7824724767770128E-2</v>
      </c>
      <c r="L44"/>
      <c r="S44" s="11"/>
      <c r="T44" s="11"/>
    </row>
    <row r="45" spans="1:20" ht="12" customHeight="1" x14ac:dyDescent="0.3">
      <c r="A45">
        <f t="shared" si="8"/>
        <v>498.15</v>
      </c>
      <c r="B45" s="10">
        <v>225</v>
      </c>
      <c r="C45">
        <f t="shared" si="9"/>
        <v>2.0074274816822245E-3</v>
      </c>
      <c r="D45" s="15">
        <f t="shared" si="10"/>
        <v>0.24160337587787262</v>
      </c>
      <c r="E45" s="15">
        <f t="shared" si="11"/>
        <v>0.48777151889568093</v>
      </c>
      <c r="F45" s="15">
        <f t="shared" si="12"/>
        <v>-4.5647671399355882E-3</v>
      </c>
      <c r="L45"/>
      <c r="S45" s="11"/>
      <c r="T45" s="11"/>
    </row>
    <row r="46" spans="1:20" ht="12" customHeight="1" x14ac:dyDescent="0.3">
      <c r="A46">
        <f t="shared" si="8"/>
        <v>523.15</v>
      </c>
      <c r="B46" s="10">
        <v>250</v>
      </c>
      <c r="C46">
        <f t="shared" si="9"/>
        <v>1.9114976584153685E-3</v>
      </c>
      <c r="D46" s="15">
        <f t="shared" si="10"/>
        <v>0.30998784494421283</v>
      </c>
      <c r="E46" s="15">
        <f t="shared" si="11"/>
        <v>0.56732656244437962</v>
      </c>
      <c r="F46" s="15">
        <f t="shared" si="12"/>
        <v>5.2649127444046262E-2</v>
      </c>
      <c r="L46"/>
      <c r="S46" s="11"/>
      <c r="T46" s="11"/>
    </row>
    <row r="47" spans="1:20" ht="12" customHeight="1" x14ac:dyDescent="0.3">
      <c r="A47">
        <f t="shared" si="8"/>
        <v>543.15</v>
      </c>
      <c r="B47" s="10">
        <v>270</v>
      </c>
      <c r="C47">
        <f t="shared" si="9"/>
        <v>1.841112031667127E-3</v>
      </c>
      <c r="D47" s="15">
        <f t="shared" si="10"/>
        <v>0.36016289532130541</v>
      </c>
      <c r="E47" s="15">
        <f t="shared" si="11"/>
        <v>0.62569768636047518</v>
      </c>
      <c r="F47" s="15">
        <f t="shared" si="12"/>
        <v>9.4628104282135861E-2</v>
      </c>
      <c r="L47"/>
    </row>
    <row r="48" spans="1:20" ht="12" customHeight="1" x14ac:dyDescent="0.3">
      <c r="A48"/>
      <c r="B48"/>
      <c r="C48"/>
      <c r="D48"/>
      <c r="E48"/>
      <c r="F48"/>
      <c r="L48"/>
    </row>
    <row r="49" spans="1:12" ht="12" customHeight="1" x14ac:dyDescent="0.3">
      <c r="A49"/>
      <c r="B49"/>
      <c r="C49"/>
      <c r="D49"/>
      <c r="E49"/>
      <c r="F49"/>
      <c r="L49"/>
    </row>
    <row r="50" spans="1:12" ht="12" customHeight="1" x14ac:dyDescent="0.3">
      <c r="A50" s="12" t="s">
        <v>24</v>
      </c>
      <c r="B50" s="12">
        <v>8.3145100000000007E-3</v>
      </c>
      <c r="C50" s="12" t="s">
        <v>25</v>
      </c>
      <c r="D50"/>
      <c r="E50"/>
      <c r="F50"/>
      <c r="L50"/>
    </row>
    <row r="51" spans="1:12" ht="12" customHeight="1" x14ac:dyDescent="0.3">
      <c r="A51" s="12" t="s">
        <v>26</v>
      </c>
      <c r="B51" s="12">
        <v>298.14999999999998</v>
      </c>
      <c r="C51" s="12" t="s">
        <v>4</v>
      </c>
      <c r="D51"/>
      <c r="E51"/>
      <c r="F51"/>
      <c r="L51"/>
    </row>
    <row r="52" spans="1:12" ht="12" customHeight="1" x14ac:dyDescent="0.3">
      <c r="A52" s="12" t="s">
        <v>27</v>
      </c>
      <c r="B52" s="12">
        <f>LN(10)</f>
        <v>2.3025850929940459</v>
      </c>
      <c r="C52" s="12"/>
      <c r="D52"/>
      <c r="E52"/>
      <c r="F52"/>
      <c r="L52"/>
    </row>
    <row r="53" spans="1:12" ht="12" customHeight="1" x14ac:dyDescent="0.3">
      <c r="A53"/>
      <c r="B53"/>
      <c r="C53"/>
      <c r="D53"/>
      <c r="E53"/>
      <c r="F53"/>
      <c r="L53"/>
    </row>
    <row r="54" spans="1:12" ht="12" customHeight="1" x14ac:dyDescent="0.3">
      <c r="A54"/>
      <c r="B54"/>
      <c r="C54"/>
      <c r="D54"/>
      <c r="E54"/>
      <c r="F54"/>
      <c r="L54"/>
    </row>
    <row r="55" spans="1:12" ht="12" customHeight="1" x14ac:dyDescent="0.3">
      <c r="A55"/>
      <c r="B55"/>
      <c r="C55"/>
      <c r="D55"/>
      <c r="E55"/>
      <c r="F55"/>
      <c r="L55"/>
    </row>
    <row r="56" spans="1:12" ht="12" customHeight="1" x14ac:dyDescent="0.3">
      <c r="A56"/>
      <c r="B56"/>
      <c r="C56"/>
      <c r="D56"/>
      <c r="E56"/>
      <c r="F56"/>
      <c r="L56"/>
    </row>
    <row r="57" spans="1:12" ht="12" customHeight="1" x14ac:dyDescent="0.3">
      <c r="A57"/>
      <c r="B57"/>
      <c r="C57"/>
      <c r="D57"/>
      <c r="E57"/>
      <c r="F57"/>
      <c r="L57"/>
    </row>
    <row r="58" spans="1:12" ht="12" customHeight="1" x14ac:dyDescent="0.3">
      <c r="A58"/>
      <c r="B58"/>
      <c r="C58"/>
      <c r="D58"/>
      <c r="E58"/>
      <c r="F58"/>
      <c r="L58"/>
    </row>
    <row r="59" spans="1:12" ht="12" customHeight="1" x14ac:dyDescent="0.3">
      <c r="A59"/>
      <c r="B59"/>
      <c r="C59"/>
      <c r="D59"/>
      <c r="E59"/>
      <c r="F59"/>
      <c r="L59"/>
    </row>
    <row r="60" spans="1:12" ht="12" customHeight="1" x14ac:dyDescent="0.3">
      <c r="A60"/>
      <c r="B60"/>
      <c r="C60"/>
      <c r="D60"/>
      <c r="E60"/>
      <c r="F60"/>
      <c r="L60"/>
    </row>
    <row r="61" spans="1:12" ht="12" customHeight="1" x14ac:dyDescent="0.3">
      <c r="A61"/>
      <c r="B61"/>
      <c r="C61"/>
      <c r="D61"/>
      <c r="E61"/>
      <c r="F61"/>
      <c r="L61"/>
    </row>
    <row r="62" spans="1:12" ht="12" customHeight="1" x14ac:dyDescent="0.3">
      <c r="A62"/>
      <c r="B62"/>
      <c r="C62"/>
      <c r="D62"/>
      <c r="E62"/>
      <c r="F62"/>
      <c r="L62"/>
    </row>
    <row r="63" spans="1:12" ht="12" customHeight="1" x14ac:dyDescent="0.3">
      <c r="A63"/>
      <c r="B63"/>
      <c r="C63"/>
      <c r="D63"/>
      <c r="E63"/>
      <c r="F63"/>
      <c r="L63"/>
    </row>
    <row r="64" spans="1:12" ht="12" customHeight="1" x14ac:dyDescent="0.3">
      <c r="A64"/>
      <c r="B64"/>
      <c r="C64"/>
      <c r="D64"/>
      <c r="E64"/>
      <c r="F64"/>
      <c r="L64"/>
    </row>
    <row r="65" spans="1:12" ht="12" customHeight="1" x14ac:dyDescent="0.3">
      <c r="A65"/>
      <c r="B65"/>
      <c r="C65"/>
      <c r="D65"/>
      <c r="E65"/>
      <c r="F65"/>
      <c r="L65"/>
    </row>
    <row r="66" spans="1:12" ht="12" customHeight="1" x14ac:dyDescent="0.3">
      <c r="A66"/>
      <c r="B66"/>
      <c r="C66"/>
      <c r="D66"/>
      <c r="E66"/>
      <c r="F66"/>
      <c r="L66"/>
    </row>
    <row r="67" spans="1:12" ht="12" customHeight="1" x14ac:dyDescent="0.3">
      <c r="A67"/>
      <c r="B67"/>
      <c r="C67"/>
      <c r="D67"/>
      <c r="E67"/>
      <c r="F67"/>
      <c r="L67"/>
    </row>
    <row r="68" spans="1:12" ht="12" customHeight="1" x14ac:dyDescent="0.3">
      <c r="A68"/>
      <c r="B68"/>
      <c r="C68"/>
      <c r="D68"/>
      <c r="E68"/>
      <c r="F68"/>
      <c r="L68"/>
    </row>
    <row r="69" spans="1:12" ht="12" customHeight="1" x14ac:dyDescent="0.3">
      <c r="A69"/>
      <c r="B69"/>
      <c r="C69"/>
      <c r="D69"/>
      <c r="E69"/>
      <c r="F69"/>
      <c r="L69"/>
    </row>
    <row r="70" spans="1:12" ht="12" customHeight="1" x14ac:dyDescent="0.3">
      <c r="C70"/>
      <c r="D70"/>
      <c r="E70"/>
      <c r="F70"/>
      <c r="L70"/>
    </row>
    <row r="71" spans="1:12" ht="12" customHeight="1" x14ac:dyDescent="0.3">
      <c r="C71"/>
      <c r="D71"/>
      <c r="E71"/>
      <c r="F71"/>
      <c r="L71"/>
    </row>
    <row r="72" spans="1:12" ht="12" customHeight="1" x14ac:dyDescent="0.3">
      <c r="C72"/>
      <c r="D72"/>
      <c r="E72"/>
      <c r="F72"/>
      <c r="L72"/>
    </row>
    <row r="73" spans="1:12" ht="12" customHeight="1" x14ac:dyDescent="0.3">
      <c r="C73"/>
      <c r="D73"/>
      <c r="E73"/>
      <c r="F73"/>
      <c r="L73"/>
    </row>
    <row r="74" spans="1:12" ht="12" customHeight="1" x14ac:dyDescent="0.3">
      <c r="C74"/>
      <c r="D74"/>
      <c r="E74"/>
      <c r="F74"/>
      <c r="L74"/>
    </row>
    <row r="75" spans="1:12" ht="12" customHeight="1" x14ac:dyDescent="0.3">
      <c r="C75"/>
      <c r="D75"/>
      <c r="E75"/>
      <c r="F75"/>
      <c r="L75"/>
    </row>
    <row r="76" spans="1:12" ht="12" customHeight="1" x14ac:dyDescent="0.3">
      <c r="C76"/>
      <c r="D76"/>
      <c r="E76"/>
      <c r="F76"/>
      <c r="L76"/>
    </row>
    <row r="77" spans="1:12" ht="12" customHeight="1" x14ac:dyDescent="0.3">
      <c r="C77"/>
      <c r="D77"/>
      <c r="E77"/>
      <c r="F77"/>
      <c r="L77"/>
    </row>
    <row r="78" spans="1:12" ht="12" customHeight="1" x14ac:dyDescent="0.3">
      <c r="C78"/>
      <c r="D78"/>
      <c r="E78"/>
      <c r="F78"/>
      <c r="L78"/>
    </row>
    <row r="79" spans="1:12" ht="12" customHeight="1" x14ac:dyDescent="0.3">
      <c r="C79"/>
      <c r="D79"/>
      <c r="E79"/>
      <c r="F79"/>
      <c r="L79"/>
    </row>
    <row r="80" spans="1:12" ht="12" customHeight="1" x14ac:dyDescent="0.3">
      <c r="C80"/>
      <c r="D80"/>
      <c r="E80"/>
      <c r="F80"/>
      <c r="L80"/>
    </row>
    <row r="81" spans="3:12" ht="12" customHeight="1" x14ac:dyDescent="0.3">
      <c r="C81"/>
      <c r="D81"/>
      <c r="E81"/>
      <c r="F81"/>
      <c r="L81"/>
    </row>
    <row r="82" spans="3:12" ht="12" customHeight="1" x14ac:dyDescent="0.3">
      <c r="C82"/>
      <c r="D82"/>
      <c r="E82"/>
      <c r="F82"/>
      <c r="L82"/>
    </row>
    <row r="83" spans="3:12" ht="12" customHeight="1" x14ac:dyDescent="0.3">
      <c r="C83"/>
      <c r="D83"/>
      <c r="E83"/>
      <c r="F83"/>
      <c r="L83"/>
    </row>
    <row r="84" spans="3:12" ht="12" customHeight="1" x14ac:dyDescent="0.3">
      <c r="C84"/>
      <c r="D84"/>
      <c r="E84"/>
      <c r="F84"/>
      <c r="L84"/>
    </row>
    <row r="85" spans="3:12" ht="12" customHeight="1" x14ac:dyDescent="0.3">
      <c r="C85"/>
      <c r="D85"/>
      <c r="E85"/>
      <c r="F85"/>
      <c r="L85"/>
    </row>
    <row r="86" spans="3:12" ht="12" customHeight="1" x14ac:dyDescent="0.3"/>
  </sheetData>
  <hyperlinks>
    <hyperlink ref="B9" r:id="rId1" xr:uid="{8FDC2FEA-5842-47E7-A406-AE3FACC75559}"/>
    <hyperlink ref="B10" r:id="rId2" xr:uid="{C64B1C28-1053-482B-8428-8DB492276F0A}"/>
    <hyperlink ref="B11" r:id="rId3" xr:uid="{0EE0D0A9-0710-4D40-909D-26EF9CC1723B}"/>
  </hyperlinks>
  <pageMargins left="0.7" right="0.7" top="0.75" bottom="0.75" header="0.3" footer="0.3"/>
  <pageSetup paperSize="9" orientation="landscape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</dc:creator>
  <cp:lastModifiedBy>Josep Bonet</cp:lastModifiedBy>
  <cp:lastPrinted>2016-07-08T18:46:00Z</cp:lastPrinted>
  <dcterms:created xsi:type="dcterms:W3CDTF">2016-07-08T16:42:14Z</dcterms:created>
  <dcterms:modified xsi:type="dcterms:W3CDTF">2023-11-23T16:42:38Z</dcterms:modified>
</cp:coreProperties>
</file>