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P:\Montse\Wolfgang\fets\"/>
    </mc:Choice>
  </mc:AlternateContent>
  <xr:revisionPtr revIDLastSave="0" documentId="8_{E4341E72-7965-49B5-8840-993EE5AE5FD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lc NaF(aq)" sheetId="7" r:id="rId1"/>
    <sheet name="Plot NaF(aq)" sheetId="8" r:id="rId2"/>
  </sheets>
  <definedNames>
    <definedName name="_Regression_Out" hidden="1">#REF!</definedName>
    <definedName name="_Regression_X" hidden="1">#REF!</definedName>
    <definedName name="_Regression_Y" hidden="1">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7" l="1"/>
  <c r="P38" i="7" s="1"/>
  <c r="I38" i="7"/>
  <c r="O38" i="7" s="1"/>
  <c r="I37" i="7"/>
  <c r="O37" i="7" s="1"/>
  <c r="F37" i="7"/>
  <c r="L37" i="7" s="1"/>
  <c r="B23" i="7"/>
  <c r="G38" i="7" s="1"/>
  <c r="F36" i="7"/>
  <c r="L36" i="7" s="1"/>
  <c r="F35" i="7"/>
  <c r="L35" i="7" s="1"/>
  <c r="F34" i="7"/>
  <c r="H34" i="7"/>
  <c r="I34" i="7" s="1"/>
  <c r="O34" i="7" s="1"/>
  <c r="Q34" i="7" s="1"/>
  <c r="H36" i="7"/>
  <c r="I36" i="7" s="1"/>
  <c r="O36" i="7" s="1"/>
  <c r="Q36" i="7" s="1"/>
  <c r="H35" i="7"/>
  <c r="I35" i="7" s="1"/>
  <c r="O35" i="7" s="1"/>
  <c r="Q35" i="7" s="1"/>
  <c r="B22" i="7"/>
  <c r="D36" i="7"/>
  <c r="D35" i="7"/>
  <c r="G35" i="7" s="1"/>
  <c r="D34" i="7"/>
  <c r="G34" i="7" s="1"/>
  <c r="L34" i="7"/>
  <c r="N35" i="7" l="1"/>
  <c r="T35" i="7" s="1"/>
  <c r="S34" i="7"/>
  <c r="N38" i="7"/>
  <c r="N34" i="7"/>
  <c r="T34" i="7" s="1"/>
  <c r="T40" i="7" s="1"/>
  <c r="S35" i="7"/>
  <c r="S40" i="7" s="1"/>
  <c r="R35" i="7"/>
  <c r="R36" i="7"/>
  <c r="S36" i="7"/>
  <c r="Q40" i="7"/>
  <c r="R34" i="7"/>
  <c r="G36" i="7"/>
  <c r="N36" i="7" s="1"/>
  <c r="T36" i="7" s="1"/>
  <c r="G37" i="7"/>
  <c r="N37" i="7" s="1"/>
  <c r="U35" i="7" l="1"/>
  <c r="U34" i="7"/>
  <c r="T43" i="7"/>
  <c r="U36" i="7"/>
  <c r="U40" i="7" s="1"/>
  <c r="T46" i="7" s="1"/>
  <c r="R40" i="7"/>
  <c r="N28" i="7"/>
  <c r="N30" i="7" s="1"/>
  <c r="T44" i="7" l="1"/>
  <c r="T45" i="7" s="1"/>
  <c r="I15" i="7" s="1"/>
  <c r="T47" i="7"/>
  <c r="T42" i="7"/>
  <c r="M15" i="7" l="1"/>
  <c r="X48" i="7"/>
  <c r="J16" i="7" s="1"/>
  <c r="X45" i="7"/>
  <c r="J15" i="7" s="1"/>
  <c r="T48" i="7"/>
  <c r="I16" i="7" s="1"/>
  <c r="N22" i="7" l="1"/>
  <c r="I22" i="7"/>
  <c r="Z19" i="7"/>
  <c r="AC19" i="7"/>
  <c r="AC20" i="7"/>
  <c r="J22" i="7"/>
  <c r="O22" i="7"/>
  <c r="N15" i="7"/>
  <c r="Z20" i="7"/>
  <c r="AB20" i="7" l="1"/>
  <c r="AA20" i="7"/>
  <c r="AB19" i="7"/>
  <c r="AA19" i="7"/>
</calcChain>
</file>

<file path=xl/sharedStrings.xml><?xml version="1.0" encoding="utf-8"?>
<sst xmlns="http://schemas.openxmlformats.org/spreadsheetml/2006/main" count="91" uniqueCount="79">
  <si>
    <t>a0</t>
  </si>
  <si>
    <t>a1</t>
  </si>
  <si>
    <t>A =</t>
  </si>
  <si>
    <t>-------------------------------------------</t>
  </si>
  <si>
    <t>N =</t>
  </si>
  <si>
    <t xml:space="preserve">   Experimental</t>
  </si>
  <si>
    <t>Averages:</t>
  </si>
  <si>
    <t>------ Data -------------------------------</t>
  </si>
  <si>
    <t>------------- PLOT ----------------------------</t>
  </si>
  <si>
    <t>Reference</t>
  </si>
  <si>
    <t>I</t>
  </si>
  <si>
    <t>log K</t>
  </si>
  <si>
    <t>rho</t>
  </si>
  <si>
    <t>Im</t>
  </si>
  <si>
    <t>log Km</t>
  </si>
  <si>
    <t>s</t>
  </si>
  <si>
    <t>± (95%)</t>
  </si>
  <si>
    <t>Y</t>
  </si>
  <si>
    <t>Ycalc</t>
  </si>
  <si>
    <t>±</t>
  </si>
  <si>
    <t>(molar)</t>
  </si>
  <si>
    <t>(molal)</t>
  </si>
  <si>
    <t>x</t>
  </si>
  <si>
    <t>-----------------------------------------------</t>
  </si>
  <si>
    <r>
      <t>Y</t>
    </r>
    <r>
      <rPr>
        <vertAlign val="subscript"/>
        <sz val="10"/>
        <rFont val="Arial"/>
        <family val="2"/>
      </rPr>
      <t>calc</t>
    </r>
  </si>
  <si>
    <t>calc.</t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</si>
  <si>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+ (±)</t>
    </r>
  </si>
  <si>
    <r>
      <t>Y</t>
    </r>
    <r>
      <rPr>
        <vertAlign val="subscript"/>
        <sz val="10"/>
        <rFont val="Arial"/>
        <family val="2"/>
      </rPr>
      <t>calc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-</t>
    </r>
    <r>
      <rPr>
        <sz val="10"/>
        <rFont val="Arial"/>
        <family val="2"/>
      </rPr>
      <t xml:space="preserve"> (±)</t>
    </r>
  </si>
  <si>
    <t>Backgrnd</t>
  </si>
  <si>
    <t>Electrolyte</t>
  </si>
  <si>
    <r>
      <t>D</t>
    </r>
    <r>
      <rPr>
        <sz val="10"/>
        <rFont val="Arial"/>
      </rPr>
      <t>z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=</t>
    </r>
  </si>
  <si>
    <t>NaClO4</t>
  </si>
  <si>
    <r>
      <t xml:space="preserve">1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</si>
  <si>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</si>
  <si>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</si>
  <si>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</si>
  <si>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</si>
  <si>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r>
      <t>S</t>
    </r>
    <r>
      <rPr>
        <sz val="10"/>
        <rFont val="Arial"/>
        <family val="2"/>
      </rPr>
      <t xml:space="preserve">(i) </t>
    </r>
    <r>
      <rPr>
        <sz val="10"/>
        <rFont val="Arial"/>
      </rPr>
      <t>=</t>
    </r>
  </si>
  <si>
    <r>
      <t>D</t>
    </r>
    <r>
      <rPr>
        <sz val="10"/>
        <rFont val="Arial"/>
        <family val="2"/>
      </rPr>
      <t xml:space="preserve"> = </t>
    </r>
    <r>
      <rPr>
        <sz val="10"/>
        <rFont val="Symbol"/>
        <family val="1"/>
        <charset val="2"/>
      </rPr>
      <t>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</si>
  <si>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</si>
  <si>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>2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</si>
  <si>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Intercept</t>
  </si>
  <si>
    <r>
      <t>X</t>
    </r>
    <r>
      <rPr>
        <b/>
        <vertAlign val="superscript"/>
        <sz val="10"/>
        <rFont val="Arial"/>
        <family val="2"/>
      </rPr>
      <t>o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1 - </t>
    </r>
    <r>
      <rPr>
        <sz val="10"/>
        <rFont val="Symbol"/>
        <family val="1"/>
        <charset val="2"/>
      </rPr>
      <t>S</t>
    </r>
    <r>
      <rPr>
        <sz val="10"/>
        <rFont val="Arial"/>
      </rPr>
      <t xml:space="preserve">2) / </t>
    </r>
    <r>
      <rPr>
        <sz val="10"/>
        <rFont val="Symbol"/>
        <family val="1"/>
        <charset val="2"/>
      </rPr>
      <t>D</t>
    </r>
    <r>
      <rPr>
        <sz val="10"/>
        <rFont val="Arial"/>
      </rPr>
      <t xml:space="preserve">  =  </t>
    </r>
  </si>
  <si>
    <r>
      <t>s(</t>
    </r>
    <r>
      <rPr>
        <b/>
        <sz val="10"/>
        <rFont val="Arial"/>
      </rPr>
      <t>X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</rPr>
      <t>)</t>
    </r>
    <r>
      <rPr>
        <sz val="10"/>
        <rFont val="Arial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</rPr>
      <t xml:space="preserve"> = </t>
    </r>
  </si>
  <si>
    <r>
      <t>S</t>
    </r>
    <r>
      <rPr>
        <sz val="10"/>
        <rFont val="Arial"/>
        <family val="2"/>
      </rPr>
      <t>3</t>
    </r>
    <r>
      <rPr>
        <sz val="10"/>
        <rFont val="Symbol"/>
        <family val="1"/>
        <charset val="2"/>
      </rPr>
      <t xml:space="preserve"> = S</t>
    </r>
    <r>
      <rPr>
        <sz val="10"/>
        <rFont val="Arial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</si>
  <si>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r>
      <t>S</t>
    </r>
    <r>
      <rPr>
        <sz val="10"/>
        <rFont val="Arial"/>
        <family val="2"/>
      </rPr>
      <t xml:space="preserve">4 = </t>
    </r>
    <r>
      <rPr>
        <sz val="10"/>
        <rFont val="Symbol"/>
        <family val="1"/>
        <charset val="2"/>
      </rPr>
      <t>S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i</t>
    </r>
    <r>
      <rPr>
        <sz val="10"/>
        <rFont val="Arial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 xml:space="preserve">2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X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=</t>
    </r>
  </si>
  <si>
    <t>Slope</t>
  </si>
  <si>
    <r>
      <t>s</t>
    </r>
    <r>
      <rPr>
        <b/>
        <sz val="10"/>
        <rFont val="Arial"/>
        <family val="2"/>
      </rPr>
      <t>(</t>
    </r>
    <r>
      <rPr>
        <b/>
        <sz val="10"/>
        <rFont val="Symbol"/>
        <family val="1"/>
        <charset val="2"/>
      </rPr>
      <t>De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1/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/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0.5</t>
    </r>
    <r>
      <rPr>
        <sz val="10"/>
        <rFont val="Arial"/>
        <family val="2"/>
      </rPr>
      <t xml:space="preserve"> =</t>
    </r>
  </si>
  <si>
    <r>
      <t>-De</t>
    </r>
    <r>
      <rPr>
        <sz val="10"/>
        <rFont val="Symbol"/>
        <family val="1"/>
        <charset val="2"/>
      </rPr>
      <t xml:space="preserve"> </t>
    </r>
    <r>
      <rPr>
        <sz val="10"/>
        <rFont val="Arial"/>
        <family val="2"/>
      </rPr>
      <t>= (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3 - 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4) / </t>
    </r>
    <r>
      <rPr>
        <sz val="10"/>
        <rFont val="Symbol"/>
        <family val="1"/>
        <charset val="2"/>
      </rPr>
      <t xml:space="preserve">D </t>
    </r>
    <r>
      <rPr>
        <sz val="10"/>
        <rFont val="Arial"/>
        <family val="2"/>
      </rPr>
      <t xml:space="preserve"> =</t>
    </r>
    <r>
      <rPr>
        <sz val="10"/>
        <rFont val="Symbol"/>
        <family val="1"/>
        <charset val="2"/>
      </rPr>
      <t xml:space="preserve">  </t>
    </r>
  </si>
  <si>
    <t>Weighted linear regression according to Grenthe et al. (1992), p.704</t>
  </si>
  <si>
    <r>
      <t>logK = log[Pb(SO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2</t>
    </r>
    <r>
      <rPr>
        <vertAlign val="superscript"/>
        <sz val="10"/>
        <rFont val="Arial"/>
        <family val="2"/>
      </rPr>
      <t>2-</t>
    </r>
    <r>
      <rPr>
        <sz val="10"/>
        <rFont val="Arial"/>
        <family val="2"/>
      </rPr>
      <t>] - log[Pb</t>
    </r>
    <r>
      <rPr>
        <vertAlign val="superscript"/>
        <sz val="10"/>
        <rFont val="Arial"/>
        <family val="2"/>
      </rPr>
      <t>2+</t>
    </r>
    <r>
      <rPr>
        <sz val="10"/>
        <rFont val="Arial"/>
      </rPr>
      <t>] - 2 log[SO</t>
    </r>
    <r>
      <rPr>
        <vertAlign val="subscript"/>
        <sz val="10"/>
        <rFont val="Arial"/>
        <family val="2"/>
      </rPr>
      <t>4</t>
    </r>
    <r>
      <rPr>
        <vertAlign val="superscript"/>
        <sz val="10"/>
        <rFont val="Arial"/>
        <family val="2"/>
      </rPr>
      <t>2-</t>
    </r>
    <r>
      <rPr>
        <sz val="10"/>
        <rFont val="Arial"/>
      </rPr>
      <t>]</t>
    </r>
  </si>
  <si>
    <r>
      <t xml:space="preserve">log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</si>
  <si>
    <r>
      <t>Reaction: Na</t>
    </r>
    <r>
      <rPr>
        <vertAlign val="superscript"/>
        <sz val="10"/>
        <rFont val="Arial"/>
        <family val="2"/>
      </rPr>
      <t>+</t>
    </r>
    <r>
      <rPr>
        <sz val="10"/>
        <rFont val="Arial"/>
      </rPr>
      <t xml:space="preserve"> + F</t>
    </r>
    <r>
      <rPr>
        <vertAlign val="superscript"/>
        <sz val="10"/>
        <rFont val="Arial"/>
        <family val="2"/>
      </rPr>
      <t>-</t>
    </r>
    <r>
      <rPr>
        <sz val="10"/>
        <rFont val="Arial"/>
      </rPr>
      <t xml:space="preserve"> = NaF(aq)</t>
    </r>
  </si>
  <si>
    <t>Chan et al. (1984), Table 3</t>
  </si>
  <si>
    <r>
      <t>e</t>
    </r>
    <r>
      <rPr>
        <sz val="10"/>
        <rFont val="Arial"/>
        <family val="2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</si>
  <si>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(K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</si>
  <si>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(NaF(aq), KNO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</si>
  <si>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[NO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]</t>
    </r>
  </si>
  <si>
    <t>1984CHA/TIO</t>
  </si>
  <si>
    <r>
      <t>KNO</t>
    </r>
    <r>
      <rPr>
        <b/>
        <vertAlign val="subscript"/>
        <sz val="10"/>
        <rFont val="Times New Roman"/>
        <family val="1"/>
      </rPr>
      <t>3</t>
    </r>
  </si>
  <si>
    <r>
      <t>-De</t>
    </r>
    <r>
      <rPr>
        <sz val="10"/>
        <rFont val="Arial"/>
        <family val="2"/>
      </rPr>
      <t>(KNO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</si>
  <si>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 xml:space="preserve"> </t>
    </r>
    <r>
      <rPr>
        <i/>
        <sz val="10"/>
        <rFont val="Arial"/>
        <family val="2"/>
      </rPr>
      <t>K</t>
    </r>
    <r>
      <rPr>
        <vertAlign val="superscript"/>
        <sz val="10"/>
        <rFont val="Arial"/>
        <family val="2"/>
      </rPr>
      <t>0</t>
    </r>
  </si>
  <si>
    <r>
      <t>Sn</t>
    </r>
    <r>
      <rPr>
        <vertAlign val="subscript"/>
        <sz val="10"/>
        <rFont val="Arial"/>
        <family val="2"/>
      </rPr>
      <t>b</t>
    </r>
    <r>
      <rPr>
        <sz val="10"/>
        <rFont val="Arial"/>
      </rPr>
      <t xml:space="preserve"> =</t>
    </r>
  </si>
  <si>
    <t>NaCl</t>
  </si>
  <si>
    <t>1970BUT/HUS</t>
  </si>
  <si>
    <t>1972DUE/ROB</t>
  </si>
  <si>
    <r>
      <t>e</t>
    </r>
    <r>
      <rPr>
        <sz val="10"/>
        <rFont val="Arial"/>
        <family val="2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Cl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</si>
  <si>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(Na</t>
    </r>
    <r>
      <rPr>
        <vertAlign val="superscript"/>
        <sz val="10"/>
        <rFont val="Arial"/>
        <family val="2"/>
      </rPr>
      <t>+</t>
    </r>
    <r>
      <rPr>
        <sz val="10"/>
        <rFont val="Arial"/>
        <family val="2"/>
      </rPr>
      <t>, F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)</t>
    </r>
  </si>
  <si>
    <r>
      <t>e</t>
    </r>
    <r>
      <rPr>
        <sz val="10"/>
        <rFont val="Arial"/>
        <family val="2"/>
      </rPr>
      <t>(NaF(aq), NaCl)</t>
    </r>
  </si>
  <si>
    <t>Hummel W. &amp; Thoenen T. (2023): The PSI Chemical Thermodynamic Database 2020 (TDB 2020), Nagra Technical Report NTB 21-03</t>
  </si>
  <si>
    <t>Extrapolation of reported stability constants to I = 0 using SIT linear regression as described in NTB 21-03 Chapter 1.5 Medium effects</t>
  </si>
  <si>
    <t>References</t>
  </si>
  <si>
    <t>Chan, C.B., Tioh, N.H. &amp; Hefter, G.T. (1984): Fluoride complexes of the alkali metal anions. Polyhedron, 3, 845–851.</t>
  </si>
  <si>
    <t>Chapter 3.2.4.1 Sodium(I) fluoride complexes</t>
  </si>
  <si>
    <t>Butler, J.N. &amp; Huston, R. (1970): Potentiometric studies of multicomponent activity coefficients using the lanthanum fluoride membrane electrode. Analytical Chemistry, 42,1308–1311.</t>
  </si>
  <si>
    <t>Duer, W.C., Robinson, R.A. &amp; Bates, R.G. (1972): Molar conductivity of sodium fluoride in aqueous solution at 25°C. J. Chem. Soc. Faraday Trans. I, 68, 717–722.</t>
  </si>
  <si>
    <t>doi:10.1021/ac60294a013</t>
  </si>
  <si>
    <t>doi:10.1039/F19726800716</t>
  </si>
  <si>
    <t>doi:10.1016/S0277-5387(00)84633-1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</si>
</sst>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"/>
    </font>
    <font>
      <b/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Courier New"/>
      <family val="3"/>
    </font>
    <font>
      <sz val="8"/>
      <name val="Times New Roman"/>
      <family val="1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0" xfId="0" applyNumberFormat="1" applyFont="1"/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165" fontId="3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1" xfId="0" applyBorder="1" applyAlignment="1">
      <alignment horizontal="right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quotePrefix="1" applyFont="1" applyAlignment="1">
      <alignment horizontal="righ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/>
    <xf numFmtId="164" fontId="9" fillId="0" borderId="0" xfId="0" applyNumberFormat="1" applyFont="1" applyAlignment="1">
      <alignment horizontal="center"/>
    </xf>
    <xf numFmtId="165" fontId="9" fillId="0" borderId="0" xfId="0" applyNumberFormat="1" applyFont="1"/>
    <xf numFmtId="0" fontId="9" fillId="0" borderId="0" xfId="0" applyFont="1" applyAlignment="1">
      <alignment horizontal="center"/>
    </xf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9157447091265"/>
          <c:y val="0.10943211643999046"/>
          <c:w val="0.81012741681440448"/>
          <c:h val="0.71778418262994448"/>
        </c:manualLayout>
      </c:layout>
      <c:scatterChart>
        <c:scatterStyle val="lineMarker"/>
        <c:varyColors val="0"/>
        <c:ser>
          <c:idx val="2"/>
          <c:order val="0"/>
          <c:tx>
            <c:v>Chan et al. (1984)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 NaF(aq)'!$O$34:$O$36</c:f>
                <c:numCache>
                  <c:formatCode>General</c:formatCode>
                  <c:ptCount val="3"/>
                  <c:pt idx="0">
                    <c:v>0.13683795990800762</c:v>
                  </c:pt>
                  <c:pt idx="1">
                    <c:v>8.2974235064763868E-2</c:v>
                  </c:pt>
                  <c:pt idx="2">
                    <c:v>8.7150175718900158E-2</c:v>
                  </c:pt>
                </c:numCache>
              </c:numRef>
            </c:plus>
            <c:minus>
              <c:numRef>
                <c:f>'Calc NaF(aq)'!$O$34:$O$36</c:f>
                <c:numCache>
                  <c:formatCode>General</c:formatCode>
                  <c:ptCount val="3"/>
                  <c:pt idx="0">
                    <c:v>0.13683795990800762</c:v>
                  </c:pt>
                  <c:pt idx="1">
                    <c:v>8.2974235064763868E-2</c:v>
                  </c:pt>
                  <c:pt idx="2">
                    <c:v>8.7150175718900158E-2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'Calc NaF(aq)'!$L$34:$L$36</c:f>
              <c:numCache>
                <c:formatCode>0.000</c:formatCode>
                <c:ptCount val="3"/>
                <c:pt idx="0">
                  <c:v>0.20218</c:v>
                </c:pt>
                <c:pt idx="1">
                  <c:v>0.51165000000000005</c:v>
                </c:pt>
                <c:pt idx="2">
                  <c:v>1.0451999999999999</c:v>
                </c:pt>
              </c:numCache>
            </c:numRef>
          </c:xVal>
          <c:yVal>
            <c:numRef>
              <c:f>'Calc NaF(aq)'!$N$34:$N$36</c:f>
              <c:numCache>
                <c:formatCode>0.000</c:formatCode>
                <c:ptCount val="3"/>
                <c:pt idx="0">
                  <c:v>-0.22614107773087372</c:v>
                </c:pt>
                <c:pt idx="1">
                  <c:v>-0.33644039772769818</c:v>
                </c:pt>
                <c:pt idx="2">
                  <c:v>-0.3072964659674855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2-45E2-8145-1CA049C33315}"/>
            </c:ext>
          </c:extLst>
        </c:ser>
        <c:ser>
          <c:idx val="3"/>
          <c:order val="1"/>
          <c:tx>
            <c:v>Duer et al. (1972)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 NaF(aq)'!$P$38</c:f>
                <c:numCache>
                  <c:formatCode>General</c:formatCode>
                  <c:ptCount val="1"/>
                  <c:pt idx="0">
                    <c:v>0.38579111909244262</c:v>
                  </c:pt>
                </c:numCache>
              </c:numRef>
            </c:plus>
            <c:minus>
              <c:numRef>
                <c:f>'Calc NaF(aq)'!$O$38</c:f>
                <c:numCache>
                  <c:formatCode>General</c:formatCode>
                  <c:ptCount val="1"/>
                  <c:pt idx="0">
                    <c:v>0.30102999566398114</c:v>
                  </c:pt>
                </c:numCache>
              </c:numRef>
            </c:minus>
          </c:errBars>
          <c:xVal>
            <c:numRef>
              <c:f>'Calc NaF(aq)'!$L$38</c:f>
              <c:numCache>
                <c:formatCode>0.000</c:formatCode>
                <c:ptCount val="1"/>
                <c:pt idx="0">
                  <c:v>1.4999999999999999E-2</c:v>
                </c:pt>
              </c:numCache>
            </c:numRef>
          </c:xVal>
          <c:yVal>
            <c:numRef>
              <c:f>'Calc NaF(aq)'!$N$38</c:f>
              <c:numCache>
                <c:formatCode>0.000</c:formatCode>
                <c:ptCount val="1"/>
                <c:pt idx="0">
                  <c:v>-0.24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2-45E2-8145-1CA049C33315}"/>
            </c:ext>
          </c:extLst>
        </c:ser>
        <c:ser>
          <c:idx val="0"/>
          <c:order val="2"/>
          <c:tx>
            <c:v>Butler &amp; Huston (1970)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>
                  <a:lumMod val="75000"/>
                </a:schemeClr>
              </a:solidFill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'Calc NaF(aq)'!$O$37</c:f>
                <c:numCache>
                  <c:formatCode>General</c:formatCode>
                  <c:ptCount val="1"/>
                  <c:pt idx="0">
                    <c:v>0.08</c:v>
                  </c:pt>
                </c:numCache>
              </c:numRef>
            </c:plus>
            <c:minus>
              <c:numRef>
                <c:f>'Calc NaF(aq)'!$O$37</c:f>
                <c:numCache>
                  <c:formatCode>General</c:formatCode>
                  <c:ptCount val="1"/>
                  <c:pt idx="0">
                    <c:v>0.08</c:v>
                  </c:pt>
                </c:numCache>
              </c:numRef>
            </c:minus>
          </c:errBars>
          <c:xVal>
            <c:numRef>
              <c:f>'Calc NaF(aq)'!$L$37</c:f>
              <c:numCache>
                <c:formatCode>0.000</c:formatCode>
                <c:ptCount val="1"/>
                <c:pt idx="0">
                  <c:v>1.0218</c:v>
                </c:pt>
              </c:numCache>
            </c:numRef>
          </c:xVal>
          <c:yVal>
            <c:numRef>
              <c:f>'Calc NaF(aq)'!$N$37</c:f>
              <c:numCache>
                <c:formatCode>0.000</c:formatCode>
                <c:ptCount val="1"/>
                <c:pt idx="0">
                  <c:v>-0.39033114547313569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2-45E2-8145-1CA049C33315}"/>
            </c:ext>
          </c:extLst>
        </c:ser>
        <c:ser>
          <c:idx val="1"/>
          <c:order val="3"/>
          <c:tx>
            <c:strRef>
              <c:f>'Calc NaF(aq)'!$Z$16</c:f>
              <c:strCache>
                <c:ptCount val="1"/>
                <c:pt idx="0">
                  <c:v>calc.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33F2-45E2-8145-1CA049C33315}"/>
              </c:ext>
            </c:extLst>
          </c:dPt>
          <c:xVal>
            <c:numRef>
              <c:f>'Calc NaF(aq)'!$Y$19:$Y$23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NaF(aq)'!$Z$19:$Z$23</c:f>
              <c:numCache>
                <c:formatCode>General</c:formatCode>
                <c:ptCount val="5"/>
                <c:pt idx="0">
                  <c:v>-0.27995229206865829</c:v>
                </c:pt>
                <c:pt idx="1">
                  <c:v>-0.43232946682489154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2-45E2-8145-1CA049C33315}"/>
            </c:ext>
          </c:extLst>
        </c:ser>
        <c:ser>
          <c:idx val="4"/>
          <c:order val="4"/>
          <c:tx>
            <c:strRef>
              <c:f>'Calc NaF(aq)'!$AA$16</c:f>
              <c:strCache>
                <c:ptCount val="1"/>
              </c:strCache>
            </c:strRef>
          </c:tx>
          <c:spPr>
            <a:ln w="22225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'Calc NaF(aq)'!$Y$19:$Y$23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NaF(aq)'!$AA$19:$AA$23</c:f>
              <c:numCache>
                <c:formatCode>General</c:formatCode>
                <c:ptCount val="5"/>
                <c:pt idx="0">
                  <c:v>-0.15167346397065792</c:v>
                </c:pt>
                <c:pt idx="1">
                  <c:v>0.23320055323098082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2-45E2-8145-1CA049C33315}"/>
            </c:ext>
          </c:extLst>
        </c:ser>
        <c:ser>
          <c:idx val="5"/>
          <c:order val="5"/>
          <c:tx>
            <c:strRef>
              <c:f>'Calc NaF(aq)'!$AB$16</c:f>
              <c:strCache>
                <c:ptCount val="1"/>
              </c:strCache>
            </c:strRef>
          </c:tx>
          <c:spPr>
            <a:ln w="22225"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'Calc NaF(aq)'!$Y$19:$Y$23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3.8</c:v>
                </c:pt>
              </c:numCache>
            </c:numRef>
          </c:xVal>
          <c:yVal>
            <c:numRef>
              <c:f>'Calc NaF(aq)'!$AB$19:$AB$23</c:f>
              <c:numCache>
                <c:formatCode>General</c:formatCode>
                <c:ptCount val="5"/>
                <c:pt idx="0">
                  <c:v>-0.40823112016665863</c:v>
                </c:pt>
                <c:pt idx="1">
                  <c:v>-1.0978594868807638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2-45E2-8145-1CA049C3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64912"/>
        <c:axId val="1"/>
      </c:scatterChart>
      <c:valAx>
        <c:axId val="355164912"/>
        <c:scaling>
          <c:orientation val="minMax"/>
          <c:max val="1.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m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/ molal</a:t>
                </a:r>
              </a:p>
            </c:rich>
          </c:tx>
          <c:layout>
            <c:manualLayout>
              <c:xMode val="edge"/>
              <c:yMode val="edge"/>
              <c:x val="0.50316505531745237"/>
              <c:y val="0.898196731090431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"/>
        <c:crossBetween val="midCat"/>
      </c:valAx>
      <c:valAx>
        <c:axId val="1"/>
        <c:scaling>
          <c:orientation val="minMax"/>
          <c:max val="0.60000000000000009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log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10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GB" sz="1400" b="0" i="0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1</a:t>
                </a:r>
                <a:r>
                  <a:rPr lang="en-GB" sz="14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+ 2 </a:t>
                </a:r>
                <a:r>
                  <a:rPr lang="en-GB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</a:t>
                </a:r>
              </a:p>
            </c:rich>
          </c:tx>
          <c:layout>
            <c:manualLayout>
              <c:xMode val="edge"/>
              <c:yMode val="edge"/>
              <c:x val="3.2700421940928273E-2"/>
              <c:y val="0.359536506800286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55164912"/>
        <c:crosses val="autoZero"/>
        <c:crossBetween val="midCat"/>
        <c:majorUnit val="0.2"/>
        <c:minorUnit val="5.000000000000001E-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594996039149071"/>
          <c:y val="0.12500011798043917"/>
          <c:w val="0.37341810618788956"/>
          <c:h val="0.13015476202086965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4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31</xdr:row>
      <xdr:rowOff>6350</xdr:rowOff>
    </xdr:to>
    <xdr:graphicFrame macro="">
      <xdr:nvGraphicFramePr>
        <xdr:cNvPr id="5204" name="Chart 1">
          <a:extLst>
            <a:ext uri="{FF2B5EF4-FFF2-40B4-BE49-F238E27FC236}">
              <a16:creationId xmlns:a16="http://schemas.microsoft.com/office/drawing/2014/main" id="{2E32B29A-5097-1681-330A-FC25E934F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S0277-5387(00)84633-1" TargetMode="External"/><Relationship Id="rId2" Type="http://schemas.openxmlformats.org/officeDocument/2006/relationships/hyperlink" Target="https://doi.org/10.1039/F19726800716" TargetMode="External"/><Relationship Id="rId1" Type="http://schemas.openxmlformats.org/officeDocument/2006/relationships/hyperlink" Target="https://doi.org/10.1021/ac60294a01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2"/>
  <sheetViews>
    <sheetView tabSelected="1" workbookViewId="0">
      <selection activeCell="B11" sqref="B11"/>
    </sheetView>
  </sheetViews>
  <sheetFormatPr defaultColWidth="11.5546875" defaultRowHeight="13.2" x14ac:dyDescent="0.25"/>
  <cols>
    <col min="1" max="1" width="12.77734375" customWidth="1"/>
    <col min="2" max="8" width="8.77734375" customWidth="1"/>
    <col min="9" max="9" width="9.21875" customWidth="1"/>
    <col min="10" max="15" width="8.77734375" customWidth="1"/>
    <col min="16" max="16" width="9.21875" customWidth="1"/>
    <col min="17" max="256" width="8.77734375" customWidth="1"/>
  </cols>
  <sheetData>
    <row r="1" spans="1:29" x14ac:dyDescent="0.25">
      <c r="A1" s="32" t="s">
        <v>69</v>
      </c>
    </row>
    <row r="3" spans="1:29" x14ac:dyDescent="0.25">
      <c r="A3" t="s">
        <v>73</v>
      </c>
    </row>
    <row r="6" spans="1:29" x14ac:dyDescent="0.25">
      <c r="A6" t="s">
        <v>70</v>
      </c>
    </row>
    <row r="8" spans="1:29" x14ac:dyDescent="0.25">
      <c r="A8" t="s">
        <v>71</v>
      </c>
    </row>
    <row r="9" spans="1:29" x14ac:dyDescent="0.25">
      <c r="A9" s="26" t="s">
        <v>64</v>
      </c>
      <c r="B9" s="36" t="s">
        <v>76</v>
      </c>
      <c r="C9" t="s">
        <v>74</v>
      </c>
    </row>
    <row r="10" spans="1:29" x14ac:dyDescent="0.25">
      <c r="A10" s="26" t="s">
        <v>65</v>
      </c>
      <c r="B10" s="36" t="s">
        <v>77</v>
      </c>
      <c r="C10" t="s">
        <v>75</v>
      </c>
    </row>
    <row r="11" spans="1:29" x14ac:dyDescent="0.25">
      <c r="A11" s="26" t="s">
        <v>58</v>
      </c>
      <c r="B11" s="36" t="s">
        <v>78</v>
      </c>
      <c r="C11" t="s">
        <v>72</v>
      </c>
    </row>
    <row r="12" spans="1:29" x14ac:dyDescent="0.25">
      <c r="A12" s="26"/>
    </row>
    <row r="14" spans="1:29" x14ac:dyDescent="0.25">
      <c r="A14" s="32" t="s">
        <v>53</v>
      </c>
    </row>
    <row r="15" spans="1:29" ht="16.2" x14ac:dyDescent="0.3">
      <c r="H15" s="1" t="s">
        <v>0</v>
      </c>
      <c r="I15" s="2">
        <f>T45</f>
        <v>-0.27995229206865829</v>
      </c>
      <c r="J15" s="2">
        <f>X45</f>
        <v>0.12827882809800037</v>
      </c>
      <c r="K15" s="32" t="s">
        <v>51</v>
      </c>
      <c r="M15" s="10">
        <f>10^I15</f>
        <v>0.52486511434066729</v>
      </c>
      <c r="N15" s="10">
        <f>(10^(I15+J15)-10^(I15-J15))/2</f>
        <v>0.15729507744415322</v>
      </c>
      <c r="O15" s="32" t="s">
        <v>61</v>
      </c>
      <c r="Y15" s="4" t="s">
        <v>8</v>
      </c>
    </row>
    <row r="16" spans="1:29" ht="15.6" x14ac:dyDescent="0.35">
      <c r="A16" t="s">
        <v>49</v>
      </c>
      <c r="H16" s="1" t="s">
        <v>1</v>
      </c>
      <c r="I16" s="2">
        <f>T48</f>
        <v>-4.0099256514798225E-2</v>
      </c>
      <c r="J16" s="2">
        <f>X48</f>
        <v>0.17185535329310164</v>
      </c>
      <c r="K16" s="18" t="s">
        <v>60</v>
      </c>
      <c r="Z16" s="7" t="s">
        <v>25</v>
      </c>
      <c r="AA16" s="7"/>
      <c r="AB16" s="7"/>
      <c r="AC16" s="7" t="s">
        <v>18</v>
      </c>
    </row>
    <row r="17" spans="1:30" ht="15.6" x14ac:dyDescent="0.35">
      <c r="Y17" s="1" t="s">
        <v>22</v>
      </c>
      <c r="Z17" s="7" t="s">
        <v>24</v>
      </c>
      <c r="AA17" s="7" t="s">
        <v>26</v>
      </c>
      <c r="AB17" s="7" t="s">
        <v>27</v>
      </c>
      <c r="AC17" s="7" t="s">
        <v>19</v>
      </c>
    </row>
    <row r="18" spans="1:30" ht="16.8" x14ac:dyDescent="0.35">
      <c r="G18" s="23" t="s">
        <v>54</v>
      </c>
      <c r="I18" s="10">
        <v>-0.04</v>
      </c>
      <c r="J18">
        <v>0.03</v>
      </c>
      <c r="L18" s="23" t="s">
        <v>66</v>
      </c>
      <c r="N18">
        <v>0.03</v>
      </c>
      <c r="O18">
        <v>0.01</v>
      </c>
      <c r="Y18" s="4" t="s">
        <v>23</v>
      </c>
    </row>
    <row r="19" spans="1:30" ht="15.6" x14ac:dyDescent="0.25">
      <c r="A19" s="24" t="s">
        <v>52</v>
      </c>
      <c r="B19" s="3"/>
      <c r="C19" s="3"/>
      <c r="G19" s="23" t="s">
        <v>55</v>
      </c>
      <c r="I19">
        <v>0.03</v>
      </c>
      <c r="J19">
        <v>0.02</v>
      </c>
      <c r="L19" s="23" t="s">
        <v>67</v>
      </c>
      <c r="N19">
        <v>0.02</v>
      </c>
      <c r="O19">
        <v>0.02</v>
      </c>
      <c r="Y19">
        <v>0</v>
      </c>
      <c r="Z19">
        <f>$I$15+$I$16*Y19</f>
        <v>-0.27995229206865829</v>
      </c>
      <c r="AA19">
        <f>Z19+AC19</f>
        <v>-0.15167346397065792</v>
      </c>
      <c r="AB19">
        <f>Z19-AC19</f>
        <v>-0.40823112016665863</v>
      </c>
      <c r="AC19">
        <f>SQRT($J$15*$J$15+($J$16*Y19)^2)</f>
        <v>0.12827882809800037</v>
      </c>
      <c r="AD19" t="s">
        <v>31</v>
      </c>
    </row>
    <row r="20" spans="1:30" ht="16.8" x14ac:dyDescent="0.35">
      <c r="A20" s="24" t="s">
        <v>50</v>
      </c>
      <c r="B20" s="3"/>
      <c r="Y20" s="10">
        <v>3.8</v>
      </c>
      <c r="Z20">
        <f>$I$15+$I$16*Y20</f>
        <v>-0.43232946682489154</v>
      </c>
      <c r="AA20">
        <f>Z20+AC20</f>
        <v>0.23320055323098082</v>
      </c>
      <c r="AB20">
        <f>Z20-AC20</f>
        <v>-1.0978594868807638</v>
      </c>
      <c r="AC20">
        <f>SQRT($J$15*$J$15+($J$16*Y20)^2)</f>
        <v>0.66553002005587236</v>
      </c>
      <c r="AD20" t="s">
        <v>31</v>
      </c>
    </row>
    <row r="21" spans="1:30" x14ac:dyDescent="0.25">
      <c r="C21" s="3"/>
    </row>
    <row r="22" spans="1:30" ht="16.8" x14ac:dyDescent="0.35">
      <c r="A22" s="16" t="s">
        <v>30</v>
      </c>
      <c r="B22" s="25">
        <f>0^2-1^2-1^2</f>
        <v>-2</v>
      </c>
      <c r="G22" s="23" t="s">
        <v>56</v>
      </c>
      <c r="I22" s="2">
        <f>-$I$16+I18+I19</f>
        <v>3.0099256514798223E-2</v>
      </c>
      <c r="J22" s="10">
        <f>SQRT($J$16^2+J18^2+J19^2)</f>
        <v>0.17559687484547321</v>
      </c>
      <c r="K22" s="10"/>
      <c r="L22" s="23" t="s">
        <v>68</v>
      </c>
      <c r="N22" s="2">
        <f>-$I$16+N18+N19</f>
        <v>9.0099256514798234E-2</v>
      </c>
      <c r="O22" s="10">
        <f>SQRT($J$16^2+O18^2+O19^2)</f>
        <v>0.17330395972249676</v>
      </c>
    </row>
    <row r="23" spans="1:30" ht="15.6" x14ac:dyDescent="0.35">
      <c r="A23" s="16" t="s">
        <v>62</v>
      </c>
      <c r="B23" s="25">
        <f>1-1-1</f>
        <v>-1</v>
      </c>
    </row>
    <row r="24" spans="1:30" x14ac:dyDescent="0.25">
      <c r="A24" s="3"/>
      <c r="B24" s="3"/>
    </row>
    <row r="25" spans="1:30" x14ac:dyDescent="0.25">
      <c r="A25" s="3"/>
      <c r="B25" s="3"/>
    </row>
    <row r="27" spans="1:30" x14ac:dyDescent="0.25">
      <c r="A27" s="3"/>
      <c r="B27" s="3"/>
      <c r="M27" t="s">
        <v>2</v>
      </c>
      <c r="N27">
        <v>0.5091</v>
      </c>
      <c r="Y27" s="10"/>
    </row>
    <row r="28" spans="1:30" ht="13.8" x14ac:dyDescent="0.3">
      <c r="C28" s="4" t="s">
        <v>3</v>
      </c>
      <c r="D28" s="5"/>
      <c r="M28" t="s">
        <v>4</v>
      </c>
      <c r="N28">
        <f>COUNT(N34:N37)</f>
        <v>4</v>
      </c>
    </row>
    <row r="29" spans="1:30" x14ac:dyDescent="0.25">
      <c r="C29" s="3" t="s">
        <v>5</v>
      </c>
      <c r="D29" s="3"/>
      <c r="N29" s="1" t="s">
        <v>6</v>
      </c>
      <c r="O29" s="1"/>
    </row>
    <row r="30" spans="1:30" ht="13.8" x14ac:dyDescent="0.3">
      <c r="C30" s="4" t="s">
        <v>7</v>
      </c>
      <c r="D30" s="5"/>
      <c r="M30" s="6"/>
      <c r="N30">
        <f>SUM(N34:N37)/$N$28</f>
        <v>-0.31505227172479827</v>
      </c>
    </row>
    <row r="31" spans="1:30" ht="16.8" x14ac:dyDescent="0.35">
      <c r="B31" t="s">
        <v>28</v>
      </c>
      <c r="C31" s="7" t="s">
        <v>10</v>
      </c>
      <c r="D31" s="7" t="s">
        <v>11</v>
      </c>
      <c r="E31" s="7" t="s">
        <v>12</v>
      </c>
      <c r="F31" s="7" t="s">
        <v>13</v>
      </c>
      <c r="G31" s="7" t="s">
        <v>14</v>
      </c>
      <c r="H31" s="6" t="s">
        <v>15</v>
      </c>
      <c r="I31" s="8" t="s">
        <v>16</v>
      </c>
      <c r="L31" s="31" t="s">
        <v>57</v>
      </c>
      <c r="N31" s="7" t="s">
        <v>17</v>
      </c>
      <c r="O31" s="8" t="s">
        <v>16</v>
      </c>
      <c r="Y31" s="7"/>
      <c r="AB31" s="7"/>
      <c r="AC31" s="7"/>
      <c r="AD31" s="7"/>
    </row>
    <row r="32" spans="1:30" x14ac:dyDescent="0.25">
      <c r="A32" t="s">
        <v>9</v>
      </c>
      <c r="B32" t="s">
        <v>29</v>
      </c>
      <c r="C32" s="7" t="s">
        <v>20</v>
      </c>
      <c r="D32" s="7" t="s">
        <v>20</v>
      </c>
      <c r="F32" s="7" t="s">
        <v>21</v>
      </c>
      <c r="G32" s="7" t="s">
        <v>21</v>
      </c>
      <c r="Y32" s="9"/>
      <c r="Z32" s="1"/>
      <c r="AA32" s="1"/>
      <c r="AB32" s="9"/>
      <c r="AC32" s="9"/>
      <c r="AD32" s="3"/>
    </row>
    <row r="33" spans="1:24" ht="16.8" x14ac:dyDescent="0.35">
      <c r="C33" s="4" t="s">
        <v>3</v>
      </c>
      <c r="D33" s="5"/>
      <c r="Q33" s="19" t="s">
        <v>32</v>
      </c>
      <c r="R33" s="19" t="s">
        <v>33</v>
      </c>
      <c r="S33" s="19" t="s">
        <v>34</v>
      </c>
      <c r="T33" s="19" t="s">
        <v>35</v>
      </c>
      <c r="U33" s="19" t="s">
        <v>36</v>
      </c>
    </row>
    <row r="34" spans="1:24" ht="14.4" x14ac:dyDescent="0.3">
      <c r="A34" s="26" t="s">
        <v>58</v>
      </c>
      <c r="B34" s="27" t="s">
        <v>59</v>
      </c>
      <c r="C34" s="33">
        <v>0.2</v>
      </c>
      <c r="D34" s="28">
        <f>LOG(0.32)</f>
        <v>-0.49485002168009401</v>
      </c>
      <c r="E34">
        <v>1.0108999999999999</v>
      </c>
      <c r="F34" s="29">
        <f>C34*E34</f>
        <v>0.20218</v>
      </c>
      <c r="G34" s="28">
        <f>D34+$B$23*LOG(E34)</f>
        <v>-0.49955821822443025</v>
      </c>
      <c r="H34">
        <f>(LOG(0.32+0.05)-LOG(0.32-0.05))/2</f>
        <v>6.8418979954003811E-2</v>
      </c>
      <c r="I34" s="34">
        <f>2*H34</f>
        <v>0.13683795990800762</v>
      </c>
      <c r="L34" s="2">
        <f>F34</f>
        <v>0.20218</v>
      </c>
      <c r="N34" s="2">
        <f>G34-$B$22*($N$27*SQRT(F34)/(1+1.5*SQRT(F34)))</f>
        <v>-0.22614107773087372</v>
      </c>
      <c r="O34" s="2">
        <f>I34</f>
        <v>0.13683795990800762</v>
      </c>
      <c r="Q34" s="30">
        <f>1/O34^2</f>
        <v>53.405602444584432</v>
      </c>
      <c r="R34" s="30">
        <f>L34*Q34</f>
        <v>10.79754470224608</v>
      </c>
      <c r="S34" s="30">
        <f>L34*L34*Q34</f>
        <v>2.1830475879001128</v>
      </c>
      <c r="T34" s="30">
        <f>N34*Q34</f>
        <v>-12.077200493684908</v>
      </c>
      <c r="U34" s="30">
        <f>L34*N34*Q34</f>
        <v>-2.4417683958132148</v>
      </c>
    </row>
    <row r="35" spans="1:24" ht="14.4" x14ac:dyDescent="0.3">
      <c r="A35" s="26" t="s">
        <v>58</v>
      </c>
      <c r="B35" s="27" t="s">
        <v>59</v>
      </c>
      <c r="C35" s="33">
        <v>0.5</v>
      </c>
      <c r="D35" s="28">
        <f>LOG(0.21)</f>
        <v>-0.6777807052660807</v>
      </c>
      <c r="E35">
        <v>1.0233000000000001</v>
      </c>
      <c r="F35" s="29">
        <f>C35*E35</f>
        <v>0.51165000000000005</v>
      </c>
      <c r="G35" s="28">
        <f>D35+$B$23*LOG(E35)</f>
        <v>-0.68778367939314045</v>
      </c>
      <c r="H35">
        <f>(LOG(0.21+0.02)-LOG(0.21-0.02))/2</f>
        <v>4.1487117532381934E-2</v>
      </c>
      <c r="I35" s="34">
        <f>2*H35</f>
        <v>8.2974235064763868E-2</v>
      </c>
      <c r="L35" s="2">
        <f>F35</f>
        <v>0.51165000000000005</v>
      </c>
      <c r="N35" s="2">
        <f>G35-$B$22*($N$27*SQRT(F35)/(1+1.5*SQRT(F35)))</f>
        <v>-0.33644039772769818</v>
      </c>
      <c r="O35" s="2">
        <f>I35</f>
        <v>8.2974235064763868E-2</v>
      </c>
      <c r="Q35" s="30">
        <f>1/O35^2</f>
        <v>145.24911177471807</v>
      </c>
      <c r="R35" s="30">
        <f>L35*Q35</f>
        <v>74.316708039534504</v>
      </c>
      <c r="S35" s="30">
        <f>L35*L35*Q35</f>
        <v>38.024143668427833</v>
      </c>
      <c r="T35" s="30">
        <f>N35*Q35</f>
        <v>-48.867668935081035</v>
      </c>
      <c r="U35" s="30">
        <f>L35*N35*Q35</f>
        <v>-25.003142810634216</v>
      </c>
    </row>
    <row r="36" spans="1:24" ht="14.4" x14ac:dyDescent="0.3">
      <c r="A36" s="26" t="s">
        <v>58</v>
      </c>
      <c r="B36" s="27" t="s">
        <v>59</v>
      </c>
      <c r="C36" s="33">
        <v>1</v>
      </c>
      <c r="D36" s="28">
        <f>LOG(0.2)</f>
        <v>-0.69897000433601875</v>
      </c>
      <c r="E36">
        <v>1.0451999999999999</v>
      </c>
      <c r="F36" s="29">
        <f>C36*E36</f>
        <v>1.0451999999999999</v>
      </c>
      <c r="G36" s="28">
        <f>D36+$B$23*LOG(E36)</f>
        <v>-0.71816940539130669</v>
      </c>
      <c r="H36">
        <f>(LOG(0.2+0.02)-LOG(0.2-0.02))/2</f>
        <v>4.3575087859450079E-2</v>
      </c>
      <c r="I36" s="34">
        <f>2*H36</f>
        <v>8.7150175718900158E-2</v>
      </c>
      <c r="L36" s="2">
        <f>F36</f>
        <v>1.0451999999999999</v>
      </c>
      <c r="N36" s="2">
        <f>G36-$B$22*($N$27*SQRT(F36)/(1+1.5*SQRT(F36)))</f>
        <v>-0.3072964659674855</v>
      </c>
      <c r="O36" s="2">
        <f>I36</f>
        <v>8.7150175718900158E-2</v>
      </c>
      <c r="Q36" s="30">
        <f>1/O36^2</f>
        <v>131.66291491018657</v>
      </c>
      <c r="R36" s="30">
        <f>L36*Q36</f>
        <v>137.61407866412699</v>
      </c>
      <c r="S36" s="30">
        <f>L36*L36*Q36</f>
        <v>143.83423501974553</v>
      </c>
      <c r="T36" s="30">
        <f>N36*Q36</f>
        <v>-40.459548450878088</v>
      </c>
      <c r="U36" s="30">
        <f>L36*N36*Q36</f>
        <v>-42.288320040857769</v>
      </c>
    </row>
    <row r="37" spans="1:24" x14ac:dyDescent="0.25">
      <c r="A37" s="26" t="s">
        <v>64</v>
      </c>
      <c r="B37" s="27" t="s">
        <v>63</v>
      </c>
      <c r="C37" s="33">
        <v>1</v>
      </c>
      <c r="D37" s="30">
        <v>-0.79</v>
      </c>
      <c r="E37">
        <v>1.0218</v>
      </c>
      <c r="F37" s="29">
        <f>C37*E37</f>
        <v>1.0218</v>
      </c>
      <c r="G37" s="28">
        <f>D37+$B$23*LOG(E37)</f>
        <v>-0.79936589834624472</v>
      </c>
      <c r="H37">
        <v>0.04</v>
      </c>
      <c r="I37" s="34">
        <f>2*H37</f>
        <v>0.08</v>
      </c>
      <c r="L37" s="2">
        <f>F37</f>
        <v>1.0218</v>
      </c>
      <c r="N37" s="2">
        <f>G37-$B$22*($N$27*SQRT(F37)/(1+1.5*SQRT(F37)))</f>
        <v>-0.39033114547313569</v>
      </c>
      <c r="O37" s="2">
        <f>I37</f>
        <v>0.08</v>
      </c>
    </row>
    <row r="38" spans="1:24" x14ac:dyDescent="0.25">
      <c r="A38" s="26" t="s">
        <v>65</v>
      </c>
      <c r="C38" s="35">
        <v>0</v>
      </c>
      <c r="D38" s="28">
        <v>-0.24</v>
      </c>
      <c r="E38">
        <v>1</v>
      </c>
      <c r="F38" s="29">
        <v>0</v>
      </c>
      <c r="G38" s="28">
        <f>D38+$B$23*LOG(E38)</f>
        <v>-0.24</v>
      </c>
      <c r="I38" s="34">
        <f>LOG(0.58)-LOG(0.29)</f>
        <v>0.30102999566398114</v>
      </c>
      <c r="J38" s="34">
        <f>-LOG(0.58)+LOG(1.41)</f>
        <v>0.38579111909244262</v>
      </c>
      <c r="L38" s="17">
        <v>1.4999999999999999E-2</v>
      </c>
      <c r="N38" s="2">
        <f>G38-$B$22*($N$27*SQRT(F38)/(1+1.5*SQRT(F38)))</f>
        <v>-0.24</v>
      </c>
      <c r="O38" s="2">
        <f>I38</f>
        <v>0.30102999566398114</v>
      </c>
      <c r="P38" s="2">
        <f>J38</f>
        <v>0.38579111909244262</v>
      </c>
    </row>
    <row r="39" spans="1:24" x14ac:dyDescent="0.25">
      <c r="A39" s="26"/>
      <c r="C39" s="35"/>
      <c r="D39" s="28"/>
      <c r="F39" s="29"/>
      <c r="G39" s="28"/>
      <c r="I39" s="34"/>
      <c r="J39" s="34"/>
      <c r="L39" s="17"/>
      <c r="N39" s="2"/>
      <c r="O39" s="2"/>
      <c r="P39" s="2"/>
    </row>
    <row r="40" spans="1:24" x14ac:dyDescent="0.25">
      <c r="K40" s="1"/>
      <c r="P40" s="16" t="s">
        <v>37</v>
      </c>
      <c r="Q40">
        <f>SUM(Q34:Q38)</f>
        <v>330.31762912948909</v>
      </c>
      <c r="R40">
        <f>SUM(R34:R38)</f>
        <v>222.72833140590757</v>
      </c>
      <c r="S40">
        <f>SUM(S34:S38)</f>
        <v>184.04142627607348</v>
      </c>
      <c r="T40">
        <f>SUM(T34:T38)</f>
        <v>-101.40441787964403</v>
      </c>
      <c r="U40">
        <f>SUM(U34:U38)</f>
        <v>-69.733231247305199</v>
      </c>
    </row>
    <row r="42" spans="1:24" ht="16.8" x14ac:dyDescent="0.35">
      <c r="E42" s="17"/>
      <c r="S42" s="16" t="s">
        <v>38</v>
      </c>
      <c r="T42">
        <f>Q40*S40-R40^2</f>
        <v>11184.217978262459</v>
      </c>
    </row>
    <row r="43" spans="1:24" ht="16.8" x14ac:dyDescent="0.35">
      <c r="E43" s="17"/>
      <c r="S43" s="16" t="s">
        <v>39</v>
      </c>
      <c r="T43">
        <f>S40*T40</f>
        <v>-18662.613697264653</v>
      </c>
    </row>
    <row r="44" spans="1:24" ht="16.8" x14ac:dyDescent="0.35">
      <c r="S44" s="16" t="s">
        <v>40</v>
      </c>
      <c r="T44">
        <f>R40*U40</f>
        <v>-15531.566239254582</v>
      </c>
    </row>
    <row r="45" spans="1:24" ht="16.8" x14ac:dyDescent="0.35">
      <c r="E45" s="17"/>
      <c r="Q45" s="1" t="s">
        <v>41</v>
      </c>
      <c r="S45" s="20" t="s">
        <v>42</v>
      </c>
      <c r="T45">
        <f>(T43-T44)/T42</f>
        <v>-0.27995229206865829</v>
      </c>
      <c r="W45" s="21" t="s">
        <v>43</v>
      </c>
      <c r="X45">
        <f>SQRT(S40/T42)</f>
        <v>0.12827882809800037</v>
      </c>
    </row>
    <row r="46" spans="1:24" ht="16.8" x14ac:dyDescent="0.35">
      <c r="K46" s="2"/>
      <c r="M46" s="2"/>
      <c r="N46" s="2"/>
      <c r="O46" s="2"/>
      <c r="S46" s="16" t="s">
        <v>44</v>
      </c>
      <c r="T46">
        <f>Q40*U40</f>
        <v>-23034.115617148258</v>
      </c>
    </row>
    <row r="47" spans="1:24" ht="16.8" x14ac:dyDescent="0.35">
      <c r="A47" s="11"/>
      <c r="B47" s="11"/>
      <c r="C47" s="12"/>
      <c r="J47" s="2"/>
      <c r="K47" s="2"/>
      <c r="M47" s="2"/>
      <c r="N47" s="2"/>
      <c r="O47" s="2"/>
      <c r="S47" s="16" t="s">
        <v>45</v>
      </c>
      <c r="T47">
        <f>R40*T40</f>
        <v>-22585.636791520494</v>
      </c>
    </row>
    <row r="48" spans="1:24" ht="16.8" x14ac:dyDescent="0.35">
      <c r="A48" s="11"/>
      <c r="B48" s="11"/>
      <c r="C48" s="12"/>
      <c r="J48" s="2"/>
      <c r="M48" s="2"/>
      <c r="N48" s="2"/>
      <c r="O48" s="2"/>
      <c r="Q48" s="1" t="s">
        <v>46</v>
      </c>
      <c r="S48" s="22" t="s">
        <v>48</v>
      </c>
      <c r="T48">
        <f>(T46-T47)/T42</f>
        <v>-4.0099256514798225E-2</v>
      </c>
      <c r="W48" s="21" t="s">
        <v>47</v>
      </c>
      <c r="X48">
        <f>SQRT(Q40/T42)</f>
        <v>0.17185535329310164</v>
      </c>
    </row>
    <row r="49" spans="1:18" x14ac:dyDescent="0.25">
      <c r="A49" s="11"/>
      <c r="B49" s="11"/>
      <c r="C49" s="12"/>
      <c r="J49" s="2"/>
      <c r="M49" s="2"/>
      <c r="N49" s="2"/>
      <c r="O49" s="2"/>
    </row>
    <row r="50" spans="1:18" x14ac:dyDescent="0.25">
      <c r="J50" s="2"/>
      <c r="M50" s="2"/>
      <c r="N50" s="2"/>
      <c r="O50" s="2"/>
    </row>
    <row r="51" spans="1:18" x14ac:dyDescent="0.25">
      <c r="J51" s="2"/>
      <c r="M51" s="2"/>
      <c r="N51" s="2"/>
      <c r="O51" s="2"/>
    </row>
    <row r="52" spans="1:18" x14ac:dyDescent="0.25">
      <c r="J52" s="2"/>
      <c r="M52" s="2"/>
      <c r="N52" s="2"/>
      <c r="O52" s="2"/>
    </row>
    <row r="53" spans="1:18" x14ac:dyDescent="0.25">
      <c r="J53" s="2"/>
      <c r="M53" s="2"/>
      <c r="N53" s="2"/>
      <c r="O53" s="2"/>
    </row>
    <row r="54" spans="1:18" x14ac:dyDescent="0.25">
      <c r="J54" s="2"/>
      <c r="K54" s="2"/>
      <c r="M54" s="2"/>
      <c r="N54" s="2"/>
      <c r="O54" s="2"/>
    </row>
    <row r="55" spans="1:18" x14ac:dyDescent="0.25">
      <c r="J55" s="2"/>
      <c r="L55" s="2"/>
      <c r="M55" s="2"/>
      <c r="N55" s="2"/>
      <c r="O55" s="2"/>
    </row>
    <row r="56" spans="1:18" x14ac:dyDescent="0.25">
      <c r="J56" s="2"/>
      <c r="K56" s="2"/>
      <c r="M56" s="2"/>
      <c r="N56" s="2"/>
      <c r="O56" s="2"/>
    </row>
    <row r="57" spans="1:18" x14ac:dyDescent="0.25">
      <c r="J57" s="2"/>
      <c r="M57" s="2"/>
      <c r="N57" s="2"/>
      <c r="O57" s="2"/>
    </row>
    <row r="58" spans="1:18" x14ac:dyDescent="0.25">
      <c r="J58" s="2"/>
      <c r="K58" s="2"/>
      <c r="M58" s="2"/>
      <c r="N58" s="2"/>
      <c r="O58" s="2"/>
      <c r="P58" s="10"/>
      <c r="R58" s="2"/>
    </row>
    <row r="59" spans="1:18" x14ac:dyDescent="0.25">
      <c r="J59" s="2"/>
      <c r="M59" s="2"/>
      <c r="N59" s="2"/>
      <c r="O59" s="2"/>
      <c r="P59" s="10"/>
      <c r="R59" s="2"/>
    </row>
    <row r="60" spans="1:18" x14ac:dyDescent="0.25">
      <c r="J60" s="2"/>
      <c r="M60" s="2"/>
      <c r="N60" s="2"/>
      <c r="O60" s="2"/>
      <c r="P60" s="10"/>
      <c r="R60" s="2"/>
    </row>
    <row r="61" spans="1:18" x14ac:dyDescent="0.25">
      <c r="J61" s="2"/>
      <c r="M61" s="2"/>
      <c r="N61" s="2"/>
      <c r="O61" s="2"/>
      <c r="P61" s="10"/>
      <c r="R61" s="2"/>
    </row>
    <row r="62" spans="1:18" x14ac:dyDescent="0.25">
      <c r="J62" s="2"/>
      <c r="M62" s="2"/>
      <c r="N62" s="2"/>
      <c r="O62" s="2"/>
      <c r="P62" s="10"/>
      <c r="R62" s="2"/>
    </row>
    <row r="63" spans="1:18" x14ac:dyDescent="0.25">
      <c r="J63" s="2"/>
      <c r="M63" s="2"/>
      <c r="N63" s="2"/>
      <c r="O63" s="2"/>
      <c r="P63" s="10"/>
      <c r="R63" s="2"/>
    </row>
    <row r="64" spans="1:18" x14ac:dyDescent="0.25">
      <c r="J64" s="2"/>
      <c r="M64" s="2"/>
      <c r="N64" s="2"/>
      <c r="O64" s="2"/>
      <c r="P64" s="10"/>
      <c r="R64" s="2"/>
    </row>
    <row r="65" spans="1:22" x14ac:dyDescent="0.25">
      <c r="J65" s="2"/>
      <c r="M65" s="2"/>
      <c r="N65" s="2"/>
      <c r="O65" s="2"/>
      <c r="P65" s="10"/>
      <c r="R65" s="2"/>
    </row>
    <row r="66" spans="1:22" x14ac:dyDescent="0.25">
      <c r="J66" s="2"/>
      <c r="M66" s="2"/>
      <c r="N66" s="2"/>
      <c r="O66" s="2"/>
      <c r="P66" s="10"/>
      <c r="R66" s="2"/>
    </row>
    <row r="67" spans="1:22" x14ac:dyDescent="0.25">
      <c r="J67" s="2"/>
      <c r="M67" s="2"/>
      <c r="N67" s="2"/>
      <c r="O67" s="2"/>
      <c r="P67" s="10"/>
      <c r="R67" s="2"/>
    </row>
    <row r="68" spans="1:22" x14ac:dyDescent="0.25">
      <c r="J68" s="2"/>
      <c r="M68" s="2"/>
      <c r="N68" s="2"/>
      <c r="O68" s="2"/>
      <c r="P68" s="10"/>
      <c r="R68" s="2"/>
    </row>
    <row r="69" spans="1:22" x14ac:dyDescent="0.25">
      <c r="A69" s="11"/>
      <c r="B69" s="11"/>
      <c r="C69" s="12"/>
      <c r="J69" s="2"/>
      <c r="K69" s="2"/>
      <c r="M69" s="2"/>
      <c r="N69" s="2"/>
      <c r="O69" s="2"/>
      <c r="P69" s="10"/>
      <c r="R69" s="2"/>
    </row>
    <row r="70" spans="1:22" x14ac:dyDescent="0.25">
      <c r="A70" s="11"/>
      <c r="B70" s="11"/>
      <c r="C70" s="12"/>
      <c r="J70" s="2"/>
      <c r="M70" s="2"/>
      <c r="N70" s="2"/>
      <c r="O70" s="2"/>
      <c r="P70" s="10"/>
      <c r="R70" s="2"/>
    </row>
    <row r="71" spans="1:22" x14ac:dyDescent="0.25">
      <c r="A71" s="11"/>
      <c r="B71" s="11"/>
      <c r="C71" s="12"/>
      <c r="J71" s="2"/>
      <c r="K71" s="2"/>
      <c r="M71" s="2"/>
      <c r="N71" s="2"/>
      <c r="O71" s="2"/>
      <c r="P71" s="10"/>
      <c r="R71" s="2"/>
    </row>
    <row r="72" spans="1:22" x14ac:dyDescent="0.25">
      <c r="A72" s="11"/>
      <c r="B72" s="11"/>
      <c r="C72" s="12"/>
      <c r="J72" s="2"/>
      <c r="K72" s="2"/>
      <c r="M72" s="2"/>
      <c r="N72" s="2"/>
      <c r="O72" s="2"/>
      <c r="P72" s="10"/>
      <c r="S72" s="2"/>
      <c r="U72" s="2"/>
    </row>
    <row r="73" spans="1:22" x14ac:dyDescent="0.25">
      <c r="A73" s="11"/>
      <c r="B73" s="11"/>
      <c r="C73" s="12"/>
      <c r="J73" s="2"/>
      <c r="K73" s="2"/>
      <c r="M73" s="2"/>
      <c r="N73" s="2"/>
      <c r="O73" s="2"/>
      <c r="P73" s="10"/>
      <c r="S73" s="2"/>
      <c r="U73" s="2"/>
    </row>
    <row r="74" spans="1:22" x14ac:dyDescent="0.25">
      <c r="A74" s="11"/>
      <c r="B74" s="11"/>
      <c r="C74" s="12"/>
      <c r="J74" s="2"/>
      <c r="K74" s="2"/>
      <c r="M74" s="2"/>
      <c r="N74" s="2"/>
      <c r="O74" s="2"/>
      <c r="P74" s="10"/>
      <c r="S74" s="2"/>
      <c r="U74" s="2"/>
    </row>
    <row r="75" spans="1:22" x14ac:dyDescent="0.25">
      <c r="A75" s="11"/>
      <c r="B75" s="11"/>
      <c r="C75" s="12"/>
      <c r="D75" s="13"/>
      <c r="E75" s="2"/>
      <c r="F75" s="14"/>
      <c r="G75" s="10"/>
      <c r="H75" s="15"/>
      <c r="I75" s="13"/>
      <c r="J75" s="2"/>
      <c r="K75" s="2"/>
      <c r="M75" s="2"/>
      <c r="N75" s="2"/>
      <c r="O75" s="2"/>
      <c r="P75" s="10"/>
      <c r="S75" s="2"/>
      <c r="U75" s="2"/>
    </row>
    <row r="76" spans="1:22" x14ac:dyDescent="0.25">
      <c r="A76" s="11"/>
      <c r="B76" s="11"/>
      <c r="C76" s="12"/>
      <c r="D76" s="13"/>
      <c r="E76" s="2"/>
      <c r="F76" s="14"/>
      <c r="G76" s="10"/>
      <c r="H76" s="15"/>
      <c r="I76" s="13"/>
      <c r="J76" s="2"/>
      <c r="K76" s="2"/>
      <c r="M76" s="2"/>
      <c r="N76" s="2"/>
      <c r="O76" s="2"/>
      <c r="P76" s="10"/>
      <c r="S76" s="2"/>
      <c r="U76" s="2"/>
    </row>
    <row r="77" spans="1:22" x14ac:dyDescent="0.25">
      <c r="A77" s="11"/>
      <c r="B77" s="11"/>
      <c r="C77" s="12"/>
      <c r="D77" s="13"/>
      <c r="E77" s="2"/>
      <c r="F77" s="14"/>
      <c r="G77" s="10"/>
      <c r="H77" s="15"/>
      <c r="I77" s="13"/>
      <c r="J77" s="2"/>
      <c r="M77" s="2"/>
      <c r="N77" s="2"/>
      <c r="O77" s="2"/>
      <c r="P77" s="10"/>
      <c r="S77" s="2"/>
      <c r="U77" s="2"/>
    </row>
    <row r="78" spans="1:22" x14ac:dyDescent="0.25">
      <c r="A78" s="11"/>
      <c r="B78" s="11"/>
      <c r="C78" s="12"/>
      <c r="D78" s="13"/>
      <c r="E78" s="2"/>
      <c r="F78" s="14"/>
      <c r="G78" s="10"/>
      <c r="H78" s="15"/>
      <c r="I78" s="13"/>
      <c r="J78" s="2"/>
      <c r="M78" s="2"/>
      <c r="N78" s="2"/>
      <c r="O78" s="2"/>
      <c r="P78" s="10"/>
      <c r="S78" s="2"/>
      <c r="U78" s="2"/>
    </row>
    <row r="79" spans="1:22" x14ac:dyDescent="0.25">
      <c r="A79" s="11"/>
      <c r="B79" s="11"/>
      <c r="C79" s="12"/>
      <c r="D79" s="13"/>
      <c r="E79" s="2"/>
      <c r="F79" s="14"/>
      <c r="G79" s="10"/>
      <c r="H79" s="15"/>
      <c r="I79" s="13"/>
      <c r="J79" s="2"/>
      <c r="L79" s="2"/>
      <c r="M79" s="2"/>
      <c r="N79" s="2"/>
      <c r="O79" s="2"/>
      <c r="P79" s="10"/>
      <c r="T79" s="2"/>
      <c r="V79" s="2"/>
    </row>
    <row r="80" spans="1:22" x14ac:dyDescent="0.25">
      <c r="A80" s="11"/>
      <c r="B80" s="11"/>
      <c r="C80" s="12"/>
      <c r="D80" s="13"/>
      <c r="E80" s="2"/>
      <c r="F80" s="14"/>
      <c r="G80" s="10"/>
      <c r="H80" s="15"/>
      <c r="I80" s="13"/>
      <c r="J80" s="2"/>
      <c r="L80" s="2"/>
      <c r="M80" s="2"/>
      <c r="N80" s="2"/>
      <c r="O80" s="2"/>
      <c r="P80" s="10"/>
      <c r="T80" s="2"/>
      <c r="V80" s="2"/>
    </row>
    <row r="81" spans="1:22" x14ac:dyDescent="0.25">
      <c r="A81" s="11"/>
      <c r="B81" s="11"/>
      <c r="C81" s="12"/>
      <c r="D81" s="13"/>
      <c r="E81" s="2"/>
      <c r="F81" s="14"/>
      <c r="G81" s="10"/>
      <c r="H81" s="15"/>
      <c r="I81" s="13"/>
      <c r="J81" s="2"/>
      <c r="L81" s="2"/>
      <c r="M81" s="2"/>
      <c r="N81" s="2"/>
      <c r="O81" s="2"/>
      <c r="P81" s="10"/>
      <c r="T81" s="2"/>
      <c r="V81" s="2"/>
    </row>
    <row r="82" spans="1:22" x14ac:dyDescent="0.25">
      <c r="A82" s="11"/>
      <c r="B82" s="11"/>
      <c r="C82" s="12"/>
      <c r="D82" s="13"/>
      <c r="E82" s="2"/>
      <c r="F82" s="14"/>
      <c r="G82" s="10"/>
      <c r="H82" s="15"/>
      <c r="I82" s="13"/>
      <c r="J82" s="2"/>
      <c r="L82" s="2"/>
      <c r="M82" s="2"/>
      <c r="N82" s="2"/>
      <c r="O82" s="2"/>
      <c r="P82" s="10"/>
      <c r="T82" s="2"/>
      <c r="V82" s="2"/>
    </row>
  </sheetData>
  <phoneticPr fontId="8" type="noConversion"/>
  <hyperlinks>
    <hyperlink ref="B9" r:id="rId1" xr:uid="{579BDA25-D9F8-4EC0-9211-7B00EDC08309}"/>
    <hyperlink ref="B10" r:id="rId2" xr:uid="{62A84249-6608-42FE-ADBE-36995AE69E6E}"/>
    <hyperlink ref="B11" r:id="rId3" xr:uid="{84EE2B42-F62A-4587-B57F-B244439B2B6F}"/>
  </hyperlinks>
  <pageMargins left="0.75" right="0.75" top="1" bottom="1" header="0.5" footer="0.5"/>
  <pageSetup paperSize="9" orientation="landscape" horizontalDpi="300" verticalDpi="300" r:id="rId4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56" sqref="K56"/>
    </sheetView>
  </sheetViews>
  <sheetFormatPr defaultColWidth="11.5546875" defaultRowHeight="13.2" x14ac:dyDescent="0.25"/>
  <cols>
    <col min="1" max="256" width="8.77734375" customWidth="1"/>
  </cols>
  <sheetData/>
  <phoneticPr fontId="8" type="noConversion"/>
  <printOptions horizontalCentered="1"/>
  <pageMargins left="0.39370078740157483" right="0.39370078740157483" top="1.3779527559055118" bottom="0.78740157480314965" header="0.78740157480314965" footer="0.51181102362204722"/>
  <pageSetup paperSize="9" orientation="portrait" horizontalDpi="300" r:id="rId1"/>
  <headerFooter alignWithMargins="0">
    <oddHeader>Multi12_edta.xls</oddHeader>
    <oddFooter>&amp;L&amp;6&amp;F; &amp;A&amp;R&amp;6Page &amp;P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NaF(aq)</vt:lpstr>
      <vt:lpstr>Plot NaF(aq)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I.Puigdomenech</dc:creator>
  <cp:lastModifiedBy>Josep Bonet</cp:lastModifiedBy>
  <cp:lastPrinted>2002-08-12T14:38:15Z</cp:lastPrinted>
  <dcterms:created xsi:type="dcterms:W3CDTF">2000-02-23T12:13:48Z</dcterms:created>
  <dcterms:modified xsi:type="dcterms:W3CDTF">2023-11-24T16:49:00Z</dcterms:modified>
</cp:coreProperties>
</file>