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13_ncr:1_{0C7C7C72-B947-49A1-ACC3-F649931D2E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lcNa" sheetId="7" r:id="rId1"/>
    <sheet name="PlotNa" sheetId="8" r:id="rId2"/>
    <sheet name="NaTemp" sheetId="11" r:id="rId3"/>
  </sheets>
  <definedNames>
    <definedName name="_Regression_Out" hidden="1">#REF!</definedName>
    <definedName name="_Regression_X" hidden="1">#REF!</definedName>
    <definedName name="_Regression_Y" hidden="1">#REF!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2" i="11" l="1"/>
  <c r="W66" i="11"/>
  <c r="U66" i="11"/>
  <c r="V66" i="11"/>
  <c r="Z34" i="11"/>
  <c r="AE49" i="11"/>
  <c r="AE51" i="11"/>
  <c r="AE50" i="11"/>
  <c r="AN41" i="11"/>
  <c r="AN39" i="11"/>
  <c r="AN38" i="11"/>
  <c r="AN37" i="11"/>
  <c r="AN36" i="11"/>
  <c r="AN35" i="11"/>
  <c r="AN34" i="11"/>
  <c r="AM41" i="11"/>
  <c r="AM39" i="11"/>
  <c r="AM38" i="11"/>
  <c r="AM37" i="11"/>
  <c r="AM36" i="11"/>
  <c r="AM35" i="11"/>
  <c r="AM34" i="11"/>
  <c r="AL41" i="11"/>
  <c r="AL39" i="11"/>
  <c r="AL38" i="11"/>
  <c r="AL37" i="11"/>
  <c r="AL36" i="11"/>
  <c r="AL35" i="11"/>
  <c r="AL34" i="11"/>
  <c r="AK41" i="11"/>
  <c r="AK39" i="11"/>
  <c r="AK38" i="11"/>
  <c r="AK37" i="11"/>
  <c r="AK36" i="11"/>
  <c r="AK35" i="11"/>
  <c r="AK34" i="11"/>
  <c r="AJ41" i="11"/>
  <c r="AJ40" i="11"/>
  <c r="AN40" i="11"/>
  <c r="AJ39" i="11"/>
  <c r="AJ38" i="11"/>
  <c r="AJ37" i="11"/>
  <c r="AJ36" i="11"/>
  <c r="AJ35" i="11"/>
  <c r="AJ34" i="11"/>
  <c r="V61" i="11"/>
  <c r="V60" i="11"/>
  <c r="V59" i="11"/>
  <c r="V58" i="11"/>
  <c r="V57" i="11"/>
  <c r="V41" i="11"/>
  <c r="V40" i="11"/>
  <c r="V39" i="11"/>
  <c r="V38" i="11"/>
  <c r="O38" i="11"/>
  <c r="V37" i="11"/>
  <c r="V36" i="11"/>
  <c r="V35" i="11"/>
  <c r="V34" i="11"/>
  <c r="V17" i="11"/>
  <c r="V16" i="11"/>
  <c r="V15" i="11"/>
  <c r="V14" i="11"/>
  <c r="V13" i="11"/>
  <c r="F17" i="11"/>
  <c r="F61" i="11"/>
  <c r="F39" i="11"/>
  <c r="U66" i="7"/>
  <c r="U65" i="7"/>
  <c r="I67" i="7"/>
  <c r="E67" i="7"/>
  <c r="F93" i="7"/>
  <c r="G93" i="7" s="1"/>
  <c r="N93" i="7" s="1"/>
  <c r="F65" i="7"/>
  <c r="F36" i="7"/>
  <c r="I66" i="7"/>
  <c r="F66" i="7"/>
  <c r="G66" i="7" s="1"/>
  <c r="E66" i="7"/>
  <c r="N41" i="11"/>
  <c r="H41" i="11"/>
  <c r="T40" i="11"/>
  <c r="Z41" i="11"/>
  <c r="X41" i="11"/>
  <c r="AA41" i="11"/>
  <c r="W41" i="11"/>
  <c r="Y41" i="11"/>
  <c r="U41" i="11"/>
  <c r="R41" i="11"/>
  <c r="T41" i="11"/>
  <c r="M41" i="11"/>
  <c r="J41" i="11"/>
  <c r="I41" i="11"/>
  <c r="F41" i="11"/>
  <c r="G41" i="11"/>
  <c r="E41" i="11"/>
  <c r="F63" i="7"/>
  <c r="G63" i="7" s="1"/>
  <c r="E63" i="7"/>
  <c r="H63" i="7" s="1"/>
  <c r="I63" i="7"/>
  <c r="J63" i="7" s="1"/>
  <c r="U63" i="7" s="1"/>
  <c r="W63" i="7" s="1"/>
  <c r="U67" i="11"/>
  <c r="V67" i="11"/>
  <c r="W67" i="11"/>
  <c r="U23" i="11"/>
  <c r="V23" i="11"/>
  <c r="W23" i="11"/>
  <c r="U22" i="11"/>
  <c r="V22" i="11"/>
  <c r="M61" i="11"/>
  <c r="M60" i="11"/>
  <c r="M59" i="11"/>
  <c r="M58" i="11"/>
  <c r="M57" i="11"/>
  <c r="M17" i="11"/>
  <c r="M16" i="11"/>
  <c r="M15" i="11"/>
  <c r="M14" i="11"/>
  <c r="M13" i="11"/>
  <c r="U47" i="11"/>
  <c r="U46" i="11"/>
  <c r="U45" i="11"/>
  <c r="AA34" i="11"/>
  <c r="X27" i="11"/>
  <c r="X30" i="11"/>
  <c r="Y34" i="11"/>
  <c r="W40" i="11"/>
  <c r="Y40" i="11"/>
  <c r="X39" i="11"/>
  <c r="W39" i="11"/>
  <c r="Y39" i="11"/>
  <c r="Y38" i="11"/>
  <c r="X38" i="11"/>
  <c r="Y37" i="11"/>
  <c r="X37" i="11"/>
  <c r="Y36" i="11"/>
  <c r="X36" i="11"/>
  <c r="W36" i="11"/>
  <c r="Y35" i="11"/>
  <c r="W35" i="11"/>
  <c r="X35" i="11"/>
  <c r="X34" i="11"/>
  <c r="W34" i="11"/>
  <c r="U60" i="11"/>
  <c r="O60" i="11"/>
  <c r="U59" i="11"/>
  <c r="O59" i="11"/>
  <c r="U58" i="11"/>
  <c r="U57" i="11"/>
  <c r="T60" i="11"/>
  <c r="T59" i="11"/>
  <c r="T58" i="11"/>
  <c r="T57" i="11"/>
  <c r="H61" i="11"/>
  <c r="T61" i="11"/>
  <c r="Q61" i="11"/>
  <c r="H60" i="11"/>
  <c r="H59" i="11"/>
  <c r="H58" i="11"/>
  <c r="H57" i="11"/>
  <c r="G61" i="11"/>
  <c r="U61" i="11"/>
  <c r="N61" i="11"/>
  <c r="F60" i="11"/>
  <c r="G59" i="11"/>
  <c r="N59" i="11"/>
  <c r="F58" i="11"/>
  <c r="G58" i="11"/>
  <c r="N58" i="11"/>
  <c r="F57" i="11"/>
  <c r="B49" i="11"/>
  <c r="B48" i="11"/>
  <c r="E40" i="11"/>
  <c r="I37" i="11"/>
  <c r="M40" i="11"/>
  <c r="M39" i="11"/>
  <c r="M38" i="11"/>
  <c r="M37" i="11"/>
  <c r="M36" i="11"/>
  <c r="M35" i="11"/>
  <c r="M34" i="11"/>
  <c r="N40" i="11"/>
  <c r="U40" i="11"/>
  <c r="F40" i="11"/>
  <c r="H40" i="11"/>
  <c r="U38" i="11"/>
  <c r="U37" i="11"/>
  <c r="P37" i="11"/>
  <c r="U36" i="11"/>
  <c r="O36" i="11"/>
  <c r="U35" i="11"/>
  <c r="O35" i="11"/>
  <c r="U34" i="11"/>
  <c r="O34" i="11"/>
  <c r="T38" i="11"/>
  <c r="T37" i="11"/>
  <c r="T36" i="11"/>
  <c r="T35" i="11"/>
  <c r="T34" i="11"/>
  <c r="U16" i="11"/>
  <c r="O16" i="11"/>
  <c r="U15" i="11"/>
  <c r="O15" i="11"/>
  <c r="U14" i="11"/>
  <c r="U13" i="11"/>
  <c r="O13" i="11"/>
  <c r="T16" i="11"/>
  <c r="T15" i="11"/>
  <c r="T14" i="11"/>
  <c r="T13" i="11"/>
  <c r="H13" i="11"/>
  <c r="H17" i="11"/>
  <c r="H16" i="11"/>
  <c r="H15" i="11"/>
  <c r="H14" i="11"/>
  <c r="H39" i="11"/>
  <c r="H38" i="11"/>
  <c r="H37" i="11"/>
  <c r="H36" i="11"/>
  <c r="H35" i="11"/>
  <c r="H34" i="11"/>
  <c r="G39" i="11"/>
  <c r="U39" i="11"/>
  <c r="F38" i="11"/>
  <c r="G37" i="11"/>
  <c r="N37" i="11"/>
  <c r="F37" i="11"/>
  <c r="E37" i="11"/>
  <c r="G36" i="11"/>
  <c r="N36" i="11"/>
  <c r="N35" i="11"/>
  <c r="G35" i="11"/>
  <c r="F35" i="11"/>
  <c r="G34" i="11"/>
  <c r="N34" i="11"/>
  <c r="F34" i="11"/>
  <c r="B26" i="11"/>
  <c r="B25" i="11"/>
  <c r="G17" i="11"/>
  <c r="U17" i="11"/>
  <c r="F16" i="11"/>
  <c r="G15" i="11"/>
  <c r="N15" i="11"/>
  <c r="N14" i="11"/>
  <c r="G14" i="11"/>
  <c r="F14" i="11"/>
  <c r="G13" i="11"/>
  <c r="N13" i="11"/>
  <c r="F13" i="11"/>
  <c r="B5" i="11"/>
  <c r="B4" i="11"/>
  <c r="P21" i="7"/>
  <c r="O21" i="7"/>
  <c r="J40" i="7"/>
  <c r="I40" i="7"/>
  <c r="J69" i="7"/>
  <c r="I69" i="7"/>
  <c r="U36" i="7"/>
  <c r="U93" i="7"/>
  <c r="I62" i="7"/>
  <c r="E62" i="7"/>
  <c r="U92" i="7"/>
  <c r="F92" i="7"/>
  <c r="U35" i="7"/>
  <c r="F35" i="7"/>
  <c r="G35" i="7" s="1"/>
  <c r="N35" i="7" s="1"/>
  <c r="U64" i="7"/>
  <c r="F64" i="7"/>
  <c r="G64" i="7" s="1"/>
  <c r="N64" i="7" s="1"/>
  <c r="F62" i="7"/>
  <c r="G62" i="7" s="1"/>
  <c r="N62" i="7" s="1"/>
  <c r="B80" i="7"/>
  <c r="U91" i="7"/>
  <c r="W91" i="7" s="1"/>
  <c r="G91" i="7"/>
  <c r="N91" i="7" s="1"/>
  <c r="U90" i="7"/>
  <c r="W90" i="7" s="1"/>
  <c r="F90" i="7"/>
  <c r="G90" i="7" s="1"/>
  <c r="N90" i="7" s="1"/>
  <c r="U89" i="7"/>
  <c r="W89" i="7"/>
  <c r="F89" i="7"/>
  <c r="G89" i="7" s="1"/>
  <c r="N89" i="7" s="1"/>
  <c r="B81" i="7"/>
  <c r="H91" i="7" s="1"/>
  <c r="U62" i="7"/>
  <c r="W62" i="7" s="1"/>
  <c r="F59" i="7"/>
  <c r="G59" i="7" s="1"/>
  <c r="N59" i="7" s="1"/>
  <c r="B50" i="7"/>
  <c r="U61" i="7"/>
  <c r="W61" i="7" s="1"/>
  <c r="G61" i="7"/>
  <c r="N61" i="7" s="1"/>
  <c r="U60" i="7"/>
  <c r="W60" i="7" s="1"/>
  <c r="F60" i="7"/>
  <c r="G60" i="7" s="1"/>
  <c r="N60" i="7" s="1"/>
  <c r="U59" i="7"/>
  <c r="W59" i="7" s="1"/>
  <c r="B51" i="7"/>
  <c r="H65" i="7" s="1"/>
  <c r="F33" i="7"/>
  <c r="G33" i="7" s="1"/>
  <c r="N33" i="7" s="1"/>
  <c r="Y33" i="7" s="1"/>
  <c r="F32" i="7"/>
  <c r="G32" i="7" s="1"/>
  <c r="N32" i="7" s="1"/>
  <c r="B24" i="7"/>
  <c r="H34" i="7" s="1"/>
  <c r="B23" i="7"/>
  <c r="U34" i="7"/>
  <c r="W34" i="7" s="1"/>
  <c r="G34" i="7"/>
  <c r="N34" i="7" s="1"/>
  <c r="U33" i="7"/>
  <c r="W33" i="7"/>
  <c r="U32" i="7"/>
  <c r="W32" i="7" s="1"/>
  <c r="H61" i="7"/>
  <c r="T61" i="7" s="1"/>
  <c r="H59" i="7"/>
  <c r="T59" i="7" s="1"/>
  <c r="G36" i="7"/>
  <c r="N36" i="7" s="1"/>
  <c r="G65" i="7"/>
  <c r="N65" i="7" s="1"/>
  <c r="G92" i="7"/>
  <c r="N92" i="7" s="1"/>
  <c r="G57" i="11"/>
  <c r="N57" i="11"/>
  <c r="G60" i="11"/>
  <c r="N60" i="11"/>
  <c r="P40" i="11"/>
  <c r="G40" i="11"/>
  <c r="G38" i="11"/>
  <c r="N38" i="11"/>
  <c r="G16" i="11"/>
  <c r="N16" i="11"/>
  <c r="AA36" i="11"/>
  <c r="AA38" i="11"/>
  <c r="X29" i="11"/>
  <c r="AA39" i="11"/>
  <c r="Z35" i="11"/>
  <c r="AA35" i="11"/>
  <c r="Z36" i="11"/>
  <c r="Z37" i="11"/>
  <c r="Z38" i="11"/>
  <c r="X40" i="11"/>
  <c r="Z39" i="11"/>
  <c r="AA37" i="11"/>
  <c r="Z40" i="11"/>
  <c r="AA40" i="11"/>
  <c r="AJ43" i="11"/>
  <c r="AK40" i="11"/>
  <c r="AK43" i="11"/>
  <c r="AL40" i="11"/>
  <c r="AL43" i="11"/>
  <c r="AM40" i="11"/>
  <c r="AM43" i="11"/>
  <c r="AN43" i="11"/>
  <c r="O58" i="11"/>
  <c r="O57" i="11"/>
  <c r="O14" i="11"/>
  <c r="N17" i="11"/>
  <c r="T17" i="11"/>
  <c r="Q17" i="11"/>
  <c r="T39" i="11"/>
  <c r="Q39" i="11"/>
  <c r="N39" i="11"/>
  <c r="AM47" i="11"/>
  <c r="AM50" i="11"/>
  <c r="AM45" i="11"/>
  <c r="AQ48" i="11"/>
  <c r="AM49" i="11"/>
  <c r="AM46" i="11"/>
  <c r="AD34" i="11" a="1"/>
  <c r="AD34" i="11"/>
  <c r="AM48" i="11"/>
  <c r="AM51" i="11"/>
  <c r="AQ51" i="11"/>
  <c r="AE37" i="11"/>
  <c r="AE38" i="11"/>
  <c r="AE34" i="11"/>
  <c r="W47" i="11"/>
  <c r="AD38" i="11"/>
  <c r="AD35" i="11"/>
  <c r="AD40" i="11"/>
  <c r="AD36" i="11"/>
  <c r="AE36" i="11"/>
  <c r="AE35" i="11"/>
  <c r="AE40" i="11"/>
  <c r="AD37" i="11"/>
  <c r="X46" i="11"/>
  <c r="V45" i="11"/>
  <c r="AG50" i="11"/>
  <c r="AF50" i="11"/>
  <c r="AH50" i="11"/>
  <c r="AH49" i="11"/>
  <c r="AF49" i="11"/>
  <c r="AG49" i="11"/>
  <c r="AF51" i="11"/>
  <c r="AH51" i="11"/>
  <c r="AG51" i="11"/>
  <c r="V46" i="11"/>
  <c r="V47" i="11"/>
  <c r="X45" i="11"/>
  <c r="W46" i="11"/>
  <c r="W45" i="11"/>
  <c r="X47" i="11"/>
  <c r="T34" i="7" l="1"/>
  <c r="T91" i="7"/>
  <c r="H60" i="7"/>
  <c r="T60" i="7" s="1"/>
  <c r="O60" i="7" s="1"/>
  <c r="H64" i="7"/>
  <c r="T64" i="7" s="1"/>
  <c r="R64" i="7" s="1"/>
  <c r="T66" i="7"/>
  <c r="S63" i="7" s="1"/>
  <c r="H89" i="7"/>
  <c r="T89" i="7" s="1"/>
  <c r="AA89" i="7" s="1"/>
  <c r="W37" i="7"/>
  <c r="T65" i="7"/>
  <c r="Q65" i="7" s="1"/>
  <c r="H33" i="7"/>
  <c r="T33" i="7" s="1"/>
  <c r="H66" i="7"/>
  <c r="O91" i="7"/>
  <c r="Z91" i="7"/>
  <c r="X90" i="7"/>
  <c r="Y90" i="7"/>
  <c r="O59" i="7"/>
  <c r="Z59" i="7"/>
  <c r="Y32" i="7"/>
  <c r="X32" i="7"/>
  <c r="Y89" i="7"/>
  <c r="X89" i="7"/>
  <c r="Y62" i="7"/>
  <c r="X62" i="7"/>
  <c r="O34" i="7"/>
  <c r="Z34" i="7"/>
  <c r="O89" i="7"/>
  <c r="Z89" i="7"/>
  <c r="O61" i="7"/>
  <c r="Z61" i="7"/>
  <c r="Y59" i="7"/>
  <c r="X59" i="7"/>
  <c r="AA59" i="7"/>
  <c r="W94" i="7"/>
  <c r="AA91" i="7"/>
  <c r="Y91" i="7"/>
  <c r="X91" i="7"/>
  <c r="X63" i="7"/>
  <c r="Y63" i="7"/>
  <c r="Z60" i="7"/>
  <c r="AA34" i="7"/>
  <c r="X34" i="7"/>
  <c r="Y34" i="7"/>
  <c r="AA60" i="7"/>
  <c r="X60" i="7"/>
  <c r="Y60" i="7"/>
  <c r="O33" i="7"/>
  <c r="Z33" i="7"/>
  <c r="AA33" i="7"/>
  <c r="W67" i="7"/>
  <c r="AA61" i="7"/>
  <c r="X61" i="7"/>
  <c r="Y61" i="7"/>
  <c r="T63" i="7"/>
  <c r="H90" i="7"/>
  <c r="T90" i="7" s="1"/>
  <c r="H32" i="7"/>
  <c r="T32" i="7" s="1"/>
  <c r="H36" i="7"/>
  <c r="T36" i="7" s="1"/>
  <c r="Q36" i="7" s="1"/>
  <c r="X33" i="7"/>
  <c r="H93" i="7"/>
  <c r="T93" i="7" s="1"/>
  <c r="Q93" i="7" s="1"/>
  <c r="H92" i="7"/>
  <c r="T92" i="7" s="1"/>
  <c r="R92" i="7" s="1"/>
  <c r="H35" i="7"/>
  <c r="T35" i="7" s="1"/>
  <c r="R35" i="7" s="1"/>
  <c r="H62" i="7"/>
  <c r="T62" i="7" s="1"/>
  <c r="AA62" i="7" s="1"/>
  <c r="Y37" i="7" l="1"/>
  <c r="O90" i="7"/>
  <c r="Z90" i="7"/>
  <c r="Z94" i="7" s="1"/>
  <c r="X67" i="7"/>
  <c r="Y94" i="7"/>
  <c r="Z32" i="7"/>
  <c r="Z37" i="7" s="1"/>
  <c r="O32" i="7"/>
  <c r="P62" i="7"/>
  <c r="Z62" i="7"/>
  <c r="Z63" i="7"/>
  <c r="AA63" i="7"/>
  <c r="AA67" i="7" s="1"/>
  <c r="Z73" i="7" s="1"/>
  <c r="Y67" i="7"/>
  <c r="Z69" i="7" s="1"/>
  <c r="AD75" i="7" s="1"/>
  <c r="J48" i="7" s="1"/>
  <c r="J52" i="7" s="1"/>
  <c r="AA32" i="7"/>
  <c r="AA37" i="7" s="1"/>
  <c r="Z43" i="7" s="1"/>
  <c r="X94" i="7"/>
  <c r="Z96" i="7" s="1"/>
  <c r="AD102" i="7" s="1"/>
  <c r="J78" i="7" s="1"/>
  <c r="J82" i="7" s="1"/>
  <c r="X37" i="7"/>
  <c r="AA90" i="7"/>
  <c r="AA94" i="7" s="1"/>
  <c r="Z100" i="7" s="1"/>
  <c r="Z40" i="7" l="1"/>
  <c r="Z67" i="7"/>
  <c r="Z41" i="7"/>
  <c r="Z44" i="7"/>
  <c r="Z101" i="7"/>
  <c r="Z102" i="7" s="1"/>
  <c r="I78" i="7" s="1"/>
  <c r="I82" i="7" s="1"/>
  <c r="Z98" i="7"/>
  <c r="Z39" i="7"/>
  <c r="Z97" i="7"/>
  <c r="Z99" i="7" s="1"/>
  <c r="I77" i="7" s="1"/>
  <c r="AD99" i="7"/>
  <c r="J77" i="7" s="1"/>
  <c r="Z70" i="7"/>
  <c r="AD72" i="7"/>
  <c r="J47" i="7" s="1"/>
  <c r="Z71" i="7"/>
  <c r="Z74" i="7"/>
  <c r="Z75" i="7" s="1"/>
  <c r="I48" i="7" s="1"/>
  <c r="I52" i="7" s="1"/>
  <c r="Z45" i="7" l="1"/>
  <c r="I21" i="7" s="1"/>
  <c r="I25" i="7" s="1"/>
  <c r="Z72" i="7"/>
  <c r="I47" i="7" s="1"/>
  <c r="Z42" i="7"/>
  <c r="I20" i="7" s="1"/>
  <c r="AF32" i="7" s="1"/>
  <c r="AF31" i="7"/>
  <c r="AI89" i="7"/>
  <c r="AI88" i="7"/>
  <c r="AF58" i="7"/>
  <c r="AF59" i="7"/>
  <c r="AD45" i="7"/>
  <c r="J21" i="7" s="1"/>
  <c r="J25" i="7" s="1"/>
  <c r="AD42" i="7"/>
  <c r="J20" i="7" s="1"/>
  <c r="AI58" i="7"/>
  <c r="AI59" i="7"/>
  <c r="AF88" i="7"/>
  <c r="AF89" i="7"/>
  <c r="AG88" i="7" l="1"/>
  <c r="AH88" i="7"/>
  <c r="AG59" i="7"/>
  <c r="AH59" i="7"/>
  <c r="AH89" i="7"/>
  <c r="AG89" i="7"/>
  <c r="AI31" i="7"/>
  <c r="AG31" i="7" s="1"/>
  <c r="AI32" i="7"/>
  <c r="AH32" i="7" s="1"/>
  <c r="AH58" i="7"/>
  <c r="AG58" i="7"/>
  <c r="AH31" i="7" l="1"/>
  <c r="AG32" i="7"/>
</calcChain>
</file>

<file path=xl/sharedStrings.xml><?xml version="1.0" encoding="utf-8"?>
<sst xmlns="http://schemas.openxmlformats.org/spreadsheetml/2006/main" count="481" uniqueCount="130">
  <si>
    <t>a0</t>
  </si>
  <si>
    <t>a1</t>
  </si>
  <si>
    <t>A =</t>
  </si>
  <si>
    <t>-------------------------------------------</t>
  </si>
  <si>
    <t xml:space="preserve">   Experimental</t>
  </si>
  <si>
    <t>------ Data -------------------------------</t>
  </si>
  <si>
    <t>------------- PLOT ----------------------------</t>
  </si>
  <si>
    <t>Reference</t>
  </si>
  <si>
    <t>I</t>
  </si>
  <si>
    <t>log K</t>
  </si>
  <si>
    <t>rho</t>
  </si>
  <si>
    <t>Im</t>
  </si>
  <si>
    <t>log Km</t>
  </si>
  <si>
    <t>s</t>
  </si>
  <si>
    <t>± (95%)</t>
  </si>
  <si>
    <t>Y</t>
  </si>
  <si>
    <t>Ycalc</t>
  </si>
  <si>
    <t>±</t>
  </si>
  <si>
    <t>(molar)</t>
  </si>
  <si>
    <t>(molal)</t>
  </si>
  <si>
    <t>x</t>
  </si>
  <si>
    <t>-----------------------------------------------</t>
  </si>
  <si>
    <r>
      <t>Y</t>
    </r>
    <r>
      <rPr>
        <vertAlign val="subscript"/>
        <sz val="10"/>
        <rFont val="Arial"/>
        <family val="2"/>
      </rPr>
      <t>calc</t>
    </r>
  </si>
  <si>
    <t>calc.</t>
  </si>
  <si>
    <r>
      <t>Y</t>
    </r>
    <r>
      <rPr>
        <vertAlign val="subscript"/>
        <sz val="10"/>
        <rFont val="Arial"/>
        <family val="2"/>
      </rPr>
      <t>calc</t>
    </r>
    <r>
      <rPr>
        <sz val="10"/>
        <rFont val="Arial"/>
        <family val="2"/>
      </rPr>
      <t xml:space="preserve"> + (±)</t>
    </r>
  </si>
  <si>
    <r>
      <t>Y</t>
    </r>
    <r>
      <rPr>
        <vertAlign val="subscript"/>
        <sz val="10"/>
        <rFont val="Arial"/>
        <family val="2"/>
      </rPr>
      <t>calc</t>
    </r>
    <r>
      <rPr>
        <sz val="10"/>
        <rFont val="Arial"/>
        <family val="2"/>
      </rPr>
      <t xml:space="preserve"> </t>
    </r>
    <r>
      <rPr>
        <sz val="10"/>
        <rFont val="Symbol"/>
        <family val="1"/>
        <charset val="2"/>
      </rPr>
      <t>-</t>
    </r>
    <r>
      <rPr>
        <sz val="10"/>
        <rFont val="Arial"/>
        <family val="2"/>
      </rPr>
      <t xml:space="preserve"> (±)</t>
    </r>
  </si>
  <si>
    <r>
      <t xml:space="preserve">log </t>
    </r>
    <r>
      <rPr>
        <i/>
        <sz val="10"/>
        <rFont val="Arial"/>
        <family val="2"/>
      </rPr>
      <t>K</t>
    </r>
    <r>
      <rPr>
        <vertAlign val="superscript"/>
        <sz val="10"/>
        <rFont val="Arial"/>
        <family val="2"/>
      </rPr>
      <t>0</t>
    </r>
    <r>
      <rPr>
        <vertAlign val="subscript"/>
        <sz val="10"/>
        <rFont val="Arial"/>
        <family val="2"/>
      </rPr>
      <t>1</t>
    </r>
  </si>
  <si>
    <t>Backgrnd</t>
  </si>
  <si>
    <t>Electrolyte</t>
  </si>
  <si>
    <r>
      <t>Sn</t>
    </r>
    <r>
      <rPr>
        <vertAlign val="subscript"/>
        <sz val="10"/>
        <rFont val="Arial"/>
        <family val="2"/>
      </rPr>
      <t>b</t>
    </r>
    <r>
      <rPr>
        <sz val="10"/>
        <rFont val="Arial"/>
      </rPr>
      <t xml:space="preserve"> =</t>
    </r>
  </si>
  <si>
    <r>
      <t>D</t>
    </r>
    <r>
      <rPr>
        <sz val="10"/>
        <rFont val="Arial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=</t>
    </r>
  </si>
  <si>
    <r>
      <t xml:space="preserve">1 / 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</si>
  <si>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</si>
  <si>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</si>
  <si>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</si>
  <si>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</si>
  <si>
    <r>
      <t>S</t>
    </r>
    <r>
      <rPr>
        <sz val="10"/>
        <rFont val="Arial"/>
        <family val="2"/>
      </rPr>
      <t xml:space="preserve">(i) </t>
    </r>
    <r>
      <rPr>
        <sz val="10"/>
        <rFont val="Arial"/>
      </rPr>
      <t>=</t>
    </r>
  </si>
  <si>
    <r>
      <t>D</t>
    </r>
    <r>
      <rPr>
        <sz val="10"/>
        <rFont val="Arial"/>
        <family val="2"/>
      </rPr>
      <t xml:space="preserve"> = </t>
    </r>
    <r>
      <rPr>
        <sz val="10"/>
        <rFont val="Symbol"/>
        <family val="1"/>
        <charset val="2"/>
      </rPr>
      <t>S</t>
    </r>
    <r>
      <rPr>
        <sz val="10"/>
        <rFont val="Arial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-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</si>
  <si>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>1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</si>
  <si>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>2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</si>
  <si>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Intercept</t>
  </si>
  <si>
    <r>
      <t>X</t>
    </r>
    <r>
      <rPr>
        <b/>
        <vertAlign val="superscript"/>
        <sz val="10"/>
        <rFont val="Arial"/>
        <family val="2"/>
      </rPr>
      <t>o</t>
    </r>
    <r>
      <rPr>
        <sz val="10"/>
        <rFont val="Arial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1 - 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2) / </t>
    </r>
    <r>
      <rPr>
        <sz val="10"/>
        <rFont val="Symbol"/>
        <family val="1"/>
        <charset val="2"/>
      </rPr>
      <t>D</t>
    </r>
    <r>
      <rPr>
        <sz val="10"/>
        <rFont val="Arial"/>
      </rPr>
      <t xml:space="preserve">  =  </t>
    </r>
  </si>
  <si>
    <r>
      <t>s(</t>
    </r>
    <r>
      <rPr>
        <b/>
        <sz val="10"/>
        <rFont val="Arial"/>
      </rPr>
      <t>X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</rPr>
      <t>)</t>
    </r>
    <r>
      <rPr>
        <sz val="10"/>
        <rFont val="Arial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</rPr>
      <t xml:space="preserve"> = </t>
    </r>
  </si>
  <si>
    <r>
      <t>S</t>
    </r>
    <r>
      <rPr>
        <sz val="10"/>
        <rFont val="Arial"/>
        <family val="2"/>
      </rPr>
      <t>3</t>
    </r>
    <r>
      <rPr>
        <sz val="10"/>
        <rFont val="Symbol"/>
        <family val="1"/>
        <charset val="2"/>
      </rPr>
      <t xml:space="preserve"> = S</t>
    </r>
    <r>
      <rPr>
        <sz val="10"/>
        <rFont val="Arial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</si>
  <si>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S</t>
    </r>
    <r>
      <rPr>
        <sz val="10"/>
        <rFont val="Arial"/>
        <family val="2"/>
      </rPr>
      <t xml:space="preserve">4 = 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 xml:space="preserve">2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X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</si>
  <si>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t>Slope</t>
  </si>
  <si>
    <r>
      <t>s</t>
    </r>
    <r>
      <rPr>
        <b/>
        <sz val="10"/>
        <rFont val="Arial"/>
        <family val="2"/>
      </rPr>
      <t>(</t>
    </r>
    <r>
      <rPr>
        <b/>
        <sz val="10"/>
        <rFont val="Symbol"/>
        <family val="1"/>
        <charset val="2"/>
      </rPr>
      <t>De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  <family val="2"/>
      </rPr>
      <t xml:space="preserve"> =</t>
    </r>
  </si>
  <si>
    <r>
      <t>-De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3 -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4) / </t>
    </r>
    <r>
      <rPr>
        <sz val="10"/>
        <rFont val="Symbol"/>
        <family val="1"/>
        <charset val="2"/>
      </rPr>
      <t xml:space="preserve">D </t>
    </r>
    <r>
      <rPr>
        <sz val="10"/>
        <rFont val="Arial"/>
        <family val="2"/>
      </rPr>
      <t xml:space="preserve"> =</t>
    </r>
    <r>
      <rPr>
        <sz val="10"/>
        <rFont val="Symbol"/>
        <family val="1"/>
        <charset val="2"/>
      </rPr>
      <t xml:space="preserve">  </t>
    </r>
  </si>
  <si>
    <t>Weighted linear regression according to Grenthe et al. (1992), p.704</t>
  </si>
  <si>
    <t>(reported)</t>
  </si>
  <si>
    <t>K</t>
  </si>
  <si>
    <t>1991DAN/ROB</t>
  </si>
  <si>
    <r>
      <t>Et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>NI</t>
    </r>
  </si>
  <si>
    <r>
      <t>Reaction: Na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  <family val="2"/>
      </rPr>
      <t xml:space="preserve"> = NaPO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</si>
  <si>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r>
      <t>e</t>
    </r>
    <r>
      <rPr>
        <sz val="10"/>
        <rFont val="Arial"/>
        <family val="2"/>
      </rPr>
      <t>(Na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I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</si>
  <si>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Reaction: Na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 xml:space="preserve"> = NaHPO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</si>
  <si>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r>
      <t>Pr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>NCl</t>
    </r>
  </si>
  <si>
    <t>1956SMI/ALB</t>
  </si>
  <si>
    <r>
      <t>Reaction: Na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+ H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 xml:space="preserve"> = NaH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(aq)</t>
    </r>
  </si>
  <si>
    <r>
      <t>e</t>
    </r>
    <r>
      <rPr>
        <sz val="10"/>
        <rFont val="Arial"/>
        <family val="2"/>
      </rPr>
      <t>(NaH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(aq), 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NI)</t>
    </r>
  </si>
  <si>
    <r>
      <t>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</si>
  <si>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NaH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</si>
  <si>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</si>
  <si>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NaPO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</si>
  <si>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  <family val="2"/>
      </rPr>
      <t>)</t>
    </r>
  </si>
  <si>
    <t>Et4NI</t>
  </si>
  <si>
    <r>
      <t>[I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]</t>
    </r>
  </si>
  <si>
    <r>
      <t>Me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>NCl</t>
    </r>
  </si>
  <si>
    <r>
      <t>Temp [</t>
    </r>
    <r>
      <rPr>
        <sz val="10"/>
        <rFont val="Calibri"/>
        <family val="2"/>
      </rPr>
      <t>°</t>
    </r>
    <r>
      <rPr>
        <sz val="10"/>
        <rFont val="Arial"/>
      </rPr>
      <t>C]</t>
    </r>
  </si>
  <si>
    <t>1983DAN/GRA</t>
  </si>
  <si>
    <r>
      <t>e</t>
    </r>
    <r>
      <rPr>
        <sz val="10"/>
        <rFont val="Arial"/>
        <family val="2"/>
      </rPr>
      <t>(</t>
    </r>
    <r>
      <rPr>
        <sz val="10"/>
        <rFont val="Arial"/>
        <family val="2"/>
      </rPr>
      <t>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</si>
  <si>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</t>
    </r>
    <r>
      <rPr>
        <sz val="10"/>
        <rFont val="Arial"/>
        <family val="2"/>
      </rPr>
      <t>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</si>
  <si>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</t>
    </r>
    <r>
      <rPr>
        <sz val="10"/>
        <rFont val="Arial"/>
        <family val="2"/>
      </rPr>
      <t>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</si>
  <si>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</t>
    </r>
    <r>
      <rPr>
        <sz val="10"/>
        <rFont val="Arial"/>
        <family val="2"/>
      </rPr>
      <t>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NaPO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</si>
  <si>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Cl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</si>
  <si>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</t>
    </r>
    <r>
      <rPr>
        <sz val="10"/>
        <rFont val="Arial"/>
        <family val="2"/>
      </rPr>
      <t>Na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, NaHPO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)</t>
    </r>
  </si>
  <si>
    <r>
      <t>e</t>
    </r>
    <r>
      <rPr>
        <sz val="10"/>
        <rFont val="Arial"/>
        <family val="2"/>
      </rPr>
      <t>(NaH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(aq), </t>
    </r>
    <r>
      <rPr>
        <sz val="10"/>
        <rFont val="Arial"/>
        <family val="2"/>
      </rPr>
      <t>NaCl)</t>
    </r>
  </si>
  <si>
    <r>
      <t>De</t>
    </r>
    <r>
      <rPr>
        <sz val="10"/>
        <rFont val="Arial"/>
        <family val="2"/>
      </rPr>
      <t>(NaCl)</t>
    </r>
  </si>
  <si>
    <r>
      <t>-De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NI)</t>
    </r>
  </si>
  <si>
    <r>
      <t>(25</t>
    </r>
    <r>
      <rPr>
        <sz val="10"/>
        <rFont val="Calibri"/>
        <family val="2"/>
      </rPr>
      <t>°</t>
    </r>
    <r>
      <rPr>
        <sz val="10"/>
        <rFont val="Arial"/>
      </rPr>
      <t>C)</t>
    </r>
  </si>
  <si>
    <r>
      <t>(37</t>
    </r>
    <r>
      <rPr>
        <sz val="10"/>
        <rFont val="Calibri"/>
        <family val="2"/>
      </rPr>
      <t>°</t>
    </r>
    <r>
      <rPr>
        <sz val="10"/>
        <rFont val="Arial"/>
      </rPr>
      <t>C)</t>
    </r>
  </si>
  <si>
    <r>
      <t>(0</t>
    </r>
    <r>
      <rPr>
        <sz val="10"/>
        <rFont val="Calibri"/>
        <family val="2"/>
      </rPr>
      <t>°</t>
    </r>
    <r>
      <rPr>
        <sz val="10"/>
        <rFont val="Arial"/>
      </rPr>
      <t>C)</t>
    </r>
  </si>
  <si>
    <r>
      <t>De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NI)</t>
    </r>
  </si>
  <si>
    <r>
      <t>De</t>
    </r>
    <r>
      <rPr>
        <sz val="10"/>
        <rFont val="Arial"/>
        <family val="2"/>
      </rPr>
      <t>(Et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NI)</t>
    </r>
    <r>
      <rPr>
        <sz val="10"/>
        <rFont val="Calibri"/>
        <family val="2"/>
      </rPr>
      <t xml:space="preserve"> Im</t>
    </r>
  </si>
  <si>
    <t>1 / T [K]</t>
  </si>
  <si>
    <t>T</t>
  </si>
  <si>
    <t>X1</t>
  </si>
  <si>
    <t>X2</t>
  </si>
  <si>
    <r>
      <t>[</t>
    </r>
    <r>
      <rPr>
        <sz val="10"/>
        <rFont val="Calibri"/>
        <family val="2"/>
      </rPr>
      <t>°</t>
    </r>
    <r>
      <rPr>
        <sz val="10"/>
        <rFont val="Arial"/>
        <family val="2"/>
      </rPr>
      <t>C]</t>
    </r>
  </si>
  <si>
    <t>[K]</t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</si>
  <si>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</si>
  <si>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mol</t>
    </r>
    <r>
      <rPr>
        <vertAlign val="superscript"/>
        <sz val="10"/>
        <rFont val="Arial"/>
        <family val="2"/>
      </rPr>
      <t>-1</t>
    </r>
  </si>
  <si>
    <t>ln(10)</t>
  </si>
  <si>
    <t>R ln(10)</t>
  </si>
  <si>
    <t>R T ln(10)</t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</si>
  <si>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C</t>
    </r>
    <r>
      <rPr>
        <b/>
        <i/>
        <vertAlign val="subscript"/>
        <sz val="10"/>
        <rFont val="Arial"/>
        <family val="2"/>
      </rPr>
      <t>p</t>
    </r>
    <r>
      <rPr>
        <b/>
        <vertAlign val="subscript"/>
        <sz val="10"/>
        <rFont val="Arial"/>
        <family val="2"/>
      </rPr>
      <t>m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</si>
  <si>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i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</si>
  <si>
    <r>
      <t>log</t>
    </r>
    <r>
      <rPr>
        <b/>
        <vertAlign val="subscript"/>
        <sz val="10"/>
        <rFont val="Arial"/>
        <family val="2"/>
      </rPr>
      <t>10</t>
    </r>
    <r>
      <rPr>
        <b/>
        <i/>
        <sz val="10"/>
        <rFont val="Arial"/>
        <family val="2"/>
      </rPr>
      <t>K</t>
    </r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</si>
  <si>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mol</t>
    </r>
    <r>
      <rPr>
        <vertAlign val="superscript"/>
        <sz val="10"/>
        <rFont val="Arial"/>
        <family val="2"/>
      </rPr>
      <t>-1</t>
    </r>
  </si>
  <si>
    <t>kJ/mol</t>
  </si>
  <si>
    <r>
      <t>m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, m</t>
    </r>
    <r>
      <rPr>
        <vertAlign val="subscript"/>
        <sz val="10"/>
        <color indexed="8"/>
        <rFont val="Arial"/>
        <family val="2"/>
      </rPr>
      <t>1</t>
    </r>
  </si>
  <si>
    <t>b</t>
  </si>
  <si>
    <t>r2</t>
  </si>
  <si>
    <t>standard error for the y estimate</t>
  </si>
  <si>
    <t>F</t>
  </si>
  <si>
    <t>degrees of freedom (df)</t>
  </si>
  <si>
    <t>residual sum of squares</t>
  </si>
  <si>
    <t>calc</t>
  </si>
  <si>
    <r>
      <t>log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K</t>
    </r>
  </si>
  <si>
    <t>+</t>
  </si>
  <si>
    <t>-</t>
  </si>
  <si>
    <t>1974PAT/GRE</t>
  </si>
  <si>
    <r>
      <t>log</t>
    </r>
    <r>
      <rPr>
        <b/>
        <vertAlign val="subscript"/>
        <sz val="10"/>
        <rFont val="Arial"/>
        <family val="2"/>
      </rPr>
      <t>10</t>
    </r>
    <r>
      <rPr>
        <b/>
        <sz val="10"/>
        <rFont val="Arial"/>
        <family val="2"/>
      </rPr>
      <t>K</t>
    </r>
    <r>
      <rPr>
        <b/>
        <vertAlign val="superscript"/>
        <sz val="10"/>
        <rFont val="Arial"/>
        <family val="2"/>
      </rPr>
      <t>o</t>
    </r>
    <r>
      <rPr>
        <sz val="10"/>
        <rFont val="Arial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1 - 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2) / </t>
    </r>
    <r>
      <rPr>
        <sz val="10"/>
        <rFont val="Symbol"/>
        <family val="1"/>
        <charset val="2"/>
      </rPr>
      <t>D</t>
    </r>
    <r>
      <rPr>
        <sz val="10"/>
        <rFont val="Arial"/>
      </rPr>
      <t xml:space="preserve">  =  </t>
    </r>
  </si>
  <si>
    <r>
      <t>s</t>
    </r>
    <r>
      <rPr>
        <b/>
        <sz val="10"/>
        <rFont val="Arial"/>
        <family val="2"/>
      </rPr>
      <t>(log</t>
    </r>
    <r>
      <rPr>
        <b/>
        <vertAlign val="subscript"/>
        <sz val="10"/>
        <rFont val="Arial"/>
        <family val="2"/>
      </rPr>
      <t>10</t>
    </r>
    <r>
      <rPr>
        <b/>
        <sz val="10"/>
        <rFont val="Arial"/>
        <family val="2"/>
      </rPr>
      <t>K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)</t>
    </r>
    <r>
      <rPr>
        <sz val="10"/>
        <rFont val="Arial"/>
        <family val="2"/>
      </rPr>
      <t xml:space="preserve"> = </t>
    </r>
    <r>
      <rPr>
        <sz val="10"/>
        <rFont val="Arial"/>
      </rPr>
      <t>(</t>
    </r>
    <r>
      <rPr>
        <sz val="10"/>
        <rFont val="Symbol"/>
        <family val="1"/>
        <charset val="2"/>
      </rPr>
      <t>S</t>
    </r>
    <r>
      <rPr>
        <sz val="10"/>
        <rFont val="Arial"/>
      </rPr>
      <t>m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>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</rPr>
      <t xml:space="preserve"> = </t>
    </r>
  </si>
  <si>
    <r>
      <t>D</t>
    </r>
    <r>
      <rPr>
        <b/>
        <vertAlign val="subscript"/>
        <sz val="10"/>
        <rFont val="Arial"/>
        <family val="2"/>
      </rPr>
      <t>r</t>
    </r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m</t>
    </r>
    <r>
      <rPr>
        <b/>
        <sz val="10"/>
        <rFont val="Calibri"/>
        <family val="2"/>
      </rPr>
      <t xml:space="preserve">° </t>
    </r>
    <r>
      <rPr>
        <sz val="10"/>
        <rFont val="Arial"/>
        <family val="2"/>
      </rPr>
      <t>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3 -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 xml:space="preserve">4) / </t>
    </r>
    <r>
      <rPr>
        <sz val="10"/>
        <rFont val="Symbol"/>
        <family val="1"/>
        <charset val="2"/>
      </rPr>
      <t xml:space="preserve">D </t>
    </r>
    <r>
      <rPr>
        <sz val="10"/>
        <rFont val="Arial"/>
        <family val="2"/>
      </rPr>
      <t xml:space="preserve"> =</t>
    </r>
    <r>
      <rPr>
        <sz val="10"/>
        <rFont val="Symbol"/>
        <family val="1"/>
        <charset val="2"/>
      </rPr>
      <t xml:space="preserve">  </t>
    </r>
  </si>
  <si>
    <r>
      <t>s</t>
    </r>
    <r>
      <rPr>
        <b/>
        <sz val="10"/>
        <rFont val="Arial"/>
        <family val="2"/>
      </rPr>
      <t>(slope)</t>
    </r>
    <r>
      <rPr>
        <sz val="10"/>
        <rFont val="Arial"/>
        <family val="2"/>
      </rPr>
      <t xml:space="preserve"> =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1/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/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>0.5</t>
    </r>
    <r>
      <rPr>
        <sz val="10"/>
        <rFont val="Arial"/>
        <family val="2"/>
      </rPr>
      <t xml:space="preserve"> =</t>
    </r>
  </si>
  <si>
    <r>
      <t>Temp (</t>
    </r>
    <r>
      <rPr>
        <sz val="10"/>
        <rFont val="Calibri"/>
        <family val="2"/>
      </rPr>
      <t>°</t>
    </r>
    <r>
      <rPr>
        <sz val="10"/>
        <rFont val="Arial"/>
        <family val="2"/>
      </rPr>
      <t>C)</t>
    </r>
  </si>
  <si>
    <r>
      <t>log K</t>
    </r>
    <r>
      <rPr>
        <sz val="10"/>
        <rFont val="Symbol"/>
        <family val="1"/>
        <charset val="2"/>
      </rPr>
      <t>°</t>
    </r>
  </si>
  <si>
    <t>Hummel W. &amp; Thoenen T. (2023): The PSI Chemical Thermodynamic Database 2020 (TDB 2020), Nagra Technical Report NTB 21-03</t>
  </si>
  <si>
    <t>References</t>
  </si>
  <si>
    <t>1) Extrapolation of reported stability constants to I = 0 using SIT as described in NTB 21-03 Chapter 1.5 Medium effects</t>
  </si>
  <si>
    <r>
      <t>Daniele, P.G., Grasso, M., Rigano, C., Sammartano, S. (1983): The formation of proton- and alkali metal complexes with ligands of biological interest in aqueous solution. Formation constants of H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Li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Na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>, K</t>
    </r>
    <r>
      <rPr>
        <vertAlign val="superscript"/>
        <sz val="10"/>
        <rFont val="Arial"/>
        <family val="2"/>
      </rPr>
      <t>+</t>
    </r>
    <r>
      <rPr>
        <sz val="10"/>
        <rFont val="Arial"/>
      </rPr>
      <t xml:space="preserve"> – phosphate  complexes and their dependence on ionic strength. Annali di Chimica, 73, 495–515.</t>
    </r>
  </si>
  <si>
    <t>2) The extrapolated constants at dfferent temperatures have been used for a weighted linear regression according to Grenthe et al. (1992), p.704</t>
  </si>
  <si>
    <t>Patel, P.R., Gregory, T.M. &amp; Brown, W.E. (1974): Solubility of CaHPO4×2H2O in the quaternary system Ca(OH)2 – H3PO4 – NaCl – H2O at 25 °C. J. Res. Natl. Bur. Stand., 78A, 675-681.</t>
  </si>
  <si>
    <t>Daniele, P.G., De Robertis, A., De Stefano, C., Gianguzza, A., Sammartano, S. (1991): Salt effects on the protonation of ortho-phosphate between 10 and 50°C in aqueous solution. A complex formation model. J. Solution Chem., 20, 495-515.</t>
  </si>
  <si>
    <t>Chapter 3.2.8.1 Sodium(I) phosphate complexes</t>
  </si>
  <si>
    <t>doi:10.1021/j150536a010</t>
  </si>
  <si>
    <t>doi:10.6028/jres.078A.043</t>
  </si>
  <si>
    <t>doi:10.1007/BF00650805</t>
  </si>
  <si>
    <t>Smith, R.M. &amp; Alberty, R.A. (1956a): The apparent stability constants of ionic complexes of various adenosine phosphates with monovalent cations. J. Phys. Chem., 60, 180–184.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</si>
</sst>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9" x14ac:knownFonts="1">
    <font>
      <sz val="10"/>
      <name val="Arial"/>
    </font>
    <font>
      <b/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name val="Courier New"/>
      <family val="3"/>
    </font>
    <font>
      <sz val="8"/>
      <name val="Times New Roman"/>
      <family val="1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sz val="9"/>
      <name val="Times New Roman"/>
      <family val="1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sz val="10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vertAlign val="subscript"/>
      <sz val="10"/>
      <color indexed="8"/>
      <name val="Arial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4" fillId="0" borderId="0"/>
    <xf numFmtId="0" fontId="2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/>
    </xf>
    <xf numFmtId="2" fontId="8" fillId="0" borderId="0" xfId="0" applyNumberFormat="1" applyFont="1"/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0" fontId="0" fillId="0" borderId="1" xfId="0" applyBorder="1" applyAlignment="1">
      <alignment horizontal="right"/>
    </xf>
    <xf numFmtId="0" fontId="9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12" fillId="0" borderId="0" xfId="0" quotePrefix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13" fillId="0" borderId="0" xfId="0" applyFont="1"/>
    <xf numFmtId="0" fontId="14" fillId="0" borderId="0" xfId="0" applyFont="1" applyAlignment="1">
      <alignment horizontal="right"/>
    </xf>
    <xf numFmtId="165" fontId="9" fillId="0" borderId="0" xfId="0" applyNumberFormat="1" applyFont="1" applyAlignment="1">
      <alignment horizontal="center"/>
    </xf>
    <xf numFmtId="165" fontId="9" fillId="0" borderId="0" xfId="0" applyNumberFormat="1" applyFont="1"/>
    <xf numFmtId="2" fontId="9" fillId="0" borderId="0" xfId="0" applyNumberFormat="1" applyFont="1"/>
    <xf numFmtId="0" fontId="9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/>
    <xf numFmtId="166" fontId="0" fillId="0" borderId="0" xfId="0" applyNumberFormat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2" fontId="25" fillId="0" borderId="0" xfId="0" applyNumberFormat="1" applyFont="1"/>
    <xf numFmtId="164" fontId="0" fillId="0" borderId="0" xfId="0" applyNumberFormat="1"/>
    <xf numFmtId="2" fontId="9" fillId="0" borderId="0" xfId="0" applyNumberFormat="1" applyFont="1" applyAlignment="1">
      <alignment horizontal="center"/>
    </xf>
    <xf numFmtId="164" fontId="25" fillId="0" borderId="0" xfId="0" applyNumberFormat="1" applyFont="1"/>
    <xf numFmtId="2" fontId="26" fillId="0" borderId="0" xfId="0" applyNumberFormat="1" applyFont="1"/>
    <xf numFmtId="165" fontId="25" fillId="0" borderId="0" xfId="0" applyNumberFormat="1" applyFont="1"/>
    <xf numFmtId="0" fontId="4" fillId="0" borderId="0" xfId="0" quotePrefix="1" applyFont="1" applyAlignment="1">
      <alignment horizontal="right"/>
    </xf>
    <xf numFmtId="0" fontId="3" fillId="0" borderId="0" xfId="0" quotePrefix="1" applyFont="1" applyAlignment="1">
      <alignment horizontal="right"/>
    </xf>
    <xf numFmtId="0" fontId="25" fillId="0" borderId="0" xfId="0" applyFont="1"/>
    <xf numFmtId="0" fontId="3" fillId="0" borderId="0" xfId="0" applyFont="1" applyAlignment="1">
      <alignment horizontal="right"/>
    </xf>
    <xf numFmtId="0" fontId="12" fillId="0" borderId="0" xfId="2" applyFont="1" applyAlignment="1">
      <alignment horizontal="right"/>
    </xf>
    <xf numFmtId="0" fontId="17" fillId="0" borderId="0" xfId="2" applyFont="1" applyAlignment="1">
      <alignment horizontal="right"/>
    </xf>
    <xf numFmtId="0" fontId="3" fillId="0" borderId="0" xfId="1"/>
    <xf numFmtId="0" fontId="18" fillId="0" borderId="0" xfId="2" applyFont="1" applyAlignment="1">
      <alignment horizontal="right"/>
    </xf>
    <xf numFmtId="0" fontId="18" fillId="0" borderId="0" xfId="2" applyFont="1"/>
    <xf numFmtId="0" fontId="16" fillId="0" borderId="0" xfId="1" applyFont="1" applyAlignment="1">
      <alignment horizontal="right"/>
    </xf>
    <xf numFmtId="0" fontId="3" fillId="0" borderId="0" xfId="0" quotePrefix="1" applyFont="1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3" fillId="0" borderId="0" xfId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center"/>
    </xf>
    <xf numFmtId="0" fontId="3" fillId="0" borderId="0" xfId="0" quotePrefix="1" applyFont="1"/>
    <xf numFmtId="0" fontId="27" fillId="0" borderId="0" xfId="0" applyFont="1"/>
    <xf numFmtId="0" fontId="28" fillId="0" borderId="0" xfId="3"/>
  </cellXfs>
  <cellStyles count="4">
    <cellStyle name="Enllaç" xfId="3" builtinId="8"/>
    <cellStyle name="Normal" xfId="0" builtinId="0"/>
    <cellStyle name="Normal 2" xfId="1" xr:uid="{00000000-0005-0000-0000-000000000000}"/>
    <cellStyle name="Normal 3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97808001442658"/>
          <c:y val="1.6780402449693789E-2"/>
          <c:w val="0.85654091498056417"/>
          <c:h val="0.87434979718444283"/>
        </c:manualLayout>
      </c:layout>
      <c:scatterChart>
        <c:scatterStyle val="lineMarker"/>
        <c:varyColors val="0"/>
        <c:ser>
          <c:idx val="6"/>
          <c:order val="0"/>
          <c:tx>
            <c:v>Daniele et al. (1991) 25°C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CalcNa!$U$33</c:f>
                <c:numCache>
                  <c:formatCode>General</c:formatCode>
                  <c:ptCount val="1"/>
                  <c:pt idx="0">
                    <c:v>0.15</c:v>
                  </c:pt>
                </c:numCache>
              </c:numRef>
            </c:plus>
            <c:minus>
              <c:numRef>
                <c:f>CalcNa!$U$33</c:f>
                <c:numCache>
                  <c:formatCode>General</c:formatCode>
                  <c:ptCount val="1"/>
                  <c:pt idx="0">
                    <c:v>0.15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CalcNa!$N$32:$N$92</c:f>
              <c:numCache>
                <c:formatCode>0.000</c:formatCode>
                <c:ptCount val="61"/>
                <c:pt idx="0">
                  <c:v>0.16540799999999997</c:v>
                </c:pt>
                <c:pt idx="1">
                  <c:v>0.73052159999999999</c:v>
                </c:pt>
                <c:pt idx="2">
                  <c:v>1.23</c:v>
                </c:pt>
                <c:pt idx="3">
                  <c:v>0.16540799999999997</c:v>
                </c:pt>
                <c:pt idx="4">
                  <c:v>0.15279999999999999</c:v>
                </c:pt>
                <c:pt idx="27">
                  <c:v>0.16540799999999997</c:v>
                </c:pt>
                <c:pt idx="28">
                  <c:v>0.73052159999999999</c:v>
                </c:pt>
                <c:pt idx="29">
                  <c:v>1.23</c:v>
                </c:pt>
                <c:pt idx="30">
                  <c:v>0.21040000000000003</c:v>
                </c:pt>
                <c:pt idx="31">
                  <c:v>1E-3</c:v>
                </c:pt>
                <c:pt idx="32">
                  <c:v>0.16540799999999997</c:v>
                </c:pt>
                <c:pt idx="33">
                  <c:v>0.15279999999999999</c:v>
                </c:pt>
                <c:pt idx="57">
                  <c:v>0.16540799999999997</c:v>
                </c:pt>
                <c:pt idx="58">
                  <c:v>0.73052159999999999</c:v>
                </c:pt>
                <c:pt idx="59">
                  <c:v>1.23</c:v>
                </c:pt>
                <c:pt idx="60">
                  <c:v>0.16540799999999997</c:v>
                </c:pt>
              </c:numCache>
            </c:numRef>
          </c:xVal>
          <c:yVal>
            <c:numRef>
              <c:f>CalcNa!$O$32:$O$92</c:f>
              <c:numCache>
                <c:formatCode>0.000</c:formatCode>
                <c:ptCount val="61"/>
                <c:pt idx="0">
                  <c:v>1.6370109752950825</c:v>
                </c:pt>
                <c:pt idx="1">
                  <c:v>2.0663698983511178</c:v>
                </c:pt>
                <c:pt idx="2">
                  <c:v>2.2917102497728026</c:v>
                </c:pt>
                <c:pt idx="27">
                  <c:v>1.1898618075861642</c:v>
                </c:pt>
                <c:pt idx="28">
                  <c:v>1.4950955696813253</c:v>
                </c:pt>
                <c:pt idx="29">
                  <c:v>1.657838462702069</c:v>
                </c:pt>
                <c:pt idx="57">
                  <c:v>0.33271263987724614</c:v>
                </c:pt>
                <c:pt idx="58">
                  <c:v>0.49382124101153263</c:v>
                </c:pt>
                <c:pt idx="59">
                  <c:v>0.59396667563133554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AA-45D3-896E-0C89BBC500F4}"/>
            </c:ext>
          </c:extLst>
        </c:ser>
        <c:ser>
          <c:idx val="12"/>
          <c:order val="1"/>
          <c:tx>
            <c:v>Daniele et al. (1991) 37°C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bg1">
                  <a:lumMod val="85000"/>
                </a:schemeClr>
              </a:solidFill>
              <a:ln>
                <a:solidFill>
                  <a:srgbClr val="00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CalcNa!$J$64</c:f>
                <c:numCache>
                  <c:formatCode>General</c:formatCode>
                  <c:ptCount val="1"/>
                  <c:pt idx="0">
                    <c:v>0.15</c:v>
                  </c:pt>
                </c:numCache>
              </c:numRef>
            </c:plus>
            <c:minus>
              <c:numRef>
                <c:f>CalcNa!$J$64</c:f>
                <c:numCache>
                  <c:formatCode>General</c:formatCode>
                  <c:ptCount val="1"/>
                  <c:pt idx="0">
                    <c:v>0.15</c:v>
                  </c:pt>
                </c:numCache>
              </c:numRef>
            </c:minus>
          </c:errBars>
          <c:xVal>
            <c:numRef>
              <c:f>CalcNa!$N$32:$N$92</c:f>
              <c:numCache>
                <c:formatCode>0.000</c:formatCode>
                <c:ptCount val="61"/>
                <c:pt idx="0">
                  <c:v>0.16540799999999997</c:v>
                </c:pt>
                <c:pt idx="1">
                  <c:v>0.73052159999999999</c:v>
                </c:pt>
                <c:pt idx="2">
                  <c:v>1.23</c:v>
                </c:pt>
                <c:pt idx="3">
                  <c:v>0.16540799999999997</c:v>
                </c:pt>
                <c:pt idx="4">
                  <c:v>0.15279999999999999</c:v>
                </c:pt>
                <c:pt idx="27">
                  <c:v>0.16540799999999997</c:v>
                </c:pt>
                <c:pt idx="28">
                  <c:v>0.73052159999999999</c:v>
                </c:pt>
                <c:pt idx="29">
                  <c:v>1.23</c:v>
                </c:pt>
                <c:pt idx="30">
                  <c:v>0.21040000000000003</c:v>
                </c:pt>
                <c:pt idx="31">
                  <c:v>1E-3</c:v>
                </c:pt>
                <c:pt idx="32">
                  <c:v>0.16540799999999997</c:v>
                </c:pt>
                <c:pt idx="33">
                  <c:v>0.15279999999999999</c:v>
                </c:pt>
                <c:pt idx="57">
                  <c:v>0.16540799999999997</c:v>
                </c:pt>
                <c:pt idx="58">
                  <c:v>0.73052159999999999</c:v>
                </c:pt>
                <c:pt idx="59">
                  <c:v>1.23</c:v>
                </c:pt>
                <c:pt idx="60">
                  <c:v>0.16540799999999997</c:v>
                </c:pt>
              </c:numCache>
            </c:numRef>
          </c:xVal>
          <c:yVal>
            <c:numRef>
              <c:f>CalcNa!$R$32:$R$92</c:f>
              <c:numCache>
                <c:formatCode>General</c:formatCode>
                <c:ptCount val="61"/>
                <c:pt idx="3" formatCode="0.000">
                  <c:v>1.7236827288007688</c:v>
                </c:pt>
                <c:pt idx="32" formatCode="0.000">
                  <c:v>1.2809763099232887</c:v>
                </c:pt>
                <c:pt idx="60" formatCode="0.000">
                  <c:v>0.4682698910458083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AA-45D3-896E-0C89BBC500F4}"/>
            </c:ext>
          </c:extLst>
        </c:ser>
        <c:ser>
          <c:idx val="11"/>
          <c:order val="2"/>
          <c:tx>
            <c:v>Daniele et al. (1983) 37°C</c:v>
          </c:tx>
          <c:spPr>
            <a:ln w="28575">
              <a:noFill/>
            </a:ln>
          </c:spPr>
          <c:marker>
            <c:symbol val="square"/>
            <c:size val="6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CalcNa!$J$32:$J$93</c:f>
                <c:numCache>
                  <c:formatCode>General</c:formatCode>
                  <c:ptCount val="62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0.15</c:v>
                  </c:pt>
                  <c:pt idx="4">
                    <c:v>0.3</c:v>
                  </c:pt>
                  <c:pt idx="8">
                    <c:v>0.11704699910719625</c:v>
                  </c:pt>
                  <c:pt idx="10">
                    <c:v>0.1</c:v>
                  </c:pt>
                  <c:pt idx="11">
                    <c:v>0.01</c:v>
                  </c:pt>
                  <c:pt idx="12">
                    <c:v>0.06</c:v>
                  </c:pt>
                  <c:pt idx="15">
                    <c:v>0.12696571106156015</c:v>
                  </c:pt>
                  <c:pt idx="16">
                    <c:v>0.17075202487634883</c:v>
                  </c:pt>
                  <c:pt idx="18">
                    <c:v>0.1</c:v>
                  </c:pt>
                  <c:pt idx="19">
                    <c:v>0.02</c:v>
                  </c:pt>
                  <c:pt idx="20">
                    <c:v>0.19888754108634671</c:v>
                  </c:pt>
                  <c:pt idx="24">
                    <c:v>0</c:v>
                  </c:pt>
                  <c:pt idx="27">
                    <c:v>0.15</c:v>
                  </c:pt>
                  <c:pt idx="28">
                    <c:v>0.15</c:v>
                  </c:pt>
                  <c:pt idx="29">
                    <c:v>0.15</c:v>
                  </c:pt>
                  <c:pt idx="30">
                    <c:v>0.2</c:v>
                  </c:pt>
                  <c:pt idx="31">
                    <c:v>0.31037002191812457</c:v>
                  </c:pt>
                  <c:pt idx="32">
                    <c:v>0.15</c:v>
                  </c:pt>
                  <c:pt idx="33">
                    <c:v>0.2</c:v>
                  </c:pt>
                  <c:pt idx="34">
                    <c:v>0.4</c:v>
                  </c:pt>
                  <c:pt idx="37">
                    <c:v>0.10816653826391968</c:v>
                  </c:pt>
                  <c:pt idx="39">
                    <c:v>0.1</c:v>
                  </c:pt>
                  <c:pt idx="40">
                    <c:v>0.01</c:v>
                  </c:pt>
                  <c:pt idx="41">
                    <c:v>0.04</c:v>
                  </c:pt>
                  <c:pt idx="45">
                    <c:v>0.16557076021246628</c:v>
                  </c:pt>
                  <c:pt idx="46">
                    <c:v>0.19913523057352639</c:v>
                  </c:pt>
                  <c:pt idx="48">
                    <c:v>0.1</c:v>
                  </c:pt>
                  <c:pt idx="49">
                    <c:v>0.02</c:v>
                  </c:pt>
                  <c:pt idx="50">
                    <c:v>0.22372939023644506</c:v>
                  </c:pt>
                  <c:pt idx="54">
                    <c:v>0</c:v>
                  </c:pt>
                  <c:pt idx="57">
                    <c:v>0.15</c:v>
                  </c:pt>
                  <c:pt idx="58">
                    <c:v>0.15</c:v>
                  </c:pt>
                  <c:pt idx="59">
                    <c:v>0.15</c:v>
                  </c:pt>
                  <c:pt idx="60">
                    <c:v>0.15</c:v>
                  </c:pt>
                  <c:pt idx="61">
                    <c:v>0.4</c:v>
                  </c:pt>
                </c:numCache>
              </c:numRef>
            </c:plus>
            <c:minus>
              <c:numRef>
                <c:f>CalcNa!$J$32:$J$93</c:f>
                <c:numCache>
                  <c:formatCode>General</c:formatCode>
                  <c:ptCount val="62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0.15</c:v>
                  </c:pt>
                  <c:pt idx="4">
                    <c:v>0.3</c:v>
                  </c:pt>
                  <c:pt idx="8">
                    <c:v>0.11704699910719625</c:v>
                  </c:pt>
                  <c:pt idx="10">
                    <c:v>0.1</c:v>
                  </c:pt>
                  <c:pt idx="11">
                    <c:v>0.01</c:v>
                  </c:pt>
                  <c:pt idx="12">
                    <c:v>0.06</c:v>
                  </c:pt>
                  <c:pt idx="15">
                    <c:v>0.12696571106156015</c:v>
                  </c:pt>
                  <c:pt idx="16">
                    <c:v>0.17075202487634883</c:v>
                  </c:pt>
                  <c:pt idx="18">
                    <c:v>0.1</c:v>
                  </c:pt>
                  <c:pt idx="19">
                    <c:v>0.02</c:v>
                  </c:pt>
                  <c:pt idx="20">
                    <c:v>0.19888754108634671</c:v>
                  </c:pt>
                  <c:pt idx="24">
                    <c:v>0</c:v>
                  </c:pt>
                  <c:pt idx="27">
                    <c:v>0.15</c:v>
                  </c:pt>
                  <c:pt idx="28">
                    <c:v>0.15</c:v>
                  </c:pt>
                  <c:pt idx="29">
                    <c:v>0.15</c:v>
                  </c:pt>
                  <c:pt idx="30">
                    <c:v>0.2</c:v>
                  </c:pt>
                  <c:pt idx="31">
                    <c:v>0.31037002191812457</c:v>
                  </c:pt>
                  <c:pt idx="32">
                    <c:v>0.15</c:v>
                  </c:pt>
                  <c:pt idx="33">
                    <c:v>0.2</c:v>
                  </c:pt>
                  <c:pt idx="34">
                    <c:v>0.4</c:v>
                  </c:pt>
                  <c:pt idx="37">
                    <c:v>0.10816653826391968</c:v>
                  </c:pt>
                  <c:pt idx="39">
                    <c:v>0.1</c:v>
                  </c:pt>
                  <c:pt idx="40">
                    <c:v>0.01</c:v>
                  </c:pt>
                  <c:pt idx="41">
                    <c:v>0.04</c:v>
                  </c:pt>
                  <c:pt idx="45">
                    <c:v>0.16557076021246628</c:v>
                  </c:pt>
                  <c:pt idx="46">
                    <c:v>0.19913523057352639</c:v>
                  </c:pt>
                  <c:pt idx="48">
                    <c:v>0.1</c:v>
                  </c:pt>
                  <c:pt idx="49">
                    <c:v>0.02</c:v>
                  </c:pt>
                  <c:pt idx="50">
                    <c:v>0.22372939023644506</c:v>
                  </c:pt>
                  <c:pt idx="54">
                    <c:v>0</c:v>
                  </c:pt>
                  <c:pt idx="57">
                    <c:v>0.15</c:v>
                  </c:pt>
                  <c:pt idx="58">
                    <c:v>0.15</c:v>
                  </c:pt>
                  <c:pt idx="59">
                    <c:v>0.15</c:v>
                  </c:pt>
                  <c:pt idx="60">
                    <c:v>0.15</c:v>
                  </c:pt>
                  <c:pt idx="61">
                    <c:v>0.4</c:v>
                  </c:pt>
                </c:numCache>
              </c:numRef>
            </c:minus>
          </c:errBars>
          <c:xVal>
            <c:numRef>
              <c:f>CalcNa!$N$32:$N$93</c:f>
              <c:numCache>
                <c:formatCode>0.000</c:formatCode>
                <c:ptCount val="62"/>
                <c:pt idx="0">
                  <c:v>0.16540799999999997</c:v>
                </c:pt>
                <c:pt idx="1">
                  <c:v>0.73052159999999999</c:v>
                </c:pt>
                <c:pt idx="2">
                  <c:v>1.23</c:v>
                </c:pt>
                <c:pt idx="3">
                  <c:v>0.16540799999999997</c:v>
                </c:pt>
                <c:pt idx="4">
                  <c:v>0.15279999999999999</c:v>
                </c:pt>
                <c:pt idx="27">
                  <c:v>0.16540799999999997</c:v>
                </c:pt>
                <c:pt idx="28">
                  <c:v>0.73052159999999999</c:v>
                </c:pt>
                <c:pt idx="29">
                  <c:v>1.23</c:v>
                </c:pt>
                <c:pt idx="30">
                  <c:v>0.21040000000000003</c:v>
                </c:pt>
                <c:pt idx="31">
                  <c:v>1E-3</c:v>
                </c:pt>
                <c:pt idx="32">
                  <c:v>0.16540799999999997</c:v>
                </c:pt>
                <c:pt idx="33">
                  <c:v>0.15279999999999999</c:v>
                </c:pt>
                <c:pt idx="57">
                  <c:v>0.16540799999999997</c:v>
                </c:pt>
                <c:pt idx="58">
                  <c:v>0.73052159999999999</c:v>
                </c:pt>
                <c:pt idx="59">
                  <c:v>1.23</c:v>
                </c:pt>
                <c:pt idx="60">
                  <c:v>0.16540799999999997</c:v>
                </c:pt>
                <c:pt idx="61">
                  <c:v>0.31080000000000002</c:v>
                </c:pt>
              </c:numCache>
            </c:numRef>
          </c:xVal>
          <c:yVal>
            <c:numRef>
              <c:f>CalcNa!$Q$32:$Q$93</c:f>
              <c:numCache>
                <c:formatCode>General</c:formatCode>
                <c:ptCount val="62"/>
                <c:pt idx="4" formatCode="0.000">
                  <c:v>1.5107773925136403</c:v>
                </c:pt>
                <c:pt idx="33" formatCode="0.000">
                  <c:v>1.154507563281097</c:v>
                </c:pt>
                <c:pt idx="61" formatCode="0.000">
                  <c:v>0.40039072804366349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AA-45D3-896E-0C89BBC500F4}"/>
            </c:ext>
          </c:extLst>
        </c:ser>
        <c:ser>
          <c:idx val="13"/>
          <c:order val="3"/>
          <c:tx>
            <c:v>Patel et al. (1974) 25°C</c:v>
          </c:tx>
          <c:spPr>
            <a:ln w="28575">
              <a:noFill/>
            </a:ln>
          </c:spPr>
          <c:marker>
            <c:symbol val="triangle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CalcNa!$J$63</c:f>
                <c:numCache>
                  <c:formatCode>General</c:formatCode>
                  <c:ptCount val="1"/>
                  <c:pt idx="0">
                    <c:v>0.31037002191812457</c:v>
                  </c:pt>
                </c:numCache>
              </c:numRef>
            </c:plus>
            <c:minus>
              <c:numRef>
                <c:f>CalcNa!$J$63</c:f>
                <c:numCache>
                  <c:formatCode>General</c:formatCode>
                  <c:ptCount val="1"/>
                  <c:pt idx="0">
                    <c:v>0.31037002191812457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CalcNa!$N$63</c:f>
              <c:numCache>
                <c:formatCode>0.000</c:formatCode>
                <c:ptCount val="1"/>
                <c:pt idx="0">
                  <c:v>1E-3</c:v>
                </c:pt>
              </c:numCache>
            </c:numRef>
          </c:xVal>
          <c:yVal>
            <c:numRef>
              <c:f>CalcNa!$S$63</c:f>
              <c:numCache>
                <c:formatCode>0.000</c:formatCode>
                <c:ptCount val="1"/>
                <c:pt idx="0">
                  <c:v>0.84509804001425681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AA-45D3-896E-0C89BBC500F4}"/>
            </c:ext>
          </c:extLst>
        </c:ser>
        <c:ser>
          <c:idx val="0"/>
          <c:order val="4"/>
          <c:tx>
            <c:v>Smith &amp; Alberty (1956a) 25°C</c:v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CalcNa!$J$62</c:f>
                <c:numCache>
                  <c:formatCode>General</c:formatCode>
                  <c:ptCount val="1"/>
                  <c:pt idx="0">
                    <c:v>0.2</c:v>
                  </c:pt>
                </c:numCache>
              </c:numRef>
            </c:plus>
            <c:minus>
              <c:numRef>
                <c:f>CalcNa!$J$62</c:f>
                <c:numCache>
                  <c:formatCode>General</c:formatCode>
                  <c:ptCount val="1"/>
                  <c:pt idx="0">
                    <c:v>0.2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CalcNa!$N$62</c:f>
              <c:numCache>
                <c:formatCode>0.000</c:formatCode>
                <c:ptCount val="1"/>
                <c:pt idx="0">
                  <c:v>0.21040000000000003</c:v>
                </c:pt>
              </c:numCache>
            </c:numRef>
          </c:xVal>
          <c:yVal>
            <c:numRef>
              <c:f>CalcNa!$P$62</c:f>
              <c:numCache>
                <c:formatCode>0.000</c:formatCode>
                <c:ptCount val="1"/>
                <c:pt idx="0">
                  <c:v>1.1332895458696726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AA-45D3-896E-0C89BBC500F4}"/>
            </c:ext>
          </c:extLst>
        </c:ser>
        <c:ser>
          <c:idx val="1"/>
          <c:order val="5"/>
          <c:tx>
            <c:strRef>
              <c:f>CalcNa!$AF$28</c:f>
              <c:strCache>
                <c:ptCount val="1"/>
                <c:pt idx="0">
                  <c:v>calc.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6-2DAA-45D3-896E-0C89BBC500F4}"/>
              </c:ext>
            </c:extLst>
          </c:dPt>
          <c:xVal>
            <c:numRef>
              <c:f>CalcNa!$AE$31:$AE$32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CalcNa!$AF$31:$AF$32</c:f>
              <c:numCache>
                <c:formatCode>General</c:formatCode>
                <c:ptCount val="2"/>
                <c:pt idx="0">
                  <c:v>1.5603287395909853</c:v>
                </c:pt>
                <c:pt idx="1">
                  <c:v>2.3639002106499816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AA-45D3-896E-0C89BBC500F4}"/>
            </c:ext>
          </c:extLst>
        </c:ser>
        <c:ser>
          <c:idx val="4"/>
          <c:order val="6"/>
          <c:tx>
            <c:strRef>
              <c:f>CalcNa!$AG$28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CalcNa!$AE$31:$AE$32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CalcNa!$AG$31:$AG$32</c:f>
              <c:numCache>
                <c:formatCode>General</c:formatCode>
                <c:ptCount val="2"/>
                <c:pt idx="0">
                  <c:v>1.7258994998034516</c:v>
                </c:pt>
                <c:pt idx="1">
                  <c:v>2.6711954373152356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DAA-45D3-896E-0C89BBC500F4}"/>
            </c:ext>
          </c:extLst>
        </c:ser>
        <c:ser>
          <c:idx val="5"/>
          <c:order val="7"/>
          <c:tx>
            <c:strRef>
              <c:f>CalcNa!$AH$28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CalcNa!$AE$31:$AE$32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CalcNa!$AH$31:$AH$32</c:f>
              <c:numCache>
                <c:formatCode>General</c:formatCode>
                <c:ptCount val="2"/>
                <c:pt idx="0">
                  <c:v>1.394757979378519</c:v>
                </c:pt>
                <c:pt idx="1">
                  <c:v>2.0566049839847276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DAA-45D3-896E-0C89BBC500F4}"/>
            </c:ext>
          </c:extLst>
        </c:ser>
        <c:ser>
          <c:idx val="2"/>
          <c:order val="8"/>
          <c:tx>
            <c:v>calc.</c:v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CalcNa!$AE$58:$AE$59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CalcNa!$AF$58:$AF$59</c:f>
              <c:numCache>
                <c:formatCode>General</c:formatCode>
                <c:ptCount val="2"/>
                <c:pt idx="0">
                  <c:v>1.0566591457545271</c:v>
                </c:pt>
                <c:pt idx="1">
                  <c:v>1.7322891308294881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DAA-45D3-896E-0C89BBC500F4}"/>
            </c:ext>
          </c:extLst>
        </c:ser>
        <c:ser>
          <c:idx val="3"/>
          <c:order val="9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CalcNa!$AE$58:$AE$59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CalcNa!$AG$58:$AG$59</c:f>
              <c:numCache>
                <c:formatCode>General</c:formatCode>
                <c:ptCount val="2"/>
                <c:pt idx="0">
                  <c:v>1.1836248568160872</c:v>
                </c:pt>
                <c:pt idx="1">
                  <c:v>1.9880123426118923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DAA-45D3-896E-0C89BBC500F4}"/>
            </c:ext>
          </c:extLst>
        </c:ser>
        <c:ser>
          <c:idx val="7"/>
          <c:order val="10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CalcNa!$AE$58:$AE$59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CalcNa!$AH$58:$AH$59</c:f>
              <c:numCache>
                <c:formatCode>General</c:formatCode>
                <c:ptCount val="2"/>
                <c:pt idx="0">
                  <c:v>0.92969343469296695</c:v>
                </c:pt>
                <c:pt idx="1">
                  <c:v>1.4765659190470839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DAA-45D3-896E-0C89BBC500F4}"/>
            </c:ext>
          </c:extLst>
        </c:ser>
        <c:ser>
          <c:idx val="8"/>
          <c:order val="11"/>
          <c:tx>
            <c:v>calc.</c:v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CalcNa!$AE$88:$AE$89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CalcNa!$AF$88:$AF$89</c:f>
              <c:numCache>
                <c:formatCode>General</c:formatCode>
                <c:ptCount val="2"/>
                <c:pt idx="0">
                  <c:v>0.29898419975861557</c:v>
                </c:pt>
                <c:pt idx="1">
                  <c:v>0.6191323102217039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DAA-45D3-896E-0C89BBC500F4}"/>
            </c:ext>
          </c:extLst>
        </c:ser>
        <c:ser>
          <c:idx val="9"/>
          <c:order val="12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CalcNa!$AE$88:$AE$89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CalcNa!$AG$88:$AG$89</c:f>
              <c:numCache>
                <c:formatCode>General</c:formatCode>
                <c:ptCount val="2"/>
                <c:pt idx="0">
                  <c:v>0.46455495997108187</c:v>
                </c:pt>
                <c:pt idx="1">
                  <c:v>0.926427536886958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DAA-45D3-896E-0C89BBC500F4}"/>
            </c:ext>
          </c:extLst>
        </c:ser>
        <c:ser>
          <c:idx val="10"/>
          <c:order val="13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CalcNa!$AE$88:$AE$89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1.3</c:v>
                </c:pt>
              </c:numCache>
            </c:numRef>
          </c:xVal>
          <c:yVal>
            <c:numRef>
              <c:f>CalcNa!$AH$88:$AH$89</c:f>
              <c:numCache>
                <c:formatCode>General</c:formatCode>
                <c:ptCount val="2"/>
                <c:pt idx="0">
                  <c:v>0.13341343954614929</c:v>
                </c:pt>
                <c:pt idx="1">
                  <c:v>0.31183708355644979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DAA-45D3-896E-0C89BBC50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858152"/>
        <c:axId val="1"/>
      </c:scatterChart>
      <c:valAx>
        <c:axId val="573858152"/>
        <c:scaling>
          <c:orientation val="minMax"/>
          <c:max val="1.3900000000000001"/>
          <c:min val="-1.0000000000000002E-2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I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m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 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 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/ molal</a:t>
                </a:r>
              </a:p>
            </c:rich>
          </c:tx>
          <c:layout>
            <c:manualLayout>
              <c:xMode val="edge"/>
              <c:yMode val="edge"/>
              <c:x val="0.49472621395625438"/>
              <c:y val="0.9360755189692198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out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0.5"/>
        <c:crossBetween val="midCat"/>
        <c:minorUnit val="5.000000000000001E-2"/>
      </c:valAx>
      <c:valAx>
        <c:axId val="1"/>
        <c:scaling>
          <c:orientation val="minMax"/>
          <c:max val="3"/>
          <c:min val="-0.5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log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10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K</a:t>
                </a:r>
                <a:r>
                  <a:rPr lang="en-GB" sz="14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n</a:t>
                </a:r>
                <a:r>
                  <a:rPr lang="en-GB" sz="14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 + (6 - 2n) </a:t>
                </a:r>
                <a:r>
                  <a:rPr lang="en-GB" sz="1400" b="0" i="1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 </a:t>
                </a:r>
              </a:p>
            </c:rich>
          </c:tx>
          <c:layout>
            <c:manualLayout>
              <c:xMode val="edge"/>
              <c:yMode val="edge"/>
              <c:x val="3.5808824887335043E-3"/>
              <c:y val="0.2938799411437206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out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73858152"/>
        <c:crossesAt val="-1.0000000000000002E-2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246987773176107"/>
          <c:y val="2.7061881212260025E-2"/>
          <c:w val="0.3744946674442281"/>
          <c:h val="0.17139191434431347"/>
        </c:manualLayout>
      </c:layout>
      <c:overlay val="0"/>
      <c:spPr>
        <a:ln>
          <a:solidFill>
            <a:schemeClr val="tx1"/>
          </a:solidFill>
        </a:ln>
      </c:spPr>
      <c:txPr>
        <a:bodyPr/>
        <a:lstStyle/>
        <a:p>
          <a:pPr>
            <a:defRPr sz="12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42437261466697"/>
          <c:y val="2.5305637391273478E-2"/>
          <c:w val="0.84936870760256911"/>
          <c:h val="0.82807755046949583"/>
        </c:manualLayout>
      </c:layout>
      <c:scatterChart>
        <c:scatterStyle val="lineMarker"/>
        <c:varyColors val="0"/>
        <c:ser>
          <c:idx val="0"/>
          <c:order val="0"/>
          <c:tx>
            <c:v>Daniele et al. (1991)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bg1">
                  <a:lumMod val="65000"/>
                </a:schemeClr>
              </a:solidFill>
              <a:ln w="9525"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NaTemp!$J$13:$J$61</c:f>
                <c:numCache>
                  <c:formatCode>General</c:formatCode>
                  <c:ptCount val="49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0.15</c:v>
                  </c:pt>
                  <c:pt idx="4">
                    <c:v>0.2</c:v>
                  </c:pt>
                  <c:pt idx="18">
                    <c:v>0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0.2</c:v>
                  </c:pt>
                  <c:pt idx="25">
                    <c:v>0.15</c:v>
                  </c:pt>
                  <c:pt idx="26">
                    <c:v>0.2</c:v>
                  </c:pt>
                  <c:pt idx="27">
                    <c:v>0.4</c:v>
                  </c:pt>
                  <c:pt idx="28">
                    <c:v>0.31037002191812457</c:v>
                  </c:pt>
                  <c:pt idx="41">
                    <c:v>0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0.15</c:v>
                  </c:pt>
                  <c:pt idx="48">
                    <c:v>0.4</c:v>
                  </c:pt>
                </c:numCache>
              </c:numRef>
            </c:plus>
            <c:minus>
              <c:numRef>
                <c:f>NaTemp!$J$13:$J$61</c:f>
                <c:numCache>
                  <c:formatCode>General</c:formatCode>
                  <c:ptCount val="49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0.15</c:v>
                  </c:pt>
                  <c:pt idx="4">
                    <c:v>0.2</c:v>
                  </c:pt>
                  <c:pt idx="18">
                    <c:v>0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0.2</c:v>
                  </c:pt>
                  <c:pt idx="25">
                    <c:v>0.15</c:v>
                  </c:pt>
                  <c:pt idx="26">
                    <c:v>0.2</c:v>
                  </c:pt>
                  <c:pt idx="27">
                    <c:v>0.4</c:v>
                  </c:pt>
                  <c:pt idx="28">
                    <c:v>0.31037002191812457</c:v>
                  </c:pt>
                  <c:pt idx="41">
                    <c:v>0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0.15</c:v>
                  </c:pt>
                  <c:pt idx="48">
                    <c:v>0.4</c:v>
                  </c:pt>
                </c:numCache>
              </c:numRef>
            </c:minus>
          </c:errBars>
          <c:xVal>
            <c:numRef>
              <c:f>NaTemp!$M$13:$M$61</c:f>
              <c:numCache>
                <c:formatCode>General</c:formatCode>
                <c:ptCount val="49"/>
                <c:pt idx="0">
                  <c:v>3.3540164346805303E-3</c:v>
                </c:pt>
                <c:pt idx="1">
                  <c:v>3.3540164346805303E-3</c:v>
                </c:pt>
                <c:pt idx="2">
                  <c:v>3.3540164346805303E-3</c:v>
                </c:pt>
                <c:pt idx="3">
                  <c:v>3.224246332419797E-3</c:v>
                </c:pt>
                <c:pt idx="4">
                  <c:v>3.224246332419797E-3</c:v>
                </c:pt>
                <c:pt idx="21">
                  <c:v>3.3540164346805303E-3</c:v>
                </c:pt>
                <c:pt idx="22">
                  <c:v>3.3540164346805303E-3</c:v>
                </c:pt>
                <c:pt idx="23">
                  <c:v>3.3540164346805303E-3</c:v>
                </c:pt>
                <c:pt idx="24">
                  <c:v>3.3540164346805303E-3</c:v>
                </c:pt>
                <c:pt idx="25">
                  <c:v>3.224246332419797E-3</c:v>
                </c:pt>
                <c:pt idx="26">
                  <c:v>3.224246332419797E-3</c:v>
                </c:pt>
                <c:pt idx="27">
                  <c:v>3.6609921288669233E-3</c:v>
                </c:pt>
                <c:pt idx="28">
                  <c:v>3.3540164346805303E-3</c:v>
                </c:pt>
                <c:pt idx="44">
                  <c:v>3.3540164346805303E-3</c:v>
                </c:pt>
                <c:pt idx="45">
                  <c:v>3.3540164346805303E-3</c:v>
                </c:pt>
                <c:pt idx="46">
                  <c:v>3.3540164346805303E-3</c:v>
                </c:pt>
                <c:pt idx="47">
                  <c:v>3.224246332419797E-3</c:v>
                </c:pt>
                <c:pt idx="48">
                  <c:v>3.224246332419797E-3</c:v>
                </c:pt>
              </c:numCache>
            </c:numRef>
          </c:xVal>
          <c:yVal>
            <c:numRef>
              <c:f>NaTemp!$O$13:$O$61</c:f>
              <c:numCache>
                <c:formatCode>0.000</c:formatCode>
                <c:ptCount val="49"/>
                <c:pt idx="0">
                  <c:v>1.5344580152950826</c:v>
                </c:pt>
                <c:pt idx="1">
                  <c:v>1.6134465063511179</c:v>
                </c:pt>
                <c:pt idx="2">
                  <c:v>1.5291102497728026</c:v>
                </c:pt>
                <c:pt idx="3">
                  <c:v>1.6211297688007689</c:v>
                </c:pt>
                <c:pt idx="21">
                  <c:v>1.1038496475861643</c:v>
                </c:pt>
                <c:pt idx="22">
                  <c:v>1.1152243376813253</c:v>
                </c:pt>
                <c:pt idx="23">
                  <c:v>1.0182384627020689</c:v>
                </c:pt>
                <c:pt idx="25">
                  <c:v>1.1949641499232888</c:v>
                </c:pt>
                <c:pt idx="44">
                  <c:v>0.29136063987724614</c:v>
                </c:pt>
                <c:pt idx="45">
                  <c:v>0.3111908410115326</c:v>
                </c:pt>
                <c:pt idx="46">
                  <c:v>0.28646667563133554</c:v>
                </c:pt>
                <c:pt idx="47">
                  <c:v>0.4269178910458083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1-43FE-A4DE-BAF8372AFCAD}"/>
            </c:ext>
          </c:extLst>
        </c:ser>
        <c:ser>
          <c:idx val="2"/>
          <c:order val="1"/>
          <c:tx>
            <c:v>Daniele et al. (1983)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NaTemp!$J$13:$J$61</c:f>
                <c:numCache>
                  <c:formatCode>General</c:formatCode>
                  <c:ptCount val="49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0.15</c:v>
                  </c:pt>
                  <c:pt idx="4">
                    <c:v>0.2</c:v>
                  </c:pt>
                  <c:pt idx="18">
                    <c:v>0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0.2</c:v>
                  </c:pt>
                  <c:pt idx="25">
                    <c:v>0.15</c:v>
                  </c:pt>
                  <c:pt idx="26">
                    <c:v>0.2</c:v>
                  </c:pt>
                  <c:pt idx="27">
                    <c:v>0.4</c:v>
                  </c:pt>
                  <c:pt idx="28">
                    <c:v>0.31037002191812457</c:v>
                  </c:pt>
                  <c:pt idx="41">
                    <c:v>0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0.15</c:v>
                  </c:pt>
                  <c:pt idx="48">
                    <c:v>0.4</c:v>
                  </c:pt>
                </c:numCache>
              </c:numRef>
            </c:plus>
            <c:minus>
              <c:numRef>
                <c:f>NaTemp!$J$13:$J$61</c:f>
                <c:numCache>
                  <c:formatCode>General</c:formatCode>
                  <c:ptCount val="49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0.15</c:v>
                  </c:pt>
                  <c:pt idx="4">
                    <c:v>0.2</c:v>
                  </c:pt>
                  <c:pt idx="18">
                    <c:v>0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0.2</c:v>
                  </c:pt>
                  <c:pt idx="25">
                    <c:v>0.15</c:v>
                  </c:pt>
                  <c:pt idx="26">
                    <c:v>0.2</c:v>
                  </c:pt>
                  <c:pt idx="27">
                    <c:v>0.4</c:v>
                  </c:pt>
                  <c:pt idx="28">
                    <c:v>0.31037002191812457</c:v>
                  </c:pt>
                  <c:pt idx="41">
                    <c:v>0</c:v>
                  </c:pt>
                  <c:pt idx="44">
                    <c:v>0.15</c:v>
                  </c:pt>
                  <c:pt idx="45">
                    <c:v>0.15</c:v>
                  </c:pt>
                  <c:pt idx="46">
                    <c:v>0.15</c:v>
                  </c:pt>
                  <c:pt idx="47">
                    <c:v>0.15</c:v>
                  </c:pt>
                  <c:pt idx="48">
                    <c:v>0.4</c:v>
                  </c:pt>
                </c:numCache>
              </c:numRef>
            </c:minus>
          </c:errBars>
          <c:xVal>
            <c:numRef>
              <c:f>NaTemp!$M$13:$M$61</c:f>
              <c:numCache>
                <c:formatCode>General</c:formatCode>
                <c:ptCount val="49"/>
                <c:pt idx="0">
                  <c:v>3.3540164346805303E-3</c:v>
                </c:pt>
                <c:pt idx="1">
                  <c:v>3.3540164346805303E-3</c:v>
                </c:pt>
                <c:pt idx="2">
                  <c:v>3.3540164346805303E-3</c:v>
                </c:pt>
                <c:pt idx="3">
                  <c:v>3.224246332419797E-3</c:v>
                </c:pt>
                <c:pt idx="4">
                  <c:v>3.224246332419797E-3</c:v>
                </c:pt>
                <c:pt idx="21">
                  <c:v>3.3540164346805303E-3</c:v>
                </c:pt>
                <c:pt idx="22">
                  <c:v>3.3540164346805303E-3</c:v>
                </c:pt>
                <c:pt idx="23">
                  <c:v>3.3540164346805303E-3</c:v>
                </c:pt>
                <c:pt idx="24">
                  <c:v>3.3540164346805303E-3</c:v>
                </c:pt>
                <c:pt idx="25">
                  <c:v>3.224246332419797E-3</c:v>
                </c:pt>
                <c:pt idx="26">
                  <c:v>3.224246332419797E-3</c:v>
                </c:pt>
                <c:pt idx="27">
                  <c:v>3.6609921288669233E-3</c:v>
                </c:pt>
                <c:pt idx="28">
                  <c:v>3.3540164346805303E-3</c:v>
                </c:pt>
                <c:pt idx="44">
                  <c:v>3.3540164346805303E-3</c:v>
                </c:pt>
                <c:pt idx="45">
                  <c:v>3.3540164346805303E-3</c:v>
                </c:pt>
                <c:pt idx="46">
                  <c:v>3.3540164346805303E-3</c:v>
                </c:pt>
                <c:pt idx="47">
                  <c:v>3.224246332419797E-3</c:v>
                </c:pt>
                <c:pt idx="48">
                  <c:v>3.224246332419797E-3</c:v>
                </c:pt>
              </c:numCache>
            </c:numRef>
          </c:xVal>
          <c:yVal>
            <c:numRef>
              <c:f>NaTemp!$Q$13:$Q$61</c:f>
              <c:numCache>
                <c:formatCode>General</c:formatCode>
                <c:ptCount val="49"/>
                <c:pt idx="4" formatCode="0.000">
                  <c:v>1.4160413925136404</c:v>
                </c:pt>
                <c:pt idx="26" formatCode="0.000">
                  <c:v>1.0750515632810971</c:v>
                </c:pt>
                <c:pt idx="48" formatCode="0.000">
                  <c:v>0.3226907280436635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A1-43FE-A4DE-BAF8372AFCAD}"/>
            </c:ext>
          </c:extLst>
        </c:ser>
        <c:ser>
          <c:idx val="8"/>
          <c:order val="2"/>
          <c:tx>
            <c:v>Patel et al. 1974)</c:v>
          </c:tx>
          <c:spPr>
            <a:ln w="28575">
              <a:noFill/>
            </a:ln>
          </c:spPr>
          <c:marker>
            <c:symbol val="triangle"/>
            <c:size val="9"/>
            <c:spPr>
              <a:solidFill>
                <a:schemeClr val="bg1"/>
              </a:solidFill>
              <a:ln>
                <a:solidFill>
                  <a:schemeClr val="tx1">
                    <a:shade val="95000"/>
                    <a:satMod val="105000"/>
                  </a:schemeClr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NaTemp!$J$41</c:f>
                <c:numCache>
                  <c:formatCode>General</c:formatCode>
                  <c:ptCount val="1"/>
                  <c:pt idx="0">
                    <c:v>0.31037002191812457</c:v>
                  </c:pt>
                </c:numCache>
              </c:numRef>
            </c:plus>
            <c:minus>
              <c:numRef>
                <c:f>NaTemp!$J$41</c:f>
                <c:numCache>
                  <c:formatCode>General</c:formatCode>
                  <c:ptCount val="1"/>
                  <c:pt idx="0">
                    <c:v>0.31037002191812457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NaTemp!$M$34:$M$41</c:f>
              <c:numCache>
                <c:formatCode>General</c:formatCode>
                <c:ptCount val="8"/>
                <c:pt idx="0">
                  <c:v>3.3540164346805303E-3</c:v>
                </c:pt>
                <c:pt idx="1">
                  <c:v>3.3540164346805303E-3</c:v>
                </c:pt>
                <c:pt idx="2">
                  <c:v>3.3540164346805303E-3</c:v>
                </c:pt>
                <c:pt idx="3">
                  <c:v>3.3540164346805303E-3</c:v>
                </c:pt>
                <c:pt idx="4">
                  <c:v>3.224246332419797E-3</c:v>
                </c:pt>
                <c:pt idx="5">
                  <c:v>3.224246332419797E-3</c:v>
                </c:pt>
                <c:pt idx="6">
                  <c:v>3.6609921288669233E-3</c:v>
                </c:pt>
                <c:pt idx="7">
                  <c:v>3.3540164346805303E-3</c:v>
                </c:pt>
              </c:numCache>
            </c:numRef>
          </c:xVal>
          <c:yVal>
            <c:numRef>
              <c:f>NaTemp!$R$34:$R$41</c:f>
              <c:numCache>
                <c:formatCode>General</c:formatCode>
                <c:ptCount val="8"/>
                <c:pt idx="7" formatCode="0.000">
                  <c:v>0.84509804001425681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A1-43FE-A4DE-BAF8372AFCAD}"/>
            </c:ext>
          </c:extLst>
        </c:ser>
        <c:ser>
          <c:idx val="1"/>
          <c:order val="3"/>
          <c:tx>
            <c:v>Smith &amp; Alberty (1956a)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tx1"/>
              </a:solidFill>
              <a:ln w="9525">
                <a:solidFill>
                  <a:srgbClr val="0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NaTemp!$J$34:$J$40</c:f>
                <c:numCache>
                  <c:formatCode>General</c:formatCode>
                  <c:ptCount val="7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0.2</c:v>
                  </c:pt>
                  <c:pt idx="4">
                    <c:v>0.15</c:v>
                  </c:pt>
                  <c:pt idx="5">
                    <c:v>0.2</c:v>
                  </c:pt>
                  <c:pt idx="6">
                    <c:v>0.4</c:v>
                  </c:pt>
                </c:numCache>
              </c:numRef>
            </c:plus>
            <c:minus>
              <c:numRef>
                <c:f>NaTemp!$J$34:$J$40</c:f>
                <c:numCache>
                  <c:formatCode>General</c:formatCode>
                  <c:ptCount val="7"/>
                  <c:pt idx="0">
                    <c:v>0.15</c:v>
                  </c:pt>
                  <c:pt idx="1">
                    <c:v>0.15</c:v>
                  </c:pt>
                  <c:pt idx="2">
                    <c:v>0.15</c:v>
                  </c:pt>
                  <c:pt idx="3">
                    <c:v>0.2</c:v>
                  </c:pt>
                  <c:pt idx="4">
                    <c:v>0.15</c:v>
                  </c:pt>
                  <c:pt idx="5">
                    <c:v>0.2</c:v>
                  </c:pt>
                  <c:pt idx="6">
                    <c:v>0.4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NaTemp!$M$34:$M$40</c:f>
              <c:numCache>
                <c:formatCode>General</c:formatCode>
                <c:ptCount val="7"/>
                <c:pt idx="0">
                  <c:v>3.3540164346805303E-3</c:v>
                </c:pt>
                <c:pt idx="1">
                  <c:v>3.3540164346805303E-3</c:v>
                </c:pt>
                <c:pt idx="2">
                  <c:v>3.3540164346805303E-3</c:v>
                </c:pt>
                <c:pt idx="3">
                  <c:v>3.3540164346805303E-3</c:v>
                </c:pt>
                <c:pt idx="4">
                  <c:v>3.224246332419797E-3</c:v>
                </c:pt>
                <c:pt idx="5">
                  <c:v>3.224246332419797E-3</c:v>
                </c:pt>
                <c:pt idx="6">
                  <c:v>3.6609921288669233E-3</c:v>
                </c:pt>
              </c:numCache>
            </c:numRef>
          </c:xVal>
          <c:yVal>
            <c:numRef>
              <c:f>NaTemp!$P$34:$P$40</c:f>
              <c:numCache>
                <c:formatCode>General</c:formatCode>
                <c:ptCount val="7"/>
                <c:pt idx="3" formatCode="0.000">
                  <c:v>1.0238815458696726</c:v>
                </c:pt>
                <c:pt idx="6" formatCode="0.000">
                  <c:v>0.48143813399116248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A1-43FE-A4DE-BAF8372AFCAD}"/>
            </c:ext>
          </c:extLst>
        </c:ser>
        <c:ser>
          <c:idx val="3"/>
          <c:order val="4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NaTemp!$AE$49:$AE$51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3.2087277394513077E-3</c:v>
                </c:pt>
              </c:numCache>
            </c:numRef>
          </c:xVal>
          <c:yVal>
            <c:numRef>
              <c:f>NaTemp!$AF$49:$AF$51</c:f>
              <c:numCache>
                <c:formatCode>General</c:formatCode>
                <c:ptCount val="3"/>
                <c:pt idx="0">
                  <c:v>0.63067770853833882</c:v>
                </c:pt>
                <c:pt idx="1">
                  <c:v>1.0338520935459021</c:v>
                </c:pt>
                <c:pt idx="2">
                  <c:v>1.2092423301812318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A1-43FE-A4DE-BAF8372AFCAD}"/>
            </c:ext>
          </c:extLst>
        </c:ser>
        <c:ser>
          <c:idx val="4"/>
          <c:order val="5"/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NaTemp!$AE$49:$AE$51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3.2087277394513077E-3</c:v>
                </c:pt>
              </c:numCache>
            </c:numRef>
          </c:xVal>
          <c:yVal>
            <c:numRef>
              <c:f>NaTemp!$AG$49:$AG$51</c:f>
              <c:numCache>
                <c:formatCode>General</c:formatCode>
                <c:ptCount val="3"/>
                <c:pt idx="0">
                  <c:v>0.96678780618019233</c:v>
                </c:pt>
                <c:pt idx="1">
                  <c:v>1.1019256433566766</c:v>
                </c:pt>
                <c:pt idx="2">
                  <c:v>1.3939180137067462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A1-43FE-A4DE-BAF8372AFCAD}"/>
            </c:ext>
          </c:extLst>
        </c:ser>
        <c:ser>
          <c:idx val="5"/>
          <c:order val="6"/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NaTemp!$AE$49:$AE$51</c:f>
              <c:numCache>
                <c:formatCode>General</c:formatCode>
                <c:ptCount val="3"/>
                <c:pt idx="0">
                  <c:v>3.687995574405311E-3</c:v>
                </c:pt>
                <c:pt idx="1">
                  <c:v>3.3540164346805303E-3</c:v>
                </c:pt>
                <c:pt idx="2">
                  <c:v>3.2087277394513077E-3</c:v>
                </c:pt>
              </c:numCache>
            </c:numRef>
          </c:xVal>
          <c:yVal>
            <c:numRef>
              <c:f>NaTemp!$AH$49:$AH$51</c:f>
              <c:numCache>
                <c:formatCode>General</c:formatCode>
                <c:ptCount val="3"/>
                <c:pt idx="0">
                  <c:v>0.2945676108964852</c:v>
                </c:pt>
                <c:pt idx="1">
                  <c:v>0.96577854373512761</c:v>
                </c:pt>
                <c:pt idx="2">
                  <c:v>1.0245666466557177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A1-43FE-A4DE-BAF8372AFCAD}"/>
            </c:ext>
          </c:extLst>
        </c:ser>
        <c:ser>
          <c:idx val="6"/>
          <c:order val="7"/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NaTemp!$U$22:$U$23</c:f>
              <c:numCache>
                <c:formatCode>General</c:formatCode>
                <c:ptCount val="2"/>
                <c:pt idx="0">
                  <c:v>3.3766672294445383E-3</c:v>
                </c:pt>
                <c:pt idx="1">
                  <c:v>3.2087277394513077E-3</c:v>
                </c:pt>
              </c:numCache>
            </c:numRef>
          </c:xVal>
          <c:yVal>
            <c:numRef>
              <c:f>NaTemp!$W$22:$W$23</c:f>
              <c:numCache>
                <c:formatCode>0.000</c:formatCode>
                <c:ptCount val="2"/>
                <c:pt idx="0">
                  <c:v>1.5520468557232476</c:v>
                </c:pt>
                <c:pt idx="1">
                  <c:v>1.6134511184619955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A1-43FE-A4DE-BAF8372AFCAD}"/>
            </c:ext>
          </c:extLst>
        </c:ser>
        <c:ser>
          <c:idx val="7"/>
          <c:order val="8"/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NaTemp!$U$66:$U$67</c:f>
              <c:numCache>
                <c:formatCode>General</c:formatCode>
                <c:ptCount val="2"/>
                <c:pt idx="0">
                  <c:v>3.3766672294445383E-3</c:v>
                </c:pt>
                <c:pt idx="1">
                  <c:v>3.2087277394513077E-3</c:v>
                </c:pt>
              </c:numCache>
            </c:numRef>
          </c:xVal>
          <c:yVal>
            <c:numRef>
              <c:f>NaTemp!$W$66:$W$67</c:f>
              <c:numCache>
                <c:formatCode>0.000</c:formatCode>
                <c:ptCount val="2"/>
                <c:pt idx="0">
                  <c:v>0.27988685346407188</c:v>
                </c:pt>
                <c:pt idx="1">
                  <c:v>0.42901149154388774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1A1-43FE-A4DE-BAF8372AF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014952"/>
        <c:axId val="1"/>
      </c:scatterChart>
      <c:valAx>
        <c:axId val="455014952"/>
        <c:scaling>
          <c:orientation val="minMax"/>
          <c:max val="3.700000000000001E-3"/>
          <c:min val="3.200000000000001E-3"/>
        </c:scaling>
        <c:delete val="0"/>
        <c:axPos val="b"/>
        <c:title>
          <c:tx>
            <c:rich>
              <a:bodyPr/>
              <a:lstStyle/>
              <a:p>
                <a:pPr>
                  <a:defRPr sz="1400" b="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 / T [K]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333333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0.2"/>
        <c:crossBetween val="midCat"/>
        <c:majorUnit val="1.0000000000000003E-4"/>
        <c:minorUnit val="5.0000000000000023E-5"/>
      </c:valAx>
      <c:valAx>
        <c:axId val="1"/>
        <c:scaling>
          <c:orientation val="minMax"/>
          <c:max val="2"/>
          <c:min val="-0.2"/>
        </c:scaling>
        <c:delete val="0"/>
        <c:axPos val="l"/>
        <c:title>
          <c:tx>
            <c:rich>
              <a:bodyPr/>
              <a:lstStyle/>
              <a:p>
                <a:pPr>
                  <a:defRPr sz="1400" b="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</a:t>
                </a:r>
                <a:r>
                  <a:rPr lang="en-US" sz="14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</a:t>
                </a:r>
                <a:r>
                  <a:rPr lang="en-US" sz="1400" b="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K°</a:t>
                </a:r>
              </a:p>
            </c:rich>
          </c:tx>
          <c:layout>
            <c:manualLayout>
              <c:xMode val="edge"/>
              <c:yMode val="edge"/>
              <c:x val="1.016827965924451E-3"/>
              <c:y val="0.36144799358692753"/>
            </c:manualLayout>
          </c:layout>
          <c:overlay val="0"/>
        </c:title>
        <c:numFmt formatCode="0.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5014952"/>
        <c:crosses val="autoZero"/>
        <c:crossBetween val="midCat"/>
        <c:majorUnit val="0.2"/>
        <c:minorUnit val="0.1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1215948579978985"/>
          <c:y val="3.6443187597358297E-2"/>
          <c:w val="0.32704410885194252"/>
          <c:h val="0.1676386629478481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558800</xdr:colOff>
      <xdr:row>31</xdr:row>
      <xdr:rowOff>6350</xdr:rowOff>
    </xdr:to>
    <xdr:graphicFrame macro="">
      <xdr:nvGraphicFramePr>
        <xdr:cNvPr id="5414" name="Chart 1">
          <a:extLst>
            <a:ext uri="{FF2B5EF4-FFF2-40B4-BE49-F238E27FC236}">
              <a16:creationId xmlns:a16="http://schemas.microsoft.com/office/drawing/2014/main" id="{EA018F90-9E57-89A3-DADC-5B11BFB9B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0.58147</cdr:x>
      <cdr:y>0.06678</cdr:y>
    </cdr:from>
    <cdr:to>
      <cdr:x>0.87519</cdr:x>
      <cdr:y>0.11577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3727804" y="333370"/>
          <a:ext cx="1902105" cy="2476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Na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3-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NaPO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2-</a:t>
          </a:r>
        </a:p>
      </cdr:txBody>
    </cdr:sp>
  </cdr:relSizeAnchor>
  <cdr:relSizeAnchor xmlns:cdr="http://schemas.openxmlformats.org/drawingml/2006/chartDrawing">
    <cdr:from>
      <cdr:x>0.57698</cdr:x>
      <cdr:y>0.45563</cdr:y>
    </cdr:from>
    <cdr:to>
      <cdr:x>0.87118</cdr:x>
      <cdr:y>0.5044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3701988" y="2293923"/>
          <a:ext cx="1902040" cy="2464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Na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HPO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2-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NaHPO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</a:p>
      </cdr:txBody>
    </cdr:sp>
  </cdr:relSizeAnchor>
  <cdr:relSizeAnchor xmlns:cdr="http://schemas.openxmlformats.org/drawingml/2006/chartDrawing">
    <cdr:from>
      <cdr:x>0.57906</cdr:x>
      <cdr:y>0.7255</cdr:y>
    </cdr:from>
    <cdr:to>
      <cdr:x>0.93261</cdr:x>
      <cdr:y>0.77474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3715396" y="3654835"/>
          <a:ext cx="2290851" cy="2476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Na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H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NaH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(aq)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584200</xdr:colOff>
      <xdr:row>6</xdr:row>
      <xdr:rowOff>44450</xdr:rowOff>
    </xdr:from>
    <xdr:to>
      <xdr:col>34</xdr:col>
      <xdr:colOff>546100</xdr:colOff>
      <xdr:row>30</xdr:row>
      <xdr:rowOff>114300</xdr:rowOff>
    </xdr:to>
    <xdr:graphicFrame macro="">
      <xdr:nvGraphicFramePr>
        <xdr:cNvPr id="265318" name="Diagramm 1">
          <a:extLst>
            <a:ext uri="{FF2B5EF4-FFF2-40B4-BE49-F238E27FC236}">
              <a16:creationId xmlns:a16="http://schemas.microsoft.com/office/drawing/2014/main" id="{9DE5B4F1-7530-052B-1C47-138226A89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0.40886</cdr:x>
      <cdr:y>0.65166</cdr:y>
    </cdr:from>
    <cdr:to>
      <cdr:x>0.78732</cdr:x>
      <cdr:y>0.70874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2474912" y="2827338"/>
          <a:ext cx="2290851" cy="2476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Na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H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NaH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(aq)</a:t>
          </a:r>
        </a:p>
      </cdr:txBody>
    </cdr:sp>
  </cdr:relSizeAnchor>
  <cdr:relSizeAnchor xmlns:cdr="http://schemas.openxmlformats.org/drawingml/2006/chartDrawing">
    <cdr:from>
      <cdr:x>0.39313</cdr:x>
      <cdr:y>0.29821</cdr:y>
    </cdr:from>
    <cdr:to>
      <cdr:x>0.70735</cdr:x>
      <cdr:y>0.35502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2379663" y="1293813"/>
          <a:ext cx="1902040" cy="2464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Na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HPO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2-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NaHPO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</a:p>
      </cdr:txBody>
    </cdr:sp>
  </cdr:relSizeAnchor>
  <cdr:relSizeAnchor xmlns:cdr="http://schemas.openxmlformats.org/drawingml/2006/chartDrawing">
    <cdr:from>
      <cdr:x>0.12843</cdr:x>
      <cdr:y>0.04135</cdr:y>
    </cdr:from>
    <cdr:to>
      <cdr:x>0.44217</cdr:x>
      <cdr:y>0.09818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769937" y="179388"/>
          <a:ext cx="1902105" cy="2476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Na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+ 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3-</a:t>
          </a:r>
          <a:r>
            <a:rPr lang="de-CH" sz="1200">
              <a:latin typeface="Times New Roman" panose="02020603050405020304" pitchFamily="18" charset="0"/>
              <a:cs typeface="Times New Roman" panose="02020603050405020304" pitchFamily="18" charset="0"/>
            </a:rPr>
            <a:t> = NaPO</a:t>
          </a:r>
          <a:r>
            <a:rPr lang="de-CH" sz="1200" baseline="-250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  <a:r>
            <a:rPr lang="de-CH" sz="1200" baseline="30000">
              <a:latin typeface="Times New Roman" panose="02020603050405020304" pitchFamily="18" charset="0"/>
              <a:cs typeface="Times New Roman" panose="02020603050405020304" pitchFamily="18" charset="0"/>
            </a:rPr>
            <a:t>2-</a:t>
          </a:r>
        </a:p>
      </cdr:txBody>
    </cdr:sp>
  </cdr:relSizeAnchor>
  <cdr:relSizeAnchor xmlns:cdr="http://schemas.openxmlformats.org/drawingml/2006/chartDrawing">
    <cdr:from>
      <cdr:x>0.10281</cdr:x>
      <cdr:y>0.79327</cdr:y>
    </cdr:from>
    <cdr:to>
      <cdr:x>0.20976</cdr:x>
      <cdr:y>0.86026</cdr:y>
    </cdr:to>
    <cdr:sp macro="" textlink="">
      <cdr:nvSpPr>
        <cdr:cNvPr id="5" name="Textfeld 1"/>
        <cdr:cNvSpPr txBox="1"/>
      </cdr:nvSpPr>
      <cdr:spPr>
        <a:xfrm xmlns:a="http://schemas.openxmlformats.org/drawingml/2006/main">
          <a:off x="622300" y="3441700"/>
          <a:ext cx="647419" cy="290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37°C</a:t>
          </a:r>
        </a:p>
      </cdr:txBody>
    </cdr:sp>
  </cdr:relSizeAnchor>
  <cdr:relSizeAnchor xmlns:cdr="http://schemas.openxmlformats.org/drawingml/2006/chartDrawing">
    <cdr:from>
      <cdr:x>0.32625</cdr:x>
      <cdr:y>0.78778</cdr:y>
    </cdr:from>
    <cdr:to>
      <cdr:x>0.43321</cdr:x>
      <cdr:y>0.85479</cdr:y>
    </cdr:to>
    <cdr:sp macro="" textlink="">
      <cdr:nvSpPr>
        <cdr:cNvPr id="6" name="Textfeld 1"/>
        <cdr:cNvSpPr txBox="1"/>
      </cdr:nvSpPr>
      <cdr:spPr>
        <a:xfrm xmlns:a="http://schemas.openxmlformats.org/drawingml/2006/main">
          <a:off x="1974850" y="3417887"/>
          <a:ext cx="647418" cy="2907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25°C</a:t>
          </a:r>
        </a:p>
      </cdr:txBody>
    </cdr:sp>
  </cdr:relSizeAnchor>
  <cdr:relSizeAnchor xmlns:cdr="http://schemas.openxmlformats.org/drawingml/2006/chartDrawing">
    <cdr:from>
      <cdr:x>0.85182</cdr:x>
      <cdr:y>0.78778</cdr:y>
    </cdr:from>
    <cdr:to>
      <cdr:x>0.93191</cdr:x>
      <cdr:y>0.85478</cdr:y>
    </cdr:to>
    <cdr:sp macro="" textlink="">
      <cdr:nvSpPr>
        <cdr:cNvPr id="8" name="Textfeld 1"/>
        <cdr:cNvSpPr txBox="1"/>
      </cdr:nvSpPr>
      <cdr:spPr>
        <a:xfrm xmlns:a="http://schemas.openxmlformats.org/drawingml/2006/main">
          <a:off x="5156200" y="3417888"/>
          <a:ext cx="484799" cy="290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0°C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BF00650805" TargetMode="External"/><Relationship Id="rId2" Type="http://schemas.openxmlformats.org/officeDocument/2006/relationships/hyperlink" Target="https://doi.org/10.6028/jres.078A.043" TargetMode="External"/><Relationship Id="rId1" Type="http://schemas.openxmlformats.org/officeDocument/2006/relationships/hyperlink" Target="https://doi.org/10.1021/j150536a01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2"/>
  <sheetViews>
    <sheetView tabSelected="1" workbookViewId="0">
      <selection activeCell="C11" sqref="C11"/>
    </sheetView>
  </sheetViews>
  <sheetFormatPr defaultColWidth="9.109375" defaultRowHeight="13.2" x14ac:dyDescent="0.25"/>
  <cols>
    <col min="1" max="1" width="12.77734375" customWidth="1"/>
    <col min="2" max="2" width="8.77734375" customWidth="1"/>
    <col min="3" max="21" width="9.109375" customWidth="1"/>
    <col min="22" max="22" width="9.21875" customWidth="1"/>
  </cols>
  <sheetData>
    <row r="1" spans="1:3" x14ac:dyDescent="0.25">
      <c r="A1" s="31" t="s">
        <v>118</v>
      </c>
    </row>
    <row r="3" spans="1:3" x14ac:dyDescent="0.25">
      <c r="A3" t="s">
        <v>125</v>
      </c>
    </row>
    <row r="6" spans="1:3" x14ac:dyDescent="0.25">
      <c r="A6" s="31" t="s">
        <v>120</v>
      </c>
    </row>
    <row r="7" spans="1:3" x14ac:dyDescent="0.25">
      <c r="A7" s="31" t="s">
        <v>122</v>
      </c>
    </row>
    <row r="9" spans="1:3" x14ac:dyDescent="0.25">
      <c r="A9" t="s">
        <v>119</v>
      </c>
    </row>
    <row r="10" spans="1:3" x14ac:dyDescent="0.25">
      <c r="A10" s="24" t="s">
        <v>57</v>
      </c>
      <c r="B10" s="60" t="s">
        <v>126</v>
      </c>
      <c r="C10" t="s">
        <v>129</v>
      </c>
    </row>
    <row r="11" spans="1:3" x14ac:dyDescent="0.25">
      <c r="A11" s="24" t="s">
        <v>111</v>
      </c>
      <c r="B11" s="60" t="s">
        <v>127</v>
      </c>
      <c r="C11" t="s">
        <v>123</v>
      </c>
    </row>
    <row r="12" spans="1:3" ht="15.6" x14ac:dyDescent="0.25">
      <c r="A12" s="24" t="s">
        <v>69</v>
      </c>
      <c r="C12" s="31" t="s">
        <v>121</v>
      </c>
    </row>
    <row r="13" spans="1:3" x14ac:dyDescent="0.25">
      <c r="A13" s="24" t="s">
        <v>51</v>
      </c>
      <c r="B13" s="60" t="s">
        <v>128</v>
      </c>
      <c r="C13" t="s">
        <v>124</v>
      </c>
    </row>
    <row r="14" spans="1:3" x14ac:dyDescent="0.25">
      <c r="A14" s="24"/>
    </row>
    <row r="17" spans="1:36" x14ac:dyDescent="0.25">
      <c r="A17" t="s">
        <v>48</v>
      </c>
    </row>
    <row r="20" spans="1:36" ht="16.8" x14ac:dyDescent="0.35">
      <c r="B20" s="3"/>
      <c r="C20" s="3"/>
      <c r="H20" s="1" t="s">
        <v>0</v>
      </c>
      <c r="I20" s="40">
        <f>Z42</f>
        <v>1.5603287395909853</v>
      </c>
      <c r="J20" s="40">
        <f>AD42</f>
        <v>0.16557076021246628</v>
      </c>
      <c r="K20" t="s">
        <v>26</v>
      </c>
    </row>
    <row r="21" spans="1:36" ht="16.8" x14ac:dyDescent="0.35">
      <c r="A21" s="22" t="s">
        <v>53</v>
      </c>
      <c r="B21" s="3"/>
      <c r="H21" s="1" t="s">
        <v>1</v>
      </c>
      <c r="I21" s="32">
        <f>Z45</f>
        <v>0.61813190081461244</v>
      </c>
      <c r="J21" s="2">
        <f>AD45</f>
        <v>0.19913523057352639</v>
      </c>
      <c r="K21" s="16" t="s">
        <v>78</v>
      </c>
      <c r="N21" s="16" t="s">
        <v>77</v>
      </c>
      <c r="O21" s="9">
        <f>O23-O24-O25</f>
        <v>7.0000000000000007E-2</v>
      </c>
      <c r="P21" s="9">
        <f>SQRT(P23^2+P24^2+P25^2)</f>
        <v>0.10488088481701516</v>
      </c>
    </row>
    <row r="22" spans="1:36" x14ac:dyDescent="0.25">
      <c r="C22" s="3"/>
    </row>
    <row r="23" spans="1:36" ht="16.8" x14ac:dyDescent="0.35">
      <c r="B23" s="23">
        <f>2^2-3^2-1^2</f>
        <v>-6</v>
      </c>
      <c r="G23" s="21" t="s">
        <v>63</v>
      </c>
      <c r="I23" s="9">
        <v>-0.1</v>
      </c>
      <c r="J23">
        <v>0.1</v>
      </c>
      <c r="M23" s="21" t="s">
        <v>73</v>
      </c>
      <c r="O23">
        <v>-0.15</v>
      </c>
      <c r="P23">
        <v>0.1</v>
      </c>
    </row>
    <row r="24" spans="1:36" ht="15.6" x14ac:dyDescent="0.25">
      <c r="A24" s="15" t="s">
        <v>30</v>
      </c>
      <c r="B24" s="23">
        <f>1-1-1</f>
        <v>-1</v>
      </c>
      <c r="G24" s="21" t="s">
        <v>54</v>
      </c>
      <c r="I24">
        <v>0.08</v>
      </c>
      <c r="J24">
        <v>0.02</v>
      </c>
      <c r="M24" s="21" t="s">
        <v>74</v>
      </c>
      <c r="O24">
        <v>0.03</v>
      </c>
      <c r="P24">
        <v>0.01</v>
      </c>
    </row>
    <row r="25" spans="1:36" ht="16.8" x14ac:dyDescent="0.35">
      <c r="A25" s="15" t="s">
        <v>29</v>
      </c>
      <c r="B25" s="23"/>
      <c r="G25" s="21" t="s">
        <v>64</v>
      </c>
      <c r="I25" s="9">
        <f>I21+I23-I24</f>
        <v>0.43813190081461245</v>
      </c>
      <c r="J25" s="9">
        <f>SQRT(J23^2+J24^2+J21^2)</f>
        <v>0.22372939023644506</v>
      </c>
      <c r="M25" s="21" t="s">
        <v>70</v>
      </c>
      <c r="O25">
        <v>-0.25</v>
      </c>
      <c r="P25">
        <v>0.03</v>
      </c>
    </row>
    <row r="26" spans="1:36" ht="13.8" x14ac:dyDescent="0.3">
      <c r="A26" s="15"/>
      <c r="C26" s="4" t="s">
        <v>3</v>
      </c>
      <c r="D26" s="5"/>
      <c r="T26">
        <v>0.49099999999999999</v>
      </c>
      <c r="U26" s="31" t="s">
        <v>81</v>
      </c>
    </row>
    <row r="27" spans="1:36" ht="13.8" x14ac:dyDescent="0.3">
      <c r="C27" s="3" t="s">
        <v>4</v>
      </c>
      <c r="D27" s="3"/>
      <c r="S27" t="s">
        <v>2</v>
      </c>
      <c r="T27">
        <v>0.50900000000000001</v>
      </c>
      <c r="U27" s="31" t="s">
        <v>79</v>
      </c>
      <c r="AE27" s="4" t="s">
        <v>6</v>
      </c>
    </row>
    <row r="28" spans="1:36" ht="13.8" x14ac:dyDescent="0.3">
      <c r="C28" s="4" t="s">
        <v>5</v>
      </c>
      <c r="D28" s="5"/>
      <c r="R28" s="6"/>
      <c r="T28" s="2">
        <v>0.52</v>
      </c>
      <c r="U28" s="31" t="s">
        <v>80</v>
      </c>
      <c r="AF28" s="7" t="s">
        <v>23</v>
      </c>
      <c r="AG28" s="7"/>
      <c r="AH28" s="7"/>
      <c r="AI28" s="7" t="s">
        <v>16</v>
      </c>
    </row>
    <row r="29" spans="1:36" ht="16.8" x14ac:dyDescent="0.35">
      <c r="B29" t="s">
        <v>27</v>
      </c>
      <c r="C29" s="7" t="s">
        <v>8</v>
      </c>
      <c r="D29" s="7" t="s">
        <v>50</v>
      </c>
      <c r="E29" s="7" t="s">
        <v>9</v>
      </c>
      <c r="F29" s="7" t="s">
        <v>10</v>
      </c>
      <c r="G29" s="7" t="s">
        <v>11</v>
      </c>
      <c r="H29" s="7" t="s">
        <v>12</v>
      </c>
      <c r="I29" s="6" t="s">
        <v>13</v>
      </c>
      <c r="J29" s="8" t="s">
        <v>14</v>
      </c>
      <c r="L29" s="31" t="s">
        <v>68</v>
      </c>
      <c r="N29" s="30" t="s">
        <v>66</v>
      </c>
      <c r="T29" s="7" t="s">
        <v>15</v>
      </c>
      <c r="U29" s="8" t="s">
        <v>14</v>
      </c>
      <c r="AE29" s="1" t="s">
        <v>20</v>
      </c>
      <c r="AF29" s="7" t="s">
        <v>22</v>
      </c>
      <c r="AG29" s="7" t="s">
        <v>24</v>
      </c>
      <c r="AH29" s="7" t="s">
        <v>25</v>
      </c>
      <c r="AI29" s="7" t="s">
        <v>17</v>
      </c>
    </row>
    <row r="30" spans="1:36" ht="13.8" x14ac:dyDescent="0.3">
      <c r="B30" t="s">
        <v>28</v>
      </c>
      <c r="C30" s="7" t="s">
        <v>18</v>
      </c>
      <c r="D30" s="7" t="s">
        <v>18</v>
      </c>
      <c r="E30" s="7" t="s">
        <v>18</v>
      </c>
      <c r="G30" s="7" t="s">
        <v>19</v>
      </c>
      <c r="H30" s="7" t="s">
        <v>19</v>
      </c>
      <c r="AE30" s="4" t="s">
        <v>21</v>
      </c>
    </row>
    <row r="31" spans="1:36" ht="16.8" x14ac:dyDescent="0.35">
      <c r="A31" t="s">
        <v>7</v>
      </c>
      <c r="C31" s="4" t="s">
        <v>3</v>
      </c>
      <c r="D31" s="31" t="s">
        <v>49</v>
      </c>
      <c r="E31" s="31" t="s">
        <v>49</v>
      </c>
      <c r="F31" s="4" t="s">
        <v>3</v>
      </c>
      <c r="W31" s="17" t="s">
        <v>31</v>
      </c>
      <c r="X31" s="17" t="s">
        <v>32</v>
      </c>
      <c r="Y31" s="17" t="s">
        <v>33</v>
      </c>
      <c r="Z31" s="17" t="s">
        <v>34</v>
      </c>
      <c r="AA31" s="17" t="s">
        <v>35</v>
      </c>
      <c r="AE31">
        <v>0</v>
      </c>
      <c r="AF31">
        <f>$I$20+$I$21*AE31</f>
        <v>1.5603287395909853</v>
      </c>
      <c r="AG31">
        <f>AF31+AI31</f>
        <v>1.7258994998034516</v>
      </c>
      <c r="AH31">
        <f>AF31-AI31</f>
        <v>1.394757979378519</v>
      </c>
      <c r="AI31">
        <f>SQRT($J$20^2+($J$21*AE31)^2)</f>
        <v>0.16557076021246628</v>
      </c>
      <c r="AJ31" s="31" t="s">
        <v>65</v>
      </c>
    </row>
    <row r="32" spans="1:36" ht="14.4" x14ac:dyDescent="0.3">
      <c r="B32" s="25" t="s">
        <v>52</v>
      </c>
      <c r="C32" s="33">
        <v>0.16</v>
      </c>
      <c r="E32" s="35">
        <v>0.88</v>
      </c>
      <c r="F32" s="27">
        <f>1.021+(1.052-1.02)/(0.25-0.1)*0.06</f>
        <v>1.0337999999999998</v>
      </c>
      <c r="G32" s="26">
        <f>C32*F32</f>
        <v>0.16540799999999997</v>
      </c>
      <c r="H32" s="27">
        <f>E32+$B$24*LOG(F32)</f>
        <v>0.86556347216832796</v>
      </c>
      <c r="J32" s="28">
        <v>0.15</v>
      </c>
      <c r="L32">
        <v>25</v>
      </c>
      <c r="N32" s="2">
        <f>G32</f>
        <v>0.16540799999999997</v>
      </c>
      <c r="O32" s="2">
        <f>T32</f>
        <v>1.6370109752950825</v>
      </c>
      <c r="T32" s="2">
        <f>H32-$B$23*($T$27*SQRT(G32)/(1+1.5*SQRT(G32)))</f>
        <v>1.6370109752950825</v>
      </c>
      <c r="U32" s="2">
        <f>J32</f>
        <v>0.15</v>
      </c>
      <c r="W32" s="29">
        <f>1/U32^2</f>
        <v>44.444444444444443</v>
      </c>
      <c r="X32" s="29">
        <f>N32*W32</f>
        <v>7.3514666666666653</v>
      </c>
      <c r="Y32" s="29">
        <f>N32*N32*W32</f>
        <v>1.2159913983999995</v>
      </c>
      <c r="Z32" s="29">
        <f>T32*W32</f>
        <v>72.756043346448109</v>
      </c>
      <c r="AA32" s="29">
        <f>N32*T32*W32</f>
        <v>12.034431617849288</v>
      </c>
      <c r="AE32" s="9">
        <v>1.3</v>
      </c>
      <c r="AF32">
        <f>$I$20+$I$21*AE32</f>
        <v>2.3639002106499816</v>
      </c>
      <c r="AG32">
        <f>AF32+AI32</f>
        <v>2.6711954373152356</v>
      </c>
      <c r="AH32">
        <f>AF32-AI32</f>
        <v>2.0566049839847276</v>
      </c>
      <c r="AI32">
        <f>SQRT($J$20^2+($J$21*AE32)^2)</f>
        <v>0.30729522666525411</v>
      </c>
      <c r="AJ32" s="31" t="s">
        <v>65</v>
      </c>
    </row>
    <row r="33" spans="1:30" ht="14.4" x14ac:dyDescent="0.3">
      <c r="A33" s="24" t="s">
        <v>51</v>
      </c>
      <c r="B33" s="25" t="s">
        <v>52</v>
      </c>
      <c r="C33" s="33">
        <v>0.64</v>
      </c>
      <c r="E33" s="35">
        <v>0.98</v>
      </c>
      <c r="F33" s="27">
        <f>1.107+(1.23-1.107)/(1-0.5)*0.14</f>
        <v>1.14144</v>
      </c>
      <c r="G33" s="26">
        <f>C33*F33</f>
        <v>0.73052159999999999</v>
      </c>
      <c r="H33" s="27">
        <f>E33+$B$24*LOG(F33)</f>
        <v>0.92254691234174002</v>
      </c>
      <c r="J33" s="28">
        <v>0.15</v>
      </c>
      <c r="L33">
        <v>25</v>
      </c>
      <c r="N33" s="2">
        <f>G33</f>
        <v>0.73052159999999999</v>
      </c>
      <c r="O33" s="2">
        <f>T33</f>
        <v>2.0663698983511178</v>
      </c>
      <c r="T33" s="2">
        <f>H33-$B$23*($T$27*SQRT(G33)/(1+1.5*SQRT(G33)))</f>
        <v>2.0663698983511178</v>
      </c>
      <c r="U33" s="2">
        <f>J33</f>
        <v>0.15</v>
      </c>
      <c r="W33" s="29">
        <f>1/U33^2</f>
        <v>44.444444444444443</v>
      </c>
      <c r="X33" s="29">
        <f>N33*W33</f>
        <v>32.467626666666668</v>
      </c>
      <c r="Y33" s="29">
        <f>N33*N33*W33</f>
        <v>23.718302580735998</v>
      </c>
      <c r="Z33" s="29">
        <f>T33*W33</f>
        <v>91.838662148938567</v>
      </c>
      <c r="AA33" s="29">
        <f>N33*T33*W33</f>
        <v>67.090126414902045</v>
      </c>
    </row>
    <row r="34" spans="1:30" ht="14.4" x14ac:dyDescent="0.3">
      <c r="A34" s="24" t="s">
        <v>51</v>
      </c>
      <c r="B34" s="25" t="s">
        <v>52</v>
      </c>
      <c r="C34" s="34">
        <v>1</v>
      </c>
      <c r="E34" s="35">
        <v>1.1100000000000001</v>
      </c>
      <c r="F34" s="29">
        <v>1.23</v>
      </c>
      <c r="G34" s="26">
        <f>C34*F34</f>
        <v>1.23</v>
      </c>
      <c r="H34" s="27">
        <f>E34+$B$24*LOG(F34)</f>
        <v>1.0200948885606023</v>
      </c>
      <c r="J34" s="28">
        <v>0.15</v>
      </c>
      <c r="L34">
        <v>25</v>
      </c>
      <c r="N34" s="2">
        <f>G34</f>
        <v>1.23</v>
      </c>
      <c r="O34" s="2">
        <f>T34</f>
        <v>2.2917102497728026</v>
      </c>
      <c r="T34" s="2">
        <f>H34-$B$23*($T$27*SQRT(G34)/(1+1.5*SQRT(G34)))</f>
        <v>2.2917102497728026</v>
      </c>
      <c r="U34" s="2">
        <f>J34</f>
        <v>0.15</v>
      </c>
      <c r="W34" s="29">
        <f>1/U34^2</f>
        <v>44.444444444444443</v>
      </c>
      <c r="X34" s="29">
        <f>N34*W34</f>
        <v>54.666666666666664</v>
      </c>
      <c r="Y34" s="29">
        <f>N34*N34*W34</f>
        <v>67.239999999999995</v>
      </c>
      <c r="Z34" s="29">
        <f>T34*W34</f>
        <v>101.85378887879122</v>
      </c>
      <c r="AA34" s="29">
        <f>N34*T34*W34</f>
        <v>125.2801603209132</v>
      </c>
    </row>
    <row r="35" spans="1:30" ht="14.4" x14ac:dyDescent="0.3">
      <c r="A35" s="24" t="s">
        <v>51</v>
      </c>
      <c r="B35" s="25" t="s">
        <v>52</v>
      </c>
      <c r="C35" s="33">
        <v>0.16</v>
      </c>
      <c r="E35" s="35">
        <v>0.95</v>
      </c>
      <c r="F35" s="27">
        <f>1.021+(1.052-1.02)/(0.25-0.1)*0.06</f>
        <v>1.0337999999999998</v>
      </c>
      <c r="G35" s="26">
        <f>C35*F35</f>
        <v>0.16540799999999997</v>
      </c>
      <c r="H35" s="27">
        <f>E35+$B$24*LOG(F35)</f>
        <v>0.93556347216832791</v>
      </c>
      <c r="J35" s="28">
        <v>0.15</v>
      </c>
      <c r="L35">
        <v>37</v>
      </c>
      <c r="N35" s="2">
        <f>G35</f>
        <v>0.16540799999999997</v>
      </c>
      <c r="R35" s="2">
        <f>T35</f>
        <v>1.7236827288007688</v>
      </c>
      <c r="T35" s="2">
        <f>H35-$B$23*($T$28*SQRT(G35)/(1+1.5*SQRT(G35)))</f>
        <v>1.7236827288007688</v>
      </c>
      <c r="U35" s="2">
        <f>J35</f>
        <v>0.15</v>
      </c>
    </row>
    <row r="36" spans="1:30" ht="14.4" x14ac:dyDescent="0.3">
      <c r="A36" s="24" t="s">
        <v>51</v>
      </c>
      <c r="B36" s="25" t="s">
        <v>67</v>
      </c>
      <c r="C36" s="37">
        <v>0.15</v>
      </c>
      <c r="E36" s="35">
        <v>0.75</v>
      </c>
      <c r="F36" s="27">
        <f>1.013+(1.03-1.013)/(0.25-0.1)*0.05</f>
        <v>1.0186666666666666</v>
      </c>
      <c r="G36" s="26">
        <f>C36*F36</f>
        <v>0.15279999999999999</v>
      </c>
      <c r="H36" s="27">
        <f>E36+$B$24*LOG(F36)</f>
        <v>0.74196790481601016</v>
      </c>
      <c r="J36" s="28">
        <v>0.3</v>
      </c>
      <c r="L36">
        <v>37</v>
      </c>
      <c r="N36" s="2">
        <f>G36</f>
        <v>0.15279999999999999</v>
      </c>
      <c r="Q36" s="2">
        <f>T36</f>
        <v>1.5107773925136403</v>
      </c>
      <c r="R36" s="2"/>
      <c r="T36" s="2">
        <f>H36-$B$23*($T$28*SQRT(G36)/(1+1.5*SQRT(G36)))</f>
        <v>1.5107773925136403</v>
      </c>
      <c r="U36" s="2">
        <f>J36</f>
        <v>0.3</v>
      </c>
    </row>
    <row r="37" spans="1:30" x14ac:dyDescent="0.25">
      <c r="A37" s="24" t="s">
        <v>69</v>
      </c>
      <c r="K37" s="1"/>
      <c r="V37" s="15" t="s">
        <v>36</v>
      </c>
      <c r="W37">
        <f>SUM(W32:W36)</f>
        <v>133.33333333333331</v>
      </c>
      <c r="X37">
        <f>SUM(X32:X36)</f>
        <v>94.485759999999999</v>
      </c>
      <c r="Y37">
        <f>SUM(Y32:Y36)</f>
        <v>92.174293979135996</v>
      </c>
      <c r="Z37">
        <f>SUM(Z32:Z36)</f>
        <v>266.44849437417793</v>
      </c>
      <c r="AA37">
        <f>SUM(AA32:AA36)</f>
        <v>204.40471835366452</v>
      </c>
    </row>
    <row r="39" spans="1:30" ht="16.8" x14ac:dyDescent="0.35">
      <c r="Y39" s="15" t="s">
        <v>37</v>
      </c>
      <c r="Z39">
        <f>W37*Y37-X37^2</f>
        <v>3362.3470211071981</v>
      </c>
    </row>
    <row r="40" spans="1:30" ht="16.8" x14ac:dyDescent="0.35">
      <c r="H40" s="16" t="s">
        <v>77</v>
      </c>
      <c r="I40" s="9">
        <f>I42-I43-I44</f>
        <v>3.9999999999999994E-2</v>
      </c>
      <c r="J40" s="9">
        <f>SQRT(J42^2+J43^2+J44^2)</f>
        <v>0.11704699910719625</v>
      </c>
      <c r="Y40" s="15" t="s">
        <v>38</v>
      </c>
      <c r="Z40">
        <f>Y37*Z37</f>
        <v>24559.701850743641</v>
      </c>
    </row>
    <row r="41" spans="1:30" ht="16.8" x14ac:dyDescent="0.35">
      <c r="Y41" s="15" t="s">
        <v>39</v>
      </c>
      <c r="Z41">
        <f>X37*AA37</f>
        <v>19313.335161231942</v>
      </c>
    </row>
    <row r="42" spans="1:30" ht="16.8" x14ac:dyDescent="0.35">
      <c r="G42" s="21" t="s">
        <v>75</v>
      </c>
      <c r="I42">
        <v>-0.08</v>
      </c>
      <c r="J42">
        <v>0.1</v>
      </c>
      <c r="W42" s="1" t="s">
        <v>40</v>
      </c>
      <c r="Y42" s="18" t="s">
        <v>41</v>
      </c>
      <c r="Z42">
        <f>(Z40-Z41)/Z39</f>
        <v>1.5603287395909853</v>
      </c>
      <c r="AC42" s="19" t="s">
        <v>42</v>
      </c>
      <c r="AD42">
        <f>SQRT(Y37/Z39)</f>
        <v>0.16557076021246628</v>
      </c>
    </row>
    <row r="43" spans="1:30" ht="16.8" x14ac:dyDescent="0.35">
      <c r="G43" s="21" t="s">
        <v>74</v>
      </c>
      <c r="I43">
        <v>0.03</v>
      </c>
      <c r="J43">
        <v>0.01</v>
      </c>
      <c r="K43" s="2"/>
      <c r="Q43" s="2"/>
      <c r="R43" s="2"/>
      <c r="S43" s="2"/>
      <c r="T43" s="2"/>
      <c r="U43" s="2"/>
      <c r="Y43" s="15" t="s">
        <v>43</v>
      </c>
      <c r="Z43">
        <f>W37*AA37</f>
        <v>27253.962447155267</v>
      </c>
    </row>
    <row r="44" spans="1:30" ht="16.8" x14ac:dyDescent="0.35">
      <c r="G44" s="21" t="s">
        <v>72</v>
      </c>
      <c r="I44">
        <v>-0.15</v>
      </c>
      <c r="J44">
        <v>0.06</v>
      </c>
      <c r="K44" s="2"/>
      <c r="Q44" s="2"/>
      <c r="R44" s="2"/>
      <c r="S44" s="2"/>
      <c r="T44" s="2"/>
      <c r="U44" s="2"/>
      <c r="Y44" s="15" t="s">
        <v>44</v>
      </c>
      <c r="Z44">
        <f>X37*Z37</f>
        <v>25175.588491799925</v>
      </c>
    </row>
    <row r="45" spans="1:30" ht="16.8" x14ac:dyDescent="0.35">
      <c r="J45" s="2"/>
      <c r="M45" s="2"/>
      <c r="Q45" s="2"/>
      <c r="R45" s="2"/>
      <c r="S45" s="2"/>
      <c r="T45" s="2"/>
      <c r="U45" s="2"/>
      <c r="W45" s="1" t="s">
        <v>45</v>
      </c>
      <c r="Y45" s="20" t="s">
        <v>47</v>
      </c>
      <c r="Z45">
        <f>(Z43-Z44)/Z39</f>
        <v>0.61813190081461244</v>
      </c>
      <c r="AC45" s="19" t="s">
        <v>46</v>
      </c>
      <c r="AD45">
        <f>SQRT(W37/Z39)</f>
        <v>0.19913523057352639</v>
      </c>
    </row>
    <row r="46" spans="1:30" x14ac:dyDescent="0.25">
      <c r="J46" s="2"/>
      <c r="M46" s="2"/>
      <c r="Q46" s="2"/>
      <c r="R46" s="2"/>
      <c r="S46" s="2"/>
      <c r="T46" s="2"/>
      <c r="U46" s="2"/>
    </row>
    <row r="47" spans="1:30" ht="16.8" x14ac:dyDescent="0.35">
      <c r="B47" s="3"/>
      <c r="C47" s="3"/>
      <c r="H47" s="1" t="s">
        <v>0</v>
      </c>
      <c r="I47" s="40">
        <f>Z72</f>
        <v>1.0566591457545271</v>
      </c>
      <c r="J47" s="40">
        <f>AD72</f>
        <v>0.12696571106156015</v>
      </c>
      <c r="K47" t="s">
        <v>26</v>
      </c>
    </row>
    <row r="48" spans="1:30" ht="16.8" x14ac:dyDescent="0.35">
      <c r="A48" s="22" t="s">
        <v>55</v>
      </c>
      <c r="B48" s="3"/>
      <c r="H48" s="1" t="s">
        <v>1</v>
      </c>
      <c r="I48" s="32">
        <f>Z75</f>
        <v>0.51971537313458538</v>
      </c>
      <c r="J48" s="2">
        <f>AD75</f>
        <v>0.17075202487634883</v>
      </c>
      <c r="K48" s="16" t="s">
        <v>78</v>
      </c>
    </row>
    <row r="49" spans="1:36" x14ac:dyDescent="0.25">
      <c r="C49" s="3"/>
    </row>
    <row r="50" spans="1:36" ht="16.8" x14ac:dyDescent="0.35">
      <c r="B50" s="23">
        <f>1^2-2^2-1^2</f>
        <v>-4</v>
      </c>
      <c r="G50" s="21" t="s">
        <v>61</v>
      </c>
      <c r="I50" s="9">
        <v>-0.05</v>
      </c>
      <c r="J50" s="9">
        <v>0.1</v>
      </c>
    </row>
    <row r="51" spans="1:36" ht="15.6" x14ac:dyDescent="0.25">
      <c r="A51" s="15" t="s">
        <v>30</v>
      </c>
      <c r="B51" s="23">
        <f>1-1-1</f>
        <v>-1</v>
      </c>
      <c r="G51" s="21" t="s">
        <v>54</v>
      </c>
      <c r="I51">
        <v>0.08</v>
      </c>
      <c r="J51">
        <v>0.02</v>
      </c>
    </row>
    <row r="52" spans="1:36" ht="16.8" x14ac:dyDescent="0.35">
      <c r="A52" s="15" t="s">
        <v>29</v>
      </c>
      <c r="B52" s="23"/>
      <c r="G52" s="21" t="s">
        <v>62</v>
      </c>
      <c r="I52" s="9">
        <f>I48+I50-I51</f>
        <v>0.38971537313458537</v>
      </c>
      <c r="J52" s="9">
        <f>SQRT(J50^2+J51^2+J48^2)</f>
        <v>0.19888754108634671</v>
      </c>
    </row>
    <row r="53" spans="1:36" ht="13.8" x14ac:dyDescent="0.3">
      <c r="A53" s="15"/>
      <c r="C53" s="4" t="s">
        <v>3</v>
      </c>
      <c r="D53" s="5"/>
      <c r="T53">
        <v>0.49099999999999999</v>
      </c>
      <c r="U53" s="31" t="s">
        <v>81</v>
      </c>
    </row>
    <row r="54" spans="1:36" ht="13.8" x14ac:dyDescent="0.3">
      <c r="C54" s="3" t="s">
        <v>4</v>
      </c>
      <c r="D54" s="3"/>
      <c r="S54" t="s">
        <v>2</v>
      </c>
      <c r="T54">
        <v>0.50900000000000001</v>
      </c>
      <c r="U54" s="31" t="s">
        <v>79</v>
      </c>
      <c r="AE54" s="4" t="s">
        <v>6</v>
      </c>
    </row>
    <row r="55" spans="1:36" ht="13.8" x14ac:dyDescent="0.3">
      <c r="C55" s="4" t="s">
        <v>5</v>
      </c>
      <c r="D55" s="5"/>
      <c r="R55" s="6"/>
      <c r="T55" s="2">
        <v>0.52</v>
      </c>
      <c r="U55" s="31" t="s">
        <v>80</v>
      </c>
      <c r="AF55" s="7" t="s">
        <v>23</v>
      </c>
      <c r="AG55" s="7"/>
      <c r="AH55" s="7"/>
      <c r="AI55" s="7" t="s">
        <v>16</v>
      </c>
    </row>
    <row r="56" spans="1:36" ht="15.6" x14ac:dyDescent="0.35">
      <c r="B56" t="s">
        <v>27</v>
      </c>
      <c r="C56" s="7" t="s">
        <v>8</v>
      </c>
      <c r="D56" s="7" t="s">
        <v>50</v>
      </c>
      <c r="E56" s="7" t="s">
        <v>9</v>
      </c>
      <c r="F56" s="7" t="s">
        <v>10</v>
      </c>
      <c r="G56" s="7" t="s">
        <v>11</v>
      </c>
      <c r="H56" s="7" t="s">
        <v>12</v>
      </c>
      <c r="I56" s="6" t="s">
        <v>13</v>
      </c>
      <c r="J56" s="8" t="s">
        <v>14</v>
      </c>
      <c r="L56" s="31" t="s">
        <v>68</v>
      </c>
      <c r="T56" s="7" t="s">
        <v>15</v>
      </c>
      <c r="U56" s="8" t="s">
        <v>14</v>
      </c>
      <c r="AE56" s="1" t="s">
        <v>20</v>
      </c>
      <c r="AF56" s="7" t="s">
        <v>22</v>
      </c>
      <c r="AG56" s="7" t="s">
        <v>24</v>
      </c>
      <c r="AH56" s="7" t="s">
        <v>25</v>
      </c>
      <c r="AI56" s="7" t="s">
        <v>17</v>
      </c>
    </row>
    <row r="57" spans="1:36" ht="13.8" x14ac:dyDescent="0.3">
      <c r="B57" t="s">
        <v>28</v>
      </c>
      <c r="C57" s="7" t="s">
        <v>18</v>
      </c>
      <c r="D57" s="7" t="s">
        <v>18</v>
      </c>
      <c r="E57" s="7" t="s">
        <v>18</v>
      </c>
      <c r="G57" s="7" t="s">
        <v>19</v>
      </c>
      <c r="H57" s="7" t="s">
        <v>19</v>
      </c>
      <c r="AE57" s="4" t="s">
        <v>21</v>
      </c>
    </row>
    <row r="58" spans="1:36" ht="16.8" x14ac:dyDescent="0.35">
      <c r="A58" t="s">
        <v>7</v>
      </c>
      <c r="C58" s="4" t="s">
        <v>3</v>
      </c>
      <c r="D58" s="31" t="s">
        <v>49</v>
      </c>
      <c r="E58" s="31" t="s">
        <v>49</v>
      </c>
      <c r="F58" s="4" t="s">
        <v>3</v>
      </c>
      <c r="W58" s="17" t="s">
        <v>31</v>
      </c>
      <c r="X58" s="17" t="s">
        <v>32</v>
      </c>
      <c r="Y58" s="17" t="s">
        <v>33</v>
      </c>
      <c r="Z58" s="17" t="s">
        <v>34</v>
      </c>
      <c r="AA58" s="17" t="s">
        <v>35</v>
      </c>
      <c r="AE58">
        <v>0</v>
      </c>
      <c r="AF58">
        <f>$I$47+$I$48*AE58</f>
        <v>1.0566591457545271</v>
      </c>
      <c r="AG58">
        <f>AF58+AI58</f>
        <v>1.1836248568160872</v>
      </c>
      <c r="AH58">
        <f>AF58-AI58</f>
        <v>0.92969343469296695</v>
      </c>
      <c r="AI58">
        <f>SQRT($J$47^2+($J$48*AE58)^2)</f>
        <v>0.12696571106156015</v>
      </c>
      <c r="AJ58" s="31" t="s">
        <v>65</v>
      </c>
    </row>
    <row r="59" spans="1:36" ht="14.4" x14ac:dyDescent="0.3">
      <c r="B59" s="25" t="s">
        <v>52</v>
      </c>
      <c r="C59" s="33">
        <v>0.16</v>
      </c>
      <c r="E59" s="35">
        <v>0.69</v>
      </c>
      <c r="F59" s="27">
        <f>1.021+(1.052-1.02)/(0.25-0.1)*0.06</f>
        <v>1.0337999999999998</v>
      </c>
      <c r="G59" s="26">
        <f t="shared" ref="G59:G65" si="0">C59*F59</f>
        <v>0.16540799999999997</v>
      </c>
      <c r="H59" s="27">
        <f t="shared" ref="H59:H64" si="1">E59+$B$51*LOG(F59)</f>
        <v>0.67556347216832791</v>
      </c>
      <c r="J59" s="28">
        <v>0.15</v>
      </c>
      <c r="L59">
        <v>25</v>
      </c>
      <c r="N59" s="2">
        <f t="shared" ref="N59:N65" si="2">G59</f>
        <v>0.16540799999999997</v>
      </c>
      <c r="O59" s="2">
        <f>T59</f>
        <v>1.1898618075861642</v>
      </c>
      <c r="T59" s="2">
        <f>H59-$B$50*($T$54*SQRT(G59)/(1+1.5*SQRT(G59)))</f>
        <v>1.1898618075861642</v>
      </c>
      <c r="U59" s="2">
        <f t="shared" ref="U59:U64" si="3">J59</f>
        <v>0.15</v>
      </c>
      <c r="W59" s="29">
        <f>1/U59^2</f>
        <v>44.444444444444443</v>
      </c>
      <c r="X59" s="29">
        <f>N59*W59</f>
        <v>7.3514666666666653</v>
      </c>
      <c r="Y59" s="29">
        <f>N59*N59*W59</f>
        <v>1.2159913983999995</v>
      </c>
      <c r="Z59" s="29">
        <f>T59*W59</f>
        <v>52.882747003829522</v>
      </c>
      <c r="AA59" s="29">
        <f>N59*T59*W59</f>
        <v>8.7472294164094322</v>
      </c>
      <c r="AE59" s="9">
        <v>1.3</v>
      </c>
      <c r="AF59">
        <f>$I$47+$I$48*AE59</f>
        <v>1.7322891308294881</v>
      </c>
      <c r="AG59">
        <f>AF59+AI59</f>
        <v>1.9880123426118923</v>
      </c>
      <c r="AH59">
        <f>AF59-AI59</f>
        <v>1.4765659190470839</v>
      </c>
      <c r="AI59">
        <f>SQRT($J$47^2+($J$48*AE59)^2)</f>
        <v>0.25572321178240426</v>
      </c>
      <c r="AJ59" s="31" t="s">
        <v>65</v>
      </c>
    </row>
    <row r="60" spans="1:36" ht="14.4" x14ac:dyDescent="0.3">
      <c r="A60" s="24" t="s">
        <v>51</v>
      </c>
      <c r="B60" s="25" t="s">
        <v>52</v>
      </c>
      <c r="C60" s="33">
        <v>0.64</v>
      </c>
      <c r="E60" s="35">
        <v>0.79</v>
      </c>
      <c r="F60" s="27">
        <f>1.107+(1.23-1.107)/(1-0.5)*0.14</f>
        <v>1.14144</v>
      </c>
      <c r="G60" s="26">
        <f t="shared" si="0"/>
        <v>0.73052159999999999</v>
      </c>
      <c r="H60" s="27">
        <f t="shared" si="1"/>
        <v>0.73254691234174008</v>
      </c>
      <c r="J60" s="28">
        <v>0.15</v>
      </c>
      <c r="L60">
        <v>25</v>
      </c>
      <c r="N60" s="2">
        <f t="shared" si="2"/>
        <v>0.73052159999999999</v>
      </c>
      <c r="O60" s="2">
        <f>T60</f>
        <v>1.4950955696813253</v>
      </c>
      <c r="T60" s="2">
        <f>H60-$B$50*($T$54*SQRT(G60)/(1+1.5*SQRT(G60)))</f>
        <v>1.4950955696813253</v>
      </c>
      <c r="U60" s="2">
        <f t="shared" si="3"/>
        <v>0.15</v>
      </c>
      <c r="W60" s="29">
        <f>1/U60^2</f>
        <v>44.444444444444443</v>
      </c>
      <c r="X60" s="29">
        <f>N60*W60</f>
        <v>32.467626666666668</v>
      </c>
      <c r="Y60" s="29">
        <f>N60*N60*W60</f>
        <v>23.718302580735998</v>
      </c>
      <c r="Z60" s="29">
        <f>T60*W60</f>
        <v>66.448691985836675</v>
      </c>
      <c r="AA60" s="29">
        <f>N60*T60*W60</f>
        <v>48.542204787400586</v>
      </c>
    </row>
    <row r="61" spans="1:36" ht="14.4" x14ac:dyDescent="0.3">
      <c r="A61" s="24" t="s">
        <v>51</v>
      </c>
      <c r="B61" s="25" t="s">
        <v>52</v>
      </c>
      <c r="C61" s="34">
        <v>1</v>
      </c>
      <c r="E61" s="35">
        <v>0.9</v>
      </c>
      <c r="F61" s="29">
        <v>1.23</v>
      </c>
      <c r="G61" s="26">
        <f t="shared" si="0"/>
        <v>1.23</v>
      </c>
      <c r="H61" s="27">
        <f t="shared" si="1"/>
        <v>0.81009488856060208</v>
      </c>
      <c r="J61" s="28">
        <v>0.15</v>
      </c>
      <c r="L61">
        <v>25</v>
      </c>
      <c r="N61" s="2">
        <f t="shared" si="2"/>
        <v>1.23</v>
      </c>
      <c r="O61" s="2">
        <f>T61</f>
        <v>1.657838462702069</v>
      </c>
      <c r="T61" s="2">
        <f>H61-$B$50*($T$54*SQRT(G61)/(1+1.5*SQRT(G61)))</f>
        <v>1.657838462702069</v>
      </c>
      <c r="U61" s="2">
        <f t="shared" si="3"/>
        <v>0.15</v>
      </c>
      <c r="W61" s="29">
        <f>1/U61^2</f>
        <v>44.444444444444443</v>
      </c>
      <c r="X61" s="29">
        <f>N61*W61</f>
        <v>54.666666666666664</v>
      </c>
      <c r="Y61" s="29">
        <f>N61*N61*W61</f>
        <v>67.239999999999995</v>
      </c>
      <c r="Z61" s="29">
        <f>T61*W61</f>
        <v>73.681709453425285</v>
      </c>
      <c r="AA61" s="29">
        <f>N61*T61*W61</f>
        <v>90.628502627713104</v>
      </c>
    </row>
    <row r="62" spans="1:36" ht="14.4" x14ac:dyDescent="0.3">
      <c r="A62" s="24" t="s">
        <v>51</v>
      </c>
      <c r="B62" s="25" t="s">
        <v>56</v>
      </c>
      <c r="C62" s="33">
        <v>0.2</v>
      </c>
      <c r="D62" s="38">
        <v>4</v>
      </c>
      <c r="E62" s="39">
        <f>LOG(D62)</f>
        <v>0.6020599913279624</v>
      </c>
      <c r="F62" s="27">
        <f>1.026+(1.065-1.026)/(0.25-0.1)*0.1</f>
        <v>1.052</v>
      </c>
      <c r="G62" s="26">
        <f t="shared" si="0"/>
        <v>0.21040000000000003</v>
      </c>
      <c r="H62" s="27">
        <f t="shared" si="1"/>
        <v>0.58004425151024208</v>
      </c>
      <c r="I62" s="2">
        <f>(LOG(4+0.4)-LOG(4-0.4))/2</f>
        <v>4.3575087859450079E-2</v>
      </c>
      <c r="J62" s="28">
        <v>0.2</v>
      </c>
      <c r="L62">
        <v>25</v>
      </c>
      <c r="N62" s="2">
        <f t="shared" si="2"/>
        <v>0.21040000000000003</v>
      </c>
      <c r="P62" s="2">
        <f>T62</f>
        <v>1.1332895458696726</v>
      </c>
      <c r="T62" s="2">
        <f>H62-$B$50*($T$54*SQRT(G62)/(1+1.5*SQRT(G62)))</f>
        <v>1.1332895458696726</v>
      </c>
      <c r="U62" s="2">
        <f t="shared" si="3"/>
        <v>0.2</v>
      </c>
      <c r="W62" s="29">
        <f>1/U62^2</f>
        <v>24.999999999999996</v>
      </c>
      <c r="X62" s="29">
        <f>N62*W62</f>
        <v>5.26</v>
      </c>
      <c r="Y62" s="29">
        <f>N62*N62*W62</f>
        <v>1.1067040000000001</v>
      </c>
      <c r="Z62" s="29">
        <f>T62*W62</f>
        <v>28.332238646741811</v>
      </c>
      <c r="AA62" s="29">
        <f>N62*T62*W62</f>
        <v>5.9611030112744778</v>
      </c>
    </row>
    <row r="63" spans="1:36" x14ac:dyDescent="0.25">
      <c r="A63" s="24" t="s">
        <v>57</v>
      </c>
      <c r="C63" s="33">
        <v>0</v>
      </c>
      <c r="D63" s="38">
        <v>7</v>
      </c>
      <c r="E63" s="39">
        <f>LOG(D63)</f>
        <v>0.84509804001425681</v>
      </c>
      <c r="F63" s="27">
        <f>1</f>
        <v>1</v>
      </c>
      <c r="G63" s="26">
        <f>C63*F63</f>
        <v>0</v>
      </c>
      <c r="H63" s="27">
        <f>E63+$B$51*LOG(F63)</f>
        <v>0.84509804001425681</v>
      </c>
      <c r="I63" s="2">
        <f>(LOG(7+2.4)-LOG(7-2.4))/2</f>
        <v>0.15518501095906229</v>
      </c>
      <c r="J63" s="28">
        <f>2*I63</f>
        <v>0.31037002191812457</v>
      </c>
      <c r="K63" s="1"/>
      <c r="L63">
        <v>25</v>
      </c>
      <c r="N63" s="2">
        <v>1E-3</v>
      </c>
      <c r="S63" s="2">
        <f>T66</f>
        <v>0.84509804001425681</v>
      </c>
      <c r="T63" s="2">
        <f>H63-$B$50*($T$54*SQRT(G63)/(1+1.5*SQRT(G63)))</f>
        <v>0.84509804001425681</v>
      </c>
      <c r="U63" s="2">
        <f>J63</f>
        <v>0.31037002191812457</v>
      </c>
      <c r="W63" s="29">
        <f>1/U63^2</f>
        <v>10.38103048081128</v>
      </c>
      <c r="X63" s="29">
        <f>N63*W63</f>
        <v>1.0381030480811279E-2</v>
      </c>
      <c r="Y63" s="29">
        <f>N63*N63*W63</f>
        <v>1.038103048081128E-5</v>
      </c>
      <c r="Z63" s="29">
        <f>T63*W63</f>
        <v>8.7729885126618701</v>
      </c>
      <c r="AA63" s="29">
        <f>N63*T63*W63</f>
        <v>8.7729885126618702E-3</v>
      </c>
    </row>
    <row r="64" spans="1:36" ht="14.4" x14ac:dyDescent="0.3">
      <c r="A64" s="24" t="s">
        <v>111</v>
      </c>
      <c r="B64" s="25" t="s">
        <v>52</v>
      </c>
      <c r="C64" s="33">
        <v>0.16</v>
      </c>
      <c r="E64" s="35">
        <v>0.77</v>
      </c>
      <c r="F64" s="27">
        <f>1.021+(1.052-1.02)/(0.25-0.1)*0.06</f>
        <v>1.0337999999999998</v>
      </c>
      <c r="G64" s="26">
        <f t="shared" si="0"/>
        <v>0.16540799999999997</v>
      </c>
      <c r="H64" s="27">
        <f t="shared" si="1"/>
        <v>0.75556347216832798</v>
      </c>
      <c r="J64" s="28">
        <v>0.15</v>
      </c>
      <c r="L64">
        <v>37</v>
      </c>
      <c r="N64" s="2">
        <f t="shared" si="2"/>
        <v>0.16540799999999997</v>
      </c>
      <c r="R64" s="2">
        <f>T64</f>
        <v>1.2809763099232887</v>
      </c>
      <c r="T64" s="2">
        <f>H64-$B$50*($T$55*SQRT(G64)/(1+1.5*SQRT(G64)))</f>
        <v>1.2809763099232887</v>
      </c>
      <c r="U64" s="2">
        <f t="shared" si="3"/>
        <v>0.15</v>
      </c>
    </row>
    <row r="65" spans="1:30" ht="14.4" x14ac:dyDescent="0.3">
      <c r="A65" s="24" t="s">
        <v>51</v>
      </c>
      <c r="B65" s="25" t="s">
        <v>67</v>
      </c>
      <c r="C65" s="37">
        <v>0.15</v>
      </c>
      <c r="E65" s="35">
        <v>0.65</v>
      </c>
      <c r="F65" s="27">
        <f>1.013+(1.03-1.013)/(0.25-0.1)*0.05</f>
        <v>1.0186666666666666</v>
      </c>
      <c r="G65" s="26">
        <f t="shared" si="0"/>
        <v>0.15279999999999999</v>
      </c>
      <c r="H65" s="27">
        <f>E65+$B$51*LOG(F65)</f>
        <v>0.64196790481601018</v>
      </c>
      <c r="J65" s="28">
        <v>0.2</v>
      </c>
      <c r="L65">
        <v>37</v>
      </c>
      <c r="N65" s="2">
        <f t="shared" si="2"/>
        <v>0.15279999999999999</v>
      </c>
      <c r="Q65" s="2">
        <f>T65</f>
        <v>1.154507563281097</v>
      </c>
      <c r="R65" s="2"/>
      <c r="T65" s="2">
        <f>H65-$B$50*($T$55*SQRT(G65)/(1+1.5*SQRT(G65)))</f>
        <v>1.154507563281097</v>
      </c>
      <c r="U65" s="2">
        <f>J65</f>
        <v>0.2</v>
      </c>
    </row>
    <row r="66" spans="1:30" ht="14.4" x14ac:dyDescent="0.3">
      <c r="A66" s="24" t="s">
        <v>69</v>
      </c>
      <c r="B66" s="25" t="s">
        <v>56</v>
      </c>
      <c r="C66" s="33">
        <v>0.2</v>
      </c>
      <c r="D66" s="43">
        <v>1.2</v>
      </c>
      <c r="E66" s="39">
        <f>LOG(D66)</f>
        <v>7.9181246047624818E-2</v>
      </c>
      <c r="F66" s="27">
        <f>1.026+(1.065-1.026)/(0.25-0.1)*0.1</f>
        <v>1.052</v>
      </c>
      <c r="G66" s="26">
        <f>C66*F66</f>
        <v>0.21040000000000003</v>
      </c>
      <c r="H66" s="27">
        <f>E66+$B$51*LOG(F66)</f>
        <v>5.7165506229904538E-2</v>
      </c>
      <c r="I66" s="2">
        <f>(LOG(1.2+0.3)-LOG(1.2-0.3))/2</f>
        <v>0.11092437480817821</v>
      </c>
      <c r="J66" s="28">
        <v>0.4</v>
      </c>
      <c r="T66" s="2">
        <f>H63-$B$50*($T$55*SQRT(G63)/(1+1.5*SQRT(G63)))</f>
        <v>0.84509804001425681</v>
      </c>
      <c r="U66" s="2">
        <f>J66</f>
        <v>0.4</v>
      </c>
    </row>
    <row r="67" spans="1:30" x14ac:dyDescent="0.25">
      <c r="A67" s="24" t="s">
        <v>57</v>
      </c>
      <c r="D67" s="59">
        <v>9.4</v>
      </c>
      <c r="E67" s="39">
        <f>LOG(D67)</f>
        <v>0.97312785359969867</v>
      </c>
      <c r="I67" s="2">
        <f>(LOG(9.4+5.2)-LOG(9.4-5.2))/2</f>
        <v>0.27055178269326835</v>
      </c>
      <c r="V67" s="15" t="s">
        <v>36</v>
      </c>
      <c r="W67">
        <f>SUM(W59:W65)</f>
        <v>168.7143638141446</v>
      </c>
      <c r="X67">
        <f>SUM(X59:X65)</f>
        <v>99.756141030480819</v>
      </c>
      <c r="Y67">
        <f>SUM(Y59:Y65)</f>
        <v>93.281008360166467</v>
      </c>
      <c r="Z67">
        <f>SUM(Z59:Z65)</f>
        <v>230.11837560249518</v>
      </c>
      <c r="AA67">
        <f>SUM(AA59:AA65)</f>
        <v>153.88781283131027</v>
      </c>
    </row>
    <row r="68" spans="1:30" x14ac:dyDescent="0.25">
      <c r="A68" s="24" t="s">
        <v>111</v>
      </c>
    </row>
    <row r="69" spans="1:30" ht="16.8" x14ac:dyDescent="0.35">
      <c r="H69" s="16" t="s">
        <v>77</v>
      </c>
      <c r="I69" s="9">
        <f>I71-I72-I73</f>
        <v>0.05</v>
      </c>
      <c r="J69" s="9">
        <f>SQRT(J71^2+J72^2+J73^2)</f>
        <v>0.10816653826391968</v>
      </c>
      <c r="Y69" s="15" t="s">
        <v>37</v>
      </c>
      <c r="Z69">
        <f>W67*Y67-X67^2</f>
        <v>5786.558308134212</v>
      </c>
    </row>
    <row r="70" spans="1:30" ht="16.8" x14ac:dyDescent="0.35">
      <c r="Y70" s="15" t="s">
        <v>38</v>
      </c>
      <c r="Z70">
        <f>Y67*Z67</f>
        <v>21465.67411840428</v>
      </c>
    </row>
    <row r="71" spans="1:30" ht="16.8" x14ac:dyDescent="0.35">
      <c r="G71" s="21" t="s">
        <v>76</v>
      </c>
      <c r="I71" s="36">
        <v>0</v>
      </c>
      <c r="J71">
        <v>0.1</v>
      </c>
      <c r="Y71" s="15" t="s">
        <v>39</v>
      </c>
      <c r="Z71">
        <f>X67*AA67</f>
        <v>15351.254359672423</v>
      </c>
    </row>
    <row r="72" spans="1:30" ht="16.8" x14ac:dyDescent="0.35">
      <c r="G72" s="21" t="s">
        <v>74</v>
      </c>
      <c r="I72">
        <v>0.03</v>
      </c>
      <c r="J72">
        <v>0.01</v>
      </c>
      <c r="K72" s="2"/>
      <c r="Q72" s="2"/>
      <c r="R72" s="2"/>
      <c r="S72" s="2"/>
      <c r="T72" s="2"/>
      <c r="U72" s="2"/>
      <c r="W72" s="1" t="s">
        <v>40</v>
      </c>
      <c r="Y72" s="18" t="s">
        <v>41</v>
      </c>
      <c r="Z72">
        <f>(Z70-Z71)/Z69</f>
        <v>1.0566591457545271</v>
      </c>
      <c r="AC72" s="19" t="s">
        <v>42</v>
      </c>
      <c r="AD72">
        <f>SQRT(Y67/Z69)</f>
        <v>0.12696571106156015</v>
      </c>
    </row>
    <row r="73" spans="1:30" ht="16.8" x14ac:dyDescent="0.35">
      <c r="G73" s="21" t="s">
        <v>71</v>
      </c>
      <c r="I73">
        <v>-0.08</v>
      </c>
      <c r="J73">
        <v>0.04</v>
      </c>
      <c r="K73" s="2"/>
      <c r="Q73" s="2"/>
      <c r="R73" s="2"/>
      <c r="S73" s="2"/>
      <c r="T73" s="2"/>
      <c r="U73" s="2"/>
      <c r="Y73" s="15" t="s">
        <v>43</v>
      </c>
      <c r="Z73">
        <f>W67*AA67</f>
        <v>25963.084440584673</v>
      </c>
    </row>
    <row r="74" spans="1:30" ht="16.8" x14ac:dyDescent="0.35">
      <c r="J74" s="2"/>
      <c r="M74" s="2"/>
      <c r="Q74" s="2"/>
      <c r="R74" s="2"/>
      <c r="S74" s="2"/>
      <c r="T74" s="2"/>
      <c r="U74" s="2"/>
      <c r="Y74" s="15" t="s">
        <v>44</v>
      </c>
      <c r="Z74">
        <f>X67*Z67</f>
        <v>22955.721130307666</v>
      </c>
    </row>
    <row r="75" spans="1:30" ht="16.8" x14ac:dyDescent="0.35">
      <c r="B75" s="10"/>
      <c r="C75" s="11"/>
      <c r="D75" s="12"/>
      <c r="E75" s="2"/>
      <c r="F75" s="13"/>
      <c r="G75" s="9"/>
      <c r="H75" s="14"/>
      <c r="I75" s="12"/>
      <c r="J75" s="2"/>
      <c r="K75" s="2"/>
      <c r="Q75" s="2"/>
      <c r="R75" s="2"/>
      <c r="S75" s="2"/>
      <c r="T75" s="2"/>
      <c r="U75" s="2"/>
      <c r="W75" s="1" t="s">
        <v>45</v>
      </c>
      <c r="Y75" s="20" t="s">
        <v>47</v>
      </c>
      <c r="Z75">
        <f>(Z73-Z74)/Z69</f>
        <v>0.51971537313458538</v>
      </c>
      <c r="AC75" s="19" t="s">
        <v>46</v>
      </c>
      <c r="AD75">
        <f>SQRT(W67/Z69)</f>
        <v>0.17075202487634883</v>
      </c>
    </row>
    <row r="76" spans="1:30" x14ac:dyDescent="0.25">
      <c r="A76" s="10"/>
      <c r="B76" s="10"/>
      <c r="C76" s="11"/>
      <c r="D76" s="12"/>
      <c r="E76" s="2"/>
      <c r="F76" s="13"/>
      <c r="G76" s="9"/>
      <c r="H76" s="14"/>
      <c r="I76" s="12"/>
      <c r="J76" s="2"/>
      <c r="P76" s="2"/>
      <c r="Q76" s="2"/>
      <c r="R76" s="2"/>
      <c r="S76" s="2"/>
      <c r="T76" s="2"/>
      <c r="U76" s="2"/>
      <c r="V76" s="9"/>
      <c r="Y76" s="2"/>
      <c r="AA76" s="2"/>
    </row>
    <row r="77" spans="1:30" ht="16.8" x14ac:dyDescent="0.35">
      <c r="A77" s="10"/>
      <c r="B77" s="3"/>
      <c r="C77" s="3"/>
      <c r="H77" s="1" t="s">
        <v>0</v>
      </c>
      <c r="I77" s="40">
        <f>Z99</f>
        <v>0.29898419975861557</v>
      </c>
      <c r="J77" s="40">
        <f>AD99</f>
        <v>0.16557076021246628</v>
      </c>
      <c r="K77" t="s">
        <v>26</v>
      </c>
    </row>
    <row r="78" spans="1:30" ht="16.8" x14ac:dyDescent="0.35">
      <c r="A78" s="22" t="s">
        <v>58</v>
      </c>
      <c r="B78" s="3"/>
      <c r="H78" s="1" t="s">
        <v>1</v>
      </c>
      <c r="I78" s="32">
        <f>Z102</f>
        <v>0.24626777727929869</v>
      </c>
      <c r="J78" s="2">
        <f>AD102</f>
        <v>0.19913523057352639</v>
      </c>
      <c r="K78" s="16" t="s">
        <v>78</v>
      </c>
    </row>
    <row r="79" spans="1:30" x14ac:dyDescent="0.25">
      <c r="C79" s="3"/>
    </row>
    <row r="80" spans="1:30" ht="15.6" x14ac:dyDescent="0.35">
      <c r="B80" s="23">
        <f>0^2-1^2-1^2</f>
        <v>-2</v>
      </c>
      <c r="G80" s="21" t="s">
        <v>59</v>
      </c>
      <c r="I80" s="36">
        <v>0</v>
      </c>
      <c r="J80">
        <v>0.1</v>
      </c>
    </row>
    <row r="81" spans="1:36" ht="15.6" x14ac:dyDescent="0.25">
      <c r="A81" s="15" t="s">
        <v>30</v>
      </c>
      <c r="B81" s="23">
        <f>1-1-1</f>
        <v>-1</v>
      </c>
      <c r="G81" s="21" t="s">
        <v>54</v>
      </c>
      <c r="I81">
        <v>0.08</v>
      </c>
      <c r="J81">
        <v>0.02</v>
      </c>
    </row>
    <row r="82" spans="1:36" ht="16.8" x14ac:dyDescent="0.35">
      <c r="A82" s="15" t="s">
        <v>29</v>
      </c>
      <c r="B82" s="23"/>
      <c r="G82" s="21" t="s">
        <v>60</v>
      </c>
      <c r="I82" s="9">
        <f>I78+I80-I81</f>
        <v>0.1662677772792987</v>
      </c>
      <c r="J82" s="9">
        <f>SQRT(J80^2+J81^2+J78^2)</f>
        <v>0.22372939023644506</v>
      </c>
    </row>
    <row r="83" spans="1:36" ht="13.8" x14ac:dyDescent="0.3">
      <c r="A83" s="15"/>
      <c r="C83" s="4" t="s">
        <v>3</v>
      </c>
      <c r="D83" s="5"/>
      <c r="T83">
        <v>0.49099999999999999</v>
      </c>
      <c r="U83" s="31" t="s">
        <v>81</v>
      </c>
    </row>
    <row r="84" spans="1:36" ht="13.8" x14ac:dyDescent="0.3">
      <c r="C84" s="3" t="s">
        <v>4</v>
      </c>
      <c r="D84" s="3"/>
      <c r="S84" t="s">
        <v>2</v>
      </c>
      <c r="T84">
        <v>0.50900000000000001</v>
      </c>
      <c r="U84" s="31" t="s">
        <v>79</v>
      </c>
      <c r="AE84" s="4" t="s">
        <v>6</v>
      </c>
    </row>
    <row r="85" spans="1:36" ht="13.8" x14ac:dyDescent="0.3">
      <c r="C85" s="4" t="s">
        <v>5</v>
      </c>
      <c r="D85" s="5"/>
      <c r="R85" s="6"/>
      <c r="T85" s="2">
        <v>0.52</v>
      </c>
      <c r="U85" s="31" t="s">
        <v>80</v>
      </c>
      <c r="AF85" s="7" t="s">
        <v>23</v>
      </c>
      <c r="AG85" s="7"/>
      <c r="AH85" s="7"/>
      <c r="AI85" s="7" t="s">
        <v>16</v>
      </c>
    </row>
    <row r="86" spans="1:36" ht="15.6" x14ac:dyDescent="0.35">
      <c r="B86" t="s">
        <v>27</v>
      </c>
      <c r="C86" s="7" t="s">
        <v>8</v>
      </c>
      <c r="D86" s="7" t="s">
        <v>50</v>
      </c>
      <c r="E86" s="7" t="s">
        <v>9</v>
      </c>
      <c r="F86" s="7" t="s">
        <v>10</v>
      </c>
      <c r="G86" s="7" t="s">
        <v>11</v>
      </c>
      <c r="H86" s="7" t="s">
        <v>12</v>
      </c>
      <c r="I86" s="6" t="s">
        <v>13</v>
      </c>
      <c r="J86" s="8" t="s">
        <v>14</v>
      </c>
      <c r="L86" s="31" t="s">
        <v>68</v>
      </c>
      <c r="T86" s="7" t="s">
        <v>15</v>
      </c>
      <c r="U86" s="8" t="s">
        <v>14</v>
      </c>
      <c r="AE86" s="1" t="s">
        <v>20</v>
      </c>
      <c r="AF86" s="7" t="s">
        <v>22</v>
      </c>
      <c r="AG86" s="7" t="s">
        <v>24</v>
      </c>
      <c r="AH86" s="7" t="s">
        <v>25</v>
      </c>
      <c r="AI86" s="7" t="s">
        <v>17</v>
      </c>
    </row>
    <row r="87" spans="1:36" ht="13.8" x14ac:dyDescent="0.3">
      <c r="B87" t="s">
        <v>28</v>
      </c>
      <c r="C87" s="7" t="s">
        <v>18</v>
      </c>
      <c r="D87" s="7" t="s">
        <v>18</v>
      </c>
      <c r="E87" s="7" t="s">
        <v>18</v>
      </c>
      <c r="G87" s="7" t="s">
        <v>19</v>
      </c>
      <c r="H87" s="7" t="s">
        <v>19</v>
      </c>
      <c r="AE87" s="4" t="s">
        <v>21</v>
      </c>
    </row>
    <row r="88" spans="1:36" ht="16.8" x14ac:dyDescent="0.35">
      <c r="A88" t="s">
        <v>7</v>
      </c>
      <c r="C88" s="4" t="s">
        <v>3</v>
      </c>
      <c r="D88" s="31" t="s">
        <v>49</v>
      </c>
      <c r="E88" s="31" t="s">
        <v>49</v>
      </c>
      <c r="F88" s="4" t="s">
        <v>3</v>
      </c>
      <c r="W88" s="17" t="s">
        <v>31</v>
      </c>
      <c r="X88" s="17" t="s">
        <v>32</v>
      </c>
      <c r="Y88" s="17" t="s">
        <v>33</v>
      </c>
      <c r="Z88" s="17" t="s">
        <v>34</v>
      </c>
      <c r="AA88" s="17" t="s">
        <v>35</v>
      </c>
      <c r="AE88">
        <v>0</v>
      </c>
      <c r="AF88">
        <f>$I$77+$I$78*AE88</f>
        <v>0.29898419975861557</v>
      </c>
      <c r="AG88">
        <f>AF88+AI88</f>
        <v>0.46455495997108187</v>
      </c>
      <c r="AH88">
        <f>AF88-AI88</f>
        <v>0.13341343954614929</v>
      </c>
      <c r="AI88">
        <f>SQRT($J$77^2+($J$78*AE88)^2)</f>
        <v>0.16557076021246628</v>
      </c>
      <c r="AJ88" s="31" t="s">
        <v>65</v>
      </c>
    </row>
    <row r="89" spans="1:36" ht="14.4" x14ac:dyDescent="0.3">
      <c r="B89" s="25" t="s">
        <v>52</v>
      </c>
      <c r="C89" s="33">
        <v>0.16</v>
      </c>
      <c r="E89" s="35">
        <v>0.09</v>
      </c>
      <c r="F89" s="27">
        <f>1.021+(1.052-1.02)/(0.25-0.1)*0.06</f>
        <v>1.0337999999999998</v>
      </c>
      <c r="G89" s="26">
        <f>C89*F89</f>
        <v>0.16540799999999997</v>
      </c>
      <c r="H89" s="27">
        <f>E89+$B$81*LOG(F89)</f>
        <v>7.5563472168327941E-2</v>
      </c>
      <c r="J89" s="28">
        <v>0.15</v>
      </c>
      <c r="L89">
        <v>25</v>
      </c>
      <c r="N89" s="2">
        <f>G89</f>
        <v>0.16540799999999997</v>
      </c>
      <c r="O89" s="2">
        <f>T89</f>
        <v>0.33271263987724614</v>
      </c>
      <c r="T89" s="2">
        <f>H89-$B$80*($T$84*SQRT(G89)/(1+1.5*SQRT(G89)))</f>
        <v>0.33271263987724614</v>
      </c>
      <c r="U89" s="2">
        <f>J89</f>
        <v>0.15</v>
      </c>
      <c r="W89" s="29">
        <f>1/U89^2</f>
        <v>44.444444444444443</v>
      </c>
      <c r="X89" s="29">
        <f>N89*W89</f>
        <v>7.3514666666666653</v>
      </c>
      <c r="Y89" s="29">
        <f>N89*N89*W89</f>
        <v>1.2159913983999995</v>
      </c>
      <c r="Z89" s="29">
        <f>T89*W89</f>
        <v>14.787228438988716</v>
      </c>
      <c r="AA89" s="29">
        <f>N89*T89*W89</f>
        <v>2.4459258816362452</v>
      </c>
      <c r="AE89" s="9">
        <v>1.3</v>
      </c>
      <c r="AF89">
        <f>$I$77+$I$78*AE89</f>
        <v>0.6191323102217039</v>
      </c>
      <c r="AG89">
        <f>AF89+AI89</f>
        <v>0.926427536886958</v>
      </c>
      <c r="AH89">
        <f>AF89-AI89</f>
        <v>0.31183708355644979</v>
      </c>
      <c r="AI89">
        <f>SQRT($J$77^2+($J$78*AE89)^2)</f>
        <v>0.30729522666525411</v>
      </c>
      <c r="AJ89" s="31" t="s">
        <v>65</v>
      </c>
    </row>
    <row r="90" spans="1:36" ht="14.4" x14ac:dyDescent="0.3">
      <c r="A90" s="24" t="s">
        <v>51</v>
      </c>
      <c r="B90" s="25" t="s">
        <v>52</v>
      </c>
      <c r="C90" s="33">
        <v>0.64</v>
      </c>
      <c r="E90" s="35">
        <v>0.17</v>
      </c>
      <c r="F90" s="27">
        <f>1.107+(1.23-1.107)/(1-0.5)*0.14</f>
        <v>1.14144</v>
      </c>
      <c r="G90" s="26">
        <f>C90*F90</f>
        <v>0.73052159999999999</v>
      </c>
      <c r="H90" s="27">
        <f>E90+$B$81*LOG(F90)</f>
        <v>0.11254691234174001</v>
      </c>
      <c r="J90" s="28">
        <v>0.15</v>
      </c>
      <c r="L90">
        <v>25</v>
      </c>
      <c r="N90" s="2">
        <f>G90</f>
        <v>0.73052159999999999</v>
      </c>
      <c r="O90" s="2">
        <f>T90</f>
        <v>0.49382124101153263</v>
      </c>
      <c r="T90" s="2">
        <f>H90-$B$80*($T$84*SQRT(G90)/(1+1.5*SQRT(G90)))</f>
        <v>0.49382124101153263</v>
      </c>
      <c r="U90" s="2">
        <f>J90</f>
        <v>0.15</v>
      </c>
      <c r="W90" s="29">
        <f>1/U90^2</f>
        <v>44.444444444444443</v>
      </c>
      <c r="X90" s="29">
        <f>N90*W90</f>
        <v>32.467626666666668</v>
      </c>
      <c r="Y90" s="29">
        <f>N90*N90*W90</f>
        <v>23.718302580735998</v>
      </c>
      <c r="Z90" s="29">
        <f>T90*W90</f>
        <v>21.947610711623671</v>
      </c>
      <c r="AA90" s="29">
        <f>N90*T90*W90</f>
        <v>16.033203693232466</v>
      </c>
    </row>
    <row r="91" spans="1:36" ht="14.4" x14ac:dyDescent="0.3">
      <c r="A91" s="24" t="s">
        <v>51</v>
      </c>
      <c r="B91" s="25" t="s">
        <v>52</v>
      </c>
      <c r="C91" s="34">
        <v>1</v>
      </c>
      <c r="E91" s="35">
        <v>0.26</v>
      </c>
      <c r="F91" s="29">
        <v>1.23</v>
      </c>
      <c r="G91" s="26">
        <f>C91*F91</f>
        <v>1.23</v>
      </c>
      <c r="H91" s="27">
        <f>E91+$B$81*LOG(F91)</f>
        <v>0.17009488856060206</v>
      </c>
      <c r="J91" s="28">
        <v>0.15</v>
      </c>
      <c r="L91">
        <v>25</v>
      </c>
      <c r="N91" s="2">
        <f>G91</f>
        <v>1.23</v>
      </c>
      <c r="O91" s="2">
        <f>T91</f>
        <v>0.59396667563133554</v>
      </c>
      <c r="T91" s="2">
        <f>H91-$B$80*($T$84*SQRT(G91)/(1+1.5*SQRT(G91)))</f>
        <v>0.59396667563133554</v>
      </c>
      <c r="U91" s="2">
        <f>J91</f>
        <v>0.15</v>
      </c>
      <c r="W91" s="29">
        <f>1/U91^2</f>
        <v>44.444444444444443</v>
      </c>
      <c r="X91" s="29">
        <f>N91*W91</f>
        <v>54.666666666666664</v>
      </c>
      <c r="Y91" s="29">
        <f>N91*N91*W91</f>
        <v>67.239999999999995</v>
      </c>
      <c r="Z91" s="29">
        <f>T91*W91</f>
        <v>26.398518916948245</v>
      </c>
      <c r="AA91" s="29">
        <f>N91*T91*W91</f>
        <v>32.470178267846336</v>
      </c>
    </row>
    <row r="92" spans="1:36" ht="14.4" x14ac:dyDescent="0.3">
      <c r="A92" s="24" t="s">
        <v>51</v>
      </c>
      <c r="B92" s="25" t="s">
        <v>52</v>
      </c>
      <c r="C92" s="33">
        <v>0.16</v>
      </c>
      <c r="E92" s="35">
        <v>0.22</v>
      </c>
      <c r="F92" s="27">
        <f>1.021+(1.052-1.02)/(0.25-0.1)*0.06</f>
        <v>1.0337999999999998</v>
      </c>
      <c r="G92" s="26">
        <f>C92*F92</f>
        <v>0.16540799999999997</v>
      </c>
      <c r="H92" s="27">
        <f>E92+$B$81*LOG(F92)</f>
        <v>0.20556347216832796</v>
      </c>
      <c r="J92" s="28">
        <v>0.15</v>
      </c>
      <c r="L92">
        <v>37</v>
      </c>
      <c r="N92" s="2">
        <f>G92</f>
        <v>0.16540799999999997</v>
      </c>
      <c r="R92" s="2">
        <f>T92</f>
        <v>0.4682698910458083</v>
      </c>
      <c r="T92" s="2">
        <f>H92-$B$80*($T$85*SQRT(G92)/(1+1.5*SQRT(G92)))</f>
        <v>0.4682698910458083</v>
      </c>
      <c r="U92" s="2">
        <f>J92</f>
        <v>0.15</v>
      </c>
    </row>
    <row r="93" spans="1:36" ht="14.4" x14ac:dyDescent="0.3">
      <c r="A93" s="24" t="s">
        <v>51</v>
      </c>
      <c r="B93" s="25" t="s">
        <v>67</v>
      </c>
      <c r="C93" s="33">
        <v>0.3</v>
      </c>
      <c r="E93" s="35">
        <v>0.1</v>
      </c>
      <c r="F93" s="27">
        <f>1.03+(1.06-1.03)/(0.5-0.25)*0.05</f>
        <v>1.036</v>
      </c>
      <c r="G93" s="26">
        <f>C93*F93</f>
        <v>0.31080000000000002</v>
      </c>
      <c r="H93" s="27">
        <f>E93+$B$81*LOG(F93)</f>
        <v>8.4640244590785771E-2</v>
      </c>
      <c r="J93" s="28">
        <v>0.4</v>
      </c>
      <c r="L93">
        <v>37</v>
      </c>
      <c r="N93" s="2">
        <f>G93</f>
        <v>0.31080000000000002</v>
      </c>
      <c r="Q93" s="2">
        <f>T93</f>
        <v>0.40039072804366349</v>
      </c>
      <c r="T93" s="2">
        <f>H93-$B$80*($T$85*SQRT(G93)/(1+1.5*SQRT(G93)))</f>
        <v>0.40039072804366349</v>
      </c>
      <c r="U93" s="2">
        <f>J93</f>
        <v>0.4</v>
      </c>
    </row>
    <row r="94" spans="1:36" x14ac:dyDescent="0.25">
      <c r="A94" s="24" t="s">
        <v>69</v>
      </c>
      <c r="K94" s="1"/>
      <c r="V94" s="15" t="s">
        <v>36</v>
      </c>
      <c r="W94">
        <f>SUM(W89:W93)</f>
        <v>133.33333333333331</v>
      </c>
      <c r="X94">
        <f>SUM(X89:X93)</f>
        <v>94.485759999999999</v>
      </c>
      <c r="Y94">
        <f>SUM(Y89:Y93)</f>
        <v>92.174293979135996</v>
      </c>
      <c r="Z94">
        <f>SUM(Z89:Z93)</f>
        <v>63.133358067560636</v>
      </c>
      <c r="AA94">
        <f>SUM(AA89:AA93)</f>
        <v>50.949307842715044</v>
      </c>
    </row>
    <row r="96" spans="1:36" ht="16.8" x14ac:dyDescent="0.35">
      <c r="Y96" s="15" t="s">
        <v>37</v>
      </c>
      <c r="Z96">
        <f>W94*Y94-X94^2</f>
        <v>3362.3470211071981</v>
      </c>
    </row>
    <row r="97" spans="10:30" ht="16.8" x14ac:dyDescent="0.35">
      <c r="Y97" s="15" t="s">
        <v>38</v>
      </c>
      <c r="Z97">
        <f>Y94*Z94</f>
        <v>5819.2727064093915</v>
      </c>
    </row>
    <row r="98" spans="10:30" ht="16.8" x14ac:dyDescent="0.35">
      <c r="Y98" s="15" t="s">
        <v>39</v>
      </c>
      <c r="Z98">
        <f>X94*AA94</f>
        <v>4813.984072992891</v>
      </c>
    </row>
    <row r="99" spans="10:30" ht="16.8" x14ac:dyDescent="0.35">
      <c r="W99" s="1" t="s">
        <v>40</v>
      </c>
      <c r="Y99" s="18" t="s">
        <v>41</v>
      </c>
      <c r="Z99">
        <f>(Z97-Z98)/Z96</f>
        <v>0.29898419975861557</v>
      </c>
      <c r="AC99" s="19" t="s">
        <v>42</v>
      </c>
      <c r="AD99">
        <f>SQRT(Y94/Z96)</f>
        <v>0.16557076021246628</v>
      </c>
    </row>
    <row r="100" spans="10:30" ht="16.8" x14ac:dyDescent="0.35">
      <c r="K100" s="2"/>
      <c r="Q100" s="2"/>
      <c r="R100" s="2"/>
      <c r="S100" s="2"/>
      <c r="T100" s="2"/>
      <c r="U100" s="2"/>
      <c r="Y100" s="15" t="s">
        <v>43</v>
      </c>
      <c r="Z100">
        <f>W94*AA94</f>
        <v>6793.2410456953385</v>
      </c>
    </row>
    <row r="101" spans="10:30" ht="16.8" x14ac:dyDescent="0.35">
      <c r="J101" s="2"/>
      <c r="K101" s="2"/>
      <c r="Q101" s="2"/>
      <c r="R101" s="2"/>
      <c r="S101" s="2"/>
      <c r="T101" s="2"/>
      <c r="U101" s="2"/>
      <c r="Y101" s="15" t="s">
        <v>44</v>
      </c>
      <c r="Z101">
        <f>X94*Z94</f>
        <v>5965.2033183655976</v>
      </c>
    </row>
    <row r="102" spans="10:30" ht="16.8" x14ac:dyDescent="0.35">
      <c r="J102" s="2"/>
      <c r="M102" s="2"/>
      <c r="Q102" s="2"/>
      <c r="R102" s="2"/>
      <c r="S102" s="2"/>
      <c r="T102" s="2"/>
      <c r="U102" s="2"/>
      <c r="W102" s="1" t="s">
        <v>45</v>
      </c>
      <c r="Y102" s="20" t="s">
        <v>47</v>
      </c>
      <c r="Z102">
        <f>(Z100-Z101)/Z96</f>
        <v>0.24626777727929869</v>
      </c>
      <c r="AC102" s="19" t="s">
        <v>46</v>
      </c>
      <c r="AD102">
        <f>SQRT(W94/Z96)</f>
        <v>0.19913523057352639</v>
      </c>
    </row>
  </sheetData>
  <phoneticPr fontId="8" type="noConversion"/>
  <hyperlinks>
    <hyperlink ref="B10" r:id="rId1" xr:uid="{1554AE3D-9EB7-4FA9-8A19-A5CA3001E47C}"/>
    <hyperlink ref="B11" r:id="rId2" xr:uid="{310D3640-614F-4964-B613-E2A9F9172BBA}"/>
    <hyperlink ref="B13" r:id="rId3" xr:uid="{77E51EA2-7A24-4023-8327-AA183EFFF629}"/>
  </hyperlinks>
  <pageMargins left="0.75" right="0.75" top="1" bottom="1" header="0.5" footer="0.5"/>
  <pageSetup paperSize="9" orientation="landscape" horizontalDpi="300" verticalDpi="300" r:id="rId4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23" sqref="L23"/>
    </sheetView>
  </sheetViews>
  <sheetFormatPr defaultColWidth="9.109375" defaultRowHeight="13.2" x14ac:dyDescent="0.25"/>
  <sheetData/>
  <phoneticPr fontId="8" type="noConversion"/>
  <printOptions horizontalCentered="1"/>
  <pageMargins left="0.39370078740157483" right="0.39370078740157483" top="1.3779527559055118" bottom="0.78740157480314965" header="0.78740157480314965" footer="0.51181102362204722"/>
  <pageSetup paperSize="9" orientation="portrait" horizontalDpi="300" r:id="rId1"/>
  <headerFooter alignWithMargins="0">
    <oddHeader>Multi12_edta.xls</oddHeader>
    <oddFooter>&amp;L&amp;6&amp;F; &amp;A&amp;R&amp;6Page &amp;P
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67"/>
  <sheetViews>
    <sheetView workbookViewId="0">
      <selection activeCell="W22" sqref="W22"/>
    </sheetView>
  </sheetViews>
  <sheetFormatPr defaultColWidth="11.5546875" defaultRowHeight="13.2" x14ac:dyDescent="0.25"/>
  <sheetData>
    <row r="1" spans="1:22" ht="16.8" x14ac:dyDescent="0.35">
      <c r="A1" s="22" t="s">
        <v>53</v>
      </c>
      <c r="B1" s="3"/>
      <c r="C1" s="3"/>
    </row>
    <row r="2" spans="1:22" x14ac:dyDescent="0.25">
      <c r="B2" s="3"/>
    </row>
    <row r="3" spans="1:22" x14ac:dyDescent="0.25">
      <c r="C3" s="3"/>
    </row>
    <row r="4" spans="1:22" ht="15.6" x14ac:dyDescent="0.25">
      <c r="A4" s="15" t="s">
        <v>30</v>
      </c>
      <c r="B4" s="23">
        <f>2^2-3^2-1^2</f>
        <v>-6</v>
      </c>
    </row>
    <row r="5" spans="1:22" ht="15.6" x14ac:dyDescent="0.35">
      <c r="A5" s="15" t="s">
        <v>29</v>
      </c>
      <c r="B5" s="23">
        <f>1-1-1</f>
        <v>-1</v>
      </c>
    </row>
    <row r="6" spans="1:22" ht="13.8" x14ac:dyDescent="0.25">
      <c r="A6" s="15"/>
      <c r="B6" s="23"/>
    </row>
    <row r="7" spans="1:22" ht="13.8" x14ac:dyDescent="0.3">
      <c r="C7" s="4" t="s">
        <v>3</v>
      </c>
      <c r="D7" s="5"/>
      <c r="T7">
        <v>0.49099999999999999</v>
      </c>
      <c r="U7" s="31" t="s">
        <v>81</v>
      </c>
    </row>
    <row r="8" spans="1:22" ht="13.8" x14ac:dyDescent="0.3">
      <c r="C8" s="3" t="s">
        <v>4</v>
      </c>
      <c r="D8" s="3"/>
      <c r="S8" t="s">
        <v>2</v>
      </c>
      <c r="T8">
        <v>0.50900000000000001</v>
      </c>
      <c r="U8" s="31" t="s">
        <v>79</v>
      </c>
    </row>
    <row r="9" spans="1:22" ht="13.8" x14ac:dyDescent="0.3">
      <c r="C9" s="4" t="s">
        <v>5</v>
      </c>
      <c r="D9" s="5"/>
      <c r="R9" s="6"/>
      <c r="T9" s="2">
        <v>0.52</v>
      </c>
      <c r="U9" s="31" t="s">
        <v>80</v>
      </c>
    </row>
    <row r="10" spans="1:22" ht="16.8" x14ac:dyDescent="0.35">
      <c r="B10" t="s">
        <v>27</v>
      </c>
      <c r="C10" s="7" t="s">
        <v>8</v>
      </c>
      <c r="D10" s="7" t="s">
        <v>50</v>
      </c>
      <c r="E10" s="7" t="s">
        <v>9</v>
      </c>
      <c r="F10" s="7" t="s">
        <v>10</v>
      </c>
      <c r="G10" s="7" t="s">
        <v>11</v>
      </c>
      <c r="H10" s="7" t="s">
        <v>12</v>
      </c>
      <c r="I10" s="6" t="s">
        <v>13</v>
      </c>
      <c r="J10" s="8" t="s">
        <v>14</v>
      </c>
      <c r="L10" s="31" t="s">
        <v>68</v>
      </c>
      <c r="M10" s="42" t="s">
        <v>84</v>
      </c>
      <c r="N10" s="30" t="s">
        <v>66</v>
      </c>
      <c r="O10" s="1" t="s">
        <v>26</v>
      </c>
      <c r="P10" s="1" t="s">
        <v>26</v>
      </c>
      <c r="Q10" s="1" t="s">
        <v>26</v>
      </c>
      <c r="U10" s="41" t="s">
        <v>82</v>
      </c>
    </row>
    <row r="11" spans="1:22" x14ac:dyDescent="0.25">
      <c r="A11" t="s">
        <v>7</v>
      </c>
      <c r="B11" t="s">
        <v>28</v>
      </c>
      <c r="C11" s="7" t="s">
        <v>18</v>
      </c>
      <c r="D11" s="7" t="s">
        <v>18</v>
      </c>
      <c r="E11" s="7" t="s">
        <v>18</v>
      </c>
      <c r="G11" s="7" t="s">
        <v>19</v>
      </c>
      <c r="H11" s="7" t="s">
        <v>19</v>
      </c>
      <c r="U11" s="32">
        <v>-0.62</v>
      </c>
    </row>
    <row r="12" spans="1:22" ht="16.8" x14ac:dyDescent="0.35">
      <c r="C12" s="4" t="s">
        <v>3</v>
      </c>
      <c r="D12" s="31" t="s">
        <v>49</v>
      </c>
      <c r="E12" s="31" t="s">
        <v>49</v>
      </c>
      <c r="F12" s="4" t="s">
        <v>3</v>
      </c>
      <c r="T12" s="7" t="s">
        <v>15</v>
      </c>
      <c r="U12" s="41" t="s">
        <v>83</v>
      </c>
      <c r="V12" s="1" t="s">
        <v>26</v>
      </c>
    </row>
    <row r="13" spans="1:22" ht="14.4" x14ac:dyDescent="0.3">
      <c r="A13" s="24" t="s">
        <v>51</v>
      </c>
      <c r="B13" s="25" t="s">
        <v>52</v>
      </c>
      <c r="C13" s="33">
        <v>0.16</v>
      </c>
      <c r="E13" s="35">
        <v>0.88</v>
      </c>
      <c r="F13" s="27">
        <f>1.021+(1.052-1.02)/(0.25-0.1)*0.06</f>
        <v>1.0337999999999998</v>
      </c>
      <c r="G13" s="26">
        <f>C13*F13</f>
        <v>0.16540799999999997</v>
      </c>
      <c r="H13" s="27">
        <f>E13+$B$5*LOG(F13)</f>
        <v>0.86556347216832796</v>
      </c>
      <c r="J13" s="28">
        <v>0.15</v>
      </c>
      <c r="L13">
        <v>25</v>
      </c>
      <c r="M13">
        <f>1/(273.15+L13)</f>
        <v>3.3540164346805303E-3</v>
      </c>
      <c r="N13" s="2">
        <f>G13</f>
        <v>0.16540799999999997</v>
      </c>
      <c r="O13" s="2">
        <f>V13</f>
        <v>1.5344580152950826</v>
      </c>
      <c r="T13" s="2">
        <f>H13-$B$4*($T$8*SQRT(G13)/(1+1.5*SQRT(G13)))</f>
        <v>1.6370109752950825</v>
      </c>
      <c r="U13" s="2">
        <f>$U$11*G13</f>
        <v>-0.10255295999999998</v>
      </c>
      <c r="V13" s="2">
        <f>T13+U13</f>
        <v>1.5344580152950826</v>
      </c>
    </row>
    <row r="14" spans="1:22" ht="14.4" x14ac:dyDescent="0.3">
      <c r="A14" s="24" t="s">
        <v>51</v>
      </c>
      <c r="B14" s="25" t="s">
        <v>52</v>
      </c>
      <c r="C14" s="33">
        <v>0.64</v>
      </c>
      <c r="E14" s="35">
        <v>0.98</v>
      </c>
      <c r="F14" s="27">
        <f>1.107+(1.23-1.107)/(1-0.5)*0.14</f>
        <v>1.14144</v>
      </c>
      <c r="G14" s="26">
        <f>C14*F14</f>
        <v>0.73052159999999999</v>
      </c>
      <c r="H14" s="27">
        <f>E14+$B$5*LOG(F14)</f>
        <v>0.92254691234174002</v>
      </c>
      <c r="J14" s="28">
        <v>0.15</v>
      </c>
      <c r="L14">
        <v>25</v>
      </c>
      <c r="M14">
        <f>1/(273.15+L14)</f>
        <v>3.3540164346805303E-3</v>
      </c>
      <c r="N14" s="2">
        <f>G14</f>
        <v>0.73052159999999999</v>
      </c>
      <c r="O14" s="2">
        <f>V14</f>
        <v>1.6134465063511179</v>
      </c>
      <c r="T14" s="2">
        <f>H14-$B$4*($T$8*SQRT(G14)/(1+1.5*SQRT(G14)))</f>
        <v>2.0663698983511178</v>
      </c>
      <c r="U14" s="2">
        <f>$U$11*G14</f>
        <v>-0.45292339199999998</v>
      </c>
      <c r="V14" s="2">
        <f>T14+U14</f>
        <v>1.6134465063511179</v>
      </c>
    </row>
    <row r="15" spans="1:22" ht="14.4" x14ac:dyDescent="0.3">
      <c r="A15" s="24" t="s">
        <v>51</v>
      </c>
      <c r="B15" s="25" t="s">
        <v>52</v>
      </c>
      <c r="C15" s="34">
        <v>1</v>
      </c>
      <c r="E15" s="35">
        <v>1.1100000000000001</v>
      </c>
      <c r="F15" s="29">
        <v>1.23</v>
      </c>
      <c r="G15" s="26">
        <f>C15*F15</f>
        <v>1.23</v>
      </c>
      <c r="H15" s="27">
        <f>E15+$B$5*LOG(F15)</f>
        <v>1.0200948885606023</v>
      </c>
      <c r="J15" s="28">
        <v>0.15</v>
      </c>
      <c r="L15">
        <v>25</v>
      </c>
      <c r="M15">
        <f>1/(273.15+L15)</f>
        <v>3.3540164346805303E-3</v>
      </c>
      <c r="N15" s="2">
        <f>G15</f>
        <v>1.23</v>
      </c>
      <c r="O15" s="2">
        <f>V15</f>
        <v>1.5291102497728026</v>
      </c>
      <c r="T15" s="2">
        <f>H15-$B$4*($T$8*SQRT(G15)/(1+1.5*SQRT(G15)))</f>
        <v>2.2917102497728026</v>
      </c>
      <c r="U15" s="2">
        <f>$U$11*G15</f>
        <v>-0.76259999999999994</v>
      </c>
      <c r="V15" s="2">
        <f>T15+U15</f>
        <v>1.5291102497728026</v>
      </c>
    </row>
    <row r="16" spans="1:22" ht="14.4" x14ac:dyDescent="0.3">
      <c r="A16" s="24" t="s">
        <v>51</v>
      </c>
      <c r="B16" s="25" t="s">
        <v>52</v>
      </c>
      <c r="C16" s="33">
        <v>0.16</v>
      </c>
      <c r="E16" s="35">
        <v>0.95</v>
      </c>
      <c r="F16" s="27">
        <f>1.021+(1.052-1.02)/(0.25-0.1)*0.06</f>
        <v>1.0337999999999998</v>
      </c>
      <c r="G16" s="26">
        <f>C16*F16</f>
        <v>0.16540799999999997</v>
      </c>
      <c r="H16" s="27">
        <f>E16+$B$5*LOG(F16)</f>
        <v>0.93556347216832791</v>
      </c>
      <c r="J16" s="28">
        <v>0.15</v>
      </c>
      <c r="L16">
        <v>37</v>
      </c>
      <c r="M16">
        <f>1/(273.15+L16)</f>
        <v>3.224246332419797E-3</v>
      </c>
      <c r="N16" s="2">
        <f>G16</f>
        <v>0.16540799999999997</v>
      </c>
      <c r="O16" s="2">
        <f>V16</f>
        <v>1.6211297688007689</v>
      </c>
      <c r="T16" s="2">
        <f>H16-$B$4*($T$9*SQRT(G16)/(1+1.5*SQRT(G16)))</f>
        <v>1.7236827288007688</v>
      </c>
      <c r="U16" s="2">
        <f>$U$11*G16</f>
        <v>-0.10255295999999998</v>
      </c>
      <c r="V16" s="2">
        <f>T16+U16</f>
        <v>1.6211297688007689</v>
      </c>
    </row>
    <row r="17" spans="1:31" ht="14.4" x14ac:dyDescent="0.3">
      <c r="A17" s="24" t="s">
        <v>69</v>
      </c>
      <c r="B17" s="25" t="s">
        <v>67</v>
      </c>
      <c r="C17" s="37">
        <v>0.15</v>
      </c>
      <c r="E17" s="35">
        <v>0.75</v>
      </c>
      <c r="F17" s="27">
        <f>1.013+(1.03-1.013)/(0.25-0.1)*0.05</f>
        <v>1.0186666666666666</v>
      </c>
      <c r="G17" s="26">
        <f>C17*F17</f>
        <v>0.15279999999999999</v>
      </c>
      <c r="H17" s="27">
        <f>E17+$B$5*LOG(F17)</f>
        <v>0.74196790481601016</v>
      </c>
      <c r="J17" s="28">
        <v>0.2</v>
      </c>
      <c r="L17">
        <v>37</v>
      </c>
      <c r="M17">
        <f>1/(273.15+L17)</f>
        <v>3.224246332419797E-3</v>
      </c>
      <c r="N17" s="2">
        <f>G17</f>
        <v>0.15279999999999999</v>
      </c>
      <c r="Q17" s="2">
        <f>V17</f>
        <v>1.4160413925136404</v>
      </c>
      <c r="R17" s="2"/>
      <c r="T17" s="2">
        <f>H17-$B$4*($T$9*SQRT(G17)/(1+1.5*SQRT(G17)))</f>
        <v>1.5107773925136403</v>
      </c>
      <c r="U17" s="2">
        <f>$U$11*G17</f>
        <v>-9.4736000000000001E-2</v>
      </c>
      <c r="V17" s="2">
        <f>T17+U17</f>
        <v>1.4160413925136404</v>
      </c>
    </row>
    <row r="19" spans="1:31" ht="15.6" x14ac:dyDescent="0.35">
      <c r="W19" s="44" t="s">
        <v>107</v>
      </c>
      <c r="X19" s="45" t="s">
        <v>96</v>
      </c>
    </row>
    <row r="20" spans="1:31" ht="15.6" x14ac:dyDescent="0.35">
      <c r="T20" s="44" t="s">
        <v>85</v>
      </c>
      <c r="U20" s="42" t="s">
        <v>84</v>
      </c>
      <c r="V20" s="44" t="s">
        <v>86</v>
      </c>
      <c r="W20" s="44" t="s">
        <v>108</v>
      </c>
      <c r="X20" s="48" t="s">
        <v>99</v>
      </c>
    </row>
    <row r="21" spans="1:31" ht="13.8" x14ac:dyDescent="0.3">
      <c r="T21" s="44" t="s">
        <v>88</v>
      </c>
      <c r="W21" s="2">
        <v>1.5603287395909828</v>
      </c>
      <c r="X21" s="29">
        <v>7</v>
      </c>
    </row>
    <row r="22" spans="1:31" ht="16.8" x14ac:dyDescent="0.35">
      <c r="A22" s="22" t="s">
        <v>55</v>
      </c>
      <c r="B22" s="3"/>
      <c r="C22" s="3"/>
      <c r="T22">
        <v>23</v>
      </c>
      <c r="U22">
        <f>1/(273.15+T22)</f>
        <v>3.3766672294445383E-3</v>
      </c>
      <c r="V22">
        <f>(1/$X$26-$U22)/$X$29</f>
        <v>-1.1831262668193007E-3</v>
      </c>
      <c r="W22" s="2">
        <f>$W$21+$X$21*$V22</f>
        <v>1.5520468557232476</v>
      </c>
    </row>
    <row r="23" spans="1:31" x14ac:dyDescent="0.25">
      <c r="B23" s="3"/>
      <c r="T23">
        <v>38.5</v>
      </c>
      <c r="U23">
        <f>1/(273.15+T23)</f>
        <v>3.2087277394513077E-3</v>
      </c>
      <c r="V23">
        <f>(1/$X$26-$U23)/$X$29</f>
        <v>7.5889112672875127E-3</v>
      </c>
      <c r="W23" s="2">
        <f>$W$21+$X$21*$V23</f>
        <v>1.6134511184619955</v>
      </c>
    </row>
    <row r="24" spans="1:31" x14ac:dyDescent="0.25">
      <c r="C24" s="3"/>
    </row>
    <row r="25" spans="1:31" ht="15.6" x14ac:dyDescent="0.25">
      <c r="A25" s="15" t="s">
        <v>30</v>
      </c>
      <c r="B25" s="23">
        <f>1^2-2^2-1^2</f>
        <v>-4</v>
      </c>
      <c r="W25" t="s">
        <v>90</v>
      </c>
      <c r="X25">
        <v>8.3145100000000007E-3</v>
      </c>
      <c r="Y25" s="31" t="s">
        <v>91</v>
      </c>
    </row>
    <row r="26" spans="1:31" ht="15.6" x14ac:dyDescent="0.35">
      <c r="A26" s="15" t="s">
        <v>29</v>
      </c>
      <c r="B26" s="23">
        <f>1-1-1</f>
        <v>-1</v>
      </c>
      <c r="W26" t="s">
        <v>85</v>
      </c>
      <c r="X26">
        <v>298.14999999999998</v>
      </c>
      <c r="Y26" s="31" t="s">
        <v>50</v>
      </c>
    </row>
    <row r="27" spans="1:31" ht="13.8" x14ac:dyDescent="0.25">
      <c r="A27" s="15"/>
      <c r="B27" s="23"/>
      <c r="W27" t="s">
        <v>92</v>
      </c>
      <c r="X27">
        <f>LN(10)</f>
        <v>2.3025850929940459</v>
      </c>
    </row>
    <row r="28" spans="1:31" ht="13.8" x14ac:dyDescent="0.3">
      <c r="C28" s="4" t="s">
        <v>3</v>
      </c>
      <c r="D28" s="5"/>
      <c r="T28">
        <v>0.49099999999999999</v>
      </c>
      <c r="U28" s="31" t="s">
        <v>81</v>
      </c>
    </row>
    <row r="29" spans="1:31" ht="13.8" x14ac:dyDescent="0.3">
      <c r="C29" s="3" t="s">
        <v>4</v>
      </c>
      <c r="D29" s="3"/>
      <c r="S29" t="s">
        <v>2</v>
      </c>
      <c r="T29">
        <v>0.50900000000000001</v>
      </c>
      <c r="U29" s="31" t="s">
        <v>79</v>
      </c>
      <c r="W29" s="31" t="s">
        <v>93</v>
      </c>
      <c r="X29">
        <f>X25*X27</f>
        <v>1.9144866781549925E-2</v>
      </c>
    </row>
    <row r="30" spans="1:31" ht="13.8" x14ac:dyDescent="0.3">
      <c r="C30" s="4" t="s">
        <v>5</v>
      </c>
      <c r="D30" s="5"/>
      <c r="R30" s="6"/>
      <c r="T30" s="2">
        <v>0.52</v>
      </c>
      <c r="U30" s="31" t="s">
        <v>80</v>
      </c>
      <c r="W30" t="s">
        <v>94</v>
      </c>
      <c r="X30">
        <f>X25*X26*X27</f>
        <v>5.7080420309191107</v>
      </c>
    </row>
    <row r="31" spans="1:31" ht="15.6" x14ac:dyDescent="0.35">
      <c r="B31" t="s">
        <v>27</v>
      </c>
      <c r="C31" s="7" t="s">
        <v>8</v>
      </c>
      <c r="D31" s="7" t="s">
        <v>50</v>
      </c>
      <c r="E31" s="7" t="s">
        <v>9</v>
      </c>
      <c r="F31" s="7" t="s">
        <v>10</v>
      </c>
      <c r="G31" s="7" t="s">
        <v>11</v>
      </c>
      <c r="H31" s="7" t="s">
        <v>12</v>
      </c>
      <c r="I31" s="6" t="s">
        <v>13</v>
      </c>
      <c r="J31" s="8" t="s">
        <v>14</v>
      </c>
      <c r="L31" s="31" t="s">
        <v>68</v>
      </c>
      <c r="U31" s="41" t="s">
        <v>82</v>
      </c>
    </row>
    <row r="32" spans="1:31" ht="15.6" x14ac:dyDescent="0.35">
      <c r="A32" t="s">
        <v>7</v>
      </c>
      <c r="B32" t="s">
        <v>28</v>
      </c>
      <c r="C32" s="7" t="s">
        <v>18</v>
      </c>
      <c r="D32" s="7" t="s">
        <v>18</v>
      </c>
      <c r="E32" s="7" t="s">
        <v>18</v>
      </c>
      <c r="G32" s="7" t="s">
        <v>19</v>
      </c>
      <c r="H32" s="7" t="s">
        <v>19</v>
      </c>
      <c r="U32" s="32">
        <v>-0.52</v>
      </c>
      <c r="W32" s="44" t="s">
        <v>85</v>
      </c>
      <c r="X32" s="44" t="s">
        <v>85</v>
      </c>
      <c r="Y32" s="42" t="s">
        <v>84</v>
      </c>
      <c r="Z32" s="44" t="s">
        <v>86</v>
      </c>
      <c r="AA32" s="44" t="s">
        <v>87</v>
      </c>
      <c r="AC32" s="45" t="s">
        <v>95</v>
      </c>
      <c r="AD32" s="45" t="s">
        <v>96</v>
      </c>
      <c r="AE32" s="46" t="s">
        <v>97</v>
      </c>
    </row>
    <row r="33" spans="1:43" ht="16.8" x14ac:dyDescent="0.35">
      <c r="C33" s="4" t="s">
        <v>3</v>
      </c>
      <c r="D33" s="31" t="s">
        <v>49</v>
      </c>
      <c r="E33" s="31" t="s">
        <v>49</v>
      </c>
      <c r="F33" s="4" t="s">
        <v>3</v>
      </c>
      <c r="T33" s="7" t="s">
        <v>15</v>
      </c>
      <c r="U33" s="41" t="s">
        <v>83</v>
      </c>
      <c r="V33" s="1" t="s">
        <v>26</v>
      </c>
      <c r="W33" s="44" t="s">
        <v>88</v>
      </c>
      <c r="X33" s="44" t="s">
        <v>89</v>
      </c>
      <c r="AC33" s="47" t="s">
        <v>98</v>
      </c>
      <c r="AD33" s="48" t="s">
        <v>99</v>
      </c>
      <c r="AE33" s="47"/>
      <c r="AF33" s="9"/>
      <c r="AG33" s="9"/>
      <c r="AJ33" s="17" t="s">
        <v>31</v>
      </c>
      <c r="AK33" s="17" t="s">
        <v>32</v>
      </c>
      <c r="AL33" s="17" t="s">
        <v>33</v>
      </c>
      <c r="AM33" s="17" t="s">
        <v>34</v>
      </c>
      <c r="AN33" s="17" t="s">
        <v>35</v>
      </c>
    </row>
    <row r="34" spans="1:43" ht="15.6" x14ac:dyDescent="0.35">
      <c r="A34" s="24" t="s">
        <v>51</v>
      </c>
      <c r="B34" s="25" t="s">
        <v>52</v>
      </c>
      <c r="C34" s="33">
        <v>0.16</v>
      </c>
      <c r="E34" s="35">
        <v>0.69</v>
      </c>
      <c r="F34" s="27">
        <f>1.021+(1.052-1.02)/(0.25-0.1)*0.06</f>
        <v>1.0337999999999998</v>
      </c>
      <c r="G34" s="26">
        <f t="shared" ref="G34:G39" si="0">C34*F34</f>
        <v>0.16540799999999997</v>
      </c>
      <c r="H34" s="27">
        <f t="shared" ref="H34:H41" si="1">E34+$B$26*LOG(F34)</f>
        <v>0.67556347216832791</v>
      </c>
      <c r="J34" s="28">
        <v>0.15</v>
      </c>
      <c r="L34">
        <v>25</v>
      </c>
      <c r="M34">
        <f>1/(273.15+L34)</f>
        <v>3.3540164346805303E-3</v>
      </c>
      <c r="N34" s="2">
        <f t="shared" ref="N34:N41" si="2">G34</f>
        <v>0.16540799999999997</v>
      </c>
      <c r="O34" s="2">
        <f>V34</f>
        <v>1.1038496475861643</v>
      </c>
      <c r="T34" s="2">
        <f>H34-$B$25*($T$29*SQRT(G34)/(1+1.5*SQRT(G34)))</f>
        <v>1.1898618075861642</v>
      </c>
      <c r="U34" s="2">
        <f t="shared" ref="U34:U40" si="3">$U$32*G34</f>
        <v>-8.601215999999999E-2</v>
      </c>
      <c r="V34" s="2">
        <f>T34+U34</f>
        <v>1.1038496475861643</v>
      </c>
      <c r="W34">
        <f>L34</f>
        <v>25</v>
      </c>
      <c r="X34">
        <f>273.15+$W34</f>
        <v>298.14999999999998</v>
      </c>
      <c r="Y34">
        <f>1/(273.15+W34)</f>
        <v>3.3540164346805303E-3</v>
      </c>
      <c r="Z34">
        <f>(1/$X$26-1/$X34)/$X$29</f>
        <v>0</v>
      </c>
      <c r="AA34">
        <f>($X$26/$X34-1+LN($X34/$X$26))/$X$29</f>
        <v>0</v>
      </c>
      <c r="AB34" s="48" t="s">
        <v>100</v>
      </c>
      <c r="AD34" s="29">
        <f t="array" ref="AD34:AE38">LINEST(V34:V41,Z34:Z41,TRUE,TRUE)</f>
        <v>29.007145141960269</v>
      </c>
      <c r="AE34" s="29">
        <v>0.99120215853270499</v>
      </c>
      <c r="AF34" s="49" t="s">
        <v>101</v>
      </c>
      <c r="AG34" s="49"/>
      <c r="AJ34" s="31">
        <f>1/J34^2</f>
        <v>44.444444444444443</v>
      </c>
      <c r="AK34" s="31">
        <f>Z34*AJ34</f>
        <v>0</v>
      </c>
      <c r="AL34" s="31">
        <f>Z34*Z34*AJ34</f>
        <v>0</v>
      </c>
      <c r="AM34" s="31">
        <f>V34*AJ34</f>
        <v>49.059984337162859</v>
      </c>
      <c r="AN34" s="31">
        <f>Z34*V34*AJ34</f>
        <v>0</v>
      </c>
    </row>
    <row r="35" spans="1:43" ht="14.4" x14ac:dyDescent="0.3">
      <c r="A35" s="24" t="s">
        <v>51</v>
      </c>
      <c r="B35" s="25" t="s">
        <v>52</v>
      </c>
      <c r="C35" s="33">
        <v>0.64</v>
      </c>
      <c r="E35" s="35">
        <v>0.79</v>
      </c>
      <c r="F35" s="27">
        <f>1.107+(1.23-1.107)/(1-0.5)*0.14</f>
        <v>1.14144</v>
      </c>
      <c r="G35" s="26">
        <f t="shared" si="0"/>
        <v>0.73052159999999999</v>
      </c>
      <c r="H35" s="27">
        <f t="shared" si="1"/>
        <v>0.73254691234174008</v>
      </c>
      <c r="J35" s="28">
        <v>0.15</v>
      </c>
      <c r="L35">
        <v>25</v>
      </c>
      <c r="M35">
        <f t="shared" ref="M35:M41" si="4">1/(273.15+L35)</f>
        <v>3.3540164346805303E-3</v>
      </c>
      <c r="N35" s="2">
        <f t="shared" si="2"/>
        <v>0.73052159999999999</v>
      </c>
      <c r="O35" s="2">
        <f>V35</f>
        <v>1.1152243376813253</v>
      </c>
      <c r="T35" s="2">
        <f>H35-$B$25*($T$29*SQRT(G35)/(1+1.5*SQRT(G35)))</f>
        <v>1.4950955696813253</v>
      </c>
      <c r="U35" s="2">
        <f t="shared" si="3"/>
        <v>-0.379871232</v>
      </c>
      <c r="V35" s="2">
        <f t="shared" ref="V35:V41" si="5">T35+U35</f>
        <v>1.1152243376813253</v>
      </c>
      <c r="W35">
        <f t="shared" ref="W35:W40" si="6">L35</f>
        <v>25</v>
      </c>
      <c r="X35">
        <f t="shared" ref="X35:X41" si="7">273.15+$W35</f>
        <v>298.14999999999998</v>
      </c>
      <c r="Y35">
        <f t="shared" ref="Y35:Y40" si="8">1/(273.15+W35)</f>
        <v>3.3540164346805303E-3</v>
      </c>
      <c r="Z35">
        <f t="shared" ref="Z35:Z41" si="9">(1/$X$26-1/$X35)/$X$29</f>
        <v>0</v>
      </c>
      <c r="AA35">
        <f t="shared" ref="AA35:AA41" si="10">($X$26/$X35-1+LN($X35/$X$26))/$X$29</f>
        <v>0</v>
      </c>
      <c r="AB35" s="48"/>
      <c r="AD35">
        <v>5.6194693365154667</v>
      </c>
      <c r="AE35">
        <v>3.7115736492969398E-2</v>
      </c>
      <c r="AF35" s="49"/>
      <c r="AG35" s="49"/>
      <c r="AJ35" s="31">
        <f t="shared" ref="AJ35:AJ41" si="11">1/J35^2</f>
        <v>44.444444444444443</v>
      </c>
      <c r="AK35" s="31">
        <f t="shared" ref="AK35:AK41" si="12">Z35*AJ35</f>
        <v>0</v>
      </c>
      <c r="AL35" s="31">
        <f t="shared" ref="AL35:AL41" si="13">Z35*Z35*AJ35</f>
        <v>0</v>
      </c>
      <c r="AM35" s="31">
        <f t="shared" ref="AM35:AM41" si="14">V35*AJ35</f>
        <v>49.565526119170016</v>
      </c>
      <c r="AN35" s="31">
        <f t="shared" ref="AN35:AN41" si="15">Z35*V35*AJ35</f>
        <v>0</v>
      </c>
    </row>
    <row r="36" spans="1:43" ht="14.4" x14ac:dyDescent="0.3">
      <c r="A36" s="24" t="s">
        <v>51</v>
      </c>
      <c r="B36" s="25" t="s">
        <v>52</v>
      </c>
      <c r="C36" s="34">
        <v>1</v>
      </c>
      <c r="E36" s="35">
        <v>0.9</v>
      </c>
      <c r="F36" s="29">
        <v>1.23</v>
      </c>
      <c r="G36" s="26">
        <f t="shared" si="0"/>
        <v>1.23</v>
      </c>
      <c r="H36" s="27">
        <f t="shared" si="1"/>
        <v>0.81009488856060208</v>
      </c>
      <c r="J36" s="28">
        <v>0.15</v>
      </c>
      <c r="L36">
        <v>25</v>
      </c>
      <c r="M36">
        <f t="shared" si="4"/>
        <v>3.3540164346805303E-3</v>
      </c>
      <c r="N36" s="2">
        <f t="shared" si="2"/>
        <v>1.23</v>
      </c>
      <c r="O36" s="2">
        <f>V36</f>
        <v>1.0182384627020689</v>
      </c>
      <c r="T36" s="2">
        <f>H36-$B$25*($T$29*SQRT(G36)/(1+1.5*SQRT(G36)))</f>
        <v>1.657838462702069</v>
      </c>
      <c r="U36" s="2">
        <f t="shared" si="3"/>
        <v>-0.63960000000000006</v>
      </c>
      <c r="V36" s="2">
        <f t="shared" si="5"/>
        <v>1.0182384627020689</v>
      </c>
      <c r="W36">
        <f t="shared" si="6"/>
        <v>25</v>
      </c>
      <c r="X36">
        <f t="shared" si="7"/>
        <v>298.14999999999998</v>
      </c>
      <c r="Y36">
        <f t="shared" si="8"/>
        <v>3.3540164346805303E-3</v>
      </c>
      <c r="Z36">
        <f t="shared" si="9"/>
        <v>0</v>
      </c>
      <c r="AA36">
        <f t="shared" si="10"/>
        <v>0</v>
      </c>
      <c r="AB36" s="48" t="s">
        <v>102</v>
      </c>
      <c r="AD36">
        <v>0.81620588282531925</v>
      </c>
      <c r="AE36">
        <v>0.10486367537544206</v>
      </c>
      <c r="AF36" s="49" t="s">
        <v>103</v>
      </c>
      <c r="AG36" s="49"/>
      <c r="AJ36" s="31">
        <f t="shared" si="11"/>
        <v>44.444444444444443</v>
      </c>
      <c r="AK36" s="31">
        <f t="shared" si="12"/>
        <v>0</v>
      </c>
      <c r="AL36" s="31">
        <f t="shared" si="13"/>
        <v>0</v>
      </c>
      <c r="AM36" s="31">
        <f t="shared" si="14"/>
        <v>45.255042786758615</v>
      </c>
      <c r="AN36" s="31">
        <f t="shared" si="15"/>
        <v>0</v>
      </c>
    </row>
    <row r="37" spans="1:43" ht="14.4" x14ac:dyDescent="0.3">
      <c r="A37" s="24" t="s">
        <v>57</v>
      </c>
      <c r="B37" s="25" t="s">
        <v>56</v>
      </c>
      <c r="C37" s="33">
        <v>0.2</v>
      </c>
      <c r="D37" s="38">
        <v>4</v>
      </c>
      <c r="E37" s="39">
        <f>LOG(D37)</f>
        <v>0.6020599913279624</v>
      </c>
      <c r="F37" s="27">
        <f>1.026+(1.065-1.026)/(0.25-0.1)*0.1</f>
        <v>1.052</v>
      </c>
      <c r="G37" s="26">
        <f t="shared" si="0"/>
        <v>0.21040000000000003</v>
      </c>
      <c r="H37" s="27">
        <f t="shared" si="1"/>
        <v>0.58004425151024208</v>
      </c>
      <c r="I37" s="2">
        <f>(LOG(4+0.4)-LOG(4-0.4))/2</f>
        <v>4.3575087859450079E-2</v>
      </c>
      <c r="J37" s="28">
        <v>0.2</v>
      </c>
      <c r="L37">
        <v>25</v>
      </c>
      <c r="M37">
        <f t="shared" si="4"/>
        <v>3.3540164346805303E-3</v>
      </c>
      <c r="N37" s="2">
        <f t="shared" si="2"/>
        <v>0.21040000000000003</v>
      </c>
      <c r="P37" s="2">
        <f>V37</f>
        <v>1.0238815458696726</v>
      </c>
      <c r="T37" s="2">
        <f>H37-$B$25*($T$29*SQRT(G37)/(1+1.5*SQRT(G37)))</f>
        <v>1.1332895458696726</v>
      </c>
      <c r="U37" s="2">
        <f t="shared" si="3"/>
        <v>-0.10940800000000002</v>
      </c>
      <c r="V37" s="2">
        <f t="shared" si="5"/>
        <v>1.0238815458696726</v>
      </c>
      <c r="W37">
        <v>25</v>
      </c>
      <c r="X37">
        <f t="shared" si="7"/>
        <v>298.14999999999998</v>
      </c>
      <c r="Y37">
        <f t="shared" si="8"/>
        <v>3.3540164346805303E-3</v>
      </c>
      <c r="Z37">
        <f t="shared" si="9"/>
        <v>0</v>
      </c>
      <c r="AA37">
        <f t="shared" si="10"/>
        <v>0</v>
      </c>
      <c r="AB37" s="48" t="s">
        <v>104</v>
      </c>
      <c r="AD37">
        <v>26.645223319620772</v>
      </c>
      <c r="AE37">
        <v>6</v>
      </c>
      <c r="AF37" s="49" t="s">
        <v>105</v>
      </c>
      <c r="AG37" s="49"/>
      <c r="AJ37" s="31">
        <f t="shared" si="11"/>
        <v>24.999999999999996</v>
      </c>
      <c r="AK37" s="31">
        <f t="shared" si="12"/>
        <v>0</v>
      </c>
      <c r="AL37" s="31">
        <f t="shared" si="13"/>
        <v>0</v>
      </c>
      <c r="AM37" s="31">
        <f t="shared" si="14"/>
        <v>25.597038646741812</v>
      </c>
      <c r="AN37" s="31">
        <f t="shared" si="15"/>
        <v>0</v>
      </c>
    </row>
    <row r="38" spans="1:43" ht="14.4" x14ac:dyDescent="0.3">
      <c r="A38" s="24" t="s">
        <v>51</v>
      </c>
      <c r="B38" s="25" t="s">
        <v>52</v>
      </c>
      <c r="C38" s="33">
        <v>0.16</v>
      </c>
      <c r="E38" s="35">
        <v>0.77</v>
      </c>
      <c r="F38" s="27">
        <f>1.021+(1.052-1.02)/(0.25-0.1)*0.06</f>
        <v>1.0337999999999998</v>
      </c>
      <c r="G38" s="26">
        <f t="shared" si="0"/>
        <v>0.16540799999999997</v>
      </c>
      <c r="H38" s="27">
        <f t="shared" si="1"/>
        <v>0.75556347216832798</v>
      </c>
      <c r="J38" s="28">
        <v>0.15</v>
      </c>
      <c r="L38">
        <v>37</v>
      </c>
      <c r="M38">
        <f t="shared" si="4"/>
        <v>3.224246332419797E-3</v>
      </c>
      <c r="N38" s="2">
        <f t="shared" si="2"/>
        <v>0.16540799999999997</v>
      </c>
      <c r="O38" s="2">
        <f>V38</f>
        <v>1.1949641499232888</v>
      </c>
      <c r="T38" s="2">
        <f>H38-$B$25*($T$30*SQRT(G38)/(1+1.5*SQRT(G38)))</f>
        <v>1.2809763099232887</v>
      </c>
      <c r="U38" s="2">
        <f t="shared" si="3"/>
        <v>-8.601215999999999E-2</v>
      </c>
      <c r="V38" s="2">
        <f t="shared" si="5"/>
        <v>1.1949641499232888</v>
      </c>
      <c r="W38">
        <v>37</v>
      </c>
      <c r="X38">
        <f t="shared" si="7"/>
        <v>310.14999999999998</v>
      </c>
      <c r="Y38">
        <f t="shared" si="8"/>
        <v>3.224246332419797E-3</v>
      </c>
      <c r="Z38">
        <f t="shared" si="9"/>
        <v>6.7783235966830469E-3</v>
      </c>
      <c r="AA38">
        <f t="shared" si="10"/>
        <v>4.0135033047841065E-2</v>
      </c>
      <c r="AB38" s="1"/>
      <c r="AD38">
        <v>0.29300127827067912</v>
      </c>
      <c r="AE38">
        <v>6.5978342479476565E-2</v>
      </c>
      <c r="AF38" s="49" t="s">
        <v>106</v>
      </c>
      <c r="AG38" s="49"/>
      <c r="AJ38" s="31">
        <f t="shared" si="11"/>
        <v>44.444444444444443</v>
      </c>
      <c r="AK38" s="31">
        <f t="shared" si="12"/>
        <v>0.30125882651924651</v>
      </c>
      <c r="AL38" s="31">
        <f t="shared" si="13"/>
        <v>2.0420298125044534E-3</v>
      </c>
      <c r="AM38" s="31">
        <f t="shared" si="14"/>
        <v>53.109517774368392</v>
      </c>
      <c r="AN38" s="31">
        <f t="shared" si="15"/>
        <v>0.35999349753845894</v>
      </c>
    </row>
    <row r="39" spans="1:43" ht="14.4" x14ac:dyDescent="0.3">
      <c r="A39" s="24" t="s">
        <v>69</v>
      </c>
      <c r="B39" s="25" t="s">
        <v>67</v>
      </c>
      <c r="C39" s="37">
        <v>0.15</v>
      </c>
      <c r="E39" s="35">
        <v>0.65</v>
      </c>
      <c r="F39" s="27">
        <f>1.013+(1.03-1.013)/(0.25-0.1)*0.05</f>
        <v>1.0186666666666666</v>
      </c>
      <c r="G39" s="26">
        <f t="shared" si="0"/>
        <v>0.15279999999999999</v>
      </c>
      <c r="H39" s="27">
        <f t="shared" si="1"/>
        <v>0.64196790481601018</v>
      </c>
      <c r="J39" s="28">
        <v>0.2</v>
      </c>
      <c r="L39">
        <v>37</v>
      </c>
      <c r="M39">
        <f t="shared" si="4"/>
        <v>3.224246332419797E-3</v>
      </c>
      <c r="N39" s="2">
        <f t="shared" si="2"/>
        <v>0.15279999999999999</v>
      </c>
      <c r="Q39" s="2">
        <f>V39</f>
        <v>1.0750515632810971</v>
      </c>
      <c r="R39" s="2"/>
      <c r="T39" s="2">
        <f>H39-$B$25*($T$30*SQRT(G39)/(1+1.5*SQRT(G39)))</f>
        <v>1.154507563281097</v>
      </c>
      <c r="U39" s="2">
        <f t="shared" si="3"/>
        <v>-7.9455999999999999E-2</v>
      </c>
      <c r="V39" s="2">
        <f t="shared" si="5"/>
        <v>1.0750515632810971</v>
      </c>
      <c r="W39">
        <f t="shared" si="6"/>
        <v>37</v>
      </c>
      <c r="X39">
        <f t="shared" si="7"/>
        <v>310.14999999999998</v>
      </c>
      <c r="Y39">
        <f t="shared" si="8"/>
        <v>3.224246332419797E-3</v>
      </c>
      <c r="Z39">
        <f t="shared" si="9"/>
        <v>6.7783235966830469E-3</v>
      </c>
      <c r="AA39">
        <f t="shared" si="10"/>
        <v>4.0135033047841065E-2</v>
      </c>
      <c r="AJ39" s="31">
        <f t="shared" si="11"/>
        <v>24.999999999999996</v>
      </c>
      <c r="AK39" s="31">
        <f t="shared" si="12"/>
        <v>0.16945808991707614</v>
      </c>
      <c r="AL39" s="31">
        <f t="shared" si="13"/>
        <v>1.1486417695337548E-3</v>
      </c>
      <c r="AM39" s="31">
        <f t="shared" si="14"/>
        <v>26.876289082027423</v>
      </c>
      <c r="AN39" s="31">
        <f t="shared" si="15"/>
        <v>0.18217618447598141</v>
      </c>
    </row>
    <row r="40" spans="1:43" ht="14.4" x14ac:dyDescent="0.3">
      <c r="A40" s="24" t="s">
        <v>57</v>
      </c>
      <c r="B40" s="25" t="s">
        <v>56</v>
      </c>
      <c r="C40" s="33">
        <v>0.2</v>
      </c>
      <c r="D40" s="43">
        <v>1.2</v>
      </c>
      <c r="E40" s="39">
        <f>LOG(D40)</f>
        <v>7.9181246047624818E-2</v>
      </c>
      <c r="F40" s="27">
        <f>1.026+(1.065-1.026)/(0.25-0.1)*0.1</f>
        <v>1.052</v>
      </c>
      <c r="G40" s="26">
        <f>C40*F40</f>
        <v>0.21040000000000003</v>
      </c>
      <c r="H40" s="27">
        <f t="shared" si="1"/>
        <v>5.7165506229904538E-2</v>
      </c>
      <c r="J40" s="28">
        <v>0.4</v>
      </c>
      <c r="L40">
        <v>0</v>
      </c>
      <c r="M40">
        <f t="shared" si="4"/>
        <v>3.6609921288669233E-3</v>
      </c>
      <c r="N40" s="2">
        <f t="shared" si="2"/>
        <v>0.21040000000000003</v>
      </c>
      <c r="P40" s="2">
        <f>V40</f>
        <v>0.48143813399116248</v>
      </c>
      <c r="T40" s="2">
        <f>H40-$B$25*($T$28*SQRT(G40)/(1+1.5*SQRT(G40)))</f>
        <v>0.59084613399116248</v>
      </c>
      <c r="U40" s="2">
        <f t="shared" si="3"/>
        <v>-0.10940800000000002</v>
      </c>
      <c r="V40" s="2">
        <f t="shared" si="5"/>
        <v>0.48143813399116248</v>
      </c>
      <c r="W40">
        <f t="shared" si="6"/>
        <v>0</v>
      </c>
      <c r="X40">
        <f t="shared" si="7"/>
        <v>273.14999999999998</v>
      </c>
      <c r="Y40">
        <f t="shared" si="8"/>
        <v>3.6609921288669233E-3</v>
      </c>
      <c r="Z40">
        <f t="shared" si="9"/>
        <v>-1.6034360420947306E-2</v>
      </c>
      <c r="AA40">
        <f t="shared" si="10"/>
        <v>0.20627892266613621</v>
      </c>
      <c r="AD40">
        <f>AD35*2</f>
        <v>11.238938673030933</v>
      </c>
      <c r="AE40">
        <f>AE35*3</f>
        <v>0.11134720947890819</v>
      </c>
      <c r="AJ40" s="31">
        <f t="shared" si="11"/>
        <v>6.2499999999999991</v>
      </c>
      <c r="AK40" s="31">
        <f t="shared" si="12"/>
        <v>-0.10021475263092065</v>
      </c>
      <c r="AL40" s="31">
        <f t="shared" si="13"/>
        <v>1.606879463180259E-3</v>
      </c>
      <c r="AM40" s="31">
        <f t="shared" si="14"/>
        <v>3.008988337444765</v>
      </c>
      <c r="AN40" s="31">
        <f t="shared" si="15"/>
        <v>-4.8247203505016378E-2</v>
      </c>
    </row>
    <row r="41" spans="1:43" ht="13.8" x14ac:dyDescent="0.3">
      <c r="A41" s="24" t="s">
        <v>111</v>
      </c>
      <c r="C41" s="33">
        <v>0</v>
      </c>
      <c r="D41" s="38">
        <v>7</v>
      </c>
      <c r="E41" s="39">
        <f>LOG(D41)</f>
        <v>0.84509804001425681</v>
      </c>
      <c r="F41" s="27">
        <f>1</f>
        <v>1</v>
      </c>
      <c r="G41" s="26">
        <f>C41*F41</f>
        <v>0</v>
      </c>
      <c r="H41" s="27">
        <f t="shared" si="1"/>
        <v>0.84509804001425681</v>
      </c>
      <c r="I41" s="2">
        <f>(LOG(7+2.4)-LOG(7-2.4))/2</f>
        <v>0.15518501095906229</v>
      </c>
      <c r="J41" s="28">
        <f>2*I41</f>
        <v>0.31037002191812457</v>
      </c>
      <c r="L41">
        <v>25</v>
      </c>
      <c r="M41">
        <f t="shared" si="4"/>
        <v>3.3540164346805303E-3</v>
      </c>
      <c r="N41" s="2">
        <f t="shared" si="2"/>
        <v>0</v>
      </c>
      <c r="R41" s="2">
        <f>V41</f>
        <v>0.84509804001425681</v>
      </c>
      <c r="T41" s="2">
        <f>H41-$B$25*($T$28*SQRT(G41)/(1+1.5*SQRT(G41)))</f>
        <v>0.84509804001425681</v>
      </c>
      <c r="U41" s="2">
        <f>$U$32*G41</f>
        <v>0</v>
      </c>
      <c r="V41" s="2">
        <f t="shared" si="5"/>
        <v>0.84509804001425681</v>
      </c>
      <c r="W41">
        <f>L41</f>
        <v>25</v>
      </c>
      <c r="X41">
        <f t="shared" si="7"/>
        <v>298.14999999999998</v>
      </c>
      <c r="Y41">
        <f>1/(273.15+W41)</f>
        <v>3.3540164346805303E-3</v>
      </c>
      <c r="Z41">
        <f t="shared" si="9"/>
        <v>0</v>
      </c>
      <c r="AA41">
        <f t="shared" si="10"/>
        <v>0</v>
      </c>
      <c r="AB41" s="50" t="s">
        <v>17</v>
      </c>
      <c r="AD41" s="28">
        <v>12</v>
      </c>
      <c r="AE41" s="29">
        <v>0.12</v>
      </c>
      <c r="AJ41" s="31">
        <f t="shared" si="11"/>
        <v>10.38103048081128</v>
      </c>
      <c r="AK41" s="31">
        <f t="shared" si="12"/>
        <v>0</v>
      </c>
      <c r="AL41" s="31">
        <f t="shared" si="13"/>
        <v>0</v>
      </c>
      <c r="AM41" s="31">
        <f t="shared" si="14"/>
        <v>8.7729885126618701</v>
      </c>
      <c r="AN41" s="31">
        <f t="shared" si="15"/>
        <v>0</v>
      </c>
    </row>
    <row r="42" spans="1:43" x14ac:dyDescent="0.25">
      <c r="V42" s="44" t="s">
        <v>107</v>
      </c>
    </row>
    <row r="43" spans="1:43" ht="15.6" x14ac:dyDescent="0.35">
      <c r="V43" s="44" t="s">
        <v>108</v>
      </c>
      <c r="W43" s="51" t="s">
        <v>109</v>
      </c>
      <c r="X43" s="51" t="s">
        <v>110</v>
      </c>
      <c r="AI43" s="15" t="s">
        <v>36</v>
      </c>
      <c r="AJ43">
        <f>SUM(AJ34:AJ41)</f>
        <v>244.40880825858906</v>
      </c>
      <c r="AK43">
        <f>SUM(AK34:AK41)</f>
        <v>0.37050216380540196</v>
      </c>
      <c r="AL43">
        <f>SUM(AL34:AL41)</f>
        <v>4.7975510452184676E-3</v>
      </c>
      <c r="AM43">
        <f>SUM(AM34:AM41)</f>
        <v>261.2453755963358</v>
      </c>
      <c r="AN43">
        <f>SUM(AN34:AN41)</f>
        <v>0.493922478509424</v>
      </c>
    </row>
    <row r="44" spans="1:43" x14ac:dyDescent="0.25">
      <c r="AI44" s="15"/>
      <c r="AO44" s="53"/>
      <c r="AP44" s="54"/>
    </row>
    <row r="45" spans="1:43" ht="16.8" x14ac:dyDescent="0.35">
      <c r="A45" s="22" t="s">
        <v>58</v>
      </c>
      <c r="B45" s="3"/>
      <c r="C45" s="3"/>
      <c r="T45" s="52">
        <v>0</v>
      </c>
      <c r="U45">
        <f>1/(273.15+T45)</f>
        <v>3.6609921288669233E-3</v>
      </c>
      <c r="V45" s="2">
        <f>$AE$34+$AD$34*$Z40</f>
        <v>0.52609113854378342</v>
      </c>
      <c r="W45" s="2">
        <f>($AE$34+$AE$41+($AD$34-$AD$41)*$Z40)</f>
        <v>0.83850346359515093</v>
      </c>
      <c r="X45" s="2">
        <f>($AE$34-$AE$41+($AD$34+$AD$41)*$Z40)</f>
        <v>0.21367881349241569</v>
      </c>
      <c r="AI45" s="15"/>
      <c r="AL45" s="15" t="s">
        <v>37</v>
      </c>
      <c r="AM45">
        <f>AJ43*AL43-AK43^2</f>
        <v>1.0352918801371089</v>
      </c>
    </row>
    <row r="46" spans="1:43" ht="16.8" x14ac:dyDescent="0.35">
      <c r="B46" s="3"/>
      <c r="T46">
        <v>25</v>
      </c>
      <c r="U46">
        <f>1/(273.15+T46)</f>
        <v>3.3540164346805303E-3</v>
      </c>
      <c r="V46" s="2">
        <f>$AE$34+$AD$34*$Z33</f>
        <v>0.99120215853270499</v>
      </c>
      <c r="W46" s="2">
        <f>($AE$34+$AE$41+($AD$34+$AD$41)*$Z33)</f>
        <v>1.111202158532705</v>
      </c>
      <c r="X46" s="2">
        <f>($AE$34-$AE$41+($AD$34+$AD$41)*$Z33)</f>
        <v>0.871202158532705</v>
      </c>
      <c r="AI46" s="15"/>
      <c r="AL46" s="15" t="s">
        <v>38</v>
      </c>
      <c r="AM46">
        <f>AL43*AM43</f>
        <v>1.253338024750692</v>
      </c>
    </row>
    <row r="47" spans="1:43" ht="16.8" x14ac:dyDescent="0.35">
      <c r="C47" s="3"/>
      <c r="T47">
        <v>37</v>
      </c>
      <c r="U47">
        <f>1/(273.15+T47)</f>
        <v>3.224246332419797E-3</v>
      </c>
      <c r="V47" s="2">
        <f>$AE$34+$AD$34*$Z39</f>
        <v>1.1878219749208643</v>
      </c>
      <c r="W47" s="2">
        <f>($AE$34+$AE$41+($AD$34+$AD$41)*$Z39)</f>
        <v>1.389161858081061</v>
      </c>
      <c r="X47" s="2">
        <f>($AE$34-$AE$41+($AD$34-$AD$41)*$Z39)</f>
        <v>0.9864820917606677</v>
      </c>
      <c r="AL47" s="15" t="s">
        <v>39</v>
      </c>
      <c r="AM47">
        <f>AK43*AN43</f>
        <v>0.18299934703986875</v>
      </c>
    </row>
    <row r="48" spans="1:43" ht="16.8" x14ac:dyDescent="0.35">
      <c r="A48" s="15" t="s">
        <v>30</v>
      </c>
      <c r="B48" s="23">
        <f>0^2-1^2-1^2</f>
        <v>-2</v>
      </c>
      <c r="AD48" s="55" t="s">
        <v>116</v>
      </c>
      <c r="AE48" s="56" t="s">
        <v>84</v>
      </c>
      <c r="AF48" s="55" t="s">
        <v>117</v>
      </c>
      <c r="AG48" s="57" t="s">
        <v>109</v>
      </c>
      <c r="AH48" s="57" t="s">
        <v>110</v>
      </c>
      <c r="AI48" s="1" t="s">
        <v>40</v>
      </c>
      <c r="AL48" s="18" t="s">
        <v>112</v>
      </c>
      <c r="AM48" s="29">
        <f>(AM46-AM47)/AM45</f>
        <v>1.0338520935459021</v>
      </c>
      <c r="AP48" s="19" t="s">
        <v>113</v>
      </c>
      <c r="AQ48" s="29">
        <f>SQRT(AL43/AM45)</f>
        <v>6.8073549810774556E-2</v>
      </c>
    </row>
    <row r="49" spans="1:43" ht="16.8" x14ac:dyDescent="0.35">
      <c r="A49" s="15" t="s">
        <v>29</v>
      </c>
      <c r="B49" s="23">
        <f>1-1-1</f>
        <v>-1</v>
      </c>
      <c r="AD49" s="58">
        <v>-2</v>
      </c>
      <c r="AE49">
        <f>1/(273.15+AD49)</f>
        <v>3.687995574405311E-3</v>
      </c>
      <c r="AF49">
        <f>$AM$48+$AM$51/$X$29*(1/$X$26-$AE49)</f>
        <v>0.63067770853833882</v>
      </c>
      <c r="AG49">
        <f>($AM$48+$AQ$48)+($AM$51-$AQ$51)/$X$29*(1/$X$26-$AE49)</f>
        <v>0.96678780618019233</v>
      </c>
      <c r="AH49">
        <f>($AM$48-$AQ$48)+($AM$51+$AQ$51)/$X$29*(1/$X$26-$AE49)</f>
        <v>0.2945676108964852</v>
      </c>
      <c r="AL49" s="15" t="s">
        <v>43</v>
      </c>
      <c r="AM49">
        <f>AJ43*AN43</f>
        <v>120.71900434461689</v>
      </c>
    </row>
    <row r="50" spans="1:43" ht="16.8" x14ac:dyDescent="0.35">
      <c r="A50" s="15"/>
      <c r="B50" s="23"/>
      <c r="AD50">
        <v>25</v>
      </c>
      <c r="AE50">
        <f>1/(273.15+AD50)</f>
        <v>3.3540164346805303E-3</v>
      </c>
      <c r="AF50">
        <f>$AM$48+$AM$51/$X$29*(1/$X$26-$AE50)</f>
        <v>1.0338520935459021</v>
      </c>
      <c r="AG50">
        <f>($AM$48+$AQ$48)+($AM$51-$AQ$51)/$X$29*(1/$X$26-$AE50)</f>
        <v>1.1019256433566766</v>
      </c>
      <c r="AH50">
        <f>($AM$48-$AQ$48)+($AM$51+$AQ$51)/$X$29*(1/$X$26-$AE50)</f>
        <v>0.96577854373512761</v>
      </c>
      <c r="AL50" s="15" t="s">
        <v>44</v>
      </c>
      <c r="AM50">
        <f>AK43*AM43</f>
        <v>96.791976942597373</v>
      </c>
    </row>
    <row r="51" spans="1:43" ht="16.8" x14ac:dyDescent="0.35">
      <c r="C51" s="4" t="s">
        <v>3</v>
      </c>
      <c r="D51" s="5"/>
      <c r="T51">
        <v>0.49099999999999999</v>
      </c>
      <c r="AD51">
        <v>38.5</v>
      </c>
      <c r="AE51">
        <f>1/(273.15+AD51)</f>
        <v>3.2087277394513077E-3</v>
      </c>
      <c r="AF51">
        <f>$AM$48+$AM$51/$X$29*(1/$X$26-$AE51)</f>
        <v>1.2092423301812318</v>
      </c>
      <c r="AG51">
        <f>($AM$48+$AQ$48)+($AM$51+$AQ$51)/$X$29*(1/$X$26-$AE51)</f>
        <v>1.3939180137067462</v>
      </c>
      <c r="AH51">
        <f>($AM$48-$AQ$48)+($AM$51-$AQ$51)/$X$29*(1/$X$26-$AE51)</f>
        <v>1.0245666466557177</v>
      </c>
      <c r="AI51" s="1" t="s">
        <v>45</v>
      </c>
      <c r="AL51" s="20" t="s">
        <v>114</v>
      </c>
      <c r="AM51" s="29">
        <f>(AM49-AM50)/AM45</f>
        <v>23.111383235084141</v>
      </c>
      <c r="AP51" s="19" t="s">
        <v>115</v>
      </c>
      <c r="AQ51" s="29">
        <f>SQRT(AJ43/AM45)</f>
        <v>15.364803936680699</v>
      </c>
    </row>
    <row r="52" spans="1:43" x14ac:dyDescent="0.25">
      <c r="C52" s="3" t="s">
        <v>4</v>
      </c>
      <c r="D52" s="3"/>
      <c r="S52" t="s">
        <v>2</v>
      </c>
      <c r="T52">
        <v>0.50900000000000001</v>
      </c>
    </row>
    <row r="53" spans="1:43" ht="13.8" x14ac:dyDescent="0.3">
      <c r="C53" s="4" t="s">
        <v>5</v>
      </c>
      <c r="D53" s="5"/>
      <c r="R53" s="6"/>
      <c r="T53" s="2">
        <v>0.52</v>
      </c>
    </row>
    <row r="54" spans="1:43" ht="15.6" x14ac:dyDescent="0.35">
      <c r="B54" t="s">
        <v>27</v>
      </c>
      <c r="C54" s="7" t="s">
        <v>8</v>
      </c>
      <c r="D54" s="7" t="s">
        <v>50</v>
      </c>
      <c r="E54" s="7" t="s">
        <v>9</v>
      </c>
      <c r="F54" s="7" t="s">
        <v>10</v>
      </c>
      <c r="G54" s="7" t="s">
        <v>11</v>
      </c>
      <c r="H54" s="7" t="s">
        <v>12</v>
      </c>
      <c r="I54" s="6" t="s">
        <v>13</v>
      </c>
      <c r="J54" s="8" t="s">
        <v>14</v>
      </c>
      <c r="L54" s="31" t="s">
        <v>68</v>
      </c>
      <c r="T54" s="7" t="s">
        <v>15</v>
      </c>
      <c r="U54" s="41" t="s">
        <v>82</v>
      </c>
    </row>
    <row r="55" spans="1:43" x14ac:dyDescent="0.25">
      <c r="A55" t="s">
        <v>7</v>
      </c>
      <c r="B55" t="s">
        <v>28</v>
      </c>
      <c r="C55" s="7" t="s">
        <v>18</v>
      </c>
      <c r="D55" s="7" t="s">
        <v>18</v>
      </c>
      <c r="E55" s="7" t="s">
        <v>18</v>
      </c>
      <c r="G55" s="7" t="s">
        <v>19</v>
      </c>
      <c r="H55" s="7" t="s">
        <v>19</v>
      </c>
      <c r="U55" s="32">
        <v>-0.25</v>
      </c>
    </row>
    <row r="56" spans="1:43" ht="16.8" x14ac:dyDescent="0.35">
      <c r="C56" s="4" t="s">
        <v>3</v>
      </c>
      <c r="D56" s="31" t="s">
        <v>49</v>
      </c>
      <c r="E56" s="31" t="s">
        <v>49</v>
      </c>
      <c r="F56" s="4" t="s">
        <v>3</v>
      </c>
      <c r="U56" s="41" t="s">
        <v>83</v>
      </c>
      <c r="V56" s="1" t="s">
        <v>26</v>
      </c>
    </row>
    <row r="57" spans="1:43" ht="14.4" x14ac:dyDescent="0.3">
      <c r="A57" s="24" t="s">
        <v>51</v>
      </c>
      <c r="B57" s="25" t="s">
        <v>52</v>
      </c>
      <c r="C57" s="33">
        <v>0.16</v>
      </c>
      <c r="E57" s="35">
        <v>0.09</v>
      </c>
      <c r="F57" s="27">
        <f>1.021+(1.052-1.02)/(0.25-0.1)*0.06</f>
        <v>1.0337999999999998</v>
      </c>
      <c r="G57" s="26">
        <f>C57*F57</f>
        <v>0.16540799999999997</v>
      </c>
      <c r="H57" s="27">
        <f>E57+$B$49*LOG(F57)</f>
        <v>7.5563472168327941E-2</v>
      </c>
      <c r="J57" s="28">
        <v>0.15</v>
      </c>
      <c r="L57">
        <v>25</v>
      </c>
      <c r="M57">
        <f>1/(273.15+L57)</f>
        <v>3.3540164346805303E-3</v>
      </c>
      <c r="N57" s="2">
        <f>G57</f>
        <v>0.16540799999999997</v>
      </c>
      <c r="O57" s="2">
        <f>V57</f>
        <v>0.29136063987724614</v>
      </c>
      <c r="T57" s="2">
        <f>H57-$B$48*($T$52*SQRT(G57)/(1+1.5*SQRT(G57)))</f>
        <v>0.33271263987724614</v>
      </c>
      <c r="U57" s="2">
        <f>$U$55*G57</f>
        <v>-4.1351999999999993E-2</v>
      </c>
      <c r="V57" s="2">
        <f>T57+U57</f>
        <v>0.29136063987724614</v>
      </c>
    </row>
    <row r="58" spans="1:43" ht="14.4" x14ac:dyDescent="0.3">
      <c r="A58" s="24" t="s">
        <v>51</v>
      </c>
      <c r="B58" s="25" t="s">
        <v>52</v>
      </c>
      <c r="C58" s="33">
        <v>0.64</v>
      </c>
      <c r="E58" s="35">
        <v>0.17</v>
      </c>
      <c r="F58" s="27">
        <f>1.107+(1.23-1.107)/(1-0.5)*0.14</f>
        <v>1.14144</v>
      </c>
      <c r="G58" s="26">
        <f>C58*F58</f>
        <v>0.73052159999999999</v>
      </c>
      <c r="H58" s="27">
        <f>E58+$B$49*LOG(F58)</f>
        <v>0.11254691234174001</v>
      </c>
      <c r="J58" s="28">
        <v>0.15</v>
      </c>
      <c r="L58">
        <v>25</v>
      </c>
      <c r="M58">
        <f>1/(273.15+L58)</f>
        <v>3.3540164346805303E-3</v>
      </c>
      <c r="N58" s="2">
        <f>G58</f>
        <v>0.73052159999999999</v>
      </c>
      <c r="O58" s="2">
        <f>V58</f>
        <v>0.3111908410115326</v>
      </c>
      <c r="T58" s="2">
        <f>H58-$B$48*($T$52*SQRT(G58)/(1+1.5*SQRT(G58)))</f>
        <v>0.49382124101153263</v>
      </c>
      <c r="U58" s="2">
        <f>$U$55*G58</f>
        <v>-0.1826304</v>
      </c>
      <c r="V58" s="2">
        <f>T58+U58</f>
        <v>0.3111908410115326</v>
      </c>
    </row>
    <row r="59" spans="1:43" ht="14.4" x14ac:dyDescent="0.3">
      <c r="A59" s="24" t="s">
        <v>51</v>
      </c>
      <c r="B59" s="25" t="s">
        <v>52</v>
      </c>
      <c r="C59" s="34">
        <v>1</v>
      </c>
      <c r="E59" s="35">
        <v>0.26</v>
      </c>
      <c r="F59" s="29">
        <v>1.23</v>
      </c>
      <c r="G59" s="26">
        <f>C59*F59</f>
        <v>1.23</v>
      </c>
      <c r="H59" s="27">
        <f>E59+$B$49*LOG(F59)</f>
        <v>0.17009488856060206</v>
      </c>
      <c r="J59" s="28">
        <v>0.15</v>
      </c>
      <c r="L59">
        <v>25</v>
      </c>
      <c r="M59">
        <f>1/(273.15+L59)</f>
        <v>3.3540164346805303E-3</v>
      </c>
      <c r="N59" s="2">
        <f>G59</f>
        <v>1.23</v>
      </c>
      <c r="O59" s="2">
        <f>V59</f>
        <v>0.28646667563133554</v>
      </c>
      <c r="T59" s="2">
        <f>H59-$B$48*($T$52*SQRT(G59)/(1+1.5*SQRT(G59)))</f>
        <v>0.59396667563133554</v>
      </c>
      <c r="U59" s="2">
        <f>$U$55*G59</f>
        <v>-0.3075</v>
      </c>
      <c r="V59" s="2">
        <f>T59+U59</f>
        <v>0.28646667563133554</v>
      </c>
    </row>
    <row r="60" spans="1:43" ht="14.4" x14ac:dyDescent="0.3">
      <c r="A60" s="24" t="s">
        <v>51</v>
      </c>
      <c r="B60" s="25" t="s">
        <v>52</v>
      </c>
      <c r="C60" s="33">
        <v>0.16</v>
      </c>
      <c r="E60" s="35">
        <v>0.22</v>
      </c>
      <c r="F60" s="27">
        <f>1.021+(1.052-1.02)/(0.25-0.1)*0.06</f>
        <v>1.0337999999999998</v>
      </c>
      <c r="G60" s="26">
        <f>C60*F60</f>
        <v>0.16540799999999997</v>
      </c>
      <c r="H60" s="27">
        <f>E60+$B$49*LOG(F60)</f>
        <v>0.20556347216832796</v>
      </c>
      <c r="J60" s="28">
        <v>0.15</v>
      </c>
      <c r="L60">
        <v>37</v>
      </c>
      <c r="M60">
        <f>1/(273.15+L60)</f>
        <v>3.224246332419797E-3</v>
      </c>
      <c r="N60" s="2">
        <f>G60</f>
        <v>0.16540799999999997</v>
      </c>
      <c r="O60" s="2">
        <f>V60</f>
        <v>0.4269178910458083</v>
      </c>
      <c r="T60" s="2">
        <f>H60-$B$48*($T$53*SQRT(G60)/(1+1.5*SQRT(G60)))</f>
        <v>0.4682698910458083</v>
      </c>
      <c r="U60" s="2">
        <f>$U$55*G60</f>
        <v>-4.1351999999999993E-2</v>
      </c>
      <c r="V60" s="2">
        <f>T60+U60</f>
        <v>0.4269178910458083</v>
      </c>
    </row>
    <row r="61" spans="1:43" ht="14.4" x14ac:dyDescent="0.3">
      <c r="A61" s="24" t="s">
        <v>69</v>
      </c>
      <c r="B61" s="25" t="s">
        <v>67</v>
      </c>
      <c r="C61" s="33">
        <v>0.3</v>
      </c>
      <c r="E61" s="35">
        <v>0.1</v>
      </c>
      <c r="F61" s="27">
        <f>1.03+(1.06-1.03)/(0.5-0.25)*0.05</f>
        <v>1.036</v>
      </c>
      <c r="G61" s="26">
        <f>C61*F61</f>
        <v>0.31080000000000002</v>
      </c>
      <c r="H61" s="27">
        <f>E61+$B$49*LOG(F61)</f>
        <v>8.4640244590785771E-2</v>
      </c>
      <c r="J61" s="28">
        <v>0.4</v>
      </c>
      <c r="L61">
        <v>37</v>
      </c>
      <c r="M61">
        <f>1/(273.15+L61)</f>
        <v>3.224246332419797E-3</v>
      </c>
      <c r="N61" s="2">
        <f>G61</f>
        <v>0.31080000000000002</v>
      </c>
      <c r="Q61" s="2">
        <f>V61</f>
        <v>0.3226907280436635</v>
      </c>
      <c r="T61" s="2">
        <f>H61-$B$48*($T$53*SQRT(G61)/(1+1.5*SQRT(G61)))</f>
        <v>0.40039072804366349</v>
      </c>
      <c r="U61" s="2">
        <f>$U$55*G61</f>
        <v>-7.7700000000000005E-2</v>
      </c>
      <c r="V61" s="2">
        <f>T61+U61</f>
        <v>0.3226907280436635</v>
      </c>
    </row>
    <row r="63" spans="1:43" ht="15.6" x14ac:dyDescent="0.35">
      <c r="W63" s="44" t="s">
        <v>107</v>
      </c>
      <c r="X63" s="45" t="s">
        <v>96</v>
      </c>
    </row>
    <row r="64" spans="1:43" ht="15.6" x14ac:dyDescent="0.35">
      <c r="T64" s="44" t="s">
        <v>85</v>
      </c>
      <c r="U64" s="42" t="s">
        <v>84</v>
      </c>
      <c r="V64" s="44" t="s">
        <v>86</v>
      </c>
      <c r="W64" s="44" t="s">
        <v>108</v>
      </c>
      <c r="X64" s="48" t="s">
        <v>99</v>
      </c>
    </row>
    <row r="65" spans="20:24" ht="13.8" x14ac:dyDescent="0.3">
      <c r="T65" s="44" t="s">
        <v>88</v>
      </c>
      <c r="W65" s="2">
        <v>0.3</v>
      </c>
      <c r="X65" s="29">
        <v>17</v>
      </c>
    </row>
    <row r="66" spans="20:24" x14ac:dyDescent="0.25">
      <c r="T66">
        <v>23</v>
      </c>
      <c r="U66">
        <f>1/(273.15+T66)</f>
        <v>3.3766672294445383E-3</v>
      </c>
      <c r="V66">
        <f>(1/$X$26-$U66)/$X$29</f>
        <v>-1.1831262668193007E-3</v>
      </c>
      <c r="W66" s="2">
        <f>$W$65+$X$65*$V66</f>
        <v>0.27988685346407188</v>
      </c>
    </row>
    <row r="67" spans="20:24" x14ac:dyDescent="0.25">
      <c r="T67">
        <v>38.5</v>
      </c>
      <c r="U67">
        <f>1/(273.15+T67)</f>
        <v>3.2087277394513077E-3</v>
      </c>
      <c r="V67">
        <f>(1/$X$26-$U67)/$X$29</f>
        <v>7.5889112672875127E-3</v>
      </c>
      <c r="W67" s="2">
        <f>$W$65+$X$65*$V67</f>
        <v>0.42901149154388774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CalcNa</vt:lpstr>
      <vt:lpstr>PlotNa</vt:lpstr>
      <vt:lpstr>NaTemp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I.Puigdomenech</dc:creator>
  <cp:lastModifiedBy>Josep Bonet</cp:lastModifiedBy>
  <cp:lastPrinted>2002-08-12T14:38:15Z</cp:lastPrinted>
  <dcterms:created xsi:type="dcterms:W3CDTF">2000-02-23T12:13:48Z</dcterms:created>
  <dcterms:modified xsi:type="dcterms:W3CDTF">2023-12-16T15:45:09Z</dcterms:modified>
</cp:coreProperties>
</file>