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13_ncr:1_{CCAD654B-69E5-46FF-85D0-929C4977BC0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Regression_Out" hidden="1">Sheet1!$B$123:$B$123</definedName>
    <definedName name="_Regression_X" hidden="1">Sheet1!$E$118:$E$120</definedName>
    <definedName name="_Regression_Y" hidden="1">Sheet1!$F$118:$F$120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B30" i="1"/>
  <c r="B32" i="1" s="1"/>
  <c r="H38" i="1"/>
  <c r="I38" i="1"/>
  <c r="I40" i="1"/>
  <c r="G42" i="1"/>
  <c r="H42" i="1"/>
  <c r="H45" i="1"/>
  <c r="G49" i="1"/>
  <c r="H49" i="1"/>
  <c r="I55" i="1"/>
  <c r="I62" i="1"/>
  <c r="C47" i="1" l="1"/>
  <c r="C49" i="1" s="1"/>
  <c r="C40" i="1"/>
  <c r="C42" i="1" s="1"/>
  <c r="D46" i="1"/>
  <c r="D58" i="1"/>
  <c r="D48" i="1"/>
  <c r="C57" i="1"/>
  <c r="C59" i="1" s="1"/>
  <c r="C71" i="1" s="1"/>
  <c r="G59" i="1" s="1"/>
  <c r="G57" i="1" s="1"/>
  <c r="H55" i="1" s="1"/>
  <c r="D63" i="1"/>
  <c r="D65" i="1"/>
  <c r="C64" i="1"/>
  <c r="C66" i="1" s="1"/>
  <c r="C75" i="1" s="1"/>
  <c r="G66" i="1" s="1"/>
  <c r="G64" i="1" s="1"/>
  <c r="H62" i="1" s="1"/>
  <c r="D56" i="1"/>
  <c r="D41" i="1"/>
  <c r="D39" i="1"/>
  <c r="D40" i="1" s="1"/>
  <c r="D64" i="1" l="1"/>
  <c r="D57" i="1"/>
  <c r="D59" i="1" s="1"/>
  <c r="D47" i="1"/>
  <c r="D49" i="1" s="1"/>
  <c r="D66" i="1"/>
  <c r="D71" i="1"/>
  <c r="H57" i="1" s="1"/>
  <c r="D42" i="1"/>
  <c r="D75" i="1" l="1"/>
  <c r="H64" i="1" s="1"/>
</calcChain>
</file>

<file path=xl/sharedStrings.xml><?xml version="1.0" encoding="utf-8"?>
<sst xmlns="http://schemas.openxmlformats.org/spreadsheetml/2006/main" count="79" uniqueCount="53">
  <si>
    <r>
      <t>K(H)CO</t>
    </r>
    <r>
      <rPr>
        <b/>
        <vertAlign val="subscript"/>
        <sz val="10"/>
        <rFont val="Arial"/>
        <family val="2"/>
      </rPr>
      <t>3</t>
    </r>
  </si>
  <si>
    <t>kJ / mol</t>
  </si>
  <si>
    <t>±</t>
  </si>
  <si>
    <t>CODATA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</si>
  <si>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</si>
  <si>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  <r>
      <rPr>
        <sz val="10"/>
        <rFont val="Arial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</si>
  <si>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</si>
  <si>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  <r>
      <rPr>
        <sz val="10"/>
        <rFont val="Arial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</si>
  <si>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</si>
  <si>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  <r>
      <rPr>
        <sz val="10"/>
        <rFont val="Arial"/>
      </rPr>
      <t>(HCO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</si>
  <si>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2-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</si>
  <si>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  <r>
      <rPr>
        <sz val="10"/>
        <rFont val="Arial"/>
      </rPr>
      <t>(CO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2-</t>
    </r>
    <r>
      <rPr>
        <sz val="10"/>
        <rFont val="Arial"/>
      </rPr>
      <t>)</t>
    </r>
  </si>
  <si>
    <t>Stefansson et al. (2013)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</si>
  <si>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(NaHCO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(aq))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</si>
  <si>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  <r>
      <rPr>
        <sz val="10"/>
        <rFont val="Arial"/>
      </rPr>
      <t>(NaHCO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(aq))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</si>
  <si>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(NaCO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</si>
  <si>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  <r>
      <rPr>
        <sz val="10"/>
        <rFont val="Arial"/>
      </rPr>
      <t>(NaCO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</t>
    </r>
  </si>
  <si>
    <t>R</t>
  </si>
  <si>
    <r>
      <t>kJ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mol</t>
    </r>
    <r>
      <rPr>
        <vertAlign val="superscript"/>
        <sz val="10"/>
        <rFont val="Arial"/>
        <family val="2"/>
      </rPr>
      <t>-1</t>
    </r>
  </si>
  <si>
    <t>T</t>
  </si>
  <si>
    <t>K</t>
  </si>
  <si>
    <t>ln(10)</t>
  </si>
  <si>
    <t>R T ln(10)</t>
  </si>
  <si>
    <r>
      <t>log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K</t>
    </r>
    <r>
      <rPr>
        <sz val="10"/>
        <rFont val="Calibri"/>
        <family val="2"/>
      </rPr>
      <t>°</t>
    </r>
    <r>
      <rPr>
        <sz val="10"/>
        <rFont val="Arial"/>
        <family val="2"/>
      </rPr>
      <t>(298.15 K)</t>
    </r>
  </si>
  <si>
    <r>
      <t>log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K</t>
    </r>
    <r>
      <rPr>
        <sz val="10"/>
        <rFont val="Calibri"/>
        <family val="2"/>
      </rPr>
      <t>°</t>
    </r>
    <r>
      <rPr>
        <sz val="10"/>
        <rFont val="Arial"/>
        <family val="2"/>
      </rPr>
      <t>(310.15 K)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</si>
  <si>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(298.15 K) kJ/mol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</si>
  <si>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H</t>
    </r>
    <r>
      <rPr>
        <sz val="10"/>
        <rFont val="Calibri"/>
        <family val="2"/>
      </rPr>
      <t>°</t>
    </r>
    <r>
      <rPr>
        <sz val="10"/>
        <rFont val="Arial"/>
      </rPr>
      <t>(298.15 K) kJ/mol</t>
    </r>
  </si>
  <si>
    <t>Wimberley et al. (1983)</t>
  </si>
  <si>
    <r>
      <t>K</t>
    </r>
    <r>
      <rPr>
        <b/>
        <vertAlign val="superscript"/>
        <sz val="10"/>
        <color indexed="10"/>
        <rFont val="Arial"/>
        <family val="2"/>
      </rPr>
      <t>+</t>
    </r>
    <r>
      <rPr>
        <b/>
        <sz val="10"/>
        <color indexed="10"/>
        <rFont val="Arial"/>
        <family val="2"/>
      </rPr>
      <t xml:space="preserve"> + HCO</t>
    </r>
    <r>
      <rPr>
        <b/>
        <vertAlign val="subscript"/>
        <sz val="10"/>
        <color indexed="10"/>
        <rFont val="Arial"/>
        <family val="2"/>
      </rPr>
      <t>3</t>
    </r>
    <r>
      <rPr>
        <b/>
        <vertAlign val="superscript"/>
        <sz val="10"/>
        <color indexed="10"/>
        <rFont val="Arial"/>
        <family val="2"/>
      </rPr>
      <t>-</t>
    </r>
    <r>
      <rPr>
        <b/>
        <sz val="10"/>
        <color indexed="10"/>
        <rFont val="Arial"/>
        <family val="2"/>
      </rPr>
      <t xml:space="preserve"> = KHCO</t>
    </r>
    <r>
      <rPr>
        <b/>
        <vertAlign val="subscript"/>
        <sz val="10"/>
        <color indexed="10"/>
        <rFont val="Arial"/>
        <family val="2"/>
      </rPr>
      <t>3</t>
    </r>
    <r>
      <rPr>
        <b/>
        <sz val="10"/>
        <color indexed="10"/>
        <rFont val="Arial"/>
        <family val="2"/>
      </rPr>
      <t>(aq)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</si>
  <si>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(310.15 K) kJ/mol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</si>
  <si>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(KHCO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(aq))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</si>
  <si>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  <r>
      <rPr>
        <sz val="10"/>
        <rFont val="Arial"/>
      </rPr>
      <t>(KHCO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(aq))</t>
    </r>
  </si>
  <si>
    <r>
      <t>K</t>
    </r>
    <r>
      <rPr>
        <b/>
        <vertAlign val="superscript"/>
        <sz val="10"/>
        <color indexed="10"/>
        <rFont val="Arial"/>
        <family val="2"/>
      </rPr>
      <t>+</t>
    </r>
    <r>
      <rPr>
        <b/>
        <sz val="10"/>
        <color indexed="10"/>
        <rFont val="Arial"/>
        <family val="2"/>
      </rPr>
      <t xml:space="preserve"> + CO</t>
    </r>
    <r>
      <rPr>
        <b/>
        <vertAlign val="subscript"/>
        <sz val="10"/>
        <color indexed="10"/>
        <rFont val="Arial"/>
        <family val="2"/>
      </rPr>
      <t>3</t>
    </r>
    <r>
      <rPr>
        <b/>
        <vertAlign val="superscript"/>
        <sz val="10"/>
        <color indexed="10"/>
        <rFont val="Arial"/>
        <family val="2"/>
      </rPr>
      <t>2-</t>
    </r>
    <r>
      <rPr>
        <b/>
        <sz val="10"/>
        <color indexed="10"/>
        <rFont val="Arial"/>
        <family val="2"/>
      </rPr>
      <t xml:space="preserve"> = KCO</t>
    </r>
    <r>
      <rPr>
        <b/>
        <vertAlign val="subscript"/>
        <sz val="10"/>
        <color indexed="10"/>
        <rFont val="Arial"/>
        <family val="2"/>
      </rPr>
      <t>3</t>
    </r>
    <r>
      <rPr>
        <b/>
        <vertAlign val="superscript"/>
        <sz val="10"/>
        <color indexed="10"/>
        <rFont val="Arial"/>
        <family val="2"/>
      </rPr>
      <t>-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</si>
  <si>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  <r>
      <rPr>
        <sz val="10"/>
        <rFont val="Arial"/>
      </rPr>
      <t>(KCO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</si>
  <si>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H</t>
    </r>
    <r>
      <rPr>
        <sz val="10"/>
        <rFont val="Calibri"/>
        <family val="2"/>
      </rPr>
      <t>°</t>
    </r>
    <r>
      <rPr>
        <sz val="10"/>
        <rFont val="Arial"/>
      </rPr>
      <t>(KCO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</t>
    </r>
  </si>
  <si>
    <r>
      <t>NaHCO</t>
    </r>
    <r>
      <rPr>
        <b/>
        <vertAlign val="subscript"/>
        <sz val="10"/>
        <color indexed="30"/>
        <rFont val="Arial"/>
        <family val="2"/>
      </rPr>
      <t>3</t>
    </r>
    <r>
      <rPr>
        <b/>
        <sz val="10"/>
        <color indexed="30"/>
        <rFont val="Arial"/>
        <family val="2"/>
      </rPr>
      <t>(aq) + K</t>
    </r>
    <r>
      <rPr>
        <b/>
        <vertAlign val="superscript"/>
        <sz val="10"/>
        <color indexed="30"/>
        <rFont val="Arial"/>
        <family val="2"/>
      </rPr>
      <t xml:space="preserve">+ </t>
    </r>
    <r>
      <rPr>
        <b/>
        <sz val="10"/>
        <color indexed="30"/>
        <rFont val="Arial"/>
        <family val="2"/>
      </rPr>
      <t>= KHCO</t>
    </r>
    <r>
      <rPr>
        <b/>
        <vertAlign val="subscript"/>
        <sz val="10"/>
        <color indexed="30"/>
        <rFont val="Arial"/>
        <family val="2"/>
      </rPr>
      <t>3</t>
    </r>
    <r>
      <rPr>
        <b/>
        <sz val="10"/>
        <color indexed="30"/>
        <rFont val="Arial"/>
        <family val="2"/>
      </rPr>
      <t>(aq) + Na</t>
    </r>
    <r>
      <rPr>
        <b/>
        <vertAlign val="superscript"/>
        <sz val="10"/>
        <color indexed="30"/>
        <rFont val="Arial"/>
        <family val="2"/>
      </rPr>
      <t>+</t>
    </r>
  </si>
  <si>
    <t>=</t>
  </si>
  <si>
    <r>
      <t>NaCO</t>
    </r>
    <r>
      <rPr>
        <b/>
        <vertAlign val="subscript"/>
        <sz val="10"/>
        <color indexed="30"/>
        <rFont val="Arial"/>
        <family val="2"/>
      </rPr>
      <t>3</t>
    </r>
    <r>
      <rPr>
        <b/>
        <vertAlign val="superscript"/>
        <sz val="10"/>
        <color indexed="30"/>
        <rFont val="Arial"/>
        <family val="2"/>
      </rPr>
      <t>-</t>
    </r>
    <r>
      <rPr>
        <b/>
        <sz val="10"/>
        <color indexed="30"/>
        <rFont val="Arial"/>
        <family val="2"/>
      </rPr>
      <t xml:space="preserve"> + K</t>
    </r>
    <r>
      <rPr>
        <b/>
        <vertAlign val="superscript"/>
        <sz val="10"/>
        <color indexed="30"/>
        <rFont val="Arial"/>
        <family val="2"/>
      </rPr>
      <t xml:space="preserve">+ </t>
    </r>
    <r>
      <rPr>
        <b/>
        <sz val="10"/>
        <color indexed="30"/>
        <rFont val="Arial"/>
        <family val="2"/>
      </rPr>
      <t>= KCO</t>
    </r>
    <r>
      <rPr>
        <b/>
        <vertAlign val="subscript"/>
        <sz val="10"/>
        <color indexed="30"/>
        <rFont val="Arial"/>
        <family val="2"/>
      </rPr>
      <t>3</t>
    </r>
    <r>
      <rPr>
        <b/>
        <vertAlign val="superscript"/>
        <sz val="10"/>
        <color indexed="30"/>
        <rFont val="Arial"/>
        <family val="2"/>
      </rPr>
      <t>-</t>
    </r>
    <r>
      <rPr>
        <b/>
        <sz val="10"/>
        <color indexed="30"/>
        <rFont val="Arial"/>
        <family val="2"/>
      </rPr>
      <t xml:space="preserve"> + Na</t>
    </r>
    <r>
      <rPr>
        <b/>
        <vertAlign val="superscript"/>
        <sz val="10"/>
        <color indexed="30"/>
        <rFont val="Arial"/>
        <family val="2"/>
      </rPr>
      <t>+</t>
    </r>
  </si>
  <si>
    <t>Hummel W. &amp; Thoenen T. (2023): The PSI Chemical Thermodynamic Database 2020 (TDB 2020), Nagra Technical Report NTB 21-03</t>
  </si>
  <si>
    <t>References</t>
  </si>
  <si>
    <t>Chapter 3.3.6.1 Potassium(I) carbonate complexes</t>
  </si>
  <si>
    <t>Stefánsson, A., Bénézeth, P. &amp; Schott, J. (2013): Carbonic acid ionization and the stability of sodium bicarbonate and carbonate ion pairs to 200 °C – A potentiometric and spectrophotometric study. Geochim. Cosmochim. Acta, 120, 600–611.</t>
  </si>
  <si>
    <t>2013STE</t>
  </si>
  <si>
    <t>1985WIM</t>
  </si>
  <si>
    <r>
      <t>Na</t>
    </r>
    <r>
      <rPr>
        <b/>
        <vertAlign val="superscript"/>
        <sz val="10"/>
        <rFont val="Arial"/>
        <family val="2"/>
      </rPr>
      <t>+</t>
    </r>
    <r>
      <rPr>
        <b/>
        <sz val="10"/>
        <rFont val="Arial"/>
        <family val="2"/>
      </rPr>
      <t xml:space="preserve"> + HCO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-</t>
    </r>
    <r>
      <rPr>
        <b/>
        <sz val="10"/>
        <rFont val="Arial"/>
        <family val="2"/>
      </rPr>
      <t xml:space="preserve"> = NaHCO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>(aq)</t>
    </r>
  </si>
  <si>
    <r>
      <t>Na</t>
    </r>
    <r>
      <rPr>
        <b/>
        <vertAlign val="superscript"/>
        <sz val="10"/>
        <rFont val="Arial"/>
        <family val="2"/>
      </rPr>
      <t>+</t>
    </r>
    <r>
      <rPr>
        <b/>
        <sz val="10"/>
        <rFont val="Arial"/>
        <family val="2"/>
      </rPr>
      <t xml:space="preserve"> + CO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2-</t>
    </r>
    <r>
      <rPr>
        <b/>
        <sz val="10"/>
        <rFont val="Arial"/>
        <family val="2"/>
      </rPr>
      <t xml:space="preserve"> = NaCO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-</t>
    </r>
  </si>
  <si>
    <t>The potassium equilibria reported by Wimberley et al. (1985) have been obtained at 37°C. An iterative procedure has been used to obtain internally consistent data for 25°C using the isocoulombic reactions</t>
  </si>
  <si>
    <r>
      <t>NaHCO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(aq) + K</t>
    </r>
    <r>
      <rPr>
        <vertAlign val="superscript"/>
        <sz val="10"/>
        <rFont val="Arial"/>
        <family val="2"/>
      </rPr>
      <t xml:space="preserve">+ </t>
    </r>
    <r>
      <rPr>
        <sz val="10"/>
        <rFont val="Arial"/>
        <family val="2"/>
      </rPr>
      <t>= KHCO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(aq) + Na</t>
    </r>
    <r>
      <rPr>
        <vertAlign val="superscript"/>
        <sz val="10"/>
        <rFont val="Arial"/>
        <family val="2"/>
      </rPr>
      <t>+</t>
    </r>
  </si>
  <si>
    <r>
      <t>NaCO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+ K</t>
    </r>
    <r>
      <rPr>
        <vertAlign val="superscript"/>
        <sz val="10"/>
        <rFont val="Arial"/>
        <family val="2"/>
      </rPr>
      <t xml:space="preserve">+ </t>
    </r>
    <r>
      <rPr>
        <sz val="10"/>
        <rFont val="Arial"/>
        <family val="2"/>
      </rPr>
      <t>= KCO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+ 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and</t>
    </r>
  </si>
  <si>
    <t>as described in chapter 3.3.6.1</t>
  </si>
  <si>
    <t>doi:10.1080/00365518509160965</t>
  </si>
  <si>
    <t>doi:10.1016/j.gca.2013.04.023</t>
  </si>
  <si>
    <t>Wimberley, P.D., Siggaard-Andersen, O., Fogh-Andersen, N. &amp; Boink, A.B.T.J. (1985): Are sodium bicarbonate and potassium bicarbonate fully dissociated under physiological conditions? Scand. J. Clin. Lab. Invest., 45, 7–10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</si>
</sst>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alibri"/>
      <family val="2"/>
    </font>
    <font>
      <b/>
      <vertAlign val="subscript"/>
      <sz val="10"/>
      <name val="Arial"/>
      <family val="2"/>
    </font>
    <font>
      <b/>
      <sz val="10"/>
      <color indexed="10"/>
      <name val="Arial"/>
      <family val="2"/>
    </font>
    <font>
      <b/>
      <vertAlign val="superscript"/>
      <sz val="10"/>
      <color indexed="10"/>
      <name val="Arial"/>
      <family val="2"/>
    </font>
    <font>
      <b/>
      <vertAlign val="subscript"/>
      <sz val="10"/>
      <color indexed="10"/>
      <name val="Arial"/>
      <family val="2"/>
    </font>
    <font>
      <b/>
      <sz val="10"/>
      <color indexed="30"/>
      <name val="Arial"/>
      <family val="2"/>
    </font>
    <font>
      <b/>
      <vertAlign val="subscript"/>
      <sz val="10"/>
      <color indexed="30"/>
      <name val="Arial"/>
      <family val="2"/>
    </font>
    <font>
      <b/>
      <vertAlign val="superscript"/>
      <sz val="10"/>
      <color indexed="30"/>
      <name val="Arial"/>
      <family val="2"/>
    </font>
    <font>
      <b/>
      <sz val="9"/>
      <name val="Times New Roman"/>
      <family val="1"/>
    </font>
    <font>
      <b/>
      <vertAlign val="superscript"/>
      <sz val="1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6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5" fillId="0" borderId="0" xfId="0" applyNumberFormat="1" applyFont="1"/>
    <xf numFmtId="2" fontId="5" fillId="0" borderId="0" xfId="0" applyNumberFormat="1" applyFont="1"/>
    <xf numFmtId="164" fontId="8" fillId="0" borderId="0" xfId="0" applyNumberFormat="1" applyFont="1"/>
    <xf numFmtId="164" fontId="5" fillId="0" borderId="0" xfId="0" applyNumberFormat="1" applyFont="1"/>
    <xf numFmtId="0" fontId="3" fillId="0" borderId="0" xfId="0" quotePrefix="1" applyFont="1" applyAlignment="1">
      <alignment horizontal="center"/>
    </xf>
    <xf numFmtId="0" fontId="8" fillId="0" borderId="0" xfId="0" applyFont="1"/>
    <xf numFmtId="0" fontId="11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14" fillId="0" borderId="0" xfId="0" applyFont="1"/>
    <xf numFmtId="0" fontId="16" fillId="0" borderId="0" xfId="2"/>
  </cellXfs>
  <cellStyles count="3">
    <cellStyle name="Enllaç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16/j.gca.2013.04.023" TargetMode="External"/><Relationship Id="rId1" Type="http://schemas.openxmlformats.org/officeDocument/2006/relationships/hyperlink" Target="https://doi.org/10.1080/00365518509160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5"/>
  <sheetViews>
    <sheetView tabSelected="1" workbookViewId="0">
      <selection activeCell="C9" sqref="C9"/>
    </sheetView>
  </sheetViews>
  <sheetFormatPr defaultColWidth="11.5546875" defaultRowHeight="13.2" x14ac:dyDescent="0.25"/>
  <cols>
    <col min="1" max="1" width="8.77734375" customWidth="1"/>
    <col min="2" max="4" width="10.77734375" customWidth="1"/>
    <col min="5" max="6" width="8.77734375" customWidth="1"/>
    <col min="7" max="7" width="12.44140625" customWidth="1"/>
    <col min="8" max="256" width="8.77734375" customWidth="1"/>
  </cols>
  <sheetData>
    <row r="1" spans="1:26" x14ac:dyDescent="0.25">
      <c r="A1" s="2" t="s">
        <v>38</v>
      </c>
    </row>
    <row r="3" spans="1:26" x14ac:dyDescent="0.25">
      <c r="A3" t="s">
        <v>40</v>
      </c>
    </row>
    <row r="6" spans="1:26" ht="16.8" x14ac:dyDescent="0.35">
      <c r="A6" s="2" t="s">
        <v>46</v>
      </c>
      <c r="S6" s="2" t="s">
        <v>48</v>
      </c>
      <c r="V6" s="2" t="s">
        <v>47</v>
      </c>
      <c r="Z6" s="2" t="s">
        <v>49</v>
      </c>
    </row>
    <row r="8" spans="1:26" x14ac:dyDescent="0.25">
      <c r="A8" t="s">
        <v>39</v>
      </c>
    </row>
    <row r="9" spans="1:26" x14ac:dyDescent="0.25">
      <c r="A9" s="17" t="s">
        <v>43</v>
      </c>
      <c r="B9" s="18" t="s">
        <v>50</v>
      </c>
      <c r="C9" t="s">
        <v>52</v>
      </c>
    </row>
    <row r="10" spans="1:26" x14ac:dyDescent="0.25">
      <c r="A10" s="17" t="s">
        <v>42</v>
      </c>
      <c r="B10" s="18" t="s">
        <v>51</v>
      </c>
      <c r="C10" t="s">
        <v>41</v>
      </c>
    </row>
    <row r="14" spans="1:26" ht="15.6" x14ac:dyDescent="0.35">
      <c r="A14" s="1" t="s">
        <v>0</v>
      </c>
    </row>
    <row r="15" spans="1:26" x14ac:dyDescent="0.25">
      <c r="A15" s="1"/>
    </row>
    <row r="16" spans="1:26" ht="13.8" x14ac:dyDescent="0.3">
      <c r="C16" s="6" t="s">
        <v>1</v>
      </c>
      <c r="D16" s="4" t="s">
        <v>2</v>
      </c>
      <c r="G16" s="6" t="s">
        <v>1</v>
      </c>
      <c r="H16" s="4" t="s">
        <v>2</v>
      </c>
    </row>
    <row r="17" spans="1:8" ht="13.8" x14ac:dyDescent="0.3">
      <c r="A17" s="2" t="s">
        <v>3</v>
      </c>
      <c r="C17" s="6"/>
      <c r="D17" s="4"/>
      <c r="G17" s="6"/>
      <c r="H17" s="4"/>
    </row>
    <row r="18" spans="1:8" ht="16.8" x14ac:dyDescent="0.35">
      <c r="B18" s="3" t="s">
        <v>4</v>
      </c>
      <c r="C18">
        <v>-261.95299999999997</v>
      </c>
      <c r="D18">
        <v>9.6000000000000002E-2</v>
      </c>
      <c r="F18" s="3" t="s">
        <v>5</v>
      </c>
      <c r="G18">
        <v>-240.34</v>
      </c>
      <c r="H18">
        <v>0.06</v>
      </c>
    </row>
    <row r="19" spans="1:8" ht="16.8" x14ac:dyDescent="0.35">
      <c r="B19" s="3" t="s">
        <v>6</v>
      </c>
      <c r="C19">
        <v>-282.51</v>
      </c>
      <c r="D19">
        <v>0.11600000000000001</v>
      </c>
      <c r="F19" s="3" t="s">
        <v>7</v>
      </c>
      <c r="G19">
        <v>-252.14</v>
      </c>
      <c r="H19">
        <v>0.08</v>
      </c>
    </row>
    <row r="20" spans="1:8" ht="16.8" x14ac:dyDescent="0.35">
      <c r="B20" s="3" t="s">
        <v>8</v>
      </c>
      <c r="C20">
        <v>-586.84500000000003</v>
      </c>
      <c r="D20">
        <v>0.251</v>
      </c>
      <c r="F20" s="3" t="s">
        <v>9</v>
      </c>
      <c r="G20">
        <v>-689.93</v>
      </c>
      <c r="H20">
        <v>0.2</v>
      </c>
    </row>
    <row r="21" spans="1:8" ht="16.8" x14ac:dyDescent="0.35">
      <c r="B21" s="3" t="s">
        <v>10</v>
      </c>
      <c r="C21">
        <v>-527.9</v>
      </c>
      <c r="D21">
        <v>0.39</v>
      </c>
      <c r="F21" s="3" t="s">
        <v>11</v>
      </c>
      <c r="G21">
        <v>-675.23</v>
      </c>
      <c r="H21">
        <v>0.25</v>
      </c>
    </row>
    <row r="22" spans="1:8" x14ac:dyDescent="0.25">
      <c r="B22" s="3"/>
      <c r="F22" s="3"/>
    </row>
    <row r="23" spans="1:8" x14ac:dyDescent="0.25">
      <c r="A23" s="17" t="s">
        <v>42</v>
      </c>
      <c r="B23" s="2" t="s">
        <v>12</v>
      </c>
      <c r="F23" s="3"/>
    </row>
    <row r="24" spans="1:8" ht="15.6" x14ac:dyDescent="0.35">
      <c r="B24" s="3" t="s">
        <v>13</v>
      </c>
      <c r="C24" s="1">
        <v>-847.8</v>
      </c>
      <c r="F24" s="3" t="s">
        <v>14</v>
      </c>
      <c r="G24" s="1">
        <v>-918.5</v>
      </c>
    </row>
    <row r="25" spans="1:8" ht="16.8" x14ac:dyDescent="0.35">
      <c r="B25" s="3" t="s">
        <v>15</v>
      </c>
      <c r="C25" s="1">
        <f>795.6</f>
        <v>795.6</v>
      </c>
      <c r="F25" s="3" t="s">
        <v>16</v>
      </c>
      <c r="G25" s="1">
        <v>-896.1</v>
      </c>
    </row>
    <row r="28" spans="1:8" ht="15.6" x14ac:dyDescent="0.25">
      <c r="A28" t="s">
        <v>17</v>
      </c>
      <c r="B28">
        <v>8.3145100000000007E-3</v>
      </c>
      <c r="C28" s="2" t="s">
        <v>18</v>
      </c>
    </row>
    <row r="29" spans="1:8" x14ac:dyDescent="0.25">
      <c r="A29" t="s">
        <v>19</v>
      </c>
      <c r="B29">
        <v>298.14999999999998</v>
      </c>
      <c r="C29" s="2" t="s">
        <v>20</v>
      </c>
    </row>
    <row r="30" spans="1:8" x14ac:dyDescent="0.25">
      <c r="A30" t="s">
        <v>21</v>
      </c>
      <c r="B30">
        <f>LN(10)</f>
        <v>2.3025850929940459</v>
      </c>
    </row>
    <row r="32" spans="1:8" x14ac:dyDescent="0.25">
      <c r="A32" t="s">
        <v>22</v>
      </c>
      <c r="B32">
        <f>B28*B29*B30</f>
        <v>5.7080420309191107</v>
      </c>
    </row>
    <row r="35" spans="1:9" x14ac:dyDescent="0.25">
      <c r="A35" s="17" t="s">
        <v>42</v>
      </c>
      <c r="B35" s="2" t="s">
        <v>12</v>
      </c>
    </row>
    <row r="36" spans="1:9" x14ac:dyDescent="0.25">
      <c r="A36" s="2"/>
    </row>
    <row r="37" spans="1:9" ht="16.8" x14ac:dyDescent="0.35">
      <c r="A37" s="1" t="s">
        <v>44</v>
      </c>
    </row>
    <row r="38" spans="1:9" ht="15.6" x14ac:dyDescent="0.35">
      <c r="A38" s="2" t="s">
        <v>23</v>
      </c>
      <c r="C38">
        <v>-0.18</v>
      </c>
      <c r="D38">
        <v>0.25</v>
      </c>
      <c r="F38" s="2" t="s">
        <v>24</v>
      </c>
      <c r="H38" s="5">
        <f>1.8528-606.24/310.15</f>
        <v>-0.10186709656617787</v>
      </c>
      <c r="I38">
        <f>$G$40/($B$28*LN(10))*(1/$B$29-1/310.15)</f>
        <v>7.8628553721523331E-2</v>
      </c>
    </row>
    <row r="39" spans="1:9" x14ac:dyDescent="0.25">
      <c r="A39" s="2"/>
      <c r="D39" s="5">
        <f>-$B$32*(C$38-D$38)</f>
        <v>2.4544580732952177</v>
      </c>
    </row>
    <row r="40" spans="1:9" ht="15.6" x14ac:dyDescent="0.35">
      <c r="A40" s="7" t="s">
        <v>25</v>
      </c>
      <c r="C40" s="11">
        <f>-$B$32*$C38</f>
        <v>1.0274475655654398</v>
      </c>
      <c r="D40" s="9">
        <f>(D39-D41)/2</f>
        <v>1.4270105077297777</v>
      </c>
      <c r="E40" s="7" t="s">
        <v>26</v>
      </c>
      <c r="G40">
        <v>11.6</v>
      </c>
      <c r="H40">
        <v>4</v>
      </c>
      <c r="I40">
        <f>-606.24*$B$28*LN(10)</f>
        <v>-11.606384037646826</v>
      </c>
    </row>
    <row r="41" spans="1:9" x14ac:dyDescent="0.25">
      <c r="A41" s="7"/>
      <c r="D41" s="5">
        <f>-$B$32*(C$38+D$38)</f>
        <v>-0.3995629421643378</v>
      </c>
    </row>
    <row r="42" spans="1:9" ht="15.6" x14ac:dyDescent="0.35">
      <c r="A42" s="7"/>
      <c r="B42" s="3" t="s">
        <v>13</v>
      </c>
      <c r="C42" s="15">
        <f>C40+C$18+C$20</f>
        <v>-847.77055243443453</v>
      </c>
      <c r="D42" s="16">
        <f>SQRT(D18^2+D20^2+D40^2)</f>
        <v>1.4520936571623739</v>
      </c>
      <c r="F42" s="3" t="s">
        <v>14</v>
      </c>
      <c r="G42" s="8">
        <f>G40+G$18+G$20</f>
        <v>-918.67</v>
      </c>
      <c r="H42" s="8">
        <f>SQRT(H18^2+H20^2+H40^2)</f>
        <v>4.0054462922376084</v>
      </c>
    </row>
    <row r="44" spans="1:9" ht="16.8" x14ac:dyDescent="0.35">
      <c r="A44" s="1" t="s">
        <v>45</v>
      </c>
    </row>
    <row r="45" spans="1:9" ht="15.6" x14ac:dyDescent="0.35">
      <c r="A45" s="2" t="s">
        <v>23</v>
      </c>
      <c r="C45" s="5">
        <v>1.01</v>
      </c>
      <c r="D45" s="5">
        <v>0.2</v>
      </c>
      <c r="F45" s="2" t="s">
        <v>24</v>
      </c>
      <c r="H45" s="5">
        <f>4.1659-941.15/310.15</f>
        <v>1.1314005642431075</v>
      </c>
    </row>
    <row r="46" spans="1:9" x14ac:dyDescent="0.25">
      <c r="A46" s="2"/>
      <c r="D46" s="5">
        <f>-$B$32*(C$45-D$45)</f>
        <v>-4.6235140450444803</v>
      </c>
    </row>
    <row r="47" spans="1:9" ht="15.6" x14ac:dyDescent="0.35">
      <c r="A47" s="7" t="s">
        <v>25</v>
      </c>
      <c r="C47" s="9">
        <f>-$B$32*C45</f>
        <v>-5.7651224512283017</v>
      </c>
      <c r="D47" s="9">
        <f>(D46-D48)/2</f>
        <v>1.1416084061838219</v>
      </c>
      <c r="E47" s="7" t="s">
        <v>26</v>
      </c>
      <c r="G47">
        <v>18</v>
      </c>
      <c r="H47">
        <v>4</v>
      </c>
    </row>
    <row r="48" spans="1:9" x14ac:dyDescent="0.25">
      <c r="D48" s="5">
        <f>-$B$32*(C$45+D$45)</f>
        <v>-6.906730857412124</v>
      </c>
    </row>
    <row r="49" spans="1:9" ht="16.8" x14ac:dyDescent="0.35">
      <c r="B49" s="3" t="s">
        <v>15</v>
      </c>
      <c r="C49" s="15">
        <f>C47+C$18+C$21</f>
        <v>-795.61812245122826</v>
      </c>
      <c r="D49" s="16">
        <f>SQRT(D18^2+D21^2+D47^2)</f>
        <v>1.2102007077627934</v>
      </c>
      <c r="F49" s="3" t="s">
        <v>16</v>
      </c>
      <c r="G49" s="8">
        <f>G47+G$18+G$21</f>
        <v>-897.57</v>
      </c>
      <c r="H49" s="8">
        <f>SQRT(H18^2+H21^2+H47^2)</f>
        <v>4.0082539839685802</v>
      </c>
    </row>
    <row r="52" spans="1:9" x14ac:dyDescent="0.25">
      <c r="A52" s="17" t="s">
        <v>43</v>
      </c>
      <c r="B52" s="2" t="s">
        <v>27</v>
      </c>
    </row>
    <row r="54" spans="1:9" ht="16.8" x14ac:dyDescent="0.35">
      <c r="A54" s="13" t="s">
        <v>28</v>
      </c>
    </row>
    <row r="55" spans="1:9" ht="15.6" x14ac:dyDescent="0.35">
      <c r="A55" s="2" t="s">
        <v>23</v>
      </c>
      <c r="C55" s="13">
        <v>-0.34399999999999997</v>
      </c>
      <c r="D55">
        <v>0.5</v>
      </c>
      <c r="F55" s="2" t="s">
        <v>24</v>
      </c>
      <c r="H55" s="14">
        <f>$C$55+$G$57/($B$28*LN(10))*(1/$B$29-1/310.15)</f>
        <v>-0.25902612949627396</v>
      </c>
      <c r="I55" s="14">
        <f>LOG(0.55)</f>
        <v>-0.25963731050575611</v>
      </c>
    </row>
    <row r="56" spans="1:9" x14ac:dyDescent="0.25">
      <c r="A56" s="2"/>
      <c r="D56" s="5">
        <f>-$B$32*(C$55-D$55)</f>
        <v>4.8175874740957294</v>
      </c>
    </row>
    <row r="57" spans="1:9" ht="15.6" x14ac:dyDescent="0.35">
      <c r="A57" s="7" t="s">
        <v>29</v>
      </c>
      <c r="C57" s="11">
        <f>-$B$32*$C55</f>
        <v>1.9635664586361739</v>
      </c>
      <c r="D57" s="9">
        <f>(D56-D58)/2</f>
        <v>2.8540210154595553</v>
      </c>
      <c r="E57" s="7" t="s">
        <v>26</v>
      </c>
      <c r="G57" s="10">
        <f>$G$59-$G$19-$G$20</f>
        <v>12.536118893070807</v>
      </c>
      <c r="H57" s="5">
        <f>SQRT(H42^2+D71^2)</f>
        <v>5.1210736126183534</v>
      </c>
    </row>
    <row r="58" spans="1:9" x14ac:dyDescent="0.25">
      <c r="A58" s="7"/>
      <c r="D58" s="5">
        <f>-$B$32*(C$55+D$55)</f>
        <v>-0.89045455682338137</v>
      </c>
    </row>
    <row r="59" spans="1:9" ht="15.6" x14ac:dyDescent="0.35">
      <c r="B59" s="3" t="s">
        <v>30</v>
      </c>
      <c r="C59" s="15">
        <f>C57+C$19+C$20</f>
        <v>-867.39143354136377</v>
      </c>
      <c r="D59" s="16">
        <f>SQRT(D19^2+D20^2+D57^2)</f>
        <v>2.8673843405941923</v>
      </c>
      <c r="F59" s="3" t="s">
        <v>31</v>
      </c>
      <c r="G59" s="10">
        <f>$C$71-$G$18+$G$19+$G$42</f>
        <v>-929.53388110692913</v>
      </c>
    </row>
    <row r="60" spans="1:9" x14ac:dyDescent="0.25">
      <c r="C60" s="2"/>
      <c r="D60" s="2"/>
    </row>
    <row r="61" spans="1:9" ht="16.8" x14ac:dyDescent="0.35">
      <c r="A61" s="13" t="s">
        <v>32</v>
      </c>
    </row>
    <row r="62" spans="1:9" ht="15.6" x14ac:dyDescent="0.35">
      <c r="A62" s="2" t="s">
        <v>23</v>
      </c>
      <c r="C62" s="10">
        <v>0.9</v>
      </c>
      <c r="D62" s="5">
        <v>0.5</v>
      </c>
      <c r="F62" s="2" t="s">
        <v>24</v>
      </c>
      <c r="H62" s="14">
        <f>$C$62+$G$64/($B$28*LN(10))*(1/$B$29-1/310.15)</f>
        <v>1.0262658298990881</v>
      </c>
      <c r="I62" s="14">
        <f>LOG(10.6)</f>
        <v>1.0253058652647702</v>
      </c>
    </row>
    <row r="63" spans="1:9" x14ac:dyDescent="0.25">
      <c r="A63" s="2"/>
      <c r="D63" s="5">
        <f>-$B$32*(C$62-D$62)</f>
        <v>-2.2832168123676442</v>
      </c>
    </row>
    <row r="64" spans="1:9" ht="15.6" x14ac:dyDescent="0.35">
      <c r="A64" s="7" t="s">
        <v>29</v>
      </c>
      <c r="C64" s="9">
        <f>-$B$32*C62</f>
        <v>-5.1372378278271995</v>
      </c>
      <c r="D64" s="9">
        <f>(D63-D65)/2</f>
        <v>2.8540210154595549</v>
      </c>
      <c r="E64" s="7" t="s">
        <v>26</v>
      </c>
      <c r="G64" s="10">
        <f>$G$66-$G$19-$G$21</f>
        <v>18.627884623400973</v>
      </c>
      <c r="H64" s="5">
        <f>SQRT(H47^2+D75^2)</f>
        <v>5.0446710209640386</v>
      </c>
    </row>
    <row r="65" spans="1:7" x14ac:dyDescent="0.25">
      <c r="D65" s="5">
        <f>-$B$32*(C$62+D$62)</f>
        <v>-7.9912588432867544</v>
      </c>
    </row>
    <row r="66" spans="1:7" ht="16.8" x14ac:dyDescent="0.35">
      <c r="B66" s="3" t="s">
        <v>33</v>
      </c>
      <c r="C66" s="15">
        <f>C64+C$19+C$21</f>
        <v>-815.54723782782719</v>
      </c>
      <c r="D66" s="16">
        <f>SQRT(D19^2+D21^2+D64^2)</f>
        <v>2.8828791089264896</v>
      </c>
      <c r="F66" s="3" t="s">
        <v>34</v>
      </c>
      <c r="G66" s="10">
        <f>$C$75-$G$18+$G$19+$G$49</f>
        <v>-908.74211537659903</v>
      </c>
    </row>
    <row r="69" spans="1:7" ht="16.8" x14ac:dyDescent="0.35">
      <c r="A69" s="14" t="s">
        <v>35</v>
      </c>
    </row>
    <row r="71" spans="1:7" ht="15.6" x14ac:dyDescent="0.35">
      <c r="A71" s="7" t="s">
        <v>25</v>
      </c>
      <c r="C71" s="10">
        <f>$C$18+$C$59-$C$19-$C$42</f>
        <v>0.936118893070784</v>
      </c>
      <c r="D71" s="5">
        <f>SQRT(D40^2+D57^2)</f>
        <v>3.1908924998902721</v>
      </c>
      <c r="E71" s="12" t="s">
        <v>36</v>
      </c>
      <c r="F71" s="7" t="s">
        <v>26</v>
      </c>
    </row>
    <row r="73" spans="1:7" ht="16.8" x14ac:dyDescent="0.35">
      <c r="A73" s="14" t="s">
        <v>37</v>
      </c>
    </row>
    <row r="75" spans="1:7" ht="15.6" x14ac:dyDescent="0.35">
      <c r="A75" s="7" t="s">
        <v>25</v>
      </c>
      <c r="C75" s="10">
        <f>$C$18+$C$66-$C$19-$C$49</f>
        <v>0.6278846234009734</v>
      </c>
      <c r="D75" s="5">
        <f>SQRT(D47^2+D64^2)</f>
        <v>3.0738747062550149</v>
      </c>
      <c r="E75" s="12" t="s">
        <v>36</v>
      </c>
      <c r="F75" s="7" t="s">
        <v>26</v>
      </c>
    </row>
  </sheetData>
  <hyperlinks>
    <hyperlink ref="B9" r:id="rId1" xr:uid="{87B4338C-C465-4E3E-8964-2BEE488D68D6}"/>
    <hyperlink ref="B10" r:id="rId2" xr:uid="{5F7F2A78-531E-4F94-9C83-53EA6050941E}"/>
  </hyperlinks>
  <pageMargins left="0.75" right="0.75" top="1" bottom="1" header="0.5" footer="0.5"/>
  <pageSetup paperSize="9" orientation="portrait" horizontalDpi="300" r:id="rId3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Josep Bonet</cp:lastModifiedBy>
  <cp:lastPrinted>2001-11-28T13:26:59Z</cp:lastPrinted>
  <dcterms:created xsi:type="dcterms:W3CDTF">2001-11-28T13:43:01Z</dcterms:created>
  <dcterms:modified xsi:type="dcterms:W3CDTF">2023-12-16T15:35:37Z</dcterms:modified>
</cp:coreProperties>
</file>