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13_ncr:1_{35B5290B-5165-4716-8C15-C0648BAF32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lcK" sheetId="9" r:id="rId1"/>
    <sheet name="PlotK" sheetId="10" r:id="rId2"/>
    <sheet name="KTemp" sheetId="12" r:id="rId3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8" i="12" l="1"/>
  <c r="V67" i="12"/>
  <c r="U67" i="12"/>
  <c r="T68" i="12"/>
  <c r="U68" i="12"/>
  <c r="T67" i="12"/>
  <c r="V24" i="12"/>
  <c r="V23" i="12"/>
  <c r="U24" i="12"/>
  <c r="U23" i="12"/>
  <c r="T23" i="12"/>
  <c r="T24" i="12"/>
  <c r="AE51" i="12"/>
  <c r="AH51" i="12"/>
  <c r="AE50" i="12"/>
  <c r="AH50" i="12"/>
  <c r="AE49" i="12"/>
  <c r="AH49" i="12"/>
  <c r="AM34" i="12"/>
  <c r="AK34" i="12"/>
  <c r="AJ34" i="12"/>
  <c r="AL41" i="12"/>
  <c r="AK41" i="12"/>
  <c r="AJ41" i="12"/>
  <c r="AN41" i="12"/>
  <c r="AM40" i="12"/>
  <c r="AL40" i="12"/>
  <c r="AK40" i="12"/>
  <c r="AJ40" i="12"/>
  <c r="AN40" i="12"/>
  <c r="AJ39" i="12"/>
  <c r="AM39" i="12"/>
  <c r="AK38" i="12"/>
  <c r="AJ38" i="12"/>
  <c r="AN38" i="12"/>
  <c r="AL37" i="12"/>
  <c r="AK37" i="12"/>
  <c r="AJ37" i="12"/>
  <c r="AN37" i="12"/>
  <c r="AM36" i="12"/>
  <c r="AL36" i="12"/>
  <c r="AJ36" i="12"/>
  <c r="AK36" i="12"/>
  <c r="AJ35" i="12"/>
  <c r="AM35" i="12"/>
  <c r="AJ43" i="12"/>
  <c r="F62" i="12"/>
  <c r="F40" i="12"/>
  <c r="F18" i="12"/>
  <c r="F94" i="9"/>
  <c r="G94" i="9" s="1"/>
  <c r="N94" i="9" s="1"/>
  <c r="F65" i="9"/>
  <c r="F36" i="9"/>
  <c r="I41" i="12"/>
  <c r="F62" i="9"/>
  <c r="G62" i="9" s="1"/>
  <c r="N62" i="9" s="1"/>
  <c r="I62" i="9"/>
  <c r="V60" i="12"/>
  <c r="V41" i="12"/>
  <c r="V39" i="12"/>
  <c r="V38" i="12"/>
  <c r="Q38" i="12"/>
  <c r="V37" i="12"/>
  <c r="V36" i="12"/>
  <c r="V35" i="12"/>
  <c r="V34" i="12"/>
  <c r="U13" i="12"/>
  <c r="V13" i="12"/>
  <c r="O13" i="12"/>
  <c r="Z34" i="12"/>
  <c r="Q60" i="12"/>
  <c r="M62" i="12"/>
  <c r="M61" i="12"/>
  <c r="M60" i="12"/>
  <c r="M59" i="12"/>
  <c r="M58" i="12"/>
  <c r="M57" i="12"/>
  <c r="M18" i="12"/>
  <c r="M17" i="12"/>
  <c r="M16" i="12"/>
  <c r="M15" i="12"/>
  <c r="M14" i="12"/>
  <c r="M13" i="12"/>
  <c r="U48" i="12"/>
  <c r="U47" i="12"/>
  <c r="U46" i="12"/>
  <c r="Y41" i="12"/>
  <c r="Y40" i="12"/>
  <c r="Y39" i="12"/>
  <c r="Y38" i="12"/>
  <c r="Y37" i="12"/>
  <c r="Y36" i="12"/>
  <c r="Y35" i="12"/>
  <c r="Y34" i="12"/>
  <c r="AA41" i="12"/>
  <c r="Z41" i="12"/>
  <c r="AA40" i="12"/>
  <c r="Z40" i="12"/>
  <c r="AA39" i="12"/>
  <c r="Z39" i="12"/>
  <c r="AA38" i="12"/>
  <c r="AA36" i="12"/>
  <c r="Z36" i="12"/>
  <c r="AA35" i="12"/>
  <c r="Z35" i="12"/>
  <c r="W41" i="12"/>
  <c r="X41" i="12"/>
  <c r="W40" i="12"/>
  <c r="X40" i="12"/>
  <c r="W39" i="12"/>
  <c r="X39" i="12"/>
  <c r="X38" i="12"/>
  <c r="Z38" i="12"/>
  <c r="X37" i="12"/>
  <c r="Z37" i="12"/>
  <c r="W36" i="12"/>
  <c r="X36" i="12"/>
  <c r="W35" i="12"/>
  <c r="X35" i="12"/>
  <c r="W34" i="12"/>
  <c r="X34" i="12"/>
  <c r="AA34" i="12"/>
  <c r="X27" i="12"/>
  <c r="X30" i="12"/>
  <c r="U61" i="12"/>
  <c r="V61" i="12"/>
  <c r="O61" i="12"/>
  <c r="U60" i="12"/>
  <c r="U59" i="12"/>
  <c r="V59" i="12"/>
  <c r="O59" i="12"/>
  <c r="U58" i="12"/>
  <c r="V58" i="12"/>
  <c r="O58" i="12"/>
  <c r="T61" i="12"/>
  <c r="T60" i="12"/>
  <c r="T59" i="12"/>
  <c r="T58" i="12"/>
  <c r="T57" i="12"/>
  <c r="H62" i="12"/>
  <c r="H61" i="12"/>
  <c r="H60" i="12"/>
  <c r="H59" i="12"/>
  <c r="H58" i="12"/>
  <c r="H57" i="12"/>
  <c r="G62" i="12"/>
  <c r="N62" i="12"/>
  <c r="F61" i="12"/>
  <c r="G60" i="12"/>
  <c r="N60" i="12"/>
  <c r="N59" i="12"/>
  <c r="G59" i="12"/>
  <c r="F58" i="12"/>
  <c r="G57" i="12"/>
  <c r="U57" i="12"/>
  <c r="V57" i="12"/>
  <c r="O57" i="12"/>
  <c r="F57" i="12"/>
  <c r="B49" i="12"/>
  <c r="B48" i="12"/>
  <c r="N41" i="12"/>
  <c r="M41" i="12"/>
  <c r="M40" i="12"/>
  <c r="M39" i="12"/>
  <c r="M38" i="12"/>
  <c r="M37" i="12"/>
  <c r="M36" i="12"/>
  <c r="M35" i="12"/>
  <c r="M34" i="12"/>
  <c r="T41" i="12"/>
  <c r="U41" i="12"/>
  <c r="P41" i="12"/>
  <c r="F41" i="12"/>
  <c r="G41" i="12"/>
  <c r="E41" i="12"/>
  <c r="H41" i="12"/>
  <c r="T40" i="12"/>
  <c r="V40" i="12"/>
  <c r="T39" i="12"/>
  <c r="T38" i="12"/>
  <c r="T37" i="12"/>
  <c r="T36" i="12"/>
  <c r="T35" i="12"/>
  <c r="T34" i="12"/>
  <c r="H40" i="12"/>
  <c r="H39" i="12"/>
  <c r="H38" i="12"/>
  <c r="H37" i="12"/>
  <c r="H36" i="12"/>
  <c r="H35" i="12"/>
  <c r="H34" i="12"/>
  <c r="G40" i="12"/>
  <c r="N40" i="12"/>
  <c r="F39" i="12"/>
  <c r="G38" i="12"/>
  <c r="N38" i="12"/>
  <c r="I37" i="12"/>
  <c r="F37" i="12"/>
  <c r="G37" i="12"/>
  <c r="N37" i="12"/>
  <c r="E37" i="12"/>
  <c r="N36" i="12"/>
  <c r="G36" i="12"/>
  <c r="F35" i="12"/>
  <c r="G34" i="12"/>
  <c r="N34" i="12"/>
  <c r="F34" i="12"/>
  <c r="B26" i="12"/>
  <c r="B25" i="12"/>
  <c r="T16" i="12"/>
  <c r="T13" i="12"/>
  <c r="H18" i="12"/>
  <c r="H17" i="12"/>
  <c r="H16" i="12"/>
  <c r="H15" i="12"/>
  <c r="H14" i="12"/>
  <c r="H13" i="12"/>
  <c r="G18" i="12"/>
  <c r="T18" i="12"/>
  <c r="N17" i="12"/>
  <c r="G17" i="12"/>
  <c r="F17" i="12"/>
  <c r="N16" i="12"/>
  <c r="G16" i="12"/>
  <c r="N15" i="12"/>
  <c r="G15" i="12"/>
  <c r="F14" i="12"/>
  <c r="F13" i="12"/>
  <c r="G13" i="12"/>
  <c r="N13" i="12"/>
  <c r="B5" i="12"/>
  <c r="B4" i="12"/>
  <c r="U36" i="12"/>
  <c r="O36" i="12"/>
  <c r="U17" i="12"/>
  <c r="V17" i="12"/>
  <c r="O17" i="12"/>
  <c r="U16" i="12"/>
  <c r="V16" i="12"/>
  <c r="Q16" i="12"/>
  <c r="U15" i="12"/>
  <c r="V15" i="12"/>
  <c r="O15" i="12"/>
  <c r="T17" i="12"/>
  <c r="J40" i="9"/>
  <c r="I40" i="9"/>
  <c r="J70" i="9"/>
  <c r="I70" i="9"/>
  <c r="P20" i="9"/>
  <c r="O20" i="9"/>
  <c r="U65" i="9"/>
  <c r="G65" i="9"/>
  <c r="N65" i="9" s="1"/>
  <c r="U36" i="9"/>
  <c r="U94" i="9"/>
  <c r="E62" i="9"/>
  <c r="H62" i="9" s="1"/>
  <c r="U93" i="9"/>
  <c r="F93" i="9"/>
  <c r="G93" i="9" s="1"/>
  <c r="N93" i="9" s="1"/>
  <c r="U35" i="9"/>
  <c r="F35" i="9"/>
  <c r="U64" i="9"/>
  <c r="F64" i="9"/>
  <c r="U34" i="9"/>
  <c r="W34" i="9"/>
  <c r="G34" i="9"/>
  <c r="N34" i="9" s="1"/>
  <c r="U63" i="9"/>
  <c r="W63" i="9"/>
  <c r="G63" i="9"/>
  <c r="N63" i="9" s="1"/>
  <c r="U92" i="9"/>
  <c r="W92" i="9"/>
  <c r="G92" i="9"/>
  <c r="N92" i="9" s="1"/>
  <c r="U91" i="9"/>
  <c r="W91" i="9" s="1"/>
  <c r="Y91" i="9" s="1"/>
  <c r="G91" i="9"/>
  <c r="N91" i="9"/>
  <c r="U90" i="9"/>
  <c r="W90" i="9" s="1"/>
  <c r="F90" i="9"/>
  <c r="G90" i="9"/>
  <c r="N90" i="9" s="1"/>
  <c r="U89" i="9"/>
  <c r="W89" i="9"/>
  <c r="F89" i="9"/>
  <c r="G89" i="9" s="1"/>
  <c r="N89" i="9" s="1"/>
  <c r="B81" i="9"/>
  <c r="H90" i="9" s="1"/>
  <c r="B80" i="9"/>
  <c r="U62" i="9"/>
  <c r="W62" i="9" s="1"/>
  <c r="U61" i="9"/>
  <c r="W61" i="9" s="1"/>
  <c r="G61" i="9"/>
  <c r="N61" i="9"/>
  <c r="U60" i="9"/>
  <c r="W60" i="9" s="1"/>
  <c r="F60" i="9"/>
  <c r="G60" i="9"/>
  <c r="N60" i="9" s="1"/>
  <c r="U59" i="9"/>
  <c r="W59" i="9"/>
  <c r="F59" i="9"/>
  <c r="B51" i="9"/>
  <c r="H93" i="9" s="1"/>
  <c r="T93" i="9" s="1"/>
  <c r="R93" i="9" s="1"/>
  <c r="B50" i="9"/>
  <c r="U33" i="9"/>
  <c r="W33" i="9" s="1"/>
  <c r="G33" i="9"/>
  <c r="N33" i="9"/>
  <c r="U32" i="9"/>
  <c r="W32" i="9" s="1"/>
  <c r="F32" i="9"/>
  <c r="G32" i="9" s="1"/>
  <c r="N32" i="9" s="1"/>
  <c r="U31" i="9"/>
  <c r="W31" i="9"/>
  <c r="F31" i="9"/>
  <c r="G31" i="9"/>
  <c r="N31" i="9" s="1"/>
  <c r="B23" i="9"/>
  <c r="H34" i="9"/>
  <c r="B22" i="9"/>
  <c r="H61" i="9"/>
  <c r="T61" i="9" s="1"/>
  <c r="H32" i="9"/>
  <c r="H33" i="9"/>
  <c r="H65" i="9"/>
  <c r="T65" i="9"/>
  <c r="S65" i="9" s="1"/>
  <c r="H92" i="9"/>
  <c r="H89" i="9"/>
  <c r="T89" i="9" s="1"/>
  <c r="G36" i="9"/>
  <c r="N36" i="9"/>
  <c r="AA37" i="12"/>
  <c r="X29" i="12"/>
  <c r="N57" i="12"/>
  <c r="G58" i="12"/>
  <c r="G61" i="12"/>
  <c r="N61" i="12"/>
  <c r="G35" i="12"/>
  <c r="N35" i="12"/>
  <c r="G39" i="12"/>
  <c r="G14" i="12"/>
  <c r="N14" i="12"/>
  <c r="U38" i="12"/>
  <c r="U37" i="12"/>
  <c r="U40" i="12"/>
  <c r="U34" i="12"/>
  <c r="T15" i="12"/>
  <c r="N58" i="12"/>
  <c r="U35" i="12"/>
  <c r="O35" i="12"/>
  <c r="N39" i="12"/>
  <c r="U39" i="12"/>
  <c r="O39" i="12"/>
  <c r="U14" i="12"/>
  <c r="V14" i="12"/>
  <c r="O14" i="12"/>
  <c r="T14" i="12"/>
  <c r="P37" i="12"/>
  <c r="Y33" i="9"/>
  <c r="O34" i="12"/>
  <c r="AF49" i="12"/>
  <c r="AF50" i="12"/>
  <c r="AF51" i="12"/>
  <c r="AG49" i="12"/>
  <c r="AG50" i="12"/>
  <c r="AG51" i="12"/>
  <c r="AN35" i="12"/>
  <c r="AN39" i="12"/>
  <c r="AL34" i="12"/>
  <c r="AK35" i="12"/>
  <c r="AK43" i="12"/>
  <c r="AN36" i="12"/>
  <c r="AM37" i="12"/>
  <c r="AL38" i="12"/>
  <c r="AK39" i="12"/>
  <c r="AM41" i="12"/>
  <c r="AL35" i="12"/>
  <c r="AM38" i="12"/>
  <c r="AL39" i="12"/>
  <c r="AN34" i="12"/>
  <c r="AN43" i="12"/>
  <c r="AM49" i="12"/>
  <c r="U62" i="12"/>
  <c r="T62" i="12"/>
  <c r="Q40" i="12"/>
  <c r="AD34" i="12" a="1"/>
  <c r="U18" i="12"/>
  <c r="V18" i="12"/>
  <c r="Q18" i="12"/>
  <c r="N18" i="12"/>
  <c r="AM47" i="12"/>
  <c r="AM43" i="12"/>
  <c r="AM50" i="12"/>
  <c r="AL43" i="12"/>
  <c r="V62" i="12"/>
  <c r="Q62" i="12"/>
  <c r="AD36" i="12"/>
  <c r="AE37" i="12"/>
  <c r="AD38" i="12"/>
  <c r="AD35" i="12"/>
  <c r="AD40" i="12"/>
  <c r="AE36" i="12"/>
  <c r="AE38" i="12"/>
  <c r="AD34" i="12"/>
  <c r="AD37" i="12"/>
  <c r="AE35" i="12"/>
  <c r="AE40" i="12"/>
  <c r="AE34" i="12"/>
  <c r="AM46" i="12"/>
  <c r="AM45" i="12"/>
  <c r="AQ51" i="12"/>
  <c r="V46" i="12"/>
  <c r="W46" i="12"/>
  <c r="W48" i="12"/>
  <c r="X48" i="12"/>
  <c r="W47" i="12"/>
  <c r="V47" i="12"/>
  <c r="X46" i="12"/>
  <c r="V48" i="12"/>
  <c r="X47" i="12"/>
  <c r="AQ48" i="12"/>
  <c r="AM48" i="12"/>
  <c r="AM51" i="12"/>
  <c r="T32" i="9" l="1"/>
  <c r="AA32" i="9" s="1"/>
  <c r="W37" i="9"/>
  <c r="X91" i="9"/>
  <c r="AA33" i="9"/>
  <c r="H36" i="9"/>
  <c r="T36" i="9" s="1"/>
  <c r="S36" i="9" s="1"/>
  <c r="T33" i="9"/>
  <c r="H31" i="9"/>
  <c r="H60" i="9"/>
  <c r="W66" i="9"/>
  <c r="W95" i="9"/>
  <c r="T62" i="9"/>
  <c r="Z62" i="9" s="1"/>
  <c r="Y62" i="9"/>
  <c r="AA62" i="9"/>
  <c r="X62" i="9"/>
  <c r="O89" i="9"/>
  <c r="Z89" i="9"/>
  <c r="P62" i="9"/>
  <c r="Y61" i="9"/>
  <c r="X61" i="9"/>
  <c r="Y63" i="9"/>
  <c r="X63" i="9"/>
  <c r="G35" i="9"/>
  <c r="N35" i="9" s="1"/>
  <c r="H35" i="9"/>
  <c r="Z61" i="9"/>
  <c r="O61" i="9"/>
  <c r="Z33" i="9"/>
  <c r="O33" i="9"/>
  <c r="H59" i="9"/>
  <c r="G59" i="9"/>
  <c r="N59" i="9" s="1"/>
  <c r="X90" i="9"/>
  <c r="Y90" i="9"/>
  <c r="G64" i="9"/>
  <c r="N64" i="9" s="1"/>
  <c r="H64" i="9"/>
  <c r="T64" i="9" s="1"/>
  <c r="R64" i="9" s="1"/>
  <c r="AA61" i="9"/>
  <c r="X31" i="9"/>
  <c r="Y31" i="9"/>
  <c r="Y32" i="9"/>
  <c r="X32" i="9"/>
  <c r="H94" i="9"/>
  <c r="T94" i="9" s="1"/>
  <c r="S94" i="9" s="1"/>
  <c r="X60" i="9"/>
  <c r="Y60" i="9"/>
  <c r="X92" i="9"/>
  <c r="Y92" i="9"/>
  <c r="T31" i="9"/>
  <c r="T60" i="9"/>
  <c r="T90" i="9"/>
  <c r="T92" i="9"/>
  <c r="T34" i="9"/>
  <c r="Y89" i="9"/>
  <c r="AA89" i="9"/>
  <c r="X89" i="9"/>
  <c r="X34" i="9"/>
  <c r="Y34" i="9"/>
  <c r="X33" i="9"/>
  <c r="H91" i="9"/>
  <c r="T91" i="9" s="1"/>
  <c r="H63" i="9"/>
  <c r="T63" i="9" s="1"/>
  <c r="AA63" i="9" s="1"/>
  <c r="O32" i="9" l="1"/>
  <c r="T59" i="9"/>
  <c r="Z59" i="9" s="1"/>
  <c r="Z32" i="9"/>
  <c r="Y95" i="9"/>
  <c r="O59" i="9"/>
  <c r="O91" i="9"/>
  <c r="Z91" i="9"/>
  <c r="AA91" i="9"/>
  <c r="Q34" i="9"/>
  <c r="Z34" i="9"/>
  <c r="O60" i="9"/>
  <c r="Z60" i="9"/>
  <c r="AA60" i="9"/>
  <c r="X37" i="9"/>
  <c r="X95" i="9"/>
  <c r="Q92" i="9"/>
  <c r="Z92" i="9"/>
  <c r="O31" i="9"/>
  <c r="Z31" i="9"/>
  <c r="Z37" i="9" s="1"/>
  <c r="X59" i="9"/>
  <c r="X66" i="9" s="1"/>
  <c r="AA59" i="9"/>
  <c r="AA66" i="9" s="1"/>
  <c r="Z72" i="9" s="1"/>
  <c r="Y59" i="9"/>
  <c r="Y66" i="9" s="1"/>
  <c r="AA34" i="9"/>
  <c r="AA92" i="9"/>
  <c r="Y37" i="9"/>
  <c r="Q63" i="9"/>
  <c r="Z63" i="9"/>
  <c r="Z90" i="9"/>
  <c r="O90" i="9"/>
  <c r="AA90" i="9"/>
  <c r="AA95" i="9" s="1"/>
  <c r="Z101" i="9" s="1"/>
  <c r="AA31" i="9"/>
  <c r="T35" i="9"/>
  <c r="R35" i="9" s="1"/>
  <c r="Z95" i="9" l="1"/>
  <c r="Z98" i="9" s="1"/>
  <c r="Z102" i="9"/>
  <c r="Z99" i="9"/>
  <c r="Z100" i="9" s="1"/>
  <c r="I77" i="9" s="1"/>
  <c r="AA37" i="9"/>
  <c r="Z43" i="9" s="1"/>
  <c r="Z40" i="9"/>
  <c r="Z39" i="9"/>
  <c r="AD45" i="9" s="1"/>
  <c r="J20" i="9" s="1"/>
  <c r="J24" i="9" s="1"/>
  <c r="Z68" i="9"/>
  <c r="AD74" i="9" s="1"/>
  <c r="J48" i="9" s="1"/>
  <c r="J52" i="9" s="1"/>
  <c r="Z41" i="9"/>
  <c r="Z44" i="9"/>
  <c r="Z97" i="9"/>
  <c r="Z70" i="9"/>
  <c r="Z66" i="9"/>
  <c r="Z69" i="9" s="1"/>
  <c r="Z71" i="9" s="1"/>
  <c r="I47" i="9" s="1"/>
  <c r="Z103" i="9" l="1"/>
  <c r="I78" i="9" s="1"/>
  <c r="I82" i="9" s="1"/>
  <c r="AF89" i="9"/>
  <c r="AF88" i="9"/>
  <c r="Z42" i="9"/>
  <c r="I19" i="9" s="1"/>
  <c r="AD103" i="9"/>
  <c r="J78" i="9" s="1"/>
  <c r="J82" i="9" s="1"/>
  <c r="AD100" i="9"/>
  <c r="J77" i="9" s="1"/>
  <c r="AD42" i="9"/>
  <c r="J19" i="9" s="1"/>
  <c r="AD71" i="9"/>
  <c r="J47" i="9" s="1"/>
  <c r="Z73" i="9"/>
  <c r="Z74" i="9" s="1"/>
  <c r="I48" i="9" s="1"/>
  <c r="I52" i="9" s="1"/>
  <c r="Z45" i="9"/>
  <c r="I20" i="9" s="1"/>
  <c r="I24" i="9" s="1"/>
  <c r="AF59" i="9" l="1"/>
  <c r="AI58" i="9"/>
  <c r="AI59" i="9"/>
  <c r="AF30" i="9"/>
  <c r="AF31" i="9"/>
  <c r="AF58" i="9"/>
  <c r="AI31" i="9"/>
  <c r="AI30" i="9"/>
  <c r="AI89" i="9"/>
  <c r="AH89" i="9" s="1"/>
  <c r="AI88" i="9"/>
  <c r="AH88" i="9" s="1"/>
  <c r="AG89" i="9" l="1"/>
  <c r="AH58" i="9"/>
  <c r="AG58" i="9"/>
  <c r="AH30" i="9"/>
  <c r="AG30" i="9"/>
  <c r="AG88" i="9"/>
  <c r="AG31" i="9"/>
  <c r="AH31" i="9"/>
  <c r="AG59" i="9"/>
  <c r="AH59" i="9"/>
</calcChain>
</file>

<file path=xl/sharedStrings.xml><?xml version="1.0" encoding="utf-8"?>
<sst xmlns="http://schemas.openxmlformats.org/spreadsheetml/2006/main" count="485" uniqueCount="127">
  <si>
    <t>a0</t>
  </si>
  <si>
    <t>a1</t>
  </si>
  <si>
    <t>A =</t>
  </si>
  <si>
    <t>-------------------------------------------</t>
  </si>
  <si>
    <t xml:space="preserve">   Experimental</t>
  </si>
  <si>
    <t>------ Data -------------------------------</t>
  </si>
  <si>
    <t>------------- PLOT ----------------------------</t>
  </si>
  <si>
    <t>Reference</t>
  </si>
  <si>
    <t>I</t>
  </si>
  <si>
    <t>log K</t>
  </si>
  <si>
    <t>rho</t>
  </si>
  <si>
    <t>Im</t>
  </si>
  <si>
    <t>log Km</t>
  </si>
  <si>
    <t>s</t>
  </si>
  <si>
    <t>± (95%)</t>
  </si>
  <si>
    <t>Y</t>
  </si>
  <si>
    <t>Ycalc</t>
  </si>
  <si>
    <t>±</t>
  </si>
  <si>
    <t>(molar)</t>
  </si>
  <si>
    <t>(molal)</t>
  </si>
  <si>
    <t>x</t>
  </si>
  <si>
    <t>-----------------------------------------------</t>
  </si>
  <si>
    <r>
      <t>Y</t>
    </r>
    <r>
      <rPr>
        <vertAlign val="subscript"/>
        <sz val="10"/>
        <rFont val="Arial"/>
        <family val="2"/>
      </rPr>
      <t>calc</t>
    </r>
  </si>
  <si>
    <t>calc.</t>
  </si>
  <si>
    <r>
      <t>Y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+ (±)</t>
    </r>
  </si>
  <si>
    <r>
      <t>Y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-</t>
    </r>
    <r>
      <rPr>
        <sz val="10"/>
        <rFont val="Arial"/>
        <family val="2"/>
      </rPr>
      <t xml:space="preserve"> (±)</t>
    </r>
  </si>
  <si>
    <r>
      <t xml:space="preserve">log </t>
    </r>
    <r>
      <rPr>
        <i/>
        <sz val="10"/>
        <rFont val="Arial"/>
        <family val="2"/>
      </rPr>
      <t>K</t>
    </r>
    <r>
      <rPr>
        <vertAlign val="super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</si>
  <si>
    <t>Backgrnd</t>
  </si>
  <si>
    <t>Electrolyte</t>
  </si>
  <si>
    <r>
      <t>Sn</t>
    </r>
    <r>
      <rPr>
        <vertAlign val="subscript"/>
        <sz val="10"/>
        <rFont val="Arial"/>
        <family val="2"/>
      </rPr>
      <t>b</t>
    </r>
    <r>
      <rPr>
        <sz val="10"/>
        <rFont val="Arial"/>
      </rPr>
      <t xml:space="preserve"> =</t>
    </r>
  </si>
  <si>
    <r>
      <t>D</t>
    </r>
    <r>
      <rPr>
        <sz val="10"/>
        <rFont val="Arial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</t>
    </r>
  </si>
  <si>
    <r>
      <t xml:space="preserve">1 / 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</si>
  <si>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</si>
  <si>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</si>
  <si>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</si>
  <si>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</si>
  <si>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S</t>
    </r>
    <r>
      <rPr>
        <sz val="10"/>
        <rFont val="Arial"/>
        <family val="2"/>
      </rPr>
      <t xml:space="preserve">(i) </t>
    </r>
    <r>
      <rPr>
        <sz val="10"/>
        <rFont val="Arial"/>
      </rPr>
      <t>=</t>
    </r>
  </si>
  <si>
    <r>
      <t>D</t>
    </r>
    <r>
      <rPr>
        <sz val="10"/>
        <rFont val="Arial"/>
        <family val="2"/>
      </rPr>
      <t xml:space="preserve"> = </t>
    </r>
    <r>
      <rPr>
        <sz val="10"/>
        <rFont val="Symbol"/>
        <family val="1"/>
        <charset val="2"/>
      </rPr>
      <t>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</si>
  <si>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1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</si>
  <si>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2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</si>
  <si>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Intercept</t>
  </si>
  <si>
    <r>
      <t>X</t>
    </r>
    <r>
      <rPr>
        <b/>
        <vertAlign val="superscript"/>
        <sz val="10"/>
        <rFont val="Arial"/>
        <family val="2"/>
      </rPr>
      <t>o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1 - 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2) /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 =  </t>
    </r>
  </si>
  <si>
    <r>
      <t>s(</t>
    </r>
    <r>
      <rPr>
        <b/>
        <sz val="10"/>
        <rFont val="Arial"/>
      </rPr>
      <t>X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</rPr>
      <t>)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</rPr>
      <t xml:space="preserve"> = </t>
    </r>
  </si>
  <si>
    <r>
      <t>S</t>
    </r>
    <r>
      <rPr>
        <sz val="10"/>
        <rFont val="Arial"/>
        <family val="2"/>
      </rPr>
      <t>3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</si>
  <si>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 xml:space="preserve">4 = 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</si>
  <si>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Slope</t>
  </si>
  <si>
    <r>
      <t>s</t>
    </r>
    <r>
      <rPr>
        <b/>
        <sz val="10"/>
        <rFont val="Arial"/>
        <family val="2"/>
      </rPr>
      <t>(</t>
    </r>
    <r>
      <rPr>
        <b/>
        <sz val="10"/>
        <rFont val="Symbol"/>
        <family val="1"/>
        <charset val="2"/>
      </rPr>
      <t>De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  <family val="2"/>
      </rPr>
      <t xml:space="preserve"> =</t>
    </r>
  </si>
  <si>
    <r>
      <t>-De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3 -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4) / </t>
    </r>
    <r>
      <rPr>
        <sz val="10"/>
        <rFont val="Symbol"/>
        <family val="1"/>
        <charset val="2"/>
      </rPr>
      <t xml:space="preserve">D </t>
    </r>
    <r>
      <rPr>
        <sz val="10"/>
        <rFont val="Arial"/>
        <family val="2"/>
      </rPr>
      <t xml:space="preserve"> =</t>
    </r>
    <r>
      <rPr>
        <sz val="10"/>
        <rFont val="Symbol"/>
        <family val="1"/>
        <charset val="2"/>
      </rPr>
      <t xml:space="preserve">  </t>
    </r>
  </si>
  <si>
    <t>Weighted linear regression according to Grenthe et al. (1992), p.704</t>
  </si>
  <si>
    <t>(reported)</t>
  </si>
  <si>
    <t>K</t>
  </si>
  <si>
    <r>
      <t>-De</t>
    </r>
    <r>
      <rPr>
        <sz val="10"/>
        <rFont val="Arial"/>
        <family val="2"/>
      </rPr>
      <t>(KCl)</t>
    </r>
  </si>
  <si>
    <t>1991DAN/ROB</t>
  </si>
  <si>
    <r>
      <t>Et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NI</t>
    </r>
  </si>
  <si>
    <r>
      <t>e</t>
    </r>
    <r>
      <rPr>
        <sz val="10"/>
        <rFont val="Arial"/>
        <family val="2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I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</si>
  <si>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Pr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NCl</t>
    </r>
  </si>
  <si>
    <t>1956SMI/ALB</t>
  </si>
  <si>
    <r>
      <t>e</t>
    </r>
    <r>
      <rPr>
        <sz val="10"/>
        <rFont val="Arial"/>
        <family val="2"/>
      </rPr>
      <t>(NaH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(aq), 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</si>
  <si>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</si>
  <si>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NaH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</si>
  <si>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</si>
  <si>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NaPO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</si>
  <si>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>)</t>
    </r>
  </si>
  <si>
    <t>Et4NI</t>
  </si>
  <si>
    <r>
      <t>[I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]</t>
    </r>
  </si>
  <si>
    <r>
      <t>Reaction: 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 xml:space="preserve"> = KPO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</si>
  <si>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r>
      <t>Reaction: 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KHPO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</si>
  <si>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Reaction: 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= KH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(aq)</t>
    </r>
  </si>
  <si>
    <r>
      <t>Me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NCl</t>
    </r>
  </si>
  <si>
    <r>
      <t>Temp [</t>
    </r>
    <r>
      <rPr>
        <sz val="10"/>
        <rFont val="Calibri"/>
        <family val="2"/>
      </rPr>
      <t>°</t>
    </r>
    <r>
      <rPr>
        <sz val="10"/>
        <rFont val="Arial"/>
      </rPr>
      <t>C]</t>
    </r>
  </si>
  <si>
    <t>1983DAN/GRA</t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</si>
  <si>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</si>
  <si>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</si>
  <si>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</si>
  <si>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Cl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</si>
  <si>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De</t>
    </r>
    <r>
      <rPr>
        <sz val="10"/>
        <rFont val="Arial"/>
        <family val="2"/>
      </rPr>
      <t>(NaCl)</t>
    </r>
  </si>
  <si>
    <r>
      <t>e</t>
    </r>
    <r>
      <rPr>
        <sz val="10"/>
        <rFont val="Arial"/>
        <family val="2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KPO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</si>
  <si>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(KH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(aq), NaCl)</t>
    </r>
  </si>
  <si>
    <r>
      <t>e</t>
    </r>
    <r>
      <rPr>
        <sz val="10"/>
        <rFont val="Arial"/>
        <family val="2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KHPO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</si>
  <si>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(25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</si>
  <si>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(37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</si>
  <si>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(0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</si>
  <si>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De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</si>
  <si>
    <r>
      <t>De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  <r>
      <rPr>
        <sz val="10"/>
        <rFont val="Calibri"/>
        <family val="2"/>
      </rPr>
      <t xml:space="preserve"> Im</t>
    </r>
  </si>
  <si>
    <t>1 / T [K]</t>
  </si>
  <si>
    <t>T</t>
  </si>
  <si>
    <t>X1</t>
  </si>
  <si>
    <t>X2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</si>
  <si>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</si>
  <si>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</si>
  <si>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</si>
  <si>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</si>
  <si>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ln(10)</t>
  </si>
  <si>
    <t>R ln(10)</t>
  </si>
  <si>
    <t>R T ln(10)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</si>
  <si>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</si>
  <si>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</si>
  <si>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</si>
  <si>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</si>
  <si>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</si>
  <si>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</si>
  <si>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</si>
  <si>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</si>
  <si>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</si>
  <si>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</si>
  <si>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</si>
  <si>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</si>
  <si>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calc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</si>
  <si>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</si>
  <si>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+</t>
  </si>
  <si>
    <t>-</t>
  </si>
  <si>
    <r>
      <t>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1 - 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2) /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 =  </t>
    </r>
  </si>
  <si>
    <r>
      <t>s</t>
    </r>
    <r>
      <rPr>
        <b/>
        <sz val="10"/>
        <rFont val="Arial"/>
        <family val="2"/>
      </rPr>
      <t>(log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= </t>
    </r>
    <r>
      <rPr>
        <sz val="10"/>
        <rFont val="Arial"/>
      </rPr>
      <t>(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</rPr>
      <t xml:space="preserve"> = 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</si>
  <si>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  <r>
      <rPr>
        <b/>
        <sz val="10"/>
        <rFont val="Calibri"/>
        <family val="2"/>
      </rPr>
      <t xml:space="preserve">° </t>
    </r>
    <r>
      <rPr>
        <sz val="10"/>
        <rFont val="Arial"/>
        <family val="2"/>
      </rPr>
      <t>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3 -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4) / </t>
    </r>
    <r>
      <rPr>
        <sz val="10"/>
        <rFont val="Symbol"/>
        <family val="1"/>
        <charset val="2"/>
      </rPr>
      <t xml:space="preserve">D </t>
    </r>
    <r>
      <rPr>
        <sz val="10"/>
        <rFont val="Arial"/>
        <family val="2"/>
      </rPr>
      <t xml:space="preserve"> =</t>
    </r>
    <r>
      <rPr>
        <sz val="10"/>
        <rFont val="Symbol"/>
        <family val="1"/>
        <charset val="2"/>
      </rPr>
      <t xml:space="preserve">  </t>
    </r>
  </si>
  <si>
    <r>
      <t>s</t>
    </r>
    <r>
      <rPr>
        <b/>
        <sz val="10"/>
        <rFont val="Arial"/>
        <family val="2"/>
      </rPr>
      <t>(slope)</t>
    </r>
    <r>
      <rPr>
        <sz val="10"/>
        <rFont val="Arial"/>
        <family val="2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  <family val="2"/>
      </rPr>
      <t xml:space="preserve"> =</t>
    </r>
  </si>
  <si>
    <r>
      <t>Temp (</t>
    </r>
    <r>
      <rPr>
        <sz val="10"/>
        <rFont val="Calibri"/>
        <family val="2"/>
      </rPr>
      <t>°</t>
    </r>
    <r>
      <rPr>
        <sz val="10"/>
        <rFont val="Arial"/>
        <family val="2"/>
      </rPr>
      <t>C)</t>
    </r>
  </si>
  <si>
    <r>
      <t>log K</t>
    </r>
    <r>
      <rPr>
        <sz val="10"/>
        <rFont val="Symbol"/>
        <family val="1"/>
        <charset val="2"/>
      </rPr>
      <t>°</t>
    </r>
  </si>
  <si>
    <t>Hummel W. &amp; Thoenen T. (2023): The PSI Chemical Thermodynamic Database 2020 (TDB 2020), Nagra Technical Report NTB 21-03</t>
  </si>
  <si>
    <t>1) Extrapolation of reported stability constants to I = 0 using SIT as described in NTB 21-03 Chapter 1.5 Medium effects</t>
  </si>
  <si>
    <t>2) The extrapolated constants at dfferent temperatures have been used for a weighted linear regression according to Grenthe et al. (1992), p.704</t>
  </si>
  <si>
    <t>References</t>
  </si>
  <si>
    <r>
      <t>Daniele, P.G., Grasso, M., Rigano, C., Sammartano, S. (1983): The formation of proton- and alkali metal complexes with ligands of biological interest in aqueous solution. Formation constants of H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– phosphate  complexes and their dependence on ionic strength. Annali di Chimica, 73, 495–515.</t>
    </r>
  </si>
  <si>
    <t>Daniele, P.G., De Robertis, A., De Stefano, C., Gianguzza, A., Sammartano, S. (1991): Salt effects on the protonation of ortho-phosphate between 10 and 50°C in aqueous solution. A complex formation model. J. Solution Chem., 20, 495-515.</t>
  </si>
  <si>
    <t>Chapter 3.3.8.1 Potassium(I) phosphate complexes</t>
  </si>
  <si>
    <t>doi:10.1007/BF00650805</t>
  </si>
  <si>
    <t>Smith, R.M. &amp; Alberty, R.A. (1956a): The apparent stability constants of ionic complexes of various adenosine phosphates with monovalent cations. J. Phys. Chem., 60, 180–184.</t>
  </si>
  <si>
    <t>doi:10.1021/j150536a010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</si>
</sst>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8" x14ac:knownFonts="1">
    <font>
      <sz val="10"/>
      <name val="Arial"/>
    </font>
    <font>
      <b/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Courier New"/>
      <family val="3"/>
    </font>
    <font>
      <sz val="8"/>
      <name val="Times New Roman"/>
      <family val="1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sz val="10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vertAlign val="subscript"/>
      <sz val="10"/>
      <color indexed="8"/>
      <name val="Arial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4" fillId="0" borderId="0"/>
    <xf numFmtId="0" fontId="2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2" fontId="8" fillId="0" borderId="0" xfId="0" applyNumberFormat="1" applyFont="1"/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0" fontId="0" fillId="0" borderId="1" xfId="0" applyBorder="1" applyAlignment="1">
      <alignment horizontal="right"/>
    </xf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2" fillId="0" borderId="0" xfId="0" quotePrefix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13" fillId="0" borderId="0" xfId="0" applyFont="1"/>
    <xf numFmtId="0" fontId="14" fillId="0" borderId="0" xfId="0" applyFont="1" applyAlignment="1">
      <alignment horizontal="right"/>
    </xf>
    <xf numFmtId="165" fontId="9" fillId="0" borderId="0" xfId="0" applyNumberFormat="1" applyFont="1" applyAlignment="1">
      <alignment horizontal="center"/>
    </xf>
    <xf numFmtId="165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/>
    <xf numFmtId="166" fontId="0" fillId="0" borderId="0" xfId="0" applyNumberForma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2" fontId="25" fillId="0" borderId="0" xfId="0" applyNumberFormat="1" applyFont="1"/>
    <xf numFmtId="164" fontId="0" fillId="0" borderId="0" xfId="0" applyNumberFormat="1"/>
    <xf numFmtId="2" fontId="9" fillId="0" borderId="0" xfId="0" applyNumberFormat="1" applyFont="1" applyAlignment="1">
      <alignment horizontal="center"/>
    </xf>
    <xf numFmtId="164" fontId="25" fillId="0" borderId="0" xfId="0" applyNumberFormat="1" applyFont="1"/>
    <xf numFmtId="2" fontId="26" fillId="0" borderId="0" xfId="0" applyNumberFormat="1" applyFont="1"/>
    <xf numFmtId="165" fontId="25" fillId="0" borderId="0" xfId="0" applyNumberFormat="1" applyFont="1"/>
    <xf numFmtId="0" fontId="4" fillId="0" borderId="0" xfId="0" quotePrefix="1" applyFont="1" applyAlignment="1">
      <alignment horizontal="right"/>
    </xf>
    <xf numFmtId="0" fontId="3" fillId="0" borderId="0" xfId="0" quotePrefix="1" applyFont="1" applyAlignment="1">
      <alignment horizontal="right"/>
    </xf>
    <xf numFmtId="0" fontId="25" fillId="0" borderId="0" xfId="0" applyFont="1"/>
    <xf numFmtId="0" fontId="3" fillId="0" borderId="0" xfId="0" applyFont="1" applyAlignment="1">
      <alignment horizontal="right"/>
    </xf>
    <xf numFmtId="0" fontId="12" fillId="0" borderId="0" xfId="2" applyFont="1" applyAlignment="1">
      <alignment horizontal="right"/>
    </xf>
    <xf numFmtId="0" fontId="17" fillId="0" borderId="0" xfId="2" applyFont="1" applyAlignment="1">
      <alignment horizontal="right"/>
    </xf>
    <xf numFmtId="0" fontId="3" fillId="0" borderId="0" xfId="1"/>
    <xf numFmtId="0" fontId="18" fillId="0" borderId="0" xfId="2" applyFont="1" applyAlignment="1">
      <alignment horizontal="right"/>
    </xf>
    <xf numFmtId="0" fontId="18" fillId="0" borderId="0" xfId="2" applyFont="1"/>
    <xf numFmtId="0" fontId="16" fillId="0" borderId="0" xfId="1" applyFont="1" applyAlignment="1">
      <alignment horizontal="right"/>
    </xf>
    <xf numFmtId="0" fontId="3" fillId="0" borderId="0" xfId="0" quotePrefix="1" applyFont="1" applyAlignment="1">
      <alignment horizontal="center"/>
    </xf>
    <xf numFmtId="0" fontId="0" fillId="0" borderId="0" xfId="0" quotePrefix="1"/>
    <xf numFmtId="0" fontId="9" fillId="0" borderId="0" xfId="0" quotePrefix="1" applyFon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3" fillId="0" borderId="0" xfId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0" fontId="3" fillId="0" borderId="0" xfId="0" quotePrefix="1" applyFont="1"/>
    <xf numFmtId="0" fontId="27" fillId="0" borderId="0" xfId="3"/>
  </cellXfs>
  <cellStyles count="4">
    <cellStyle name="Enllaç" xfId="3" builtinId="8"/>
    <cellStyle name="Normal" xfId="0" builtinId="0"/>
    <cellStyle name="Normal 2" xfId="1" xr:uid="{00000000-0005-0000-0000-000000000000}"/>
    <cellStyle name="Normal 3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97807236120804"/>
          <c:y val="1.6780402449693789E-2"/>
          <c:w val="0.85654091498056417"/>
          <c:h val="0.87687504970969543"/>
        </c:manualLayout>
      </c:layout>
      <c:scatterChart>
        <c:scatterStyle val="lineMarker"/>
        <c:varyColors val="0"/>
        <c:ser>
          <c:idx val="6"/>
          <c:order val="0"/>
          <c:tx>
            <c:v>Daniele et al. (1991) 25°C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CalcK!$J$31:$J$94</c:f>
                <c:numCache>
                  <c:formatCode>General</c:formatCode>
                  <c:ptCount val="64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0.3</c:v>
                  </c:pt>
                  <c:pt idx="4">
                    <c:v>0.15</c:v>
                  </c:pt>
                  <c:pt idx="5">
                    <c:v>0.4</c:v>
                  </c:pt>
                  <c:pt idx="9">
                    <c:v>0.11704699910719625</c:v>
                  </c:pt>
                  <c:pt idx="11">
                    <c:v>0.1</c:v>
                  </c:pt>
                  <c:pt idx="12">
                    <c:v>0.01</c:v>
                  </c:pt>
                  <c:pt idx="13">
                    <c:v>0.06</c:v>
                  </c:pt>
                  <c:pt idx="16">
                    <c:v>0.13358381456259269</c:v>
                  </c:pt>
                  <c:pt idx="17">
                    <c:v>0.1805994896817196</c:v>
                  </c:pt>
                  <c:pt idx="19">
                    <c:v>0.1</c:v>
                  </c:pt>
                  <c:pt idx="20">
                    <c:v>0.02</c:v>
                  </c:pt>
                  <c:pt idx="21">
                    <c:v>0.20740341287765143</c:v>
                  </c:pt>
                  <c:pt idx="25">
                    <c:v>0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0.15</c:v>
                  </c:pt>
                  <c:pt idx="31">
                    <c:v>0.2</c:v>
                  </c:pt>
                  <c:pt idx="32">
                    <c:v>0.2</c:v>
                  </c:pt>
                  <c:pt idx="33">
                    <c:v>0.15</c:v>
                  </c:pt>
                  <c:pt idx="34">
                    <c:v>0.2</c:v>
                  </c:pt>
                  <c:pt idx="39">
                    <c:v>0.10816653826391968</c:v>
                  </c:pt>
                  <c:pt idx="41">
                    <c:v>0.1</c:v>
                  </c:pt>
                  <c:pt idx="42">
                    <c:v>0.01</c:v>
                  </c:pt>
                  <c:pt idx="43">
                    <c:v>0.04</c:v>
                  </c:pt>
                  <c:pt idx="46">
                    <c:v>0.16428208520167822</c:v>
                  </c:pt>
                  <c:pt idx="47">
                    <c:v>0.19879324320919323</c:v>
                  </c:pt>
                  <c:pt idx="49">
                    <c:v>0.1</c:v>
                  </c:pt>
                  <c:pt idx="50">
                    <c:v>0.02</c:v>
                  </c:pt>
                  <c:pt idx="51">
                    <c:v>0.22342505129378273</c:v>
                  </c:pt>
                  <c:pt idx="55">
                    <c:v>0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0.6</c:v>
                  </c:pt>
                  <c:pt idx="62">
                    <c:v>0.15</c:v>
                  </c:pt>
                  <c:pt idx="63">
                    <c:v>0.6</c:v>
                  </c:pt>
                </c:numCache>
              </c:numRef>
            </c:plus>
            <c:minus>
              <c:numRef>
                <c:f>CalcK!$J$31:$J$94</c:f>
                <c:numCache>
                  <c:formatCode>General</c:formatCode>
                  <c:ptCount val="64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0.3</c:v>
                  </c:pt>
                  <c:pt idx="4">
                    <c:v>0.15</c:v>
                  </c:pt>
                  <c:pt idx="5">
                    <c:v>0.4</c:v>
                  </c:pt>
                  <c:pt idx="9">
                    <c:v>0.11704699910719625</c:v>
                  </c:pt>
                  <c:pt idx="11">
                    <c:v>0.1</c:v>
                  </c:pt>
                  <c:pt idx="12">
                    <c:v>0.01</c:v>
                  </c:pt>
                  <c:pt idx="13">
                    <c:v>0.06</c:v>
                  </c:pt>
                  <c:pt idx="16">
                    <c:v>0.13358381456259269</c:v>
                  </c:pt>
                  <c:pt idx="17">
                    <c:v>0.1805994896817196</c:v>
                  </c:pt>
                  <c:pt idx="19">
                    <c:v>0.1</c:v>
                  </c:pt>
                  <c:pt idx="20">
                    <c:v>0.02</c:v>
                  </c:pt>
                  <c:pt idx="21">
                    <c:v>0.20740341287765143</c:v>
                  </c:pt>
                  <c:pt idx="25">
                    <c:v>0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0.15</c:v>
                  </c:pt>
                  <c:pt idx="31">
                    <c:v>0.2</c:v>
                  </c:pt>
                  <c:pt idx="32">
                    <c:v>0.2</c:v>
                  </c:pt>
                  <c:pt idx="33">
                    <c:v>0.15</c:v>
                  </c:pt>
                  <c:pt idx="34">
                    <c:v>0.2</c:v>
                  </c:pt>
                  <c:pt idx="39">
                    <c:v>0.10816653826391968</c:v>
                  </c:pt>
                  <c:pt idx="41">
                    <c:v>0.1</c:v>
                  </c:pt>
                  <c:pt idx="42">
                    <c:v>0.01</c:v>
                  </c:pt>
                  <c:pt idx="43">
                    <c:v>0.04</c:v>
                  </c:pt>
                  <c:pt idx="46">
                    <c:v>0.16428208520167822</c:v>
                  </c:pt>
                  <c:pt idx="47">
                    <c:v>0.19879324320919323</c:v>
                  </c:pt>
                  <c:pt idx="49">
                    <c:v>0.1</c:v>
                  </c:pt>
                  <c:pt idx="50">
                    <c:v>0.02</c:v>
                  </c:pt>
                  <c:pt idx="51">
                    <c:v>0.22342505129378273</c:v>
                  </c:pt>
                  <c:pt idx="55">
                    <c:v>0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0.6</c:v>
                  </c:pt>
                  <c:pt idx="62">
                    <c:v>0.15</c:v>
                  </c:pt>
                  <c:pt idx="63">
                    <c:v>0.6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CalcK!$N$31:$N$91</c:f>
              <c:numCache>
                <c:formatCode>0.000</c:formatCode>
                <c:ptCount val="61"/>
                <c:pt idx="0">
                  <c:v>0.16540799999999997</c:v>
                </c:pt>
                <c:pt idx="1">
                  <c:v>0.73052159999999999</c:v>
                </c:pt>
                <c:pt idx="2">
                  <c:v>1.23</c:v>
                </c:pt>
                <c:pt idx="3">
                  <c:v>0.53</c:v>
                </c:pt>
                <c:pt idx="4">
                  <c:v>0.16540799999999997</c:v>
                </c:pt>
                <c:pt idx="5">
                  <c:v>0.15279999999999999</c:v>
                </c:pt>
                <c:pt idx="28">
                  <c:v>0.16540799999999997</c:v>
                </c:pt>
                <c:pt idx="29">
                  <c:v>0.73052159999999999</c:v>
                </c:pt>
                <c:pt idx="30">
                  <c:v>1.23</c:v>
                </c:pt>
                <c:pt idx="31">
                  <c:v>0.21040000000000003</c:v>
                </c:pt>
                <c:pt idx="32">
                  <c:v>0.53</c:v>
                </c:pt>
                <c:pt idx="33">
                  <c:v>0.16540799999999997</c:v>
                </c:pt>
                <c:pt idx="34">
                  <c:v>0.15279999999999999</c:v>
                </c:pt>
                <c:pt idx="58">
                  <c:v>0.16540799999999997</c:v>
                </c:pt>
                <c:pt idx="59">
                  <c:v>0.73052159999999999</c:v>
                </c:pt>
                <c:pt idx="60">
                  <c:v>1.23</c:v>
                </c:pt>
              </c:numCache>
            </c:numRef>
          </c:xVal>
          <c:yVal>
            <c:numRef>
              <c:f>CalcK!$O$31:$O$91</c:f>
              <c:numCache>
                <c:formatCode>0.000</c:formatCode>
                <c:ptCount val="61"/>
                <c:pt idx="0">
                  <c:v>1.5670109752950827</c:v>
                </c:pt>
                <c:pt idx="1">
                  <c:v>1.996369898351118</c:v>
                </c:pt>
                <c:pt idx="2">
                  <c:v>2.2117102497728025</c:v>
                </c:pt>
                <c:pt idx="28">
                  <c:v>0.99986180758616439</c:v>
                </c:pt>
                <c:pt idx="29">
                  <c:v>1.1450955696813252</c:v>
                </c:pt>
                <c:pt idx="30">
                  <c:v>1.4678384627020689</c:v>
                </c:pt>
                <c:pt idx="58">
                  <c:v>0.31271263987724618</c:v>
                </c:pt>
                <c:pt idx="59">
                  <c:v>0.48382124101153262</c:v>
                </c:pt>
                <c:pt idx="60">
                  <c:v>0.57396667563133552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68-414E-B037-3DDB6EF9FD5A}"/>
            </c:ext>
          </c:extLst>
        </c:ser>
        <c:ser>
          <c:idx val="12"/>
          <c:order val="1"/>
          <c:tx>
            <c:v>Daniele et al. (1991) 37°C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>
                  <a:lumMod val="85000"/>
                </a:schemeClr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CalcK!$J$35</c:f>
                <c:numCache>
                  <c:formatCode>General</c:formatCode>
                  <c:ptCount val="1"/>
                  <c:pt idx="0">
                    <c:v>0.15</c:v>
                  </c:pt>
                </c:numCache>
              </c:numRef>
            </c:plus>
            <c:minus>
              <c:numRef>
                <c:f>CalcK!$J$35</c:f>
                <c:numCache>
                  <c:formatCode>General</c:formatCode>
                  <c:ptCount val="1"/>
                  <c:pt idx="0">
                    <c:v>0.15</c:v>
                  </c:pt>
                </c:numCache>
              </c:numRef>
            </c:minus>
          </c:errBars>
          <c:xVal>
            <c:numRef>
              <c:f>CalcK!$N$31:$N$93</c:f>
              <c:numCache>
                <c:formatCode>0.000</c:formatCode>
                <c:ptCount val="63"/>
                <c:pt idx="0">
                  <c:v>0.16540799999999997</c:v>
                </c:pt>
                <c:pt idx="1">
                  <c:v>0.73052159999999999</c:v>
                </c:pt>
                <c:pt idx="2">
                  <c:v>1.23</c:v>
                </c:pt>
                <c:pt idx="3">
                  <c:v>0.53</c:v>
                </c:pt>
                <c:pt idx="4">
                  <c:v>0.16540799999999997</c:v>
                </c:pt>
                <c:pt idx="5">
                  <c:v>0.15279999999999999</c:v>
                </c:pt>
                <c:pt idx="28">
                  <c:v>0.16540799999999997</c:v>
                </c:pt>
                <c:pt idx="29">
                  <c:v>0.73052159999999999</c:v>
                </c:pt>
                <c:pt idx="30">
                  <c:v>1.23</c:v>
                </c:pt>
                <c:pt idx="31">
                  <c:v>0.21040000000000003</c:v>
                </c:pt>
                <c:pt idx="32">
                  <c:v>0.53</c:v>
                </c:pt>
                <c:pt idx="33">
                  <c:v>0.16540799999999997</c:v>
                </c:pt>
                <c:pt idx="34">
                  <c:v>0.15279999999999999</c:v>
                </c:pt>
                <c:pt idx="58">
                  <c:v>0.16540799999999997</c:v>
                </c:pt>
                <c:pt idx="59">
                  <c:v>0.73052159999999999</c:v>
                </c:pt>
                <c:pt idx="60">
                  <c:v>1.23</c:v>
                </c:pt>
                <c:pt idx="61">
                  <c:v>0.53</c:v>
                </c:pt>
                <c:pt idx="62">
                  <c:v>0.16540799999999997</c:v>
                </c:pt>
              </c:numCache>
            </c:numRef>
          </c:xVal>
          <c:yVal>
            <c:numRef>
              <c:f>CalcK!$R$31:$R$93</c:f>
              <c:numCache>
                <c:formatCode>General</c:formatCode>
                <c:ptCount val="63"/>
                <c:pt idx="4" formatCode="0.000">
                  <c:v>1.6236827288007687</c:v>
                </c:pt>
                <c:pt idx="33" formatCode="0.000">
                  <c:v>1.0909763099232885</c:v>
                </c:pt>
                <c:pt idx="62" formatCode="0.000">
                  <c:v>0.26826989104580823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68-414E-B037-3DDB6EF9FD5A}"/>
            </c:ext>
          </c:extLst>
        </c:ser>
        <c:ser>
          <c:idx val="11"/>
          <c:order val="2"/>
          <c:tx>
            <c:v>Daniele et al. (1983) 25°C</c:v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CalcK!$J$31:$J$94</c:f>
                <c:numCache>
                  <c:formatCode>General</c:formatCode>
                  <c:ptCount val="64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0.3</c:v>
                  </c:pt>
                  <c:pt idx="4">
                    <c:v>0.15</c:v>
                  </c:pt>
                  <c:pt idx="5">
                    <c:v>0.4</c:v>
                  </c:pt>
                  <c:pt idx="9">
                    <c:v>0.11704699910719625</c:v>
                  </c:pt>
                  <c:pt idx="11">
                    <c:v>0.1</c:v>
                  </c:pt>
                  <c:pt idx="12">
                    <c:v>0.01</c:v>
                  </c:pt>
                  <c:pt idx="13">
                    <c:v>0.06</c:v>
                  </c:pt>
                  <c:pt idx="16">
                    <c:v>0.13358381456259269</c:v>
                  </c:pt>
                  <c:pt idx="17">
                    <c:v>0.1805994896817196</c:v>
                  </c:pt>
                  <c:pt idx="19">
                    <c:v>0.1</c:v>
                  </c:pt>
                  <c:pt idx="20">
                    <c:v>0.02</c:v>
                  </c:pt>
                  <c:pt idx="21">
                    <c:v>0.20740341287765143</c:v>
                  </c:pt>
                  <c:pt idx="25">
                    <c:v>0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0.15</c:v>
                  </c:pt>
                  <c:pt idx="31">
                    <c:v>0.2</c:v>
                  </c:pt>
                  <c:pt idx="32">
                    <c:v>0.2</c:v>
                  </c:pt>
                  <c:pt idx="33">
                    <c:v>0.15</c:v>
                  </c:pt>
                  <c:pt idx="34">
                    <c:v>0.2</c:v>
                  </c:pt>
                  <c:pt idx="39">
                    <c:v>0.10816653826391968</c:v>
                  </c:pt>
                  <c:pt idx="41">
                    <c:v>0.1</c:v>
                  </c:pt>
                  <c:pt idx="42">
                    <c:v>0.01</c:v>
                  </c:pt>
                  <c:pt idx="43">
                    <c:v>0.04</c:v>
                  </c:pt>
                  <c:pt idx="46">
                    <c:v>0.16428208520167822</c:v>
                  </c:pt>
                  <c:pt idx="47">
                    <c:v>0.19879324320919323</c:v>
                  </c:pt>
                  <c:pt idx="49">
                    <c:v>0.1</c:v>
                  </c:pt>
                  <c:pt idx="50">
                    <c:v>0.02</c:v>
                  </c:pt>
                  <c:pt idx="51">
                    <c:v>0.22342505129378273</c:v>
                  </c:pt>
                  <c:pt idx="55">
                    <c:v>0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0.6</c:v>
                  </c:pt>
                  <c:pt idx="62">
                    <c:v>0.15</c:v>
                  </c:pt>
                  <c:pt idx="63">
                    <c:v>0.6</c:v>
                  </c:pt>
                </c:numCache>
              </c:numRef>
            </c:plus>
            <c:minus>
              <c:numRef>
                <c:f>CalcK!$J$31:$J$94</c:f>
                <c:numCache>
                  <c:formatCode>General</c:formatCode>
                  <c:ptCount val="64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0.3</c:v>
                  </c:pt>
                  <c:pt idx="4">
                    <c:v>0.15</c:v>
                  </c:pt>
                  <c:pt idx="5">
                    <c:v>0.4</c:v>
                  </c:pt>
                  <c:pt idx="9">
                    <c:v>0.11704699910719625</c:v>
                  </c:pt>
                  <c:pt idx="11">
                    <c:v>0.1</c:v>
                  </c:pt>
                  <c:pt idx="12">
                    <c:v>0.01</c:v>
                  </c:pt>
                  <c:pt idx="13">
                    <c:v>0.06</c:v>
                  </c:pt>
                  <c:pt idx="16">
                    <c:v>0.13358381456259269</c:v>
                  </c:pt>
                  <c:pt idx="17">
                    <c:v>0.1805994896817196</c:v>
                  </c:pt>
                  <c:pt idx="19">
                    <c:v>0.1</c:v>
                  </c:pt>
                  <c:pt idx="20">
                    <c:v>0.02</c:v>
                  </c:pt>
                  <c:pt idx="21">
                    <c:v>0.20740341287765143</c:v>
                  </c:pt>
                  <c:pt idx="25">
                    <c:v>0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0.15</c:v>
                  </c:pt>
                  <c:pt idx="31">
                    <c:v>0.2</c:v>
                  </c:pt>
                  <c:pt idx="32">
                    <c:v>0.2</c:v>
                  </c:pt>
                  <c:pt idx="33">
                    <c:v>0.15</c:v>
                  </c:pt>
                  <c:pt idx="34">
                    <c:v>0.2</c:v>
                  </c:pt>
                  <c:pt idx="39">
                    <c:v>0.10816653826391968</c:v>
                  </c:pt>
                  <c:pt idx="41">
                    <c:v>0.1</c:v>
                  </c:pt>
                  <c:pt idx="42">
                    <c:v>0.01</c:v>
                  </c:pt>
                  <c:pt idx="43">
                    <c:v>0.04</c:v>
                  </c:pt>
                  <c:pt idx="46">
                    <c:v>0.16428208520167822</c:v>
                  </c:pt>
                  <c:pt idx="47">
                    <c:v>0.19879324320919323</c:v>
                  </c:pt>
                  <c:pt idx="49">
                    <c:v>0.1</c:v>
                  </c:pt>
                  <c:pt idx="50">
                    <c:v>0.02</c:v>
                  </c:pt>
                  <c:pt idx="51">
                    <c:v>0.22342505129378273</c:v>
                  </c:pt>
                  <c:pt idx="55">
                    <c:v>0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0.6</c:v>
                  </c:pt>
                  <c:pt idx="62">
                    <c:v>0.15</c:v>
                  </c:pt>
                  <c:pt idx="63">
                    <c:v>0.6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CalcK!$N$31:$N$92</c:f>
              <c:numCache>
                <c:formatCode>0.000</c:formatCode>
                <c:ptCount val="62"/>
                <c:pt idx="0">
                  <c:v>0.16540799999999997</c:v>
                </c:pt>
                <c:pt idx="1">
                  <c:v>0.73052159999999999</c:v>
                </c:pt>
                <c:pt idx="2">
                  <c:v>1.23</c:v>
                </c:pt>
                <c:pt idx="3">
                  <c:v>0.53</c:v>
                </c:pt>
                <c:pt idx="4">
                  <c:v>0.16540799999999997</c:v>
                </c:pt>
                <c:pt idx="5">
                  <c:v>0.15279999999999999</c:v>
                </c:pt>
                <c:pt idx="28">
                  <c:v>0.16540799999999997</c:v>
                </c:pt>
                <c:pt idx="29">
                  <c:v>0.73052159999999999</c:v>
                </c:pt>
                <c:pt idx="30">
                  <c:v>1.23</c:v>
                </c:pt>
                <c:pt idx="31">
                  <c:v>0.21040000000000003</c:v>
                </c:pt>
                <c:pt idx="32">
                  <c:v>0.53</c:v>
                </c:pt>
                <c:pt idx="33">
                  <c:v>0.16540799999999997</c:v>
                </c:pt>
                <c:pt idx="34">
                  <c:v>0.15279999999999999</c:v>
                </c:pt>
                <c:pt idx="58">
                  <c:v>0.16540799999999997</c:v>
                </c:pt>
                <c:pt idx="59">
                  <c:v>0.73052159999999999</c:v>
                </c:pt>
                <c:pt idx="60">
                  <c:v>1.23</c:v>
                </c:pt>
                <c:pt idx="61">
                  <c:v>0.53</c:v>
                </c:pt>
              </c:numCache>
            </c:numRef>
          </c:xVal>
          <c:yVal>
            <c:numRef>
              <c:f>CalcK!$Q$31:$Q$92</c:f>
              <c:numCache>
                <c:formatCode>General</c:formatCode>
                <c:ptCount val="62"/>
                <c:pt idx="3" formatCode="0.000">
                  <c:v>1.5774704454559036</c:v>
                </c:pt>
                <c:pt idx="32" formatCode="0.000">
                  <c:v>1.043211675215679</c:v>
                </c:pt>
                <c:pt idx="61" formatCode="0.000">
                  <c:v>0.50895290497545442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68-414E-B037-3DDB6EF9FD5A}"/>
            </c:ext>
          </c:extLst>
        </c:ser>
        <c:ser>
          <c:idx val="13"/>
          <c:order val="3"/>
          <c:tx>
            <c:v>Daniele et al. (1983) 37°C</c:v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chemeClr val="bg1">
                  <a:lumMod val="85000"/>
                </a:schemeClr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CalcK!$J$31:$J$94</c:f>
                <c:numCache>
                  <c:formatCode>General</c:formatCode>
                  <c:ptCount val="64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0.3</c:v>
                  </c:pt>
                  <c:pt idx="4">
                    <c:v>0.15</c:v>
                  </c:pt>
                  <c:pt idx="5">
                    <c:v>0.4</c:v>
                  </c:pt>
                  <c:pt idx="9">
                    <c:v>0.11704699910719625</c:v>
                  </c:pt>
                  <c:pt idx="11">
                    <c:v>0.1</c:v>
                  </c:pt>
                  <c:pt idx="12">
                    <c:v>0.01</c:v>
                  </c:pt>
                  <c:pt idx="13">
                    <c:v>0.06</c:v>
                  </c:pt>
                  <c:pt idx="16">
                    <c:v>0.13358381456259269</c:v>
                  </c:pt>
                  <c:pt idx="17">
                    <c:v>0.1805994896817196</c:v>
                  </c:pt>
                  <c:pt idx="19">
                    <c:v>0.1</c:v>
                  </c:pt>
                  <c:pt idx="20">
                    <c:v>0.02</c:v>
                  </c:pt>
                  <c:pt idx="21">
                    <c:v>0.20740341287765143</c:v>
                  </c:pt>
                  <c:pt idx="25">
                    <c:v>0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0.15</c:v>
                  </c:pt>
                  <c:pt idx="31">
                    <c:v>0.2</c:v>
                  </c:pt>
                  <c:pt idx="32">
                    <c:v>0.2</c:v>
                  </c:pt>
                  <c:pt idx="33">
                    <c:v>0.15</c:v>
                  </c:pt>
                  <c:pt idx="34">
                    <c:v>0.2</c:v>
                  </c:pt>
                  <c:pt idx="39">
                    <c:v>0.10816653826391968</c:v>
                  </c:pt>
                  <c:pt idx="41">
                    <c:v>0.1</c:v>
                  </c:pt>
                  <c:pt idx="42">
                    <c:v>0.01</c:v>
                  </c:pt>
                  <c:pt idx="43">
                    <c:v>0.04</c:v>
                  </c:pt>
                  <c:pt idx="46">
                    <c:v>0.16428208520167822</c:v>
                  </c:pt>
                  <c:pt idx="47">
                    <c:v>0.19879324320919323</c:v>
                  </c:pt>
                  <c:pt idx="49">
                    <c:v>0.1</c:v>
                  </c:pt>
                  <c:pt idx="50">
                    <c:v>0.02</c:v>
                  </c:pt>
                  <c:pt idx="51">
                    <c:v>0.22342505129378273</c:v>
                  </c:pt>
                  <c:pt idx="55">
                    <c:v>0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0.6</c:v>
                  </c:pt>
                  <c:pt idx="62">
                    <c:v>0.15</c:v>
                  </c:pt>
                  <c:pt idx="63">
                    <c:v>0.6</c:v>
                  </c:pt>
                </c:numCache>
              </c:numRef>
            </c:plus>
            <c:minus>
              <c:numRef>
                <c:f>CalcK!$J$31:$J$94</c:f>
                <c:numCache>
                  <c:formatCode>General</c:formatCode>
                  <c:ptCount val="64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0.3</c:v>
                  </c:pt>
                  <c:pt idx="4">
                    <c:v>0.15</c:v>
                  </c:pt>
                  <c:pt idx="5">
                    <c:v>0.4</c:v>
                  </c:pt>
                  <c:pt idx="9">
                    <c:v>0.11704699910719625</c:v>
                  </c:pt>
                  <c:pt idx="11">
                    <c:v>0.1</c:v>
                  </c:pt>
                  <c:pt idx="12">
                    <c:v>0.01</c:v>
                  </c:pt>
                  <c:pt idx="13">
                    <c:v>0.06</c:v>
                  </c:pt>
                  <c:pt idx="16">
                    <c:v>0.13358381456259269</c:v>
                  </c:pt>
                  <c:pt idx="17">
                    <c:v>0.1805994896817196</c:v>
                  </c:pt>
                  <c:pt idx="19">
                    <c:v>0.1</c:v>
                  </c:pt>
                  <c:pt idx="20">
                    <c:v>0.02</c:v>
                  </c:pt>
                  <c:pt idx="21">
                    <c:v>0.20740341287765143</c:v>
                  </c:pt>
                  <c:pt idx="25">
                    <c:v>0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0.15</c:v>
                  </c:pt>
                  <c:pt idx="31">
                    <c:v>0.2</c:v>
                  </c:pt>
                  <c:pt idx="32">
                    <c:v>0.2</c:v>
                  </c:pt>
                  <c:pt idx="33">
                    <c:v>0.15</c:v>
                  </c:pt>
                  <c:pt idx="34">
                    <c:v>0.2</c:v>
                  </c:pt>
                  <c:pt idx="39">
                    <c:v>0.10816653826391968</c:v>
                  </c:pt>
                  <c:pt idx="41">
                    <c:v>0.1</c:v>
                  </c:pt>
                  <c:pt idx="42">
                    <c:v>0.01</c:v>
                  </c:pt>
                  <c:pt idx="43">
                    <c:v>0.04</c:v>
                  </c:pt>
                  <c:pt idx="46">
                    <c:v>0.16428208520167822</c:v>
                  </c:pt>
                  <c:pt idx="47">
                    <c:v>0.19879324320919323</c:v>
                  </c:pt>
                  <c:pt idx="49">
                    <c:v>0.1</c:v>
                  </c:pt>
                  <c:pt idx="50">
                    <c:v>0.02</c:v>
                  </c:pt>
                  <c:pt idx="51">
                    <c:v>0.22342505129378273</c:v>
                  </c:pt>
                  <c:pt idx="55">
                    <c:v>0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0.6</c:v>
                  </c:pt>
                  <c:pt idx="62">
                    <c:v>0.15</c:v>
                  </c:pt>
                  <c:pt idx="63">
                    <c:v>0.6</c:v>
                  </c:pt>
                </c:numCache>
              </c:numRef>
            </c:minus>
          </c:errBars>
          <c:xVal>
            <c:numRef>
              <c:f>CalcK!$N$31:$N$94</c:f>
              <c:numCache>
                <c:formatCode>0.000</c:formatCode>
                <c:ptCount val="64"/>
                <c:pt idx="0">
                  <c:v>0.16540799999999997</c:v>
                </c:pt>
                <c:pt idx="1">
                  <c:v>0.73052159999999999</c:v>
                </c:pt>
                <c:pt idx="2">
                  <c:v>1.23</c:v>
                </c:pt>
                <c:pt idx="3">
                  <c:v>0.53</c:v>
                </c:pt>
                <c:pt idx="4">
                  <c:v>0.16540799999999997</c:v>
                </c:pt>
                <c:pt idx="5">
                  <c:v>0.15279999999999999</c:v>
                </c:pt>
                <c:pt idx="28">
                  <c:v>0.16540799999999997</c:v>
                </c:pt>
                <c:pt idx="29">
                  <c:v>0.73052159999999999</c:v>
                </c:pt>
                <c:pt idx="30">
                  <c:v>1.23</c:v>
                </c:pt>
                <c:pt idx="31">
                  <c:v>0.21040000000000003</c:v>
                </c:pt>
                <c:pt idx="32">
                  <c:v>0.53</c:v>
                </c:pt>
                <c:pt idx="33">
                  <c:v>0.16540799999999997</c:v>
                </c:pt>
                <c:pt idx="34">
                  <c:v>0.15279999999999999</c:v>
                </c:pt>
                <c:pt idx="58">
                  <c:v>0.16540799999999997</c:v>
                </c:pt>
                <c:pt idx="59">
                  <c:v>0.73052159999999999</c:v>
                </c:pt>
                <c:pt idx="60">
                  <c:v>1.23</c:v>
                </c:pt>
                <c:pt idx="61">
                  <c:v>0.53</c:v>
                </c:pt>
                <c:pt idx="62">
                  <c:v>0.16540799999999997</c:v>
                </c:pt>
                <c:pt idx="63">
                  <c:v>0.31080000000000002</c:v>
                </c:pt>
              </c:numCache>
            </c:numRef>
          </c:xVal>
          <c:yVal>
            <c:numRef>
              <c:f>CalcK!$S$31:$S$94</c:f>
              <c:numCache>
                <c:formatCode>General</c:formatCode>
                <c:ptCount val="64"/>
                <c:pt idx="5" formatCode="0.000">
                  <c:v>1.3607773925136404</c:v>
                </c:pt>
                <c:pt idx="23">
                  <c:v>0</c:v>
                </c:pt>
                <c:pt idx="34" formatCode="0.000">
                  <c:v>0.9845075632810969</c:v>
                </c:pt>
                <c:pt idx="53">
                  <c:v>0</c:v>
                </c:pt>
                <c:pt idx="63" formatCode="0.000">
                  <c:v>0.10039072804366347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68-414E-B037-3DDB6EF9FD5A}"/>
            </c:ext>
          </c:extLst>
        </c:ser>
        <c:ser>
          <c:idx val="0"/>
          <c:order val="4"/>
          <c:tx>
            <c:v>Smith &amp; Alberty (1956a) 25°C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CalcK!$J$62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plus>
            <c:minus>
              <c:numRef>
                <c:f>CalcK!$J$62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CalcK!$N$62</c:f>
              <c:numCache>
                <c:formatCode>0.000</c:formatCode>
                <c:ptCount val="1"/>
                <c:pt idx="0">
                  <c:v>0.21040000000000003</c:v>
                </c:pt>
              </c:numCache>
            </c:numRef>
          </c:xVal>
          <c:yVal>
            <c:numRef>
              <c:f>CalcK!$P$62</c:f>
              <c:numCache>
                <c:formatCode>0.000</c:formatCode>
                <c:ptCount val="1"/>
                <c:pt idx="0">
                  <c:v>1.0225912483759827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68-414E-B037-3DDB6EF9FD5A}"/>
            </c:ext>
          </c:extLst>
        </c:ser>
        <c:ser>
          <c:idx val="1"/>
          <c:order val="5"/>
          <c:tx>
            <c:strRef>
              <c:f>#REF!</c:f>
              <c:strCache>
                <c:ptCount val="1"/>
                <c:pt idx="0">
                  <c:v>calc.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6-F068-414E-B037-3DDB6EF9FD5A}"/>
              </c:ext>
            </c:extLst>
          </c:dPt>
          <c:xVal>
            <c:numRef>
              <c:f>CalcK!$AE$30:$AE$31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CalcK!$AF$30:$AF$31</c:f>
              <c:numCache>
                <c:formatCode>General</c:formatCode>
                <c:ptCount val="2"/>
                <c:pt idx="0">
                  <c:v>1.4632381949548663</c:v>
                </c:pt>
                <c:pt idx="1">
                  <c:v>2.2771289540617974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68-414E-B037-3DDB6EF9FD5A}"/>
            </c:ext>
          </c:extLst>
        </c:ser>
        <c:ser>
          <c:idx val="4"/>
          <c:order val="6"/>
          <c:tx>
            <c:strRef>
              <c:f>#REF!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CalcK!$AE$30:$AE$31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CalcK!$AG$30:$AG$31</c:f>
              <c:numCache>
                <c:formatCode>General</c:formatCode>
                <c:ptCount val="2"/>
                <c:pt idx="0">
                  <c:v>1.6239446382569593</c:v>
                </c:pt>
                <c:pt idx="1">
                  <c:v>2.580418469532475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68-414E-B037-3DDB6EF9FD5A}"/>
            </c:ext>
          </c:extLst>
        </c:ser>
        <c:ser>
          <c:idx val="5"/>
          <c:order val="7"/>
          <c:tx>
            <c:strRef>
              <c:f>#REF!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CalcK!$AE$30:$AE$31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CalcK!$AH$30:$AH$31</c:f>
              <c:numCache>
                <c:formatCode>General</c:formatCode>
                <c:ptCount val="2"/>
                <c:pt idx="0">
                  <c:v>1.3025317516527732</c:v>
                </c:pt>
                <c:pt idx="1">
                  <c:v>1.97383943859112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068-414E-B037-3DDB6EF9FD5A}"/>
            </c:ext>
          </c:extLst>
        </c:ser>
        <c:ser>
          <c:idx val="2"/>
          <c:order val="8"/>
          <c:tx>
            <c:v>calc.</c:v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CalcK!$AE$58:$AE$59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CalcK!$AF$58:$AF$59</c:f>
              <c:numCache>
                <c:formatCode>General</c:formatCode>
                <c:ptCount val="2"/>
                <c:pt idx="0">
                  <c:v>0.892651694028056</c:v>
                </c:pt>
                <c:pt idx="1">
                  <c:v>1.4513386436234821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068-414E-B037-3DDB6EF9FD5A}"/>
            </c:ext>
          </c:extLst>
        </c:ser>
        <c:ser>
          <c:idx val="3"/>
          <c:order val="9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CalcK!$AE$58:$AE$59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CalcK!$AG$58:$AG$59</c:f>
              <c:numCache>
                <c:formatCode>General</c:formatCode>
                <c:ptCount val="2"/>
                <c:pt idx="0">
                  <c:v>1.0262355085906487</c:v>
                </c:pt>
                <c:pt idx="1">
                  <c:v>1.721460787108547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068-414E-B037-3DDB6EF9FD5A}"/>
            </c:ext>
          </c:extLst>
        </c:ser>
        <c:ser>
          <c:idx val="7"/>
          <c:order val="10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CalcK!$AE$58:$AE$59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CalcK!$AH$58:$AH$59</c:f>
              <c:numCache>
                <c:formatCode>General</c:formatCode>
                <c:ptCount val="2"/>
                <c:pt idx="0">
                  <c:v>0.75906787946546328</c:v>
                </c:pt>
                <c:pt idx="1">
                  <c:v>1.1812165001384172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068-414E-B037-3DDB6EF9FD5A}"/>
            </c:ext>
          </c:extLst>
        </c:ser>
        <c:ser>
          <c:idx val="8"/>
          <c:order val="11"/>
          <c:tx>
            <c:v>calc.</c:v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CalcK!$AE$88:$AE$89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CalcK!$AF$88:$AF$89</c:f>
              <c:numCache>
                <c:formatCode>General</c:formatCode>
                <c:ptCount val="2"/>
                <c:pt idx="0">
                  <c:v>0.2853098023767946</c:v>
                </c:pt>
                <c:pt idx="1">
                  <c:v>0.60355719468118196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068-414E-B037-3DDB6EF9FD5A}"/>
            </c:ext>
          </c:extLst>
        </c:ser>
        <c:ser>
          <c:idx val="9"/>
          <c:order val="12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CalcK!$AE$88:$AE$89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CalcK!$AG$88:$AG$89</c:f>
              <c:numCache>
                <c:formatCode>General</c:formatCode>
                <c:ptCount val="2"/>
                <c:pt idx="0">
                  <c:v>0.44959188757847279</c:v>
                </c:pt>
                <c:pt idx="1">
                  <c:v>0.90978471958762341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068-414E-B037-3DDB6EF9FD5A}"/>
            </c:ext>
          </c:extLst>
        </c:ser>
        <c:ser>
          <c:idx val="10"/>
          <c:order val="13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CalcK!$AE$88:$AE$89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CalcK!$AH$88:$AH$89</c:f>
              <c:numCache>
                <c:formatCode>General</c:formatCode>
                <c:ptCount val="2"/>
                <c:pt idx="0">
                  <c:v>0.12102771717511637</c:v>
                </c:pt>
                <c:pt idx="1">
                  <c:v>0.29732966977474051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068-414E-B037-3DDB6EF9F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62696"/>
        <c:axId val="1"/>
      </c:scatterChart>
      <c:valAx>
        <c:axId val="437262696"/>
        <c:scaling>
          <c:orientation val="minMax"/>
          <c:max val="1.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m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/ molal</a:t>
                </a:r>
              </a:p>
            </c:rich>
          </c:tx>
          <c:layout>
            <c:manualLayout>
              <c:xMode val="edge"/>
              <c:yMode val="edge"/>
              <c:x val="0.49261653211070133"/>
              <c:y val="0.938600771494472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out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0.5"/>
        <c:crossBetween val="midCat"/>
        <c:minorUnit val="5.000000000000001E-2"/>
      </c:valAx>
      <c:valAx>
        <c:axId val="1"/>
        <c:scaling>
          <c:orientation val="minMax"/>
          <c:max val="2.6"/>
          <c:min val="-0.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n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+ (6 - 2n) 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 </a:t>
                </a:r>
              </a:p>
            </c:rich>
          </c:tx>
          <c:layout>
            <c:manualLayout>
              <c:xMode val="edge"/>
              <c:yMode val="edge"/>
              <c:x val="9.4936708860759497E-3"/>
              <c:y val="0.3696375169012964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out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43726269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7278540016955948"/>
          <c:y val="0.7048975725288682"/>
          <c:w val="0.38607634707561467"/>
          <c:h val="0.17654655838474398"/>
        </c:manualLayout>
      </c:layout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2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87727295344486"/>
          <c:y val="2.2378446328445396E-2"/>
          <c:w val="0.84813750382010711"/>
          <c:h val="0.85074443852092785"/>
        </c:manualLayout>
      </c:layout>
      <c:scatterChart>
        <c:scatterStyle val="lineMarker"/>
        <c:varyColors val="0"/>
        <c:ser>
          <c:idx val="0"/>
          <c:order val="0"/>
          <c:tx>
            <c:v>Daniele et al. (1991)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KTemp!$J$13:$J$62</c:f>
                <c:numCache>
                  <c:formatCode>General</c:formatCode>
                  <c:ptCount val="50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0.4</c:v>
                  </c:pt>
                  <c:pt idx="4">
                    <c:v>0.15</c:v>
                  </c:pt>
                  <c:pt idx="5">
                    <c:v>0.4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0.2</c:v>
                  </c:pt>
                  <c:pt idx="26">
                    <c:v>0.15</c:v>
                  </c:pt>
                  <c:pt idx="27">
                    <c:v>0.2</c:v>
                  </c:pt>
                  <c:pt idx="28">
                    <c:v>0.4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0.6</c:v>
                  </c:pt>
                  <c:pt idx="48">
                    <c:v>0.15</c:v>
                  </c:pt>
                  <c:pt idx="49">
                    <c:v>0.6</c:v>
                  </c:pt>
                </c:numCache>
              </c:numRef>
            </c:plus>
            <c:minus>
              <c:numRef>
                <c:f>KTemp!$J$13:$J$62</c:f>
                <c:numCache>
                  <c:formatCode>General</c:formatCode>
                  <c:ptCount val="50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0.4</c:v>
                  </c:pt>
                  <c:pt idx="4">
                    <c:v>0.15</c:v>
                  </c:pt>
                  <c:pt idx="5">
                    <c:v>0.4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0.2</c:v>
                  </c:pt>
                  <c:pt idx="26">
                    <c:v>0.15</c:v>
                  </c:pt>
                  <c:pt idx="27">
                    <c:v>0.2</c:v>
                  </c:pt>
                  <c:pt idx="28">
                    <c:v>0.4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0.6</c:v>
                  </c:pt>
                  <c:pt idx="48">
                    <c:v>0.15</c:v>
                  </c:pt>
                  <c:pt idx="49">
                    <c:v>0.6</c:v>
                  </c:pt>
                </c:numCache>
              </c:numRef>
            </c:minus>
          </c:errBars>
          <c:xVal>
            <c:numRef>
              <c:f>KTemp!$M$13:$M$62</c:f>
              <c:numCache>
                <c:formatCode>General</c:formatCode>
                <c:ptCount val="50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3.224246332419797E-3</c:v>
                </c:pt>
                <c:pt idx="21">
                  <c:v>3.3540164346805303E-3</c:v>
                </c:pt>
                <c:pt idx="22">
                  <c:v>3.3540164346805303E-3</c:v>
                </c:pt>
                <c:pt idx="23">
                  <c:v>3.3540164346805303E-3</c:v>
                </c:pt>
                <c:pt idx="24">
                  <c:v>3.3540164346805303E-3</c:v>
                </c:pt>
                <c:pt idx="25">
                  <c:v>3.3540164346805303E-3</c:v>
                </c:pt>
                <c:pt idx="26">
                  <c:v>3.224246332419797E-3</c:v>
                </c:pt>
                <c:pt idx="27">
                  <c:v>3.224246332419797E-3</c:v>
                </c:pt>
                <c:pt idx="28">
                  <c:v>3.6609921288669233E-3</c:v>
                </c:pt>
                <c:pt idx="44">
                  <c:v>3.3540164346805303E-3</c:v>
                </c:pt>
                <c:pt idx="45">
                  <c:v>3.3540164346805303E-3</c:v>
                </c:pt>
                <c:pt idx="46">
                  <c:v>3.3540164346805303E-3</c:v>
                </c:pt>
                <c:pt idx="47">
                  <c:v>3.3540164346805303E-3</c:v>
                </c:pt>
                <c:pt idx="48">
                  <c:v>3.224246332419797E-3</c:v>
                </c:pt>
                <c:pt idx="49">
                  <c:v>3.224246332419797E-3</c:v>
                </c:pt>
              </c:numCache>
            </c:numRef>
          </c:xVal>
          <c:yVal>
            <c:numRef>
              <c:f>KTemp!$O$13:$O$62</c:f>
              <c:numCache>
                <c:formatCode>0.000</c:formatCode>
                <c:ptCount val="50"/>
                <c:pt idx="0">
                  <c:v>1.4628039352950828</c:v>
                </c:pt>
                <c:pt idx="1">
                  <c:v>1.536141290351118</c:v>
                </c:pt>
                <c:pt idx="2">
                  <c:v>1.4368102497728024</c:v>
                </c:pt>
                <c:pt idx="4">
                  <c:v>1.5194756888007688</c:v>
                </c:pt>
                <c:pt idx="21">
                  <c:v>0.9287363675861644</c:v>
                </c:pt>
                <c:pt idx="22">
                  <c:v>0.83097128168132528</c:v>
                </c:pt>
                <c:pt idx="23">
                  <c:v>0.93893846270206882</c:v>
                </c:pt>
                <c:pt idx="26">
                  <c:v>1.0198508699232884</c:v>
                </c:pt>
                <c:pt idx="44">
                  <c:v>0.27218767987724618</c:v>
                </c:pt>
                <c:pt idx="45">
                  <c:v>0.3048434490115326</c:v>
                </c:pt>
                <c:pt idx="46">
                  <c:v>0.27261667563133551</c:v>
                </c:pt>
                <c:pt idx="48">
                  <c:v>0.22774493104580823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6C-4B60-9EC7-E8ED3CC5CDC7}"/>
            </c:ext>
          </c:extLst>
        </c:ser>
        <c:ser>
          <c:idx val="2"/>
          <c:order val="1"/>
          <c:tx>
            <c:v>Daniele et al. (1983)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KTemp!$J$13:$J$62</c:f>
                <c:numCache>
                  <c:formatCode>General</c:formatCode>
                  <c:ptCount val="50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0.4</c:v>
                  </c:pt>
                  <c:pt idx="4">
                    <c:v>0.15</c:v>
                  </c:pt>
                  <c:pt idx="5">
                    <c:v>0.4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0.2</c:v>
                  </c:pt>
                  <c:pt idx="26">
                    <c:v>0.15</c:v>
                  </c:pt>
                  <c:pt idx="27">
                    <c:v>0.2</c:v>
                  </c:pt>
                  <c:pt idx="28">
                    <c:v>0.4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0.6</c:v>
                  </c:pt>
                  <c:pt idx="48">
                    <c:v>0.15</c:v>
                  </c:pt>
                  <c:pt idx="49">
                    <c:v>0.6</c:v>
                  </c:pt>
                </c:numCache>
              </c:numRef>
            </c:plus>
            <c:minus>
              <c:numRef>
                <c:f>KTemp!$J$13:$J$62</c:f>
                <c:numCache>
                  <c:formatCode>General</c:formatCode>
                  <c:ptCount val="50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0.4</c:v>
                  </c:pt>
                  <c:pt idx="4">
                    <c:v>0.15</c:v>
                  </c:pt>
                  <c:pt idx="5">
                    <c:v>0.4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0.2</c:v>
                  </c:pt>
                  <c:pt idx="26">
                    <c:v>0.15</c:v>
                  </c:pt>
                  <c:pt idx="27">
                    <c:v>0.2</c:v>
                  </c:pt>
                  <c:pt idx="28">
                    <c:v>0.4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0.6</c:v>
                  </c:pt>
                  <c:pt idx="48">
                    <c:v>0.15</c:v>
                  </c:pt>
                  <c:pt idx="49">
                    <c:v>0.6</c:v>
                  </c:pt>
                </c:numCache>
              </c:numRef>
            </c:minus>
          </c:errBars>
          <c:xVal>
            <c:numRef>
              <c:f>KTemp!$M$13:$M$62</c:f>
              <c:numCache>
                <c:formatCode>General</c:formatCode>
                <c:ptCount val="50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3.224246332419797E-3</c:v>
                </c:pt>
                <c:pt idx="21">
                  <c:v>3.3540164346805303E-3</c:v>
                </c:pt>
                <c:pt idx="22">
                  <c:v>3.3540164346805303E-3</c:v>
                </c:pt>
                <c:pt idx="23">
                  <c:v>3.3540164346805303E-3</c:v>
                </c:pt>
                <c:pt idx="24">
                  <c:v>3.3540164346805303E-3</c:v>
                </c:pt>
                <c:pt idx="25">
                  <c:v>3.3540164346805303E-3</c:v>
                </c:pt>
                <c:pt idx="26">
                  <c:v>3.224246332419797E-3</c:v>
                </c:pt>
                <c:pt idx="27">
                  <c:v>3.224246332419797E-3</c:v>
                </c:pt>
                <c:pt idx="28">
                  <c:v>3.6609921288669233E-3</c:v>
                </c:pt>
                <c:pt idx="44">
                  <c:v>3.3540164346805303E-3</c:v>
                </c:pt>
                <c:pt idx="45">
                  <c:v>3.3540164346805303E-3</c:v>
                </c:pt>
                <c:pt idx="46">
                  <c:v>3.3540164346805303E-3</c:v>
                </c:pt>
                <c:pt idx="47">
                  <c:v>3.3540164346805303E-3</c:v>
                </c:pt>
                <c:pt idx="48">
                  <c:v>3.224246332419797E-3</c:v>
                </c:pt>
                <c:pt idx="49">
                  <c:v>3.224246332419797E-3</c:v>
                </c:pt>
              </c:numCache>
            </c:numRef>
          </c:xVal>
          <c:yVal>
            <c:numRef>
              <c:f>KTemp!$Q$13:$Q$62</c:f>
              <c:numCache>
                <c:formatCode>General</c:formatCode>
                <c:ptCount val="50"/>
                <c:pt idx="3" formatCode="0.000">
                  <c:v>1.2435704454559036</c:v>
                </c:pt>
                <c:pt idx="5" formatCode="0.000">
                  <c:v>1.2645133925136405</c:v>
                </c:pt>
                <c:pt idx="25" formatCode="0.000">
                  <c:v>0.81531167521567904</c:v>
                </c:pt>
                <c:pt idx="27" formatCode="0.000">
                  <c:v>0.91880356328109691</c:v>
                </c:pt>
                <c:pt idx="47" formatCode="0.000">
                  <c:v>0.3791029049754544</c:v>
                </c:pt>
                <c:pt idx="49" formatCode="0.000">
                  <c:v>2.4244728043663469E-2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C-4B60-9EC7-E8ED3CC5CDC7}"/>
            </c:ext>
          </c:extLst>
        </c:ser>
        <c:ser>
          <c:idx val="1"/>
          <c:order val="2"/>
          <c:tx>
            <c:v>Smith &amp; Alberty (1956a)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KTemp!$J$13:$J$62</c:f>
                <c:numCache>
                  <c:formatCode>General</c:formatCode>
                  <c:ptCount val="50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0.4</c:v>
                  </c:pt>
                  <c:pt idx="4">
                    <c:v>0.15</c:v>
                  </c:pt>
                  <c:pt idx="5">
                    <c:v>0.4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0.2</c:v>
                  </c:pt>
                  <c:pt idx="26">
                    <c:v>0.15</c:v>
                  </c:pt>
                  <c:pt idx="27">
                    <c:v>0.2</c:v>
                  </c:pt>
                  <c:pt idx="28">
                    <c:v>0.4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0.6</c:v>
                  </c:pt>
                  <c:pt idx="48">
                    <c:v>0.15</c:v>
                  </c:pt>
                  <c:pt idx="49">
                    <c:v>0.6</c:v>
                  </c:pt>
                </c:numCache>
              </c:numRef>
            </c:plus>
            <c:minus>
              <c:numRef>
                <c:f>KTemp!$J$13:$J$62</c:f>
                <c:numCache>
                  <c:formatCode>General</c:formatCode>
                  <c:ptCount val="50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0.4</c:v>
                  </c:pt>
                  <c:pt idx="4">
                    <c:v>0.15</c:v>
                  </c:pt>
                  <c:pt idx="5">
                    <c:v>0.4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0.2</c:v>
                  </c:pt>
                  <c:pt idx="26">
                    <c:v>0.15</c:v>
                  </c:pt>
                  <c:pt idx="27">
                    <c:v>0.2</c:v>
                  </c:pt>
                  <c:pt idx="28">
                    <c:v>0.4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0.6</c:v>
                  </c:pt>
                  <c:pt idx="48">
                    <c:v>0.15</c:v>
                  </c:pt>
                  <c:pt idx="49">
                    <c:v>0.6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KTemp!$M$13:$M$41</c:f>
              <c:numCache>
                <c:formatCode>General</c:formatCode>
                <c:ptCount val="29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3.224246332419797E-3</c:v>
                </c:pt>
                <c:pt idx="21">
                  <c:v>3.3540164346805303E-3</c:v>
                </c:pt>
                <c:pt idx="22">
                  <c:v>3.3540164346805303E-3</c:v>
                </c:pt>
                <c:pt idx="23">
                  <c:v>3.3540164346805303E-3</c:v>
                </c:pt>
                <c:pt idx="24">
                  <c:v>3.3540164346805303E-3</c:v>
                </c:pt>
                <c:pt idx="25">
                  <c:v>3.3540164346805303E-3</c:v>
                </c:pt>
                <c:pt idx="26">
                  <c:v>3.224246332419797E-3</c:v>
                </c:pt>
                <c:pt idx="27">
                  <c:v>3.224246332419797E-3</c:v>
                </c:pt>
                <c:pt idx="28">
                  <c:v>3.6609921288669233E-3</c:v>
                </c:pt>
              </c:numCache>
            </c:numRef>
          </c:xVal>
          <c:yVal>
            <c:numRef>
              <c:f>KTemp!$P$13:$P$41</c:f>
              <c:numCache>
                <c:formatCode>General</c:formatCode>
                <c:ptCount val="29"/>
                <c:pt idx="24" formatCode="0.000">
                  <c:v>0.9321192483759827</c:v>
                </c:pt>
                <c:pt idx="28" formatCode="0.000">
                  <c:v>0.50037413399116248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6C-4B60-9EC7-E8ED3CC5CDC7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KTemp!$AE$49:$AE$51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3.2087277394513077E-3</c:v>
                </c:pt>
              </c:numCache>
            </c:numRef>
          </c:xVal>
          <c:yVal>
            <c:numRef>
              <c:f>KTemp!$AF$49:$AF$51</c:f>
              <c:numCache>
                <c:formatCode>General</c:formatCode>
                <c:ptCount val="3"/>
                <c:pt idx="0">
                  <c:v>0.56868951790695665</c:v>
                </c:pt>
                <c:pt idx="1">
                  <c:v>0.88176090476179714</c:v>
                </c:pt>
                <c:pt idx="2">
                  <c:v>1.017954241109768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6C-4B60-9EC7-E8ED3CC5CDC7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KTemp!$AE$49:$AE$51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3.2087277394513077E-3</c:v>
                </c:pt>
              </c:numCache>
            </c:numRef>
          </c:xVal>
          <c:yVal>
            <c:numRef>
              <c:f>KTemp!$AG$49:$AG$51</c:f>
              <c:numCache>
                <c:formatCode>General</c:formatCode>
                <c:ptCount val="3"/>
                <c:pt idx="0">
                  <c:v>0.90160742765839541</c:v>
                </c:pt>
                <c:pt idx="1">
                  <c:v>0.94763956252047954</c:v>
                </c:pt>
                <c:pt idx="2">
                  <c:v>1.2000011856931512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6C-4B60-9EC7-E8ED3CC5CDC7}"/>
            </c:ext>
          </c:extLst>
        </c:ser>
        <c:ser>
          <c:idx val="5"/>
          <c:order val="5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KTemp!$AE$49:$AE$51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3.2087277394513077E-3</c:v>
                </c:pt>
              </c:numCache>
            </c:numRef>
          </c:xVal>
          <c:yVal>
            <c:numRef>
              <c:f>KTemp!$AH$49:$AH$51</c:f>
              <c:numCache>
                <c:formatCode>General</c:formatCode>
                <c:ptCount val="3"/>
                <c:pt idx="0">
                  <c:v>0.23577160815551779</c:v>
                </c:pt>
                <c:pt idx="1">
                  <c:v>0.81588224700311474</c:v>
                </c:pt>
                <c:pt idx="2">
                  <c:v>0.83590729652638462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6C-4B60-9EC7-E8ED3CC5CDC7}"/>
            </c:ext>
          </c:extLst>
        </c:ser>
        <c:ser>
          <c:idx val="6"/>
          <c:order val="6"/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KTemp!$T$23:$T$24</c:f>
              <c:numCache>
                <c:formatCode>General</c:formatCode>
                <c:ptCount val="2"/>
                <c:pt idx="0">
                  <c:v>3.3766672294445383E-3</c:v>
                </c:pt>
                <c:pt idx="1">
                  <c:v>3.2087277394513077E-3</c:v>
                </c:pt>
              </c:numCache>
            </c:numRef>
          </c:xVal>
          <c:yVal>
            <c:numRef>
              <c:f>KTemp!$V$23:$V$24</c:f>
              <c:numCache>
                <c:formatCode>0.000</c:formatCode>
                <c:ptCount val="2"/>
                <c:pt idx="0">
                  <c:v>1.4559012423990842</c:v>
                </c:pt>
                <c:pt idx="1">
                  <c:v>1.5085334676037252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6C-4B60-9EC7-E8ED3CC5CDC7}"/>
            </c:ext>
          </c:extLst>
        </c:ser>
        <c:ser>
          <c:idx val="7"/>
          <c:order val="7"/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KTemp!$T$67:$T$68</c:f>
              <c:numCache>
                <c:formatCode>General</c:formatCode>
                <c:ptCount val="2"/>
                <c:pt idx="0">
                  <c:v>3.3766672294445383E-3</c:v>
                </c:pt>
                <c:pt idx="1">
                  <c:v>3.2087277394513077E-3</c:v>
                </c:pt>
              </c:numCache>
            </c:numRef>
          </c:xVal>
          <c:yVal>
            <c:numRef>
              <c:f>KTemp!$V$67:$V$68</c:f>
              <c:numCache>
                <c:formatCode>0.000</c:formatCode>
                <c:ptCount val="2"/>
                <c:pt idx="0">
                  <c:v>0.27908436866590347</c:v>
                </c:pt>
                <c:pt idx="1">
                  <c:v>0.32294455633643754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96C-4B60-9EC7-E8ED3CC5C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56600"/>
        <c:axId val="1"/>
      </c:scatterChart>
      <c:valAx>
        <c:axId val="432956600"/>
        <c:scaling>
          <c:orientation val="minMax"/>
          <c:max val="3.700000000000001E-3"/>
          <c:min val="3.200000000000001E-3"/>
        </c:scaling>
        <c:delete val="0"/>
        <c:axPos val="b"/>
        <c:title>
          <c:tx>
            <c:rich>
              <a:bodyPr/>
              <a:lstStyle/>
              <a:p>
                <a:pPr>
                  <a:defRPr sz="14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 / T [K]</a:t>
                </a:r>
              </a:p>
            </c:rich>
          </c:tx>
          <c:layout>
            <c:manualLayout>
              <c:xMode val="edge"/>
              <c:yMode val="edge"/>
              <c:x val="0.47069625686460553"/>
              <c:y val="0.9314322880692546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0.4"/>
        <c:crossBetween val="midCat"/>
        <c:majorUnit val="1.0000000000000003E-4"/>
        <c:minorUnit val="5.0000000000000023E-5"/>
      </c:valAx>
      <c:valAx>
        <c:axId val="1"/>
        <c:scaling>
          <c:orientation val="minMax"/>
          <c:max val="1.8"/>
          <c:min val="-0.4"/>
        </c:scaling>
        <c:delete val="0"/>
        <c:axPos val="l"/>
        <c:title>
          <c:tx>
            <c:rich>
              <a:bodyPr/>
              <a:lstStyle/>
              <a:p>
                <a:pPr>
                  <a:defRPr sz="14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sz="14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</a:t>
                </a:r>
                <a:r>
                  <a:rPr lang="en-US" sz="1400" b="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K°</a:t>
                </a:r>
              </a:p>
            </c:rich>
          </c:tx>
          <c:layout>
            <c:manualLayout>
              <c:xMode val="edge"/>
              <c:yMode val="edge"/>
              <c:x val="8.6536131340389966E-4"/>
              <c:y val="0.36405695998526499"/>
            </c:manualLayout>
          </c:layout>
          <c:overlay val="0"/>
        </c:title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2956600"/>
        <c:crosses val="autoZero"/>
        <c:crossBetween val="midCat"/>
        <c:majorUnit val="0.2"/>
        <c:minorUnit val="0.1"/>
      </c:valAx>
      <c:spPr>
        <a:noFill/>
        <a:ln w="9525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0906295414652423"/>
          <c:y val="3.4732370241187596E-2"/>
          <c:w val="0.33298251472370527"/>
          <c:h val="0.13169357049783628"/>
        </c:manualLayout>
      </c:layout>
      <c:overlay val="0"/>
      <c:spPr>
        <a:noFill/>
        <a:ln w="9525">
          <a:solidFill>
            <a:schemeClr val="tx1"/>
          </a:solidFill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685800</xdr:colOff>
      <xdr:row>31</xdr:row>
      <xdr:rowOff>6350</xdr:rowOff>
    </xdr:to>
    <xdr:graphicFrame macro="">
      <xdr:nvGraphicFramePr>
        <xdr:cNvPr id="183453" name="Chart 1">
          <a:extLst>
            <a:ext uri="{FF2B5EF4-FFF2-40B4-BE49-F238E27FC236}">
              <a16:creationId xmlns:a16="http://schemas.microsoft.com/office/drawing/2014/main" id="{4B192F94-0B71-41DF-3319-2211835B1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0.14505</cdr:x>
      <cdr:y>0.14954</cdr:y>
    </cdr:from>
    <cdr:to>
      <cdr:x>0.43829</cdr:x>
      <cdr:y>0.19831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862848" y="752058"/>
          <a:ext cx="1765186" cy="2464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3-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KPO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</a:p>
      </cdr:txBody>
    </cdr:sp>
  </cdr:relSizeAnchor>
  <cdr:relSizeAnchor xmlns:cdr="http://schemas.openxmlformats.org/drawingml/2006/chartDrawing">
    <cdr:from>
      <cdr:x>0.14342</cdr:x>
      <cdr:y>0.51789</cdr:y>
    </cdr:from>
    <cdr:to>
      <cdr:x>0.43615</cdr:x>
      <cdr:y>0.56689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848549" y="2609490"/>
          <a:ext cx="1766630" cy="24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KHPO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</a:p>
      </cdr:txBody>
    </cdr:sp>
  </cdr:relSizeAnchor>
  <cdr:relSizeAnchor xmlns:cdr="http://schemas.openxmlformats.org/drawingml/2006/chartDrawing">
    <cdr:from>
      <cdr:x>0.14026</cdr:x>
      <cdr:y>0.7333</cdr:y>
    </cdr:from>
    <cdr:to>
      <cdr:x>0.49258</cdr:x>
      <cdr:y>0.7823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829509" y="3695306"/>
          <a:ext cx="2125351" cy="24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KH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(aq)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704850</xdr:colOff>
      <xdr:row>5</xdr:row>
      <xdr:rowOff>63500</xdr:rowOff>
    </xdr:from>
    <xdr:to>
      <xdr:col>34</xdr:col>
      <xdr:colOff>444500</xdr:colOff>
      <xdr:row>29</xdr:row>
      <xdr:rowOff>139700</xdr:rowOff>
    </xdr:to>
    <xdr:graphicFrame macro="">
      <xdr:nvGraphicFramePr>
        <xdr:cNvPr id="264298" name="Diagramm 5">
          <a:extLst>
            <a:ext uri="{FF2B5EF4-FFF2-40B4-BE49-F238E27FC236}">
              <a16:creationId xmlns:a16="http://schemas.microsoft.com/office/drawing/2014/main" id="{0C1CFB16-EED1-A07C-581A-36D61DBCE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0.85814</cdr:x>
      <cdr:y>0.7988</cdr:y>
    </cdr:from>
    <cdr:to>
      <cdr:x>0.93751</cdr:x>
      <cdr:y>0.86555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5216655" y="3472025"/>
          <a:ext cx="484796" cy="290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0°C</a:t>
          </a:r>
        </a:p>
      </cdr:txBody>
    </cdr:sp>
  </cdr:relSizeAnchor>
  <cdr:relSizeAnchor xmlns:cdr="http://schemas.openxmlformats.org/drawingml/2006/chartDrawing">
    <cdr:from>
      <cdr:x>0.32897</cdr:x>
      <cdr:y>0.80664</cdr:y>
    </cdr:from>
    <cdr:to>
      <cdr:x>0.43505</cdr:x>
      <cdr:y>0.87365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989818" y="3506043"/>
          <a:ext cx="647444" cy="2907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25°C</a:t>
          </a:r>
        </a:p>
      </cdr:txBody>
    </cdr:sp>
  </cdr:relSizeAnchor>
  <cdr:relSizeAnchor xmlns:cdr="http://schemas.openxmlformats.org/drawingml/2006/chartDrawing">
    <cdr:from>
      <cdr:x>0.10731</cdr:x>
      <cdr:y>0.81</cdr:y>
    </cdr:from>
    <cdr:to>
      <cdr:x>0.21288</cdr:x>
      <cdr:y>0.87699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633963" y="3520621"/>
          <a:ext cx="647383" cy="290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37°C</a:t>
          </a:r>
        </a:p>
      </cdr:txBody>
    </cdr:sp>
  </cdr:relSizeAnchor>
  <cdr:relSizeAnchor xmlns:cdr="http://schemas.openxmlformats.org/drawingml/2006/chartDrawing">
    <cdr:from>
      <cdr:x>0.39115</cdr:x>
      <cdr:y>0.28696</cdr:y>
    </cdr:from>
    <cdr:to>
      <cdr:x>0.70225</cdr:x>
      <cdr:y>0.34396</cdr:y>
    </cdr:to>
    <cdr:sp macro="" textlink="">
      <cdr:nvSpPr>
        <cdr:cNvPr id="5" name="Textfeld 1"/>
        <cdr:cNvSpPr txBox="1"/>
      </cdr:nvSpPr>
      <cdr:spPr>
        <a:xfrm xmlns:a="http://schemas.openxmlformats.org/drawingml/2006/main">
          <a:off x="2364014" y="1246285"/>
          <a:ext cx="1902016" cy="246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KHPO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</a:p>
      </cdr:txBody>
    </cdr:sp>
  </cdr:relSizeAnchor>
  <cdr:relSizeAnchor xmlns:cdr="http://schemas.openxmlformats.org/drawingml/2006/chartDrawing">
    <cdr:from>
      <cdr:x>0.3893</cdr:x>
      <cdr:y>0.66395</cdr:y>
    </cdr:from>
    <cdr:to>
      <cdr:x>0.76426</cdr:x>
      <cdr:y>0.72098</cdr:y>
    </cdr:to>
    <cdr:sp macro="" textlink="">
      <cdr:nvSpPr>
        <cdr:cNvPr id="6" name="Textfeld 1"/>
        <cdr:cNvSpPr txBox="1"/>
      </cdr:nvSpPr>
      <cdr:spPr>
        <a:xfrm xmlns:a="http://schemas.openxmlformats.org/drawingml/2006/main">
          <a:off x="2354295" y="2888862"/>
          <a:ext cx="229087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KH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(aq)</a:t>
          </a:r>
        </a:p>
      </cdr:txBody>
    </cdr:sp>
  </cdr:relSizeAnchor>
  <cdr:relSizeAnchor xmlns:cdr="http://schemas.openxmlformats.org/drawingml/2006/chartDrawing">
    <cdr:from>
      <cdr:x>0.13873</cdr:x>
      <cdr:y>0.02201</cdr:y>
    </cdr:from>
    <cdr:to>
      <cdr:x>0.45034</cdr:x>
      <cdr:y>0.07927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828351" y="94537"/>
          <a:ext cx="1902077" cy="247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3-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KPO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21/j150536a010" TargetMode="External"/><Relationship Id="rId1" Type="http://schemas.openxmlformats.org/officeDocument/2006/relationships/hyperlink" Target="ttps://doi.org/10.1007/BF006508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3"/>
  <sheetViews>
    <sheetView tabSelected="1" workbookViewId="0">
      <selection activeCell="B10" sqref="B10"/>
    </sheetView>
  </sheetViews>
  <sheetFormatPr defaultColWidth="11.5546875" defaultRowHeight="13.2" x14ac:dyDescent="0.25"/>
  <sheetData>
    <row r="1" spans="1:3" x14ac:dyDescent="0.25">
      <c r="A1" s="31" t="s">
        <v>117</v>
      </c>
    </row>
    <row r="3" spans="1:3" x14ac:dyDescent="0.25">
      <c r="A3" t="s">
        <v>123</v>
      </c>
    </row>
    <row r="6" spans="1:3" x14ac:dyDescent="0.25">
      <c r="A6" s="31" t="s">
        <v>118</v>
      </c>
    </row>
    <row r="7" spans="1:3" x14ac:dyDescent="0.25">
      <c r="A7" s="31" t="s">
        <v>119</v>
      </c>
    </row>
    <row r="9" spans="1:3" x14ac:dyDescent="0.25">
      <c r="A9" t="s">
        <v>120</v>
      </c>
    </row>
    <row r="10" spans="1:3" x14ac:dyDescent="0.25">
      <c r="A10" s="24" t="s">
        <v>56</v>
      </c>
      <c r="B10" s="60" t="s">
        <v>126</v>
      </c>
      <c r="C10" t="s">
        <v>125</v>
      </c>
    </row>
    <row r="11" spans="1:3" ht="15.6" x14ac:dyDescent="0.25">
      <c r="A11" s="24" t="s">
        <v>70</v>
      </c>
      <c r="C11" s="31" t="s">
        <v>121</v>
      </c>
    </row>
    <row r="12" spans="1:3" x14ac:dyDescent="0.25">
      <c r="A12" s="24" t="s">
        <v>52</v>
      </c>
      <c r="B12" s="60" t="s">
        <v>124</v>
      </c>
      <c r="C12" t="s">
        <v>122</v>
      </c>
    </row>
    <row r="15" spans="1:3" x14ac:dyDescent="0.25">
      <c r="A15" t="s">
        <v>48</v>
      </c>
    </row>
    <row r="19" spans="1:36" ht="16.8" x14ac:dyDescent="0.35">
      <c r="A19" s="22" t="s">
        <v>65</v>
      </c>
      <c r="B19" s="3"/>
      <c r="C19" s="3"/>
      <c r="H19" s="1" t="s">
        <v>0</v>
      </c>
      <c r="I19" s="40">
        <f>Z42</f>
        <v>1.4632381949548663</v>
      </c>
      <c r="J19" s="40">
        <f>AD42</f>
        <v>0.16070644330209308</v>
      </c>
      <c r="K19" t="s">
        <v>26</v>
      </c>
    </row>
    <row r="20" spans="1:36" x14ac:dyDescent="0.25">
      <c r="B20" s="3"/>
      <c r="H20" s="1" t="s">
        <v>1</v>
      </c>
      <c r="I20" s="32">
        <f>Z45</f>
        <v>0.62606981469763923</v>
      </c>
      <c r="J20" s="2">
        <f>AD45</f>
        <v>0.19785531931699296</v>
      </c>
      <c r="K20" s="16" t="s">
        <v>51</v>
      </c>
      <c r="N20" s="16" t="s">
        <v>75</v>
      </c>
      <c r="O20" s="9">
        <f>O22-O23-O24</f>
        <v>7.0000000000000007E-2</v>
      </c>
      <c r="P20" s="9">
        <f>SQRT(P22^2+P23^2+P24^2)</f>
        <v>0.10488088481701516</v>
      </c>
    </row>
    <row r="21" spans="1:36" x14ac:dyDescent="0.25">
      <c r="C21" s="3"/>
    </row>
    <row r="22" spans="1:36" ht="16.8" x14ac:dyDescent="0.35">
      <c r="A22" s="15" t="s">
        <v>30</v>
      </c>
      <c r="B22" s="23">
        <f>2^2-3^2-1^2</f>
        <v>-6</v>
      </c>
      <c r="G22" s="21" t="s">
        <v>61</v>
      </c>
      <c r="I22" s="9">
        <v>-0.1</v>
      </c>
      <c r="J22">
        <v>0.1</v>
      </c>
      <c r="M22" s="21" t="s">
        <v>76</v>
      </c>
      <c r="O22">
        <v>-0.15</v>
      </c>
      <c r="P22">
        <v>0.1</v>
      </c>
    </row>
    <row r="23" spans="1:36" ht="16.8" x14ac:dyDescent="0.35">
      <c r="A23" s="15" t="s">
        <v>29</v>
      </c>
      <c r="B23" s="23">
        <f>1-1-1</f>
        <v>-1</v>
      </c>
      <c r="G23" s="21" t="s">
        <v>54</v>
      </c>
      <c r="I23">
        <v>0.08</v>
      </c>
      <c r="J23">
        <v>0.02</v>
      </c>
      <c r="M23" s="21" t="s">
        <v>74</v>
      </c>
      <c r="O23">
        <v>0.03</v>
      </c>
      <c r="P23">
        <v>0.01</v>
      </c>
    </row>
    <row r="24" spans="1:36" ht="16.8" x14ac:dyDescent="0.35">
      <c r="A24" s="15"/>
      <c r="B24" s="23"/>
      <c r="G24" s="21" t="s">
        <v>62</v>
      </c>
      <c r="I24" s="9">
        <f>I20+I22-I23</f>
        <v>0.44606981469763923</v>
      </c>
      <c r="J24" s="9">
        <f>SQRT(J22^2+J23^2+J20^2)</f>
        <v>0.2225909418238515</v>
      </c>
      <c r="M24" s="21" t="s">
        <v>71</v>
      </c>
      <c r="O24">
        <v>-0.25</v>
      </c>
      <c r="P24">
        <v>0.03</v>
      </c>
    </row>
    <row r="25" spans="1:36" ht="13.8" x14ac:dyDescent="0.3">
      <c r="C25" s="4" t="s">
        <v>3</v>
      </c>
      <c r="D25" s="5"/>
      <c r="T25">
        <v>0.49099999999999999</v>
      </c>
      <c r="U25" s="31" t="s">
        <v>81</v>
      </c>
    </row>
    <row r="26" spans="1:36" ht="13.8" x14ac:dyDescent="0.3">
      <c r="C26" s="3" t="s">
        <v>4</v>
      </c>
      <c r="D26" s="3"/>
      <c r="S26" t="s">
        <v>2</v>
      </c>
      <c r="T26">
        <v>0.50900000000000001</v>
      </c>
      <c r="U26" s="31" t="s">
        <v>79</v>
      </c>
      <c r="AE26" s="4" t="s">
        <v>6</v>
      </c>
    </row>
    <row r="27" spans="1:36" ht="13.8" x14ac:dyDescent="0.3">
      <c r="C27" s="4" t="s">
        <v>5</v>
      </c>
      <c r="D27" s="5"/>
      <c r="R27" s="6"/>
      <c r="T27" s="2">
        <v>0.52</v>
      </c>
      <c r="U27" s="31" t="s">
        <v>80</v>
      </c>
      <c r="AF27" s="7" t="s">
        <v>23</v>
      </c>
      <c r="AG27" s="7"/>
      <c r="AH27" s="7"/>
      <c r="AI27" s="7" t="s">
        <v>16</v>
      </c>
    </row>
    <row r="28" spans="1:36" ht="16.8" x14ac:dyDescent="0.35">
      <c r="B28" t="s">
        <v>27</v>
      </c>
      <c r="C28" s="7" t="s">
        <v>8</v>
      </c>
      <c r="D28" s="7" t="s">
        <v>50</v>
      </c>
      <c r="E28" s="7" t="s">
        <v>9</v>
      </c>
      <c r="F28" s="7" t="s">
        <v>10</v>
      </c>
      <c r="G28" s="7" t="s">
        <v>11</v>
      </c>
      <c r="H28" s="7" t="s">
        <v>12</v>
      </c>
      <c r="I28" s="6" t="s">
        <v>13</v>
      </c>
      <c r="J28" s="8" t="s">
        <v>14</v>
      </c>
      <c r="L28" s="31" t="s">
        <v>69</v>
      </c>
      <c r="N28" s="30" t="s">
        <v>64</v>
      </c>
      <c r="T28" s="7" t="s">
        <v>15</v>
      </c>
      <c r="U28" s="8" t="s">
        <v>14</v>
      </c>
      <c r="AE28" s="1" t="s">
        <v>20</v>
      </c>
      <c r="AF28" s="7" t="s">
        <v>22</v>
      </c>
      <c r="AG28" s="7" t="s">
        <v>24</v>
      </c>
      <c r="AH28" s="7" t="s">
        <v>25</v>
      </c>
      <c r="AI28" s="7" t="s">
        <v>17</v>
      </c>
    </row>
    <row r="29" spans="1:36" ht="13.8" x14ac:dyDescent="0.3">
      <c r="A29" t="s">
        <v>7</v>
      </c>
      <c r="B29" t="s">
        <v>28</v>
      </c>
      <c r="C29" s="7" t="s">
        <v>18</v>
      </c>
      <c r="D29" s="7" t="s">
        <v>18</v>
      </c>
      <c r="E29" s="7" t="s">
        <v>18</v>
      </c>
      <c r="G29" s="7" t="s">
        <v>19</v>
      </c>
      <c r="H29" s="7" t="s">
        <v>19</v>
      </c>
      <c r="AE29" s="4" t="s">
        <v>21</v>
      </c>
    </row>
    <row r="30" spans="1:36" ht="16.8" x14ac:dyDescent="0.35">
      <c r="C30" s="4" t="s">
        <v>3</v>
      </c>
      <c r="D30" s="31" t="s">
        <v>49</v>
      </c>
      <c r="E30" s="31" t="s">
        <v>49</v>
      </c>
      <c r="F30" s="4" t="s">
        <v>3</v>
      </c>
      <c r="W30" s="17" t="s">
        <v>31</v>
      </c>
      <c r="X30" s="17" t="s">
        <v>32</v>
      </c>
      <c r="Y30" s="17" t="s">
        <v>33</v>
      </c>
      <c r="Z30" s="17" t="s">
        <v>34</v>
      </c>
      <c r="AA30" s="17" t="s">
        <v>35</v>
      </c>
      <c r="AE30">
        <v>0</v>
      </c>
      <c r="AF30">
        <f>$I$19+$I$20*AE30</f>
        <v>1.4632381949548663</v>
      </c>
      <c r="AG30">
        <f>AF30+AI30</f>
        <v>1.6239446382569593</v>
      </c>
      <c r="AH30">
        <f>AF30-AI30</f>
        <v>1.3025317516527732</v>
      </c>
      <c r="AI30">
        <f>SQRT($J$19^2+($J$20*AE30)^2)</f>
        <v>0.16070644330209308</v>
      </c>
      <c r="AJ30" s="31" t="s">
        <v>63</v>
      </c>
    </row>
    <row r="31" spans="1:36" ht="14.4" x14ac:dyDescent="0.3">
      <c r="A31" s="24" t="s">
        <v>52</v>
      </c>
      <c r="B31" s="25" t="s">
        <v>53</v>
      </c>
      <c r="C31" s="33">
        <v>0.16</v>
      </c>
      <c r="E31" s="35">
        <v>0.81</v>
      </c>
      <c r="F31" s="27">
        <f>1.021+(1.052-1.02)/(0.25-0.1)*0.06</f>
        <v>1.0337999999999998</v>
      </c>
      <c r="G31" s="26">
        <f t="shared" ref="G31:G36" si="0">C31*F31</f>
        <v>0.16540799999999997</v>
      </c>
      <c r="H31" s="27">
        <f>E31+$B$23*LOG(F31)</f>
        <v>0.79556347216832801</v>
      </c>
      <c r="J31" s="28">
        <v>0.15</v>
      </c>
      <c r="L31">
        <v>25</v>
      </c>
      <c r="N31" s="2">
        <f t="shared" ref="N31:N36" si="1">G31</f>
        <v>0.16540799999999997</v>
      </c>
      <c r="O31" s="2">
        <f>T31</f>
        <v>1.5670109752950827</v>
      </c>
      <c r="T31" s="2">
        <f>H31-$B$22*($T$26*SQRT(G31)/(1+1.5*SQRT(G31)))</f>
        <v>1.5670109752950827</v>
      </c>
      <c r="U31" s="2">
        <f t="shared" ref="U31:U36" si="2">J31</f>
        <v>0.15</v>
      </c>
      <c r="W31" s="29">
        <f>1/U31^2</f>
        <v>44.444444444444443</v>
      </c>
      <c r="X31" s="29">
        <f>N31*W31</f>
        <v>7.3514666666666653</v>
      </c>
      <c r="Y31" s="29">
        <f>N31*N31*W31</f>
        <v>1.2159913983999995</v>
      </c>
      <c r="Z31" s="29">
        <f>T31*W31</f>
        <v>69.644932235337009</v>
      </c>
      <c r="AA31" s="29">
        <f>N31*T31*W31</f>
        <v>11.519828951182623</v>
      </c>
      <c r="AE31" s="9">
        <v>1.3</v>
      </c>
      <c r="AF31">
        <f>$I$19+$I$20*AE31</f>
        <v>2.2771289540617974</v>
      </c>
      <c r="AG31">
        <f>AF31+AI31</f>
        <v>2.580418469532475</v>
      </c>
      <c r="AH31">
        <f>AF31-AI31</f>
        <v>1.97383943859112</v>
      </c>
      <c r="AI31">
        <f>SQRT($J$19^2+($J$20*AE31)^2)</f>
        <v>0.30328951547067745</v>
      </c>
      <c r="AJ31" s="31" t="s">
        <v>63</v>
      </c>
    </row>
    <row r="32" spans="1:36" ht="14.4" x14ac:dyDescent="0.3">
      <c r="A32" s="24" t="s">
        <v>52</v>
      </c>
      <c r="B32" s="25" t="s">
        <v>53</v>
      </c>
      <c r="C32" s="33">
        <v>0.64</v>
      </c>
      <c r="E32" s="35">
        <v>0.91</v>
      </c>
      <c r="F32" s="27">
        <f>1.107+(1.23-1.107)/(1-0.5)*0.14</f>
        <v>1.14144</v>
      </c>
      <c r="G32" s="26">
        <f t="shared" si="0"/>
        <v>0.73052159999999999</v>
      </c>
      <c r="H32" s="27">
        <f>E32+$B$23*LOG(F32)</f>
        <v>0.85254691234174007</v>
      </c>
      <c r="J32" s="28">
        <v>0.15</v>
      </c>
      <c r="L32">
        <v>25</v>
      </c>
      <c r="N32" s="2">
        <f t="shared" si="1"/>
        <v>0.73052159999999999</v>
      </c>
      <c r="O32" s="2">
        <f>T32</f>
        <v>1.996369898351118</v>
      </c>
      <c r="T32" s="2">
        <f>H32-$B$22*($T$26*SQRT(G32)/(1+1.5*SQRT(G32)))</f>
        <v>1.996369898351118</v>
      </c>
      <c r="U32" s="2">
        <f t="shared" si="2"/>
        <v>0.15</v>
      </c>
      <c r="W32" s="29">
        <f>1/U32^2</f>
        <v>44.444444444444443</v>
      </c>
      <c r="X32" s="29">
        <f>N32*W32</f>
        <v>32.467626666666668</v>
      </c>
      <c r="Y32" s="29">
        <f>N32*N32*W32</f>
        <v>23.718302580735998</v>
      </c>
      <c r="Z32" s="29">
        <f>T32*W32</f>
        <v>88.727551037827467</v>
      </c>
      <c r="AA32" s="29">
        <f>N32*T32*W32</f>
        <v>64.817392548235389</v>
      </c>
    </row>
    <row r="33" spans="1:30" ht="14.4" x14ac:dyDescent="0.3">
      <c r="A33" s="24" t="s">
        <v>52</v>
      </c>
      <c r="B33" s="25" t="s">
        <v>53</v>
      </c>
      <c r="C33" s="34">
        <v>1</v>
      </c>
      <c r="E33" s="35">
        <v>1.03</v>
      </c>
      <c r="F33" s="29">
        <v>1.23</v>
      </c>
      <c r="G33" s="26">
        <f t="shared" si="0"/>
        <v>1.23</v>
      </c>
      <c r="H33" s="27">
        <f>E33+$B$23*LOG(F33)</f>
        <v>0.94009488856060208</v>
      </c>
      <c r="J33" s="28">
        <v>0.15</v>
      </c>
      <c r="L33">
        <v>25</v>
      </c>
      <c r="N33" s="2">
        <f t="shared" si="1"/>
        <v>1.23</v>
      </c>
      <c r="O33" s="2">
        <f>T33</f>
        <v>2.2117102497728025</v>
      </c>
      <c r="T33" s="2">
        <f>H33-$B$22*($T$26*SQRT(G33)/(1+1.5*SQRT(G33)))</f>
        <v>2.2117102497728025</v>
      </c>
      <c r="U33" s="2">
        <f t="shared" si="2"/>
        <v>0.15</v>
      </c>
      <c r="W33" s="29">
        <f>1/U33^2</f>
        <v>44.444444444444443</v>
      </c>
      <c r="X33" s="29">
        <f>N33*W33</f>
        <v>54.666666666666664</v>
      </c>
      <c r="Y33" s="29">
        <f>N33*N33*W33</f>
        <v>67.239999999999995</v>
      </c>
      <c r="Z33" s="29">
        <f>T33*W33</f>
        <v>98.298233323235664</v>
      </c>
      <c r="AA33" s="29">
        <f>N33*T33*W33</f>
        <v>120.90682698757986</v>
      </c>
    </row>
    <row r="34" spans="1:30" ht="14.4" x14ac:dyDescent="0.3">
      <c r="A34" s="24" t="s">
        <v>70</v>
      </c>
      <c r="B34" s="25" t="s">
        <v>68</v>
      </c>
      <c r="C34" s="34">
        <v>0.5</v>
      </c>
      <c r="E34" s="35">
        <v>0.54</v>
      </c>
      <c r="F34" s="27">
        <v>1.06</v>
      </c>
      <c r="G34" s="26">
        <f t="shared" si="0"/>
        <v>0.53</v>
      </c>
      <c r="H34" s="27">
        <f>E34+$B$23*LOG(F34)</f>
        <v>0.51469413473522974</v>
      </c>
      <c r="J34" s="28">
        <v>0.3</v>
      </c>
      <c r="L34">
        <v>25</v>
      </c>
      <c r="N34" s="2">
        <f t="shared" si="1"/>
        <v>0.53</v>
      </c>
      <c r="Q34" s="2">
        <f>T34</f>
        <v>1.5774704454559036</v>
      </c>
      <c r="T34" s="2">
        <f>H34-$B$22*($T$26*SQRT(G34)/(1+1.5*SQRT(G34)))</f>
        <v>1.5774704454559036</v>
      </c>
      <c r="U34" s="2">
        <f t="shared" si="2"/>
        <v>0.3</v>
      </c>
      <c r="W34" s="29">
        <f>1/U34^2</f>
        <v>11.111111111111111</v>
      </c>
      <c r="X34" s="29">
        <f>N34*W34</f>
        <v>5.8888888888888893</v>
      </c>
      <c r="Y34" s="29">
        <f>N34*N34*W34</f>
        <v>3.1211111111111114</v>
      </c>
      <c r="Z34" s="29">
        <f>T34*W34</f>
        <v>17.527449393954484</v>
      </c>
      <c r="AA34" s="29">
        <f>N34*T34*W34</f>
        <v>9.2895481787958776</v>
      </c>
    </row>
    <row r="35" spans="1:30" ht="14.4" x14ac:dyDescent="0.3">
      <c r="A35" s="24" t="s">
        <v>52</v>
      </c>
      <c r="B35" s="25" t="s">
        <v>53</v>
      </c>
      <c r="C35" s="33">
        <v>0.16</v>
      </c>
      <c r="E35" s="35">
        <v>0.85</v>
      </c>
      <c r="F35" s="27">
        <f>1.021+(1.052-1.02)/(0.25-0.1)*0.06</f>
        <v>1.0337999999999998</v>
      </c>
      <c r="G35" s="26">
        <f t="shared" si="0"/>
        <v>0.16540799999999997</v>
      </c>
      <c r="H35" s="27">
        <f>E35+$B$23*LOG(F35)</f>
        <v>0.83556347216832794</v>
      </c>
      <c r="J35" s="28">
        <v>0.15</v>
      </c>
      <c r="L35">
        <v>37</v>
      </c>
      <c r="N35" s="2">
        <f t="shared" si="1"/>
        <v>0.16540799999999997</v>
      </c>
      <c r="R35" s="2">
        <f>T35</f>
        <v>1.6236827288007687</v>
      </c>
      <c r="T35" s="2">
        <f>H35-$B$22*($T$27*SQRT(G35)/(1+1.5*SQRT(G35)))</f>
        <v>1.6236827288007687</v>
      </c>
      <c r="U35" s="2">
        <f t="shared" si="2"/>
        <v>0.15</v>
      </c>
    </row>
    <row r="36" spans="1:30" ht="14.4" x14ac:dyDescent="0.3">
      <c r="A36" s="24" t="s">
        <v>70</v>
      </c>
      <c r="B36" s="25" t="s">
        <v>68</v>
      </c>
      <c r="C36" s="37">
        <v>0.15</v>
      </c>
      <c r="E36" s="35">
        <v>0.6</v>
      </c>
      <c r="F36" s="27">
        <f>1.013+(1.03-1.013)/(0.25-0.1)*0.05</f>
        <v>1.0186666666666666</v>
      </c>
      <c r="G36" s="26">
        <f t="shared" si="0"/>
        <v>0.15279999999999999</v>
      </c>
      <c r="H36" s="27">
        <f>E36+$B$51*LOG(F36)</f>
        <v>0.59196790481601014</v>
      </c>
      <c r="J36" s="28">
        <v>0.4</v>
      </c>
      <c r="L36">
        <v>37</v>
      </c>
      <c r="N36" s="2">
        <f t="shared" si="1"/>
        <v>0.15279999999999999</v>
      </c>
      <c r="R36" s="2"/>
      <c r="S36" s="2">
        <f>T36</f>
        <v>1.3607773925136404</v>
      </c>
      <c r="T36" s="2">
        <f>H36-$B$22*($T$27*SQRT(G36)/(1+1.5*SQRT(G36)))</f>
        <v>1.3607773925136404</v>
      </c>
      <c r="U36" s="2">
        <f t="shared" si="2"/>
        <v>0.4</v>
      </c>
    </row>
    <row r="37" spans="1:30" x14ac:dyDescent="0.25">
      <c r="K37" s="1"/>
      <c r="V37" s="15" t="s">
        <v>36</v>
      </c>
      <c r="W37">
        <f>SUM(W31:W36)</f>
        <v>144.44444444444443</v>
      </c>
      <c r="X37">
        <f>SUM(X31:X36)</f>
        <v>100.37464888888888</v>
      </c>
      <c r="Y37">
        <f>SUM(Y31:Y36)</f>
        <v>95.295405090247101</v>
      </c>
      <c r="Z37">
        <f>SUM(Z31:Z36)</f>
        <v>274.19816599035465</v>
      </c>
      <c r="AA37">
        <f>SUM(AA31:AA36)</f>
        <v>206.53359666579377</v>
      </c>
    </row>
    <row r="39" spans="1:30" ht="16.8" x14ac:dyDescent="0.35">
      <c r="Y39" s="15" t="s">
        <v>37</v>
      </c>
      <c r="Z39">
        <f>W37*Y37-X37^2</f>
        <v>3689.8217068013018</v>
      </c>
    </row>
    <row r="40" spans="1:30" ht="16.8" x14ac:dyDescent="0.35">
      <c r="H40" s="16" t="s">
        <v>75</v>
      </c>
      <c r="I40" s="9">
        <f>I42-I43-I44</f>
        <v>3.9999999999999994E-2</v>
      </c>
      <c r="J40" s="9">
        <f>SQRT(J42^2+J43^2+J44^2)</f>
        <v>0.11704699910719625</v>
      </c>
      <c r="Y40" s="15" t="s">
        <v>38</v>
      </c>
      <c r="Z40">
        <f>Y37*Z37</f>
        <v>26129.825303053662</v>
      </c>
    </row>
    <row r="41" spans="1:30" ht="16.8" x14ac:dyDescent="0.35">
      <c r="Y41" s="15" t="s">
        <v>39</v>
      </c>
      <c r="Z41">
        <f>X37*AA37</f>
        <v>20730.737249088441</v>
      </c>
    </row>
    <row r="42" spans="1:30" ht="16.8" x14ac:dyDescent="0.35">
      <c r="G42" s="21" t="s">
        <v>78</v>
      </c>
      <c r="I42">
        <v>-0.08</v>
      </c>
      <c r="J42">
        <v>0.1</v>
      </c>
      <c r="W42" s="1" t="s">
        <v>40</v>
      </c>
      <c r="Y42" s="18" t="s">
        <v>41</v>
      </c>
      <c r="Z42">
        <f>(Z40-Z41)/Z39</f>
        <v>1.4632381949548663</v>
      </c>
      <c r="AC42" s="19" t="s">
        <v>42</v>
      </c>
      <c r="AD42">
        <f>SQRT(Y37/Z39)</f>
        <v>0.16070644330209308</v>
      </c>
    </row>
    <row r="43" spans="1:30" ht="16.8" x14ac:dyDescent="0.35">
      <c r="G43" s="21" t="s">
        <v>74</v>
      </c>
      <c r="I43">
        <v>0.03</v>
      </c>
      <c r="J43">
        <v>0.01</v>
      </c>
      <c r="K43" s="2"/>
      <c r="Q43" s="2"/>
      <c r="R43" s="2"/>
      <c r="S43" s="2"/>
      <c r="T43" s="2"/>
      <c r="U43" s="2"/>
      <c r="Y43" s="15" t="s">
        <v>43</v>
      </c>
      <c r="Z43">
        <f>W37*AA37</f>
        <v>29832.630629503539</v>
      </c>
    </row>
    <row r="44" spans="1:30" ht="16.8" x14ac:dyDescent="0.35">
      <c r="G44" s="21" t="s">
        <v>73</v>
      </c>
      <c r="I44">
        <v>-0.15</v>
      </c>
      <c r="J44">
        <v>0.06</v>
      </c>
      <c r="K44" s="2"/>
      <c r="Q44" s="2"/>
      <c r="R44" s="2"/>
      <c r="S44" s="2"/>
      <c r="T44" s="2"/>
      <c r="U44" s="2"/>
      <c r="Y44" s="15" t="s">
        <v>44</v>
      </c>
      <c r="Z44">
        <f>X37*Z37</f>
        <v>27522.544637259121</v>
      </c>
    </row>
    <row r="45" spans="1:30" ht="16.8" x14ac:dyDescent="0.35">
      <c r="J45" s="2"/>
      <c r="M45" s="2"/>
      <c r="Q45" s="2"/>
      <c r="R45" s="2"/>
      <c r="S45" s="2"/>
      <c r="T45" s="2"/>
      <c r="U45" s="2"/>
      <c r="W45" s="1" t="s">
        <v>45</v>
      </c>
      <c r="Y45" s="20" t="s">
        <v>47</v>
      </c>
      <c r="Z45">
        <f>(Z43-Z44)/Z39</f>
        <v>0.62606981469763923</v>
      </c>
      <c r="AC45" s="19" t="s">
        <v>46</v>
      </c>
      <c r="AD45">
        <f>SQRT(W37/Z39)</f>
        <v>0.19785531931699296</v>
      </c>
    </row>
    <row r="46" spans="1:30" x14ac:dyDescent="0.25">
      <c r="J46" s="2"/>
      <c r="M46" s="2"/>
      <c r="Q46" s="2"/>
      <c r="R46" s="2"/>
      <c r="S46" s="2"/>
      <c r="T46" s="2"/>
      <c r="U46" s="2"/>
    </row>
    <row r="47" spans="1:30" ht="16.8" x14ac:dyDescent="0.35">
      <c r="A47" s="22" t="s">
        <v>66</v>
      </c>
      <c r="B47" s="3"/>
      <c r="C47" s="3"/>
      <c r="H47" s="1" t="s">
        <v>0</v>
      </c>
      <c r="I47" s="40">
        <f>Z71</f>
        <v>0.892651694028056</v>
      </c>
      <c r="J47" s="40">
        <f>AD71</f>
        <v>0.13358381456259269</v>
      </c>
      <c r="K47" t="s">
        <v>26</v>
      </c>
    </row>
    <row r="48" spans="1:30" x14ac:dyDescent="0.25">
      <c r="B48" s="3"/>
      <c r="H48" s="1" t="s">
        <v>1</v>
      </c>
      <c r="I48" s="32">
        <f>Z74</f>
        <v>0.42975919199648155</v>
      </c>
      <c r="J48" s="2">
        <f>AD74</f>
        <v>0.1805994896817196</v>
      </c>
      <c r="K48" s="16" t="s">
        <v>51</v>
      </c>
    </row>
    <row r="49" spans="1:36" x14ac:dyDescent="0.25">
      <c r="C49" s="3"/>
    </row>
    <row r="50" spans="1:36" ht="16.8" x14ac:dyDescent="0.35">
      <c r="A50" s="15" t="s">
        <v>30</v>
      </c>
      <c r="B50" s="23">
        <f>1^2-2^2-1^2</f>
        <v>-4</v>
      </c>
      <c r="G50" s="21" t="s">
        <v>59</v>
      </c>
      <c r="I50" s="9">
        <v>-0.05</v>
      </c>
      <c r="J50" s="9">
        <v>0.1</v>
      </c>
    </row>
    <row r="51" spans="1:36" ht="16.8" x14ac:dyDescent="0.35">
      <c r="A51" s="15" t="s">
        <v>29</v>
      </c>
      <c r="B51" s="23">
        <f>1-1-1</f>
        <v>-1</v>
      </c>
      <c r="G51" s="21" t="s">
        <v>54</v>
      </c>
      <c r="I51">
        <v>0.08</v>
      </c>
      <c r="J51">
        <v>0.02</v>
      </c>
    </row>
    <row r="52" spans="1:36" ht="16.8" x14ac:dyDescent="0.35">
      <c r="A52" s="15"/>
      <c r="B52" s="23"/>
      <c r="G52" s="21" t="s">
        <v>60</v>
      </c>
      <c r="I52" s="9">
        <f>I48+I50-I51</f>
        <v>0.29975919199648154</v>
      </c>
      <c r="J52" s="9">
        <f>SQRT(J50^2+J51^2+J48^2)</f>
        <v>0.20740341287765143</v>
      </c>
    </row>
    <row r="53" spans="1:36" ht="13.8" x14ac:dyDescent="0.3">
      <c r="C53" s="4" t="s">
        <v>3</v>
      </c>
      <c r="D53" s="5"/>
      <c r="T53">
        <v>0.49099999999999999</v>
      </c>
      <c r="U53" s="31" t="s">
        <v>81</v>
      </c>
    </row>
    <row r="54" spans="1:36" ht="13.8" x14ac:dyDescent="0.3">
      <c r="C54" s="3" t="s">
        <v>4</v>
      </c>
      <c r="D54" s="3"/>
      <c r="S54" t="s">
        <v>2</v>
      </c>
      <c r="T54">
        <v>0.50900000000000001</v>
      </c>
      <c r="U54" s="31" t="s">
        <v>79</v>
      </c>
      <c r="AE54" s="4" t="s">
        <v>6</v>
      </c>
    </row>
    <row r="55" spans="1:36" ht="13.8" x14ac:dyDescent="0.3">
      <c r="C55" s="4" t="s">
        <v>5</v>
      </c>
      <c r="D55" s="5"/>
      <c r="R55" s="6"/>
      <c r="T55" s="2">
        <v>0.52</v>
      </c>
      <c r="U55" s="31" t="s">
        <v>80</v>
      </c>
      <c r="AF55" s="7" t="s">
        <v>23</v>
      </c>
      <c r="AG55" s="7"/>
      <c r="AH55" s="7"/>
      <c r="AI55" s="7" t="s">
        <v>16</v>
      </c>
    </row>
    <row r="56" spans="1:36" ht="15.6" x14ac:dyDescent="0.35">
      <c r="B56" t="s">
        <v>27</v>
      </c>
      <c r="C56" s="7" t="s">
        <v>8</v>
      </c>
      <c r="D56" s="7" t="s">
        <v>50</v>
      </c>
      <c r="E56" s="7" t="s">
        <v>9</v>
      </c>
      <c r="F56" s="7" t="s">
        <v>10</v>
      </c>
      <c r="G56" s="7" t="s">
        <v>11</v>
      </c>
      <c r="H56" s="7" t="s">
        <v>12</v>
      </c>
      <c r="I56" s="6" t="s">
        <v>13</v>
      </c>
      <c r="J56" s="8" t="s">
        <v>14</v>
      </c>
      <c r="L56" s="31" t="s">
        <v>69</v>
      </c>
      <c r="T56" s="7" t="s">
        <v>15</v>
      </c>
      <c r="U56" s="8" t="s">
        <v>14</v>
      </c>
      <c r="AE56" s="1" t="s">
        <v>20</v>
      </c>
      <c r="AF56" s="7" t="s">
        <v>22</v>
      </c>
      <c r="AG56" s="7" t="s">
        <v>24</v>
      </c>
      <c r="AH56" s="7" t="s">
        <v>25</v>
      </c>
      <c r="AI56" s="7" t="s">
        <v>17</v>
      </c>
    </row>
    <row r="57" spans="1:36" ht="13.8" x14ac:dyDescent="0.3">
      <c r="A57" t="s">
        <v>7</v>
      </c>
      <c r="B57" t="s">
        <v>28</v>
      </c>
      <c r="C57" s="7" t="s">
        <v>18</v>
      </c>
      <c r="D57" s="7" t="s">
        <v>18</v>
      </c>
      <c r="E57" s="7" t="s">
        <v>18</v>
      </c>
      <c r="G57" s="7" t="s">
        <v>19</v>
      </c>
      <c r="H57" s="7" t="s">
        <v>19</v>
      </c>
      <c r="AE57" s="4" t="s">
        <v>21</v>
      </c>
    </row>
    <row r="58" spans="1:36" ht="16.8" x14ac:dyDescent="0.35">
      <c r="C58" s="4" t="s">
        <v>3</v>
      </c>
      <c r="D58" s="31" t="s">
        <v>49</v>
      </c>
      <c r="E58" s="31" t="s">
        <v>49</v>
      </c>
      <c r="F58" s="4" t="s">
        <v>3</v>
      </c>
      <c r="W58" s="17" t="s">
        <v>31</v>
      </c>
      <c r="X58" s="17" t="s">
        <v>32</v>
      </c>
      <c r="Y58" s="17" t="s">
        <v>33</v>
      </c>
      <c r="Z58" s="17" t="s">
        <v>34</v>
      </c>
      <c r="AA58" s="17" t="s">
        <v>35</v>
      </c>
      <c r="AE58">
        <v>0</v>
      </c>
      <c r="AF58">
        <f>$I$47+$I$48*AE58</f>
        <v>0.892651694028056</v>
      </c>
      <c r="AG58">
        <f>AF58+AI58</f>
        <v>1.0262355085906487</v>
      </c>
      <c r="AH58">
        <f>AF58-AI58</f>
        <v>0.75906787946546328</v>
      </c>
      <c r="AI58">
        <f>SQRT($J$47^2+($J$48*AE58)^2)</f>
        <v>0.13358381456259269</v>
      </c>
      <c r="AJ58" s="31" t="s">
        <v>63</v>
      </c>
    </row>
    <row r="59" spans="1:36" ht="14.4" x14ac:dyDescent="0.3">
      <c r="A59" s="24" t="s">
        <v>52</v>
      </c>
      <c r="B59" s="25" t="s">
        <v>53</v>
      </c>
      <c r="C59" s="33">
        <v>0.16</v>
      </c>
      <c r="E59" s="35">
        <v>0.5</v>
      </c>
      <c r="F59" s="27">
        <f>1.021+(1.052-1.02)/(0.25-0.1)*0.06</f>
        <v>1.0337999999999998</v>
      </c>
      <c r="G59" s="26">
        <f t="shared" ref="G59:G65" si="3">C59*F59</f>
        <v>0.16540799999999997</v>
      </c>
      <c r="H59" s="27">
        <f t="shared" ref="H59:H65" si="4">E59+$B$51*LOG(F59)</f>
        <v>0.48556347216832796</v>
      </c>
      <c r="J59" s="28">
        <v>0.15</v>
      </c>
      <c r="L59">
        <v>25</v>
      </c>
      <c r="N59" s="2">
        <f t="shared" ref="N59:N65" si="5">G59</f>
        <v>0.16540799999999997</v>
      </c>
      <c r="O59" s="2">
        <f>T59</f>
        <v>0.99986180758616439</v>
      </c>
      <c r="T59" s="2">
        <f>H59-$B$50*($T$54*SQRT(G59)/(1+1.5*SQRT(G59)))</f>
        <v>0.99986180758616439</v>
      </c>
      <c r="U59" s="2">
        <f t="shared" ref="U59:U64" si="6">J59</f>
        <v>0.15</v>
      </c>
      <c r="W59" s="29">
        <f>1/U59^2</f>
        <v>44.444444444444443</v>
      </c>
      <c r="X59" s="29">
        <f>N59*W59</f>
        <v>7.3514666666666653</v>
      </c>
      <c r="Y59" s="29">
        <f>N59*N59*W59</f>
        <v>1.2159913983999995</v>
      </c>
      <c r="Z59" s="29">
        <f>T59*W59</f>
        <v>44.438302559385079</v>
      </c>
      <c r="AA59" s="29">
        <f>N59*T59*W59</f>
        <v>7.350450749742766</v>
      </c>
      <c r="AE59" s="9">
        <v>1.3</v>
      </c>
      <c r="AF59">
        <f>$I$47+$I$48*AE59</f>
        <v>1.4513386436234821</v>
      </c>
      <c r="AG59">
        <f>AF59+AI59</f>
        <v>1.721460787108547</v>
      </c>
      <c r="AH59">
        <f>AF59-AI59</f>
        <v>1.1812165001384172</v>
      </c>
      <c r="AI59">
        <f>SQRT($J$47^2+($J$48*AE59)^2)</f>
        <v>0.27012214348506491</v>
      </c>
      <c r="AJ59" s="31" t="s">
        <v>63</v>
      </c>
    </row>
    <row r="60" spans="1:36" ht="14.4" x14ac:dyDescent="0.3">
      <c r="A60" s="24" t="s">
        <v>52</v>
      </c>
      <c r="B60" s="25" t="s">
        <v>53</v>
      </c>
      <c r="C60" s="33">
        <v>0.64</v>
      </c>
      <c r="E60" s="35">
        <v>0.44</v>
      </c>
      <c r="F60" s="27">
        <f>1.107+(1.23-1.107)/(1-0.5)*0.14</f>
        <v>1.14144</v>
      </c>
      <c r="G60" s="26">
        <f t="shared" si="3"/>
        <v>0.73052159999999999</v>
      </c>
      <c r="H60" s="27">
        <f t="shared" si="4"/>
        <v>0.38254691234173999</v>
      </c>
      <c r="J60" s="28">
        <v>0.15</v>
      </c>
      <c r="L60">
        <v>25</v>
      </c>
      <c r="N60" s="2">
        <f t="shared" si="5"/>
        <v>0.73052159999999999</v>
      </c>
      <c r="O60" s="2">
        <f>T60</f>
        <v>1.1450955696813252</v>
      </c>
      <c r="T60" s="2">
        <f>H60-$B$50*($T$54*SQRT(G60)/(1+1.5*SQRT(G60)))</f>
        <v>1.1450955696813252</v>
      </c>
      <c r="U60" s="2">
        <f t="shared" si="6"/>
        <v>0.15</v>
      </c>
      <c r="W60" s="29">
        <f>1/U60^2</f>
        <v>44.444444444444443</v>
      </c>
      <c r="X60" s="29">
        <f>N60*W60</f>
        <v>32.467626666666668</v>
      </c>
      <c r="Y60" s="29">
        <f>N60*N60*W60</f>
        <v>23.718302580735998</v>
      </c>
      <c r="Z60" s="29">
        <f>T60*W60</f>
        <v>50.893136430281118</v>
      </c>
      <c r="AA60" s="29">
        <f>N60*T60*W60</f>
        <v>37.178535454067251</v>
      </c>
    </row>
    <row r="61" spans="1:36" ht="14.4" x14ac:dyDescent="0.3">
      <c r="A61" s="24" t="s">
        <v>52</v>
      </c>
      <c r="B61" s="25" t="s">
        <v>53</v>
      </c>
      <c r="C61" s="34">
        <v>1</v>
      </c>
      <c r="E61" s="35">
        <v>0.71</v>
      </c>
      <c r="F61" s="29">
        <v>1.23</v>
      </c>
      <c r="G61" s="26">
        <f t="shared" si="3"/>
        <v>1.23</v>
      </c>
      <c r="H61" s="27">
        <f t="shared" si="4"/>
        <v>0.62009488856060202</v>
      </c>
      <c r="J61" s="28">
        <v>0.15</v>
      </c>
      <c r="L61">
        <v>25</v>
      </c>
      <c r="N61" s="2">
        <f t="shared" si="5"/>
        <v>1.23</v>
      </c>
      <c r="O61" s="2">
        <f>T61</f>
        <v>1.4678384627020689</v>
      </c>
      <c r="T61" s="2">
        <f>H61-$B$50*($T$54*SQRT(G61)/(1+1.5*SQRT(G61)))</f>
        <v>1.4678384627020689</v>
      </c>
      <c r="U61" s="2">
        <f t="shared" si="6"/>
        <v>0.15</v>
      </c>
      <c r="W61" s="29">
        <f>1/U61^2</f>
        <v>44.444444444444443</v>
      </c>
      <c r="X61" s="29">
        <f>N61*W61</f>
        <v>54.666666666666664</v>
      </c>
      <c r="Y61" s="29">
        <f>N61*N61*W61</f>
        <v>67.239999999999995</v>
      </c>
      <c r="Z61" s="29">
        <f>T61*W61</f>
        <v>65.237265008980842</v>
      </c>
      <c r="AA61" s="29">
        <f>N61*T61*W61</f>
        <v>80.241835961046419</v>
      </c>
    </row>
    <row r="62" spans="1:36" ht="14.4" x14ac:dyDescent="0.3">
      <c r="A62" s="24" t="s">
        <v>56</v>
      </c>
      <c r="B62" s="25" t="s">
        <v>55</v>
      </c>
      <c r="C62" s="33">
        <v>0.2</v>
      </c>
      <c r="D62" s="38">
        <v>3.1</v>
      </c>
      <c r="E62" s="39">
        <f>LOG(D62)</f>
        <v>0.49136169383427269</v>
      </c>
      <c r="F62" s="27">
        <f>1.026+(1.065-1.026)/(0.25-0.1)*0.1</f>
        <v>1.052</v>
      </c>
      <c r="G62" s="26">
        <f t="shared" si="3"/>
        <v>0.21040000000000003</v>
      </c>
      <c r="H62" s="27">
        <f t="shared" si="4"/>
        <v>0.46934595401655244</v>
      </c>
      <c r="I62" s="2">
        <f>(LOG(3.1+0.4)-LOG(3.1-0.4))/2</f>
        <v>5.6352140095644154E-2</v>
      </c>
      <c r="J62" s="28">
        <v>0.2</v>
      </c>
      <c r="L62">
        <v>25</v>
      </c>
      <c r="N62" s="2">
        <f t="shared" si="5"/>
        <v>0.21040000000000003</v>
      </c>
      <c r="P62" s="2">
        <f>T62</f>
        <v>1.0225912483759827</v>
      </c>
      <c r="T62" s="2">
        <f>H62-$B$50*($T$54*SQRT(G62)/(1+1.5*SQRT(G62)))</f>
        <v>1.0225912483759827</v>
      </c>
      <c r="U62" s="2">
        <f t="shared" si="6"/>
        <v>0.2</v>
      </c>
      <c r="W62" s="29">
        <f>1/U62^2</f>
        <v>24.999999999999996</v>
      </c>
      <c r="X62" s="29">
        <f>N62*W62</f>
        <v>5.26</v>
      </c>
      <c r="Y62" s="29">
        <f>N62*N62*W62</f>
        <v>1.1067040000000001</v>
      </c>
      <c r="Z62" s="29">
        <f>T62*W62</f>
        <v>25.564781209399563</v>
      </c>
      <c r="AA62" s="29">
        <f>N62*T62*W62</f>
        <v>5.3788299664576691</v>
      </c>
    </row>
    <row r="63" spans="1:36" ht="14.4" x14ac:dyDescent="0.3">
      <c r="A63" s="24" t="s">
        <v>70</v>
      </c>
      <c r="B63" s="25" t="s">
        <v>68</v>
      </c>
      <c r="C63" s="34">
        <v>0.5</v>
      </c>
      <c r="E63" s="35">
        <v>0.36</v>
      </c>
      <c r="F63" s="27">
        <v>1.06</v>
      </c>
      <c r="G63" s="26">
        <f t="shared" si="3"/>
        <v>0.53</v>
      </c>
      <c r="H63" s="27">
        <f t="shared" si="4"/>
        <v>0.33469413473522974</v>
      </c>
      <c r="J63" s="28">
        <v>0.2</v>
      </c>
      <c r="L63">
        <v>25</v>
      </c>
      <c r="N63" s="2">
        <f t="shared" si="5"/>
        <v>0.53</v>
      </c>
      <c r="Q63" s="2">
        <f>T63</f>
        <v>1.043211675215679</v>
      </c>
      <c r="T63" s="2">
        <f>H63-$B$50*($T$54*SQRT(G63)/(1+1.5*SQRT(G63)))</f>
        <v>1.043211675215679</v>
      </c>
      <c r="U63" s="2">
        <f t="shared" si="6"/>
        <v>0.2</v>
      </c>
      <c r="W63" s="29">
        <f>1/U63^2</f>
        <v>24.999999999999996</v>
      </c>
      <c r="X63" s="29">
        <f>N63*W63</f>
        <v>13.249999999999998</v>
      </c>
      <c r="Y63" s="29">
        <f>N63*N63*W63</f>
        <v>7.0225</v>
      </c>
      <c r="Z63" s="29">
        <f>T63*W63</f>
        <v>26.080291880391972</v>
      </c>
      <c r="AA63" s="29">
        <f>N63*T63*W63</f>
        <v>13.822554696607746</v>
      </c>
    </row>
    <row r="64" spans="1:36" ht="14.4" x14ac:dyDescent="0.3">
      <c r="A64" s="24" t="s">
        <v>52</v>
      </c>
      <c r="B64" s="25" t="s">
        <v>53</v>
      </c>
      <c r="C64" s="33">
        <v>0.16</v>
      </c>
      <c r="E64" s="35">
        <v>0.57999999999999996</v>
      </c>
      <c r="F64" s="27">
        <f>1.021+(1.052-1.02)/(0.25-0.1)*0.06</f>
        <v>1.0337999999999998</v>
      </c>
      <c r="G64" s="26">
        <f t="shared" si="3"/>
        <v>0.16540799999999997</v>
      </c>
      <c r="H64" s="27">
        <f t="shared" si="4"/>
        <v>0.56556347216832792</v>
      </c>
      <c r="J64" s="28">
        <v>0.15</v>
      </c>
      <c r="L64">
        <v>37</v>
      </c>
      <c r="N64" s="2">
        <f t="shared" si="5"/>
        <v>0.16540799999999997</v>
      </c>
      <c r="R64" s="2">
        <f>T64</f>
        <v>1.0909763099232885</v>
      </c>
      <c r="T64" s="2">
        <f>H64-$B$50*($T$55*SQRT(G64)/(1+1.5*SQRT(G64)))</f>
        <v>1.0909763099232885</v>
      </c>
      <c r="U64" s="2">
        <f t="shared" si="6"/>
        <v>0.15</v>
      </c>
    </row>
    <row r="65" spans="1:30" ht="14.4" x14ac:dyDescent="0.3">
      <c r="A65" s="24" t="s">
        <v>70</v>
      </c>
      <c r="B65" s="25" t="s">
        <v>68</v>
      </c>
      <c r="C65" s="37">
        <v>0.15</v>
      </c>
      <c r="E65" s="35">
        <v>0.48</v>
      </c>
      <c r="F65" s="27">
        <f>1.013+(1.03-1.013)/(0.25-0.1)*0.05</f>
        <v>1.0186666666666666</v>
      </c>
      <c r="G65" s="26">
        <f t="shared" si="3"/>
        <v>0.15279999999999999</v>
      </c>
      <c r="H65" s="27">
        <f t="shared" si="4"/>
        <v>0.47196790481601014</v>
      </c>
      <c r="J65" s="28">
        <v>0.2</v>
      </c>
      <c r="L65">
        <v>37</v>
      </c>
      <c r="N65" s="2">
        <f t="shared" si="5"/>
        <v>0.15279999999999999</v>
      </c>
      <c r="R65" s="2"/>
      <c r="S65" s="2">
        <f>T65</f>
        <v>0.9845075632810969</v>
      </c>
      <c r="T65" s="2">
        <f>H65-$B$50*($T$55*SQRT(G65)/(1+1.5*SQRT(G65)))</f>
        <v>0.9845075632810969</v>
      </c>
      <c r="U65" s="2">
        <f>J65</f>
        <v>0.2</v>
      </c>
    </row>
    <row r="66" spans="1:30" x14ac:dyDescent="0.25">
      <c r="K66" s="1"/>
      <c r="V66" s="15" t="s">
        <v>36</v>
      </c>
      <c r="W66">
        <f>SUM(W59:W65)</f>
        <v>183.33333333333331</v>
      </c>
      <c r="X66">
        <f>SUM(X59:X65)</f>
        <v>112.99576</v>
      </c>
      <c r="Y66">
        <f>SUM(Y59:Y65)</f>
        <v>100.30349797913598</v>
      </c>
      <c r="Z66">
        <f>SUM(Z59:Z65)</f>
        <v>212.21377708843858</v>
      </c>
      <c r="AA66">
        <f>SUM(AA59:AA65)</f>
        <v>143.97220682792184</v>
      </c>
    </row>
    <row r="68" spans="1:30" ht="16.8" x14ac:dyDescent="0.35">
      <c r="Y68" s="15" t="s">
        <v>37</v>
      </c>
      <c r="Z68">
        <f>W66*Y66-X66^2</f>
        <v>5620.9328515306606</v>
      </c>
    </row>
    <row r="69" spans="1:30" ht="16.8" x14ac:dyDescent="0.35">
      <c r="Y69" s="15" t="s">
        <v>38</v>
      </c>
      <c r="Z69">
        <f>Y66*Z66</f>
        <v>21285.784161335014</v>
      </c>
    </row>
    <row r="70" spans="1:30" ht="16.8" x14ac:dyDescent="0.35">
      <c r="H70" s="16" t="s">
        <v>75</v>
      </c>
      <c r="I70" s="9">
        <f>I72-I73-I74</f>
        <v>0.05</v>
      </c>
      <c r="J70" s="9">
        <f>SQRT(J72^2+J73^2+J74^2)</f>
        <v>0.10816653826391968</v>
      </c>
      <c r="Y70" s="15" t="s">
        <v>39</v>
      </c>
      <c r="Z70">
        <f>X66*AA66</f>
        <v>16268.248929398218</v>
      </c>
    </row>
    <row r="71" spans="1:30" ht="16.8" x14ac:dyDescent="0.35">
      <c r="W71" s="1" t="s">
        <v>40</v>
      </c>
      <c r="Y71" s="18" t="s">
        <v>41</v>
      </c>
      <c r="Z71">
        <f>(Z69-Z70)/Z68</f>
        <v>0.892651694028056</v>
      </c>
      <c r="AC71" s="19" t="s">
        <v>42</v>
      </c>
      <c r="AD71">
        <f>SQRT(Y66/Z68)</f>
        <v>0.13358381456259269</v>
      </c>
    </row>
    <row r="72" spans="1:30" ht="16.8" x14ac:dyDescent="0.35">
      <c r="G72" s="21" t="s">
        <v>77</v>
      </c>
      <c r="I72" s="36">
        <v>0</v>
      </c>
      <c r="J72">
        <v>0.1</v>
      </c>
      <c r="K72" s="2"/>
      <c r="Q72" s="2"/>
      <c r="R72" s="2"/>
      <c r="S72" s="2"/>
      <c r="T72" s="2"/>
      <c r="U72" s="2"/>
      <c r="Y72" s="15" t="s">
        <v>43</v>
      </c>
      <c r="Z72">
        <f>W66*AA66</f>
        <v>26394.904585119002</v>
      </c>
    </row>
    <row r="73" spans="1:30" ht="16.8" x14ac:dyDescent="0.35">
      <c r="G73" s="21" t="s">
        <v>74</v>
      </c>
      <c r="I73">
        <v>0.03</v>
      </c>
      <c r="J73">
        <v>0.01</v>
      </c>
      <c r="K73" s="2"/>
      <c r="Q73" s="2"/>
      <c r="R73" s="2"/>
      <c r="S73" s="2"/>
      <c r="T73" s="2"/>
      <c r="U73" s="2"/>
      <c r="Y73" s="15" t="s">
        <v>44</v>
      </c>
      <c r="Z73">
        <f>X66*Z66</f>
        <v>23979.257024578706</v>
      </c>
    </row>
    <row r="74" spans="1:30" ht="16.8" x14ac:dyDescent="0.35">
      <c r="G74" s="21" t="s">
        <v>72</v>
      </c>
      <c r="I74">
        <v>-0.08</v>
      </c>
      <c r="J74">
        <v>0.04</v>
      </c>
      <c r="M74" s="2"/>
      <c r="Q74" s="2"/>
      <c r="R74" s="2"/>
      <c r="S74" s="2"/>
      <c r="T74" s="2"/>
      <c r="U74" s="2"/>
      <c r="W74" s="1" t="s">
        <v>45</v>
      </c>
      <c r="Y74" s="20" t="s">
        <v>47</v>
      </c>
      <c r="Z74">
        <f>(Z72-Z73)/Z68</f>
        <v>0.42975919199648155</v>
      </c>
      <c r="AC74" s="19" t="s">
        <v>46</v>
      </c>
      <c r="AD74">
        <f>SQRT(W66/Z68)</f>
        <v>0.1805994896817196</v>
      </c>
    </row>
    <row r="75" spans="1:30" x14ac:dyDescent="0.25">
      <c r="A75" s="10"/>
      <c r="B75" s="10"/>
      <c r="C75" s="11"/>
      <c r="D75" s="12"/>
      <c r="E75" s="2"/>
      <c r="F75" s="13"/>
      <c r="G75" s="9"/>
      <c r="H75" s="14"/>
      <c r="I75" s="12"/>
      <c r="J75" s="2"/>
      <c r="K75" s="2"/>
      <c r="Q75" s="2"/>
      <c r="R75" s="2"/>
      <c r="S75" s="2"/>
      <c r="T75" s="2"/>
      <c r="U75" s="2"/>
      <c r="V75" s="9"/>
      <c r="Y75" s="2"/>
      <c r="AA75" s="2"/>
    </row>
    <row r="76" spans="1:30" x14ac:dyDescent="0.25">
      <c r="A76" s="10"/>
      <c r="B76" s="10"/>
      <c r="C76" s="11"/>
      <c r="D76" s="12"/>
      <c r="E76" s="2"/>
      <c r="F76" s="13"/>
      <c r="G76" s="9"/>
      <c r="H76" s="14"/>
      <c r="I76" s="12"/>
      <c r="J76" s="2"/>
      <c r="P76" s="2"/>
      <c r="Q76" s="2"/>
      <c r="R76" s="2"/>
      <c r="S76" s="2"/>
      <c r="T76" s="2"/>
      <c r="U76" s="2"/>
      <c r="V76" s="9"/>
      <c r="Y76" s="2"/>
      <c r="AA76" s="2"/>
    </row>
    <row r="77" spans="1:30" ht="16.8" x14ac:dyDescent="0.35">
      <c r="A77" s="22" t="s">
        <v>67</v>
      </c>
      <c r="B77" s="3"/>
      <c r="C77" s="3"/>
      <c r="H77" s="1" t="s">
        <v>0</v>
      </c>
      <c r="I77" s="40">
        <f>Z100</f>
        <v>0.2853098023767946</v>
      </c>
      <c r="J77" s="40">
        <f>AD100</f>
        <v>0.16428208520167822</v>
      </c>
      <c r="K77" t="s">
        <v>26</v>
      </c>
    </row>
    <row r="78" spans="1:30" x14ac:dyDescent="0.25">
      <c r="B78" s="3"/>
      <c r="H78" s="1" t="s">
        <v>1</v>
      </c>
      <c r="I78" s="32">
        <f>Z103</f>
        <v>0.24480568638799027</v>
      </c>
      <c r="J78" s="2">
        <f>AD103</f>
        <v>0.19879324320919323</v>
      </c>
      <c r="K78" s="16" t="s">
        <v>51</v>
      </c>
    </row>
    <row r="79" spans="1:30" x14ac:dyDescent="0.25">
      <c r="C79" s="3"/>
    </row>
    <row r="80" spans="1:30" ht="16.8" x14ac:dyDescent="0.35">
      <c r="A80" s="15" t="s">
        <v>30</v>
      </c>
      <c r="B80" s="23">
        <f>0^2-1^2-1^2</f>
        <v>-2</v>
      </c>
      <c r="G80" s="21" t="s">
        <v>57</v>
      </c>
      <c r="I80" s="36">
        <v>0</v>
      </c>
      <c r="J80">
        <v>0.1</v>
      </c>
    </row>
    <row r="81" spans="1:36" ht="16.8" x14ac:dyDescent="0.35">
      <c r="A81" s="15" t="s">
        <v>29</v>
      </c>
      <c r="B81" s="23">
        <f>1-1-1</f>
        <v>-1</v>
      </c>
      <c r="G81" s="21" t="s">
        <v>54</v>
      </c>
      <c r="I81">
        <v>0.08</v>
      </c>
      <c r="J81">
        <v>0.02</v>
      </c>
    </row>
    <row r="82" spans="1:36" ht="16.8" x14ac:dyDescent="0.35">
      <c r="A82" s="15"/>
      <c r="B82" s="23"/>
      <c r="G82" s="21" t="s">
        <v>58</v>
      </c>
      <c r="I82" s="9">
        <f>I78+I80-I81</f>
        <v>0.16480568638799026</v>
      </c>
      <c r="J82" s="9">
        <f>SQRT(J80^2+J81^2+J78^2)</f>
        <v>0.22342505129378273</v>
      </c>
    </row>
    <row r="83" spans="1:36" ht="13.8" x14ac:dyDescent="0.3">
      <c r="C83" s="4" t="s">
        <v>3</v>
      </c>
      <c r="D83" s="5"/>
      <c r="T83">
        <v>0.49099999999999999</v>
      </c>
      <c r="U83" s="31" t="s">
        <v>81</v>
      </c>
    </row>
    <row r="84" spans="1:36" ht="13.8" x14ac:dyDescent="0.3">
      <c r="C84" s="3" t="s">
        <v>4</v>
      </c>
      <c r="D84" s="3"/>
      <c r="S84" t="s">
        <v>2</v>
      </c>
      <c r="T84">
        <v>0.50900000000000001</v>
      </c>
      <c r="U84" s="31" t="s">
        <v>79</v>
      </c>
      <c r="AE84" s="4" t="s">
        <v>6</v>
      </c>
    </row>
    <row r="85" spans="1:36" ht="13.8" x14ac:dyDescent="0.3">
      <c r="C85" s="4" t="s">
        <v>5</v>
      </c>
      <c r="D85" s="5"/>
      <c r="R85" s="6"/>
      <c r="T85" s="2">
        <v>0.52</v>
      </c>
      <c r="U85" s="31" t="s">
        <v>80</v>
      </c>
      <c r="AF85" s="7" t="s">
        <v>23</v>
      </c>
      <c r="AG85" s="7"/>
      <c r="AH85" s="7"/>
      <c r="AI85" s="7" t="s">
        <v>16</v>
      </c>
    </row>
    <row r="86" spans="1:36" ht="15.6" x14ac:dyDescent="0.35">
      <c r="B86" t="s">
        <v>27</v>
      </c>
      <c r="C86" s="7" t="s">
        <v>8</v>
      </c>
      <c r="D86" s="7" t="s">
        <v>50</v>
      </c>
      <c r="E86" s="7" t="s">
        <v>9</v>
      </c>
      <c r="F86" s="7" t="s">
        <v>10</v>
      </c>
      <c r="G86" s="7" t="s">
        <v>11</v>
      </c>
      <c r="H86" s="7" t="s">
        <v>12</v>
      </c>
      <c r="I86" s="6" t="s">
        <v>13</v>
      </c>
      <c r="J86" s="8" t="s">
        <v>14</v>
      </c>
      <c r="L86" s="31" t="s">
        <v>69</v>
      </c>
      <c r="T86" s="7" t="s">
        <v>15</v>
      </c>
      <c r="U86" s="8" t="s">
        <v>14</v>
      </c>
      <c r="AE86" s="1" t="s">
        <v>20</v>
      </c>
      <c r="AF86" s="7" t="s">
        <v>22</v>
      </c>
      <c r="AG86" s="7" t="s">
        <v>24</v>
      </c>
      <c r="AH86" s="7" t="s">
        <v>25</v>
      </c>
      <c r="AI86" s="7" t="s">
        <v>17</v>
      </c>
    </row>
    <row r="87" spans="1:36" ht="13.8" x14ac:dyDescent="0.3">
      <c r="A87" t="s">
        <v>7</v>
      </c>
      <c r="B87" t="s">
        <v>28</v>
      </c>
      <c r="C87" s="7" t="s">
        <v>18</v>
      </c>
      <c r="D87" s="7" t="s">
        <v>18</v>
      </c>
      <c r="E87" s="7" t="s">
        <v>18</v>
      </c>
      <c r="G87" s="7" t="s">
        <v>19</v>
      </c>
      <c r="H87" s="7" t="s">
        <v>19</v>
      </c>
      <c r="AE87" s="4" t="s">
        <v>21</v>
      </c>
    </row>
    <row r="88" spans="1:36" ht="16.8" x14ac:dyDescent="0.35">
      <c r="C88" s="4" t="s">
        <v>3</v>
      </c>
      <c r="D88" s="31" t="s">
        <v>49</v>
      </c>
      <c r="E88" s="31" t="s">
        <v>49</v>
      </c>
      <c r="F88" s="4" t="s">
        <v>3</v>
      </c>
      <c r="W88" s="17" t="s">
        <v>31</v>
      </c>
      <c r="X88" s="17" t="s">
        <v>32</v>
      </c>
      <c r="Y88" s="17" t="s">
        <v>33</v>
      </c>
      <c r="Z88" s="17" t="s">
        <v>34</v>
      </c>
      <c r="AA88" s="17" t="s">
        <v>35</v>
      </c>
      <c r="AE88">
        <v>0</v>
      </c>
      <c r="AF88">
        <f>$I$77+$I$78*AE88</f>
        <v>0.2853098023767946</v>
      </c>
      <c r="AG88">
        <f>AF88+AI88</f>
        <v>0.44959188757847279</v>
      </c>
      <c r="AH88">
        <f>AF88-AI88</f>
        <v>0.12102771717511637</v>
      </c>
      <c r="AI88">
        <f>SQRT($J$77^2+($J$78*AE88)^2)</f>
        <v>0.16428208520167822</v>
      </c>
      <c r="AJ88" s="31" t="s">
        <v>63</v>
      </c>
    </row>
    <row r="89" spans="1:36" ht="14.4" x14ac:dyDescent="0.3">
      <c r="A89" s="24" t="s">
        <v>52</v>
      </c>
      <c r="B89" s="25" t="s">
        <v>53</v>
      </c>
      <c r="C89" s="33">
        <v>0.16</v>
      </c>
      <c r="E89" s="35">
        <v>7.0000000000000007E-2</v>
      </c>
      <c r="F89" s="27">
        <f>1.021+(1.052-1.02)/(0.25-0.1)*0.06</f>
        <v>1.0337999999999998</v>
      </c>
      <c r="G89" s="26">
        <f t="shared" ref="G89:G94" si="7">C89*F89</f>
        <v>0.16540799999999997</v>
      </c>
      <c r="H89" s="27">
        <f>E89+$B$81*LOG(F89)</f>
        <v>5.5563472168327951E-2</v>
      </c>
      <c r="J89" s="28">
        <v>0.15</v>
      </c>
      <c r="L89">
        <v>25</v>
      </c>
      <c r="N89" s="2">
        <f t="shared" ref="N89:N94" si="8">G89</f>
        <v>0.16540799999999997</v>
      </c>
      <c r="O89" s="2">
        <f>T89</f>
        <v>0.31271263987724618</v>
      </c>
      <c r="T89" s="2">
        <f>H89-$B$80*($T$84*SQRT(G89)/(1+1.5*SQRT(G89)))</f>
        <v>0.31271263987724618</v>
      </c>
      <c r="U89" s="2">
        <f t="shared" ref="U89:U94" si="9">J89</f>
        <v>0.15</v>
      </c>
      <c r="W89" s="29">
        <f>1/U89^2</f>
        <v>44.444444444444443</v>
      </c>
      <c r="X89" s="29">
        <f>N89*W89</f>
        <v>7.3514666666666653</v>
      </c>
      <c r="Y89" s="29">
        <f>N89*N89*W89</f>
        <v>1.2159913983999995</v>
      </c>
      <c r="Z89" s="29">
        <f>T89*W89</f>
        <v>13.898339550099831</v>
      </c>
      <c r="AA89" s="29">
        <f>N89*T89*W89</f>
        <v>2.298896548302912</v>
      </c>
      <c r="AE89" s="9">
        <v>1.3</v>
      </c>
      <c r="AF89">
        <f>$I$77+$I$78*AE89</f>
        <v>0.60355719468118196</v>
      </c>
      <c r="AG89">
        <f>AF89+AI89</f>
        <v>0.90978471958762341</v>
      </c>
      <c r="AH89">
        <f>AF89-AI89</f>
        <v>0.29732966977474051</v>
      </c>
      <c r="AI89">
        <f>SQRT($J$77^2+($J$78*AE89)^2)</f>
        <v>0.30622752490644145</v>
      </c>
      <c r="AJ89" s="31" t="s">
        <v>63</v>
      </c>
    </row>
    <row r="90" spans="1:36" ht="14.4" x14ac:dyDescent="0.3">
      <c r="A90" s="24" t="s">
        <v>52</v>
      </c>
      <c r="B90" s="25" t="s">
        <v>53</v>
      </c>
      <c r="C90" s="33">
        <v>0.64</v>
      </c>
      <c r="E90" s="35">
        <v>0.16</v>
      </c>
      <c r="F90" s="27">
        <f>1.107+(1.23-1.107)/(1-0.5)*0.14</f>
        <v>1.14144</v>
      </c>
      <c r="G90" s="26">
        <f t="shared" si="7"/>
        <v>0.73052159999999999</v>
      </c>
      <c r="H90" s="27">
        <f>E90+$B$81*LOG(F90)</f>
        <v>0.10254691234174</v>
      </c>
      <c r="J90" s="28">
        <v>0.15</v>
      </c>
      <c r="L90">
        <v>25</v>
      </c>
      <c r="N90" s="2">
        <f t="shared" si="8"/>
        <v>0.73052159999999999</v>
      </c>
      <c r="O90" s="2">
        <f>T90</f>
        <v>0.48382124101153262</v>
      </c>
      <c r="T90" s="2">
        <f>H90-$B$80*($T$84*SQRT(G90)/(1+1.5*SQRT(G90)))</f>
        <v>0.48382124101153262</v>
      </c>
      <c r="U90" s="2">
        <f t="shared" si="9"/>
        <v>0.15</v>
      </c>
      <c r="W90" s="29">
        <f>1/U90^2</f>
        <v>44.444444444444443</v>
      </c>
      <c r="X90" s="29">
        <f>N90*W90</f>
        <v>32.467626666666668</v>
      </c>
      <c r="Y90" s="29">
        <f>N90*N90*W90</f>
        <v>23.718302580735998</v>
      </c>
      <c r="Z90" s="29">
        <f>T90*W90</f>
        <v>21.503166267179228</v>
      </c>
      <c r="AA90" s="29">
        <f>N90*T90*W90</f>
        <v>15.708527426565794</v>
      </c>
    </row>
    <row r="91" spans="1:36" ht="14.4" x14ac:dyDescent="0.3">
      <c r="A91" s="24" t="s">
        <v>52</v>
      </c>
      <c r="B91" s="25" t="s">
        <v>53</v>
      </c>
      <c r="C91" s="34">
        <v>1</v>
      </c>
      <c r="E91" s="35">
        <v>0.24</v>
      </c>
      <c r="F91" s="29">
        <v>1.23</v>
      </c>
      <c r="G91" s="26">
        <f t="shared" si="7"/>
        <v>1.23</v>
      </c>
      <c r="H91" s="27">
        <f>E91+$B$81*LOG(F91)</f>
        <v>0.15009488856060205</v>
      </c>
      <c r="J91" s="28">
        <v>0.15</v>
      </c>
      <c r="L91">
        <v>25</v>
      </c>
      <c r="N91" s="2">
        <f t="shared" si="8"/>
        <v>1.23</v>
      </c>
      <c r="O91" s="2">
        <f>T91</f>
        <v>0.57396667563133552</v>
      </c>
      <c r="T91" s="2">
        <f>H91-$B$80*($T$84*SQRT(G91)/(1+1.5*SQRT(G91)))</f>
        <v>0.57396667563133552</v>
      </c>
      <c r="U91" s="2">
        <f t="shared" si="9"/>
        <v>0.15</v>
      </c>
      <c r="W91" s="29">
        <f>1/U91^2</f>
        <v>44.444444444444443</v>
      </c>
      <c r="X91" s="29">
        <f>N91*W91</f>
        <v>54.666666666666664</v>
      </c>
      <c r="Y91" s="29">
        <f>N91*N91*W91</f>
        <v>67.239999999999995</v>
      </c>
      <c r="Z91" s="29">
        <f>T91*W91</f>
        <v>25.509630028059355</v>
      </c>
      <c r="AA91" s="29">
        <f>N91*T91*W91</f>
        <v>31.376844934513009</v>
      </c>
    </row>
    <row r="92" spans="1:36" ht="14.4" x14ac:dyDescent="0.3">
      <c r="A92" s="24" t="s">
        <v>70</v>
      </c>
      <c r="B92" s="25" t="s">
        <v>68</v>
      </c>
      <c r="C92" s="34">
        <v>0.5</v>
      </c>
      <c r="E92" s="35">
        <v>0.18</v>
      </c>
      <c r="F92" s="27">
        <v>1.06</v>
      </c>
      <c r="G92" s="26">
        <f t="shared" si="7"/>
        <v>0.53</v>
      </c>
      <c r="H92" s="27">
        <f>E92+$B$81*LOG(F92)</f>
        <v>0.15469413473522972</v>
      </c>
      <c r="J92" s="28">
        <v>0.6</v>
      </c>
      <c r="L92">
        <v>25</v>
      </c>
      <c r="N92" s="2">
        <f t="shared" si="8"/>
        <v>0.53</v>
      </c>
      <c r="Q92" s="2">
        <f>T92</f>
        <v>0.50895290497545442</v>
      </c>
      <c r="T92" s="2">
        <f>H92-$B$80*($T$84*SQRT(G92)/(1+1.5*SQRT(G92)))</f>
        <v>0.50895290497545442</v>
      </c>
      <c r="U92" s="2">
        <f t="shared" si="9"/>
        <v>0.6</v>
      </c>
      <c r="W92" s="29">
        <f>1/U92^2</f>
        <v>2.7777777777777777</v>
      </c>
      <c r="X92" s="29">
        <f>N92*W92</f>
        <v>1.4722222222222223</v>
      </c>
      <c r="Y92" s="29">
        <f>N92*N92*W92</f>
        <v>0.78027777777777785</v>
      </c>
      <c r="Z92" s="29">
        <f>T92*W92</f>
        <v>1.4137580693762621</v>
      </c>
      <c r="AA92" s="29">
        <f>N92*T92*W92</f>
        <v>0.74929177676941905</v>
      </c>
    </row>
    <row r="93" spans="1:36" ht="14.4" x14ac:dyDescent="0.3">
      <c r="A93" s="24" t="s">
        <v>52</v>
      </c>
      <c r="B93" s="25" t="s">
        <v>53</v>
      </c>
      <c r="C93" s="33">
        <v>0.16</v>
      </c>
      <c r="E93" s="35">
        <v>0.02</v>
      </c>
      <c r="F93" s="27">
        <f>1.021+(1.052-1.02)/(0.25-0.1)*0.06</f>
        <v>1.0337999999999998</v>
      </c>
      <c r="G93" s="26">
        <f t="shared" si="7"/>
        <v>0.16540799999999997</v>
      </c>
      <c r="H93" s="27">
        <f>E93+$B$51*LOG(F93)</f>
        <v>5.5634721683279469E-3</v>
      </c>
      <c r="J93" s="28">
        <v>0.15</v>
      </c>
      <c r="L93">
        <v>37</v>
      </c>
      <c r="N93" s="2">
        <f t="shared" si="8"/>
        <v>0.16540799999999997</v>
      </c>
      <c r="R93" s="2">
        <f>T93</f>
        <v>0.26826989104580823</v>
      </c>
      <c r="T93" s="2">
        <f>H93-$B$80*($T$85*SQRT(G93)/(1+1.5*SQRT(G93)))</f>
        <v>0.26826989104580823</v>
      </c>
      <c r="U93" s="2">
        <f t="shared" si="9"/>
        <v>0.15</v>
      </c>
    </row>
    <row r="94" spans="1:36" ht="14.4" x14ac:dyDescent="0.3">
      <c r="A94" s="24" t="s">
        <v>70</v>
      </c>
      <c r="B94" s="25" t="s">
        <v>68</v>
      </c>
      <c r="C94" s="33">
        <v>0.3</v>
      </c>
      <c r="E94" s="35">
        <v>-0.2</v>
      </c>
      <c r="F94" s="27">
        <f>1.03+(1.06-1.03)/(0.5-0.25)*0.05</f>
        <v>1.036</v>
      </c>
      <c r="G94" s="26">
        <f t="shared" si="7"/>
        <v>0.31080000000000002</v>
      </c>
      <c r="H94" s="27">
        <f>E94+$B$51*LOG(F94)</f>
        <v>-0.21535975540921423</v>
      </c>
      <c r="J94" s="28">
        <v>0.6</v>
      </c>
      <c r="K94" s="1"/>
      <c r="L94">
        <v>37</v>
      </c>
      <c r="N94" s="2">
        <f t="shared" si="8"/>
        <v>0.31080000000000002</v>
      </c>
      <c r="S94" s="2">
        <f>T94</f>
        <v>0.10039072804366347</v>
      </c>
      <c r="T94" s="2">
        <f>H94-$B$80*($T$85*SQRT(G94)/(1+1.5*SQRT(G94)))</f>
        <v>0.10039072804366347</v>
      </c>
      <c r="U94" s="2">
        <f t="shared" si="9"/>
        <v>0.6</v>
      </c>
    </row>
    <row r="95" spans="1:36" x14ac:dyDescent="0.25">
      <c r="V95" s="15" t="s">
        <v>36</v>
      </c>
      <c r="W95">
        <f>SUM(W89:W94)</f>
        <v>136.11111111111109</v>
      </c>
      <c r="X95">
        <f>SUM(X89:X94)</f>
        <v>95.957982222222228</v>
      </c>
      <c r="Y95">
        <f>SUM(Y89:Y94)</f>
        <v>92.954571756913779</v>
      </c>
      <c r="Z95">
        <f>SUM(Z89:Z94)</f>
        <v>62.324893914714679</v>
      </c>
      <c r="AA95">
        <f>SUM(AA89:AA94)</f>
        <v>50.133560686151135</v>
      </c>
    </row>
    <row r="97" spans="10:30" ht="16.8" x14ac:dyDescent="0.35">
      <c r="Y97" s="15" t="s">
        <v>37</v>
      </c>
      <c r="Z97">
        <f>W95*Y95-X95^2</f>
        <v>3444.2156925307227</v>
      </c>
    </row>
    <row r="98" spans="10:30" ht="16.8" x14ac:dyDescent="0.35">
      <c r="Y98" s="15" t="s">
        <v>38</v>
      </c>
      <c r="Z98">
        <f>Y95*Z95</f>
        <v>5793.3838236373849</v>
      </c>
    </row>
    <row r="99" spans="10:30" ht="16.8" x14ac:dyDescent="0.35">
      <c r="Y99" s="15" t="s">
        <v>39</v>
      </c>
      <c r="Z99">
        <f>X95*AA95</f>
        <v>4810.7153250583897</v>
      </c>
    </row>
    <row r="100" spans="10:30" ht="16.8" x14ac:dyDescent="0.35">
      <c r="W100" s="1" t="s">
        <v>40</v>
      </c>
      <c r="Y100" s="18" t="s">
        <v>41</v>
      </c>
      <c r="Z100">
        <f>(Z98-Z99)/Z97</f>
        <v>0.2853098023767946</v>
      </c>
      <c r="AC100" s="19" t="s">
        <v>42</v>
      </c>
      <c r="AD100">
        <f>SQRT(Y95/Z97)</f>
        <v>0.16428208520167822</v>
      </c>
    </row>
    <row r="101" spans="10:30" ht="16.8" x14ac:dyDescent="0.35">
      <c r="K101" s="2"/>
      <c r="Q101" s="2"/>
      <c r="R101" s="2"/>
      <c r="S101" s="2"/>
      <c r="T101" s="2"/>
      <c r="U101" s="2"/>
      <c r="Y101" s="15" t="s">
        <v>43</v>
      </c>
      <c r="Z101">
        <f>W95*AA95</f>
        <v>6823.734648948348</v>
      </c>
    </row>
    <row r="102" spans="10:30" ht="16.8" x14ac:dyDescent="0.35">
      <c r="J102" s="2"/>
      <c r="K102" s="2"/>
      <c r="Q102" s="2"/>
      <c r="R102" s="2"/>
      <c r="S102" s="2"/>
      <c r="T102" s="2"/>
      <c r="U102" s="2"/>
      <c r="Y102" s="15" t="s">
        <v>44</v>
      </c>
      <c r="Z102">
        <f>X95*Z95</f>
        <v>5980.5710622700772</v>
      </c>
    </row>
    <row r="103" spans="10:30" ht="16.8" x14ac:dyDescent="0.35">
      <c r="J103" s="2"/>
      <c r="M103" s="2"/>
      <c r="Q103" s="2"/>
      <c r="R103" s="2"/>
      <c r="S103" s="2"/>
      <c r="T103" s="2"/>
      <c r="U103" s="2"/>
      <c r="W103" s="1" t="s">
        <v>45</v>
      </c>
      <c r="Y103" s="20" t="s">
        <v>47</v>
      </c>
      <c r="Z103">
        <f>(Z101-Z102)/Z97</f>
        <v>0.24480568638799027</v>
      </c>
      <c r="AC103" s="19" t="s">
        <v>46</v>
      </c>
      <c r="AD103">
        <f>SQRT(W95/Z97)</f>
        <v>0.19879324320919323</v>
      </c>
    </row>
  </sheetData>
  <hyperlinks>
    <hyperlink ref="B12" r:id="rId1" xr:uid="{E9E60410-10CF-4D48-9551-61EE5361686B}"/>
    <hyperlink ref="B10" r:id="rId2" xr:uid="{80848024-95C9-4767-994F-997F9ABF077F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4" sqref="K24"/>
    </sheetView>
  </sheetViews>
  <sheetFormatPr defaultColWidth="11.5546875" defaultRowHeight="13.2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8"/>
  <sheetViews>
    <sheetView zoomScale="98" zoomScaleNormal="98" workbookViewId="0">
      <selection activeCell="B50" sqref="B50"/>
    </sheetView>
  </sheetViews>
  <sheetFormatPr defaultColWidth="11.5546875" defaultRowHeight="13.2" x14ac:dyDescent="0.25"/>
  <cols>
    <col min="29" max="31" width="11.77734375" bestFit="1" customWidth="1"/>
  </cols>
  <sheetData>
    <row r="1" spans="1:22" ht="16.8" x14ac:dyDescent="0.35">
      <c r="A1" s="22" t="s">
        <v>65</v>
      </c>
      <c r="B1" s="3"/>
      <c r="C1" s="3"/>
    </row>
    <row r="2" spans="1:22" x14ac:dyDescent="0.25">
      <c r="B2" s="3"/>
    </row>
    <row r="3" spans="1:22" x14ac:dyDescent="0.25">
      <c r="C3" s="3"/>
    </row>
    <row r="4" spans="1:22" ht="15.6" x14ac:dyDescent="0.25">
      <c r="A4" s="15" t="s">
        <v>30</v>
      </c>
      <c r="B4" s="23">
        <f>2^2-3^2-1^2</f>
        <v>-6</v>
      </c>
    </row>
    <row r="5" spans="1:22" ht="15.6" x14ac:dyDescent="0.35">
      <c r="A5" s="15" t="s">
        <v>29</v>
      </c>
      <c r="B5" s="23">
        <f>1-1-1</f>
        <v>-1</v>
      </c>
    </row>
    <row r="6" spans="1:22" ht="13.8" x14ac:dyDescent="0.25">
      <c r="A6" s="15"/>
      <c r="B6" s="23"/>
    </row>
    <row r="7" spans="1:22" ht="13.8" x14ac:dyDescent="0.3">
      <c r="C7" s="4" t="s">
        <v>3</v>
      </c>
      <c r="D7" s="5"/>
      <c r="T7">
        <v>0.49099999999999999</v>
      </c>
      <c r="U7" s="31" t="s">
        <v>81</v>
      </c>
    </row>
    <row r="8" spans="1:22" ht="13.8" x14ac:dyDescent="0.3">
      <c r="C8" s="3" t="s">
        <v>4</v>
      </c>
      <c r="D8" s="3"/>
      <c r="S8" t="s">
        <v>2</v>
      </c>
      <c r="T8">
        <v>0.50900000000000001</v>
      </c>
      <c r="U8" s="31" t="s">
        <v>79</v>
      </c>
    </row>
    <row r="9" spans="1:22" ht="13.8" x14ac:dyDescent="0.3">
      <c r="C9" s="4" t="s">
        <v>5</v>
      </c>
      <c r="D9" s="5"/>
      <c r="R9" s="6"/>
      <c r="T9" s="2">
        <v>0.52</v>
      </c>
      <c r="U9" s="31" t="s">
        <v>80</v>
      </c>
    </row>
    <row r="10" spans="1:22" ht="16.8" x14ac:dyDescent="0.35">
      <c r="B10" t="s">
        <v>27</v>
      </c>
      <c r="C10" s="7" t="s">
        <v>8</v>
      </c>
      <c r="D10" s="7" t="s">
        <v>50</v>
      </c>
      <c r="E10" s="7" t="s">
        <v>9</v>
      </c>
      <c r="F10" s="7" t="s">
        <v>10</v>
      </c>
      <c r="G10" s="7" t="s">
        <v>11</v>
      </c>
      <c r="H10" s="7" t="s">
        <v>12</v>
      </c>
      <c r="I10" s="6" t="s">
        <v>13</v>
      </c>
      <c r="J10" s="8" t="s">
        <v>14</v>
      </c>
      <c r="L10" s="31" t="s">
        <v>69</v>
      </c>
      <c r="M10" s="42" t="s">
        <v>84</v>
      </c>
      <c r="N10" s="30" t="s">
        <v>64</v>
      </c>
      <c r="O10" s="1" t="s">
        <v>26</v>
      </c>
      <c r="P10" s="1" t="s">
        <v>26</v>
      </c>
      <c r="Q10" s="1" t="s">
        <v>26</v>
      </c>
      <c r="U10" s="41" t="s">
        <v>82</v>
      </c>
    </row>
    <row r="11" spans="1:22" x14ac:dyDescent="0.25">
      <c r="A11" t="s">
        <v>7</v>
      </c>
      <c r="B11" t="s">
        <v>28</v>
      </c>
      <c r="C11" s="7" t="s">
        <v>18</v>
      </c>
      <c r="D11" s="7" t="s">
        <v>18</v>
      </c>
      <c r="E11" s="7" t="s">
        <v>18</v>
      </c>
      <c r="G11" s="7" t="s">
        <v>19</v>
      </c>
      <c r="H11" s="7" t="s">
        <v>19</v>
      </c>
      <c r="U11" s="32">
        <v>-0.63</v>
      </c>
    </row>
    <row r="12" spans="1:22" ht="16.8" x14ac:dyDescent="0.35">
      <c r="C12" s="4" t="s">
        <v>3</v>
      </c>
      <c r="D12" s="31" t="s">
        <v>49</v>
      </c>
      <c r="E12" s="31" t="s">
        <v>49</v>
      </c>
      <c r="F12" s="4" t="s">
        <v>3</v>
      </c>
      <c r="T12" s="7" t="s">
        <v>15</v>
      </c>
      <c r="U12" s="41" t="s">
        <v>83</v>
      </c>
      <c r="V12" s="1" t="s">
        <v>26</v>
      </c>
    </row>
    <row r="13" spans="1:22" ht="14.4" x14ac:dyDescent="0.3">
      <c r="A13" s="24" t="s">
        <v>52</v>
      </c>
      <c r="B13" s="25" t="s">
        <v>53</v>
      </c>
      <c r="C13" s="33">
        <v>0.16</v>
      </c>
      <c r="E13" s="35">
        <v>0.81</v>
      </c>
      <c r="F13" s="27">
        <f>1.021+(1.052-1.02)/(0.25-0.1)*0.06</f>
        <v>1.0337999999999998</v>
      </c>
      <c r="G13" s="26">
        <f t="shared" ref="G13:G18" si="0">C13*F13</f>
        <v>0.16540799999999997</v>
      </c>
      <c r="H13" s="27">
        <f t="shared" ref="H13:H18" si="1">E13+$B$5*LOG(F13)</f>
        <v>0.79556347216832801</v>
      </c>
      <c r="J13" s="28">
        <v>0.15</v>
      </c>
      <c r="L13">
        <v>25</v>
      </c>
      <c r="M13">
        <f t="shared" ref="M13:M18" si="2">1/(273.15+L13)</f>
        <v>3.3540164346805303E-3</v>
      </c>
      <c r="N13" s="2">
        <f t="shared" ref="N13:N18" si="3">G13</f>
        <v>0.16540799999999997</v>
      </c>
      <c r="O13" s="2">
        <f>V13</f>
        <v>1.4628039352950828</v>
      </c>
      <c r="T13" s="2">
        <f>H13-$B$4*($T$8*SQRT(G13)/(1+1.5*SQRT(G13)))</f>
        <v>1.5670109752950827</v>
      </c>
      <c r="U13" s="2">
        <f t="shared" ref="U13:U18" si="4">$U$11*G13</f>
        <v>-0.10420703999999999</v>
      </c>
      <c r="V13" s="2">
        <f t="shared" ref="V13:V18" si="5">T13+U13</f>
        <v>1.4628039352950828</v>
      </c>
    </row>
    <row r="14" spans="1:22" ht="14.4" x14ac:dyDescent="0.3">
      <c r="A14" s="24" t="s">
        <v>52</v>
      </c>
      <c r="B14" s="25" t="s">
        <v>53</v>
      </c>
      <c r="C14" s="33">
        <v>0.64</v>
      </c>
      <c r="E14" s="35">
        <v>0.91</v>
      </c>
      <c r="F14" s="27">
        <f>1.107+(1.23-1.107)/(1-0.5)*0.14</f>
        <v>1.14144</v>
      </c>
      <c r="G14" s="26">
        <f t="shared" si="0"/>
        <v>0.73052159999999999</v>
      </c>
      <c r="H14" s="27">
        <f t="shared" si="1"/>
        <v>0.85254691234174007</v>
      </c>
      <c r="J14" s="28">
        <v>0.15</v>
      </c>
      <c r="L14">
        <v>25</v>
      </c>
      <c r="M14">
        <f t="shared" si="2"/>
        <v>3.3540164346805303E-3</v>
      </c>
      <c r="N14" s="2">
        <f t="shared" si="3"/>
        <v>0.73052159999999999</v>
      </c>
      <c r="O14" s="2">
        <f>V14</f>
        <v>1.536141290351118</v>
      </c>
      <c r="T14" s="2">
        <f>H14-$B$4*($T$8*SQRT(G14)/(1+1.5*SQRT(G14)))</f>
        <v>1.996369898351118</v>
      </c>
      <c r="U14" s="2">
        <f t="shared" si="4"/>
        <v>-0.46022860799999998</v>
      </c>
      <c r="V14" s="2">
        <f t="shared" si="5"/>
        <v>1.536141290351118</v>
      </c>
    </row>
    <row r="15" spans="1:22" ht="14.4" x14ac:dyDescent="0.3">
      <c r="A15" s="24" t="s">
        <v>52</v>
      </c>
      <c r="B15" s="25" t="s">
        <v>53</v>
      </c>
      <c r="C15" s="34">
        <v>1</v>
      </c>
      <c r="E15" s="35">
        <v>1.03</v>
      </c>
      <c r="F15" s="29">
        <v>1.23</v>
      </c>
      <c r="G15" s="26">
        <f t="shared" si="0"/>
        <v>1.23</v>
      </c>
      <c r="H15" s="27">
        <f t="shared" si="1"/>
        <v>0.94009488856060208</v>
      </c>
      <c r="J15" s="28">
        <v>0.15</v>
      </c>
      <c r="L15">
        <v>25</v>
      </c>
      <c r="M15">
        <f t="shared" si="2"/>
        <v>3.3540164346805303E-3</v>
      </c>
      <c r="N15" s="2">
        <f t="shared" si="3"/>
        <v>1.23</v>
      </c>
      <c r="O15" s="2">
        <f>V15</f>
        <v>1.4368102497728024</v>
      </c>
      <c r="T15" s="2">
        <f>H15-$B$4*($T$8*SQRT(G15)/(1+1.5*SQRT(G15)))</f>
        <v>2.2117102497728025</v>
      </c>
      <c r="U15" s="2">
        <f t="shared" si="4"/>
        <v>-0.77490000000000003</v>
      </c>
      <c r="V15" s="2">
        <f t="shared" si="5"/>
        <v>1.4368102497728024</v>
      </c>
    </row>
    <row r="16" spans="1:22" ht="14.4" x14ac:dyDescent="0.3">
      <c r="A16" s="24" t="s">
        <v>70</v>
      </c>
      <c r="B16" s="25" t="s">
        <v>68</v>
      </c>
      <c r="C16" s="34">
        <v>0.5</v>
      </c>
      <c r="E16" s="35">
        <v>0.54</v>
      </c>
      <c r="F16" s="27">
        <v>1.06</v>
      </c>
      <c r="G16" s="26">
        <f t="shared" si="0"/>
        <v>0.53</v>
      </c>
      <c r="H16" s="27">
        <f t="shared" si="1"/>
        <v>0.51469413473522974</v>
      </c>
      <c r="J16" s="28">
        <v>0.4</v>
      </c>
      <c r="L16">
        <v>25</v>
      </c>
      <c r="M16">
        <f t="shared" si="2"/>
        <v>3.3540164346805303E-3</v>
      </c>
      <c r="N16" s="2">
        <f t="shared" si="3"/>
        <v>0.53</v>
      </c>
      <c r="Q16" s="2">
        <f>V16</f>
        <v>1.2435704454559036</v>
      </c>
      <c r="T16" s="2">
        <f>H16-$B$4*($T$8*SQRT(G16)/(1+1.5*SQRT(G16)))</f>
        <v>1.5774704454559036</v>
      </c>
      <c r="U16" s="2">
        <f t="shared" si="4"/>
        <v>-0.33390000000000003</v>
      </c>
      <c r="V16" s="2">
        <f t="shared" si="5"/>
        <v>1.2435704454559036</v>
      </c>
    </row>
    <row r="17" spans="1:31" ht="14.4" x14ac:dyDescent="0.3">
      <c r="A17" s="24" t="s">
        <v>52</v>
      </c>
      <c r="B17" s="25" t="s">
        <v>53</v>
      </c>
      <c r="C17" s="33">
        <v>0.16</v>
      </c>
      <c r="E17" s="35">
        <v>0.85</v>
      </c>
      <c r="F17" s="27">
        <f>1.021+(1.052-1.02)/(0.25-0.1)*0.06</f>
        <v>1.0337999999999998</v>
      </c>
      <c r="G17" s="26">
        <f t="shared" si="0"/>
        <v>0.16540799999999997</v>
      </c>
      <c r="H17" s="27">
        <f t="shared" si="1"/>
        <v>0.83556347216832794</v>
      </c>
      <c r="J17" s="28">
        <v>0.15</v>
      </c>
      <c r="L17">
        <v>37</v>
      </c>
      <c r="M17">
        <f t="shared" si="2"/>
        <v>3.224246332419797E-3</v>
      </c>
      <c r="N17" s="2">
        <f t="shared" si="3"/>
        <v>0.16540799999999997</v>
      </c>
      <c r="O17" s="2">
        <f>V17</f>
        <v>1.5194756888007688</v>
      </c>
      <c r="T17" s="2">
        <f>H17-$B$4*($T$9*SQRT(G17)/(1+1.5*SQRT(G17)))</f>
        <v>1.6236827288007687</v>
      </c>
      <c r="U17" s="2">
        <f t="shared" si="4"/>
        <v>-0.10420703999999999</v>
      </c>
      <c r="V17" s="2">
        <f t="shared" si="5"/>
        <v>1.5194756888007688</v>
      </c>
    </row>
    <row r="18" spans="1:31" ht="14.4" x14ac:dyDescent="0.3">
      <c r="A18" s="24" t="s">
        <v>70</v>
      </c>
      <c r="B18" s="25" t="s">
        <v>68</v>
      </c>
      <c r="C18" s="37">
        <v>0.15</v>
      </c>
      <c r="E18" s="35">
        <v>0.6</v>
      </c>
      <c r="F18" s="27">
        <f>1.013+(1.03-1.013)/(0.25-0.1)*0.05</f>
        <v>1.0186666666666666</v>
      </c>
      <c r="G18" s="26">
        <f t="shared" si="0"/>
        <v>0.15279999999999999</v>
      </c>
      <c r="H18" s="27">
        <f t="shared" si="1"/>
        <v>0.59196790481601014</v>
      </c>
      <c r="J18" s="28">
        <v>0.4</v>
      </c>
      <c r="L18">
        <v>37</v>
      </c>
      <c r="M18">
        <f t="shared" si="2"/>
        <v>3.224246332419797E-3</v>
      </c>
      <c r="N18" s="2">
        <f t="shared" si="3"/>
        <v>0.15279999999999999</v>
      </c>
      <c r="Q18" s="2">
        <f>V18</f>
        <v>1.2645133925136405</v>
      </c>
      <c r="R18" s="2"/>
      <c r="T18" s="2">
        <f>H18-$B$4*($T$9*SQRT(G18)/(1+1.5*SQRT(G18)))</f>
        <v>1.3607773925136404</v>
      </c>
      <c r="U18" s="2">
        <f t="shared" si="4"/>
        <v>-9.6263999999999988E-2</v>
      </c>
      <c r="V18" s="2">
        <f t="shared" si="5"/>
        <v>1.2645133925136405</v>
      </c>
    </row>
    <row r="20" spans="1:31" ht="15.6" x14ac:dyDescent="0.35">
      <c r="V20" s="44" t="s">
        <v>107</v>
      </c>
      <c r="W20" s="45" t="s">
        <v>96</v>
      </c>
    </row>
    <row r="21" spans="1:31" ht="15.6" x14ac:dyDescent="0.35">
      <c r="S21" s="44" t="s">
        <v>85</v>
      </c>
      <c r="T21" s="42" t="s">
        <v>84</v>
      </c>
      <c r="U21" s="44" t="s">
        <v>86</v>
      </c>
      <c r="V21" s="44" t="s">
        <v>108</v>
      </c>
      <c r="W21" s="48" t="s">
        <v>99</v>
      </c>
    </row>
    <row r="22" spans="1:31" ht="16.8" x14ac:dyDescent="0.35">
      <c r="A22" s="22" t="s">
        <v>66</v>
      </c>
      <c r="B22" s="3"/>
      <c r="C22" s="3"/>
      <c r="S22" s="44" t="s">
        <v>88</v>
      </c>
      <c r="V22" s="2">
        <v>1.4630000000000001</v>
      </c>
      <c r="W22" s="29">
        <v>6</v>
      </c>
    </row>
    <row r="23" spans="1:31" x14ac:dyDescent="0.25">
      <c r="B23" s="3"/>
      <c r="S23">
        <v>23</v>
      </c>
      <c r="T23">
        <f>1/(273.15+S23)</f>
        <v>3.3766672294445383E-3</v>
      </c>
      <c r="U23">
        <f>(1/$X$26-$T23)/$X$29</f>
        <v>-1.1831262668193007E-3</v>
      </c>
      <c r="V23" s="2">
        <f>$V$22+$W$22*$U23</f>
        <v>1.4559012423990842</v>
      </c>
    </row>
    <row r="24" spans="1:31" x14ac:dyDescent="0.25">
      <c r="C24" s="3"/>
      <c r="S24">
        <v>38.5</v>
      </c>
      <c r="T24">
        <f>1/(273.15+S24)</f>
        <v>3.2087277394513077E-3</v>
      </c>
      <c r="U24">
        <f>(1/$X$26-$T24)/$X$29</f>
        <v>7.5889112672875127E-3</v>
      </c>
      <c r="V24" s="2">
        <f>$V$22+$W$22*$U24</f>
        <v>1.5085334676037252</v>
      </c>
    </row>
    <row r="25" spans="1:31" ht="15.6" x14ac:dyDescent="0.25">
      <c r="A25" s="15" t="s">
        <v>30</v>
      </c>
      <c r="B25" s="23">
        <f>1^2-2^2-1^2</f>
        <v>-4</v>
      </c>
      <c r="W25" t="s">
        <v>90</v>
      </c>
      <c r="X25">
        <v>8.3145100000000007E-3</v>
      </c>
      <c r="Y25" s="31" t="s">
        <v>91</v>
      </c>
    </row>
    <row r="26" spans="1:31" ht="15.6" x14ac:dyDescent="0.35">
      <c r="A26" s="15" t="s">
        <v>29</v>
      </c>
      <c r="B26" s="23">
        <f>1-1-1</f>
        <v>-1</v>
      </c>
      <c r="W26" t="s">
        <v>85</v>
      </c>
      <c r="X26">
        <v>298.14999999999998</v>
      </c>
      <c r="Y26" s="31" t="s">
        <v>50</v>
      </c>
    </row>
    <row r="27" spans="1:31" ht="13.8" x14ac:dyDescent="0.25">
      <c r="A27" s="15"/>
      <c r="B27" s="23"/>
      <c r="W27" t="s">
        <v>92</v>
      </c>
      <c r="X27">
        <f>LN(10)</f>
        <v>2.3025850929940459</v>
      </c>
    </row>
    <row r="28" spans="1:31" ht="13.8" x14ac:dyDescent="0.3">
      <c r="C28" s="4" t="s">
        <v>3</v>
      </c>
      <c r="D28" s="5"/>
      <c r="T28">
        <v>0.49099999999999999</v>
      </c>
      <c r="U28" s="31" t="s">
        <v>81</v>
      </c>
    </row>
    <row r="29" spans="1:31" ht="13.8" x14ac:dyDescent="0.3">
      <c r="C29" s="3" t="s">
        <v>4</v>
      </c>
      <c r="D29" s="3"/>
      <c r="S29" t="s">
        <v>2</v>
      </c>
      <c r="T29">
        <v>0.50900000000000001</v>
      </c>
      <c r="U29" s="31" t="s">
        <v>79</v>
      </c>
      <c r="W29" s="31" t="s">
        <v>93</v>
      </c>
      <c r="X29">
        <f>X25*X27</f>
        <v>1.9144866781549925E-2</v>
      </c>
    </row>
    <row r="30" spans="1:31" ht="13.8" x14ac:dyDescent="0.3">
      <c r="C30" s="4" t="s">
        <v>5</v>
      </c>
      <c r="D30" s="5"/>
      <c r="R30" s="6"/>
      <c r="T30" s="2">
        <v>0.52</v>
      </c>
      <c r="U30" s="31" t="s">
        <v>80</v>
      </c>
      <c r="W30" t="s">
        <v>94</v>
      </c>
      <c r="X30">
        <f>X25*X26*X27</f>
        <v>5.7080420309191107</v>
      </c>
    </row>
    <row r="31" spans="1:31" ht="15.6" x14ac:dyDescent="0.35">
      <c r="B31" t="s">
        <v>27</v>
      </c>
      <c r="C31" s="7" t="s">
        <v>8</v>
      </c>
      <c r="D31" s="7" t="s">
        <v>50</v>
      </c>
      <c r="E31" s="7" t="s">
        <v>9</v>
      </c>
      <c r="F31" s="7" t="s">
        <v>10</v>
      </c>
      <c r="G31" s="7" t="s">
        <v>11</v>
      </c>
      <c r="H31" s="7" t="s">
        <v>12</v>
      </c>
      <c r="I31" s="6" t="s">
        <v>13</v>
      </c>
      <c r="J31" s="8" t="s">
        <v>14</v>
      </c>
      <c r="L31" s="31" t="s">
        <v>69</v>
      </c>
      <c r="T31" s="7" t="s">
        <v>15</v>
      </c>
      <c r="U31" s="41" t="s">
        <v>82</v>
      </c>
    </row>
    <row r="32" spans="1:31" ht="15.6" x14ac:dyDescent="0.35">
      <c r="A32" t="s">
        <v>7</v>
      </c>
      <c r="B32" t="s">
        <v>28</v>
      </c>
      <c r="C32" s="7" t="s">
        <v>18</v>
      </c>
      <c r="D32" s="7" t="s">
        <v>18</v>
      </c>
      <c r="E32" s="7" t="s">
        <v>18</v>
      </c>
      <c r="G32" s="7" t="s">
        <v>19</v>
      </c>
      <c r="H32" s="7" t="s">
        <v>19</v>
      </c>
      <c r="U32" s="32">
        <v>-0.43</v>
      </c>
      <c r="W32" s="44" t="s">
        <v>85</v>
      </c>
      <c r="X32" s="44" t="s">
        <v>85</v>
      </c>
      <c r="Y32" s="42" t="s">
        <v>84</v>
      </c>
      <c r="Z32" s="44" t="s">
        <v>86</v>
      </c>
      <c r="AA32" s="44" t="s">
        <v>87</v>
      </c>
      <c r="AC32" s="45" t="s">
        <v>95</v>
      </c>
      <c r="AD32" s="45" t="s">
        <v>96</v>
      </c>
      <c r="AE32" s="46" t="s">
        <v>97</v>
      </c>
    </row>
    <row r="33" spans="1:43" ht="16.8" x14ac:dyDescent="0.35">
      <c r="C33" s="4" t="s">
        <v>3</v>
      </c>
      <c r="D33" s="31" t="s">
        <v>49</v>
      </c>
      <c r="E33" s="31" t="s">
        <v>49</v>
      </c>
      <c r="F33" s="4" t="s">
        <v>3</v>
      </c>
      <c r="U33" s="41" t="s">
        <v>83</v>
      </c>
      <c r="V33" s="1" t="s">
        <v>26</v>
      </c>
      <c r="W33" s="44" t="s">
        <v>88</v>
      </c>
      <c r="X33" s="44" t="s">
        <v>89</v>
      </c>
      <c r="AC33" s="47" t="s">
        <v>98</v>
      </c>
      <c r="AD33" s="48" t="s">
        <v>99</v>
      </c>
      <c r="AE33" s="47"/>
      <c r="AF33" s="9"/>
      <c r="AG33" s="9"/>
      <c r="AJ33" s="17" t="s">
        <v>31</v>
      </c>
      <c r="AK33" s="17" t="s">
        <v>32</v>
      </c>
      <c r="AL33" s="17" t="s">
        <v>33</v>
      </c>
      <c r="AM33" s="17" t="s">
        <v>34</v>
      </c>
      <c r="AN33" s="17" t="s">
        <v>35</v>
      </c>
    </row>
    <row r="34" spans="1:43" ht="15.6" x14ac:dyDescent="0.35">
      <c r="A34" s="24" t="s">
        <v>52</v>
      </c>
      <c r="B34" s="25" t="s">
        <v>53</v>
      </c>
      <c r="C34" s="33">
        <v>0.16</v>
      </c>
      <c r="E34" s="35">
        <v>0.5</v>
      </c>
      <c r="F34" s="27">
        <f>1.021+(1.052-1.02)/(0.25-0.1)*0.06</f>
        <v>1.0337999999999998</v>
      </c>
      <c r="G34" s="26">
        <f t="shared" ref="G34:G41" si="6">C34*F34</f>
        <v>0.16540799999999997</v>
      </c>
      <c r="H34" s="27">
        <f>E34+$B$26*LOG(F34)</f>
        <v>0.48556347216832796</v>
      </c>
      <c r="J34" s="28">
        <v>0.15</v>
      </c>
      <c r="L34">
        <v>25</v>
      </c>
      <c r="M34">
        <f>1/(273.15+L34)</f>
        <v>3.3540164346805303E-3</v>
      </c>
      <c r="N34" s="2">
        <f t="shared" ref="N34:N40" si="7">G34</f>
        <v>0.16540799999999997</v>
      </c>
      <c r="O34" s="2">
        <f>V34</f>
        <v>0.9287363675861644</v>
      </c>
      <c r="T34" s="2">
        <f>H34-$B$25*($T$29*SQRT(G34)/(1+1.5*SQRT(G34)))</f>
        <v>0.99986180758616439</v>
      </c>
      <c r="U34" s="2">
        <f>$U$32*G34</f>
        <v>-7.1125439999999984E-2</v>
      </c>
      <c r="V34" s="2">
        <f>T34+U34</f>
        <v>0.9287363675861644</v>
      </c>
      <c r="W34">
        <f>L34</f>
        <v>25</v>
      </c>
      <c r="X34">
        <f>273.15+$W34</f>
        <v>298.14999999999998</v>
      </c>
      <c r="Y34">
        <f>1/(273.15+W34)</f>
        <v>3.3540164346805303E-3</v>
      </c>
      <c r="Z34">
        <f>(1/$X$26-1/$X34)/$X$29</f>
        <v>0</v>
      </c>
      <c r="AA34">
        <f>($X$26/$X34-1+LN($X34/$X$26))/$X$29</f>
        <v>0</v>
      </c>
      <c r="AB34" s="48" t="s">
        <v>100</v>
      </c>
      <c r="AD34" s="29">
        <f t="array" ref="AD34:AE38">LINEST(V34:V41,Z34:Z41,TRUE,TRUE)</f>
        <v>20.820071349855336</v>
      </c>
      <c r="AE34" s="29">
        <v>0.8670864711174362</v>
      </c>
      <c r="AF34" s="49" t="s">
        <v>101</v>
      </c>
      <c r="AG34" s="49"/>
      <c r="AJ34" s="31">
        <f>1/J34^2</f>
        <v>44.444444444444443</v>
      </c>
      <c r="AK34" s="31">
        <f>Z34*AJ34</f>
        <v>0</v>
      </c>
      <c r="AL34" s="31">
        <f>Z34*Z34*AJ34</f>
        <v>0</v>
      </c>
      <c r="AM34" s="31">
        <f>V34*AJ34</f>
        <v>41.277171892718414</v>
      </c>
      <c r="AN34" s="31">
        <f>Z34*V34*AJ34</f>
        <v>0</v>
      </c>
    </row>
    <row r="35" spans="1:43" ht="14.4" x14ac:dyDescent="0.3">
      <c r="A35" s="24" t="s">
        <v>52</v>
      </c>
      <c r="B35" s="25" t="s">
        <v>53</v>
      </c>
      <c r="C35" s="33">
        <v>0.64</v>
      </c>
      <c r="E35" s="35">
        <v>0.44</v>
      </c>
      <c r="F35" s="27">
        <f>1.107+(1.23-1.107)/(1-0.5)*0.14</f>
        <v>1.14144</v>
      </c>
      <c r="G35" s="26">
        <f t="shared" si="6"/>
        <v>0.73052159999999999</v>
      </c>
      <c r="H35" s="27">
        <f t="shared" ref="H35:H41" si="8">E35+$B$26*LOG(F35)</f>
        <v>0.38254691234173999</v>
      </c>
      <c r="J35" s="28">
        <v>0.15</v>
      </c>
      <c r="L35">
        <v>25</v>
      </c>
      <c r="M35">
        <f t="shared" ref="M35:M41" si="9">1/(273.15+L35)</f>
        <v>3.3540164346805303E-3</v>
      </c>
      <c r="N35" s="2">
        <f t="shared" si="7"/>
        <v>0.73052159999999999</v>
      </c>
      <c r="O35" s="2">
        <f>V35</f>
        <v>0.83097128168132528</v>
      </c>
      <c r="T35" s="2">
        <f>H35-$B$25*($T$29*SQRT(G35)/(1+1.5*SQRT(G35)))</f>
        <v>1.1450955696813252</v>
      </c>
      <c r="U35" s="2">
        <f t="shared" ref="U35:U40" si="10">$U$32*G35</f>
        <v>-0.31412428799999997</v>
      </c>
      <c r="V35" s="2">
        <f t="shared" ref="V35:V41" si="11">T35+U35</f>
        <v>0.83097128168132528</v>
      </c>
      <c r="W35">
        <f t="shared" ref="W35:W41" si="12">L35</f>
        <v>25</v>
      </c>
      <c r="X35">
        <f t="shared" ref="X35:X41" si="13">273.15+$W35</f>
        <v>298.14999999999998</v>
      </c>
      <c r="Y35">
        <f t="shared" ref="Y35:Y41" si="14">1/(273.15+W35)</f>
        <v>3.3540164346805303E-3</v>
      </c>
      <c r="Z35">
        <f t="shared" ref="Z35:Z41" si="15">(1/$X$26-1/$X35)/$X$29</f>
        <v>0</v>
      </c>
      <c r="AA35">
        <f t="shared" ref="AA35:AA41" si="16">($X$26/$X35-1+LN($X35/$X$26))/$X$29</f>
        <v>0</v>
      </c>
      <c r="AB35" s="48"/>
      <c r="AD35">
        <v>3.5538204765532444</v>
      </c>
      <c r="AE35">
        <v>2.3472441337825622E-2</v>
      </c>
      <c r="AF35" s="49"/>
      <c r="AG35" s="49"/>
      <c r="AJ35" s="31">
        <f t="shared" ref="AJ35:AJ41" si="17">1/J35^2</f>
        <v>44.444444444444443</v>
      </c>
      <c r="AK35" s="31">
        <f t="shared" ref="AK35:AK41" si="18">Z35*AJ35</f>
        <v>0</v>
      </c>
      <c r="AL35" s="31">
        <f t="shared" ref="AL35:AL41" si="19">Z35*Z35*AJ35</f>
        <v>0</v>
      </c>
      <c r="AM35" s="31">
        <f t="shared" ref="AM35:AM41" si="20">V35*AJ35</f>
        <v>36.932056963614457</v>
      </c>
      <c r="AN35" s="31">
        <f t="shared" ref="AN35:AN41" si="21">Z35*V35*AJ35</f>
        <v>0</v>
      </c>
    </row>
    <row r="36" spans="1:43" ht="14.4" x14ac:dyDescent="0.3">
      <c r="A36" s="24" t="s">
        <v>52</v>
      </c>
      <c r="B36" s="25" t="s">
        <v>53</v>
      </c>
      <c r="C36" s="34">
        <v>1</v>
      </c>
      <c r="E36" s="35">
        <v>0.71</v>
      </c>
      <c r="F36" s="29">
        <v>1.23</v>
      </c>
      <c r="G36" s="26">
        <f t="shared" si="6"/>
        <v>1.23</v>
      </c>
      <c r="H36" s="27">
        <f t="shared" si="8"/>
        <v>0.62009488856060202</v>
      </c>
      <c r="J36" s="28">
        <v>0.15</v>
      </c>
      <c r="L36">
        <v>25</v>
      </c>
      <c r="M36">
        <f t="shared" si="9"/>
        <v>3.3540164346805303E-3</v>
      </c>
      <c r="N36" s="2">
        <f t="shared" si="7"/>
        <v>1.23</v>
      </c>
      <c r="O36" s="2">
        <f>V36</f>
        <v>0.93893846270206882</v>
      </c>
      <c r="T36" s="2">
        <f>H36-$B$25*($T$29*SQRT(G36)/(1+1.5*SQRT(G36)))</f>
        <v>1.4678384627020689</v>
      </c>
      <c r="U36" s="2">
        <f t="shared" si="10"/>
        <v>-0.52890000000000004</v>
      </c>
      <c r="V36" s="2">
        <f t="shared" si="11"/>
        <v>0.93893846270206882</v>
      </c>
      <c r="W36">
        <f t="shared" si="12"/>
        <v>25</v>
      </c>
      <c r="X36">
        <f t="shared" si="13"/>
        <v>298.14999999999998</v>
      </c>
      <c r="Y36">
        <f t="shared" si="14"/>
        <v>3.3540164346805303E-3</v>
      </c>
      <c r="Z36">
        <f t="shared" si="15"/>
        <v>0</v>
      </c>
      <c r="AA36">
        <f t="shared" si="16"/>
        <v>0</v>
      </c>
      <c r="AB36" s="48" t="s">
        <v>102</v>
      </c>
      <c r="AD36">
        <v>0.85119811076908214</v>
      </c>
      <c r="AE36">
        <v>6.6317058511963026E-2</v>
      </c>
      <c r="AF36" s="49" t="s">
        <v>103</v>
      </c>
      <c r="AG36" s="49"/>
      <c r="AJ36" s="31">
        <f t="shared" si="17"/>
        <v>44.444444444444443</v>
      </c>
      <c r="AK36" s="31">
        <f t="shared" si="18"/>
        <v>0</v>
      </c>
      <c r="AL36" s="31">
        <f t="shared" si="19"/>
        <v>0</v>
      </c>
      <c r="AM36" s="31">
        <f t="shared" si="20"/>
        <v>41.730598342314167</v>
      </c>
      <c r="AN36" s="31">
        <f t="shared" si="21"/>
        <v>0</v>
      </c>
    </row>
    <row r="37" spans="1:43" ht="14.4" x14ac:dyDescent="0.3">
      <c r="A37" s="24" t="s">
        <v>56</v>
      </c>
      <c r="B37" s="25" t="s">
        <v>55</v>
      </c>
      <c r="C37" s="33">
        <v>0.2</v>
      </c>
      <c r="D37" s="38">
        <v>3.1</v>
      </c>
      <c r="E37" s="39">
        <f>LOG(D37)</f>
        <v>0.49136169383427269</v>
      </c>
      <c r="F37" s="27">
        <f>1.026+(1.065-1.026)/(0.25-0.1)*0.1</f>
        <v>1.052</v>
      </c>
      <c r="G37" s="26">
        <f t="shared" si="6"/>
        <v>0.21040000000000003</v>
      </c>
      <c r="H37" s="27">
        <f t="shared" si="8"/>
        <v>0.46934595401655244</v>
      </c>
      <c r="I37" s="2">
        <f>(LOG(3.1+0.4)-LOG(3.1-0.4))/2</f>
        <v>5.6352140095644154E-2</v>
      </c>
      <c r="J37" s="28">
        <v>0.2</v>
      </c>
      <c r="L37">
        <v>25</v>
      </c>
      <c r="M37">
        <f t="shared" si="9"/>
        <v>3.3540164346805303E-3</v>
      </c>
      <c r="N37" s="2">
        <f t="shared" si="7"/>
        <v>0.21040000000000003</v>
      </c>
      <c r="P37" s="2">
        <f>V37</f>
        <v>0.9321192483759827</v>
      </c>
      <c r="T37" s="2">
        <f>H37-$B$25*($T$29*SQRT(G37)/(1+1.5*SQRT(G37)))</f>
        <v>1.0225912483759827</v>
      </c>
      <c r="U37" s="2">
        <f t="shared" si="10"/>
        <v>-9.0472000000000011E-2</v>
      </c>
      <c r="V37" s="2">
        <f t="shared" si="11"/>
        <v>0.9321192483759827</v>
      </c>
      <c r="W37">
        <v>25</v>
      </c>
      <c r="X37">
        <f t="shared" si="13"/>
        <v>298.14999999999998</v>
      </c>
      <c r="Y37">
        <f t="shared" si="14"/>
        <v>3.3540164346805303E-3</v>
      </c>
      <c r="Z37">
        <f t="shared" si="15"/>
        <v>0</v>
      </c>
      <c r="AA37">
        <f t="shared" si="16"/>
        <v>0</v>
      </c>
      <c r="AB37" s="48" t="s">
        <v>104</v>
      </c>
      <c r="AD37">
        <v>34.32206869826036</v>
      </c>
      <c r="AE37">
        <v>6</v>
      </c>
      <c r="AF37" s="49" t="s">
        <v>105</v>
      </c>
      <c r="AG37" s="49"/>
      <c r="AJ37" s="31">
        <f t="shared" si="17"/>
        <v>24.999999999999996</v>
      </c>
      <c r="AK37" s="31">
        <f t="shared" si="18"/>
        <v>0</v>
      </c>
      <c r="AL37" s="31">
        <f t="shared" si="19"/>
        <v>0</v>
      </c>
      <c r="AM37" s="31">
        <f t="shared" si="20"/>
        <v>23.302981209399565</v>
      </c>
      <c r="AN37" s="31">
        <f t="shared" si="21"/>
        <v>0</v>
      </c>
    </row>
    <row r="38" spans="1:43" ht="14.4" x14ac:dyDescent="0.3">
      <c r="A38" s="24" t="s">
        <v>70</v>
      </c>
      <c r="B38" s="25" t="s">
        <v>68</v>
      </c>
      <c r="C38" s="34">
        <v>0.5</v>
      </c>
      <c r="E38" s="35">
        <v>0.36</v>
      </c>
      <c r="F38" s="27">
        <v>1.06</v>
      </c>
      <c r="G38" s="26">
        <f t="shared" si="6"/>
        <v>0.53</v>
      </c>
      <c r="H38" s="27">
        <f t="shared" si="8"/>
        <v>0.33469413473522974</v>
      </c>
      <c r="J38" s="28">
        <v>0.2</v>
      </c>
      <c r="L38">
        <v>25</v>
      </c>
      <c r="M38">
        <f t="shared" si="9"/>
        <v>3.3540164346805303E-3</v>
      </c>
      <c r="N38" s="2">
        <f t="shared" si="7"/>
        <v>0.53</v>
      </c>
      <c r="Q38" s="2">
        <f>V38</f>
        <v>0.81531167521567904</v>
      </c>
      <c r="T38" s="2">
        <f>H38-$B$25*($T$29*SQRT(G38)/(1+1.5*SQRT(G38)))</f>
        <v>1.043211675215679</v>
      </c>
      <c r="U38" s="2">
        <f t="shared" si="10"/>
        <v>-0.22790000000000002</v>
      </c>
      <c r="V38" s="2">
        <f t="shared" si="11"/>
        <v>0.81531167521567904</v>
      </c>
      <c r="W38">
        <v>25</v>
      </c>
      <c r="X38">
        <f t="shared" si="13"/>
        <v>298.14999999999998</v>
      </c>
      <c r="Y38">
        <f t="shared" si="14"/>
        <v>3.3540164346805303E-3</v>
      </c>
      <c r="Z38">
        <f t="shared" si="15"/>
        <v>0</v>
      </c>
      <c r="AA38">
        <f t="shared" si="16"/>
        <v>0</v>
      </c>
      <c r="AB38" s="1"/>
      <c r="AD38">
        <v>0.15094681924515574</v>
      </c>
      <c r="AE38">
        <v>2.6387713498074769E-2</v>
      </c>
      <c r="AF38" s="49" t="s">
        <v>106</v>
      </c>
      <c r="AG38" s="49"/>
      <c r="AJ38" s="31">
        <f t="shared" si="17"/>
        <v>24.999999999999996</v>
      </c>
      <c r="AK38" s="31">
        <f t="shared" si="18"/>
        <v>0</v>
      </c>
      <c r="AL38" s="31">
        <f t="shared" si="19"/>
        <v>0</v>
      </c>
      <c r="AM38" s="31">
        <f t="shared" si="20"/>
        <v>20.382791880391974</v>
      </c>
      <c r="AN38" s="31">
        <f t="shared" si="21"/>
        <v>0</v>
      </c>
    </row>
    <row r="39" spans="1:43" ht="14.4" x14ac:dyDescent="0.3">
      <c r="A39" s="24" t="s">
        <v>52</v>
      </c>
      <c r="B39" s="25" t="s">
        <v>53</v>
      </c>
      <c r="C39" s="33">
        <v>0.16</v>
      </c>
      <c r="E39" s="35">
        <v>0.57999999999999996</v>
      </c>
      <c r="F39" s="27">
        <f>1.021+(1.052-1.02)/(0.25-0.1)*0.06</f>
        <v>1.0337999999999998</v>
      </c>
      <c r="G39" s="26">
        <f t="shared" si="6"/>
        <v>0.16540799999999997</v>
      </c>
      <c r="H39" s="27">
        <f t="shared" si="8"/>
        <v>0.56556347216832792</v>
      </c>
      <c r="J39" s="28">
        <v>0.15</v>
      </c>
      <c r="L39">
        <v>37</v>
      </c>
      <c r="M39">
        <f t="shared" si="9"/>
        <v>3.224246332419797E-3</v>
      </c>
      <c r="N39" s="2">
        <f t="shared" si="7"/>
        <v>0.16540799999999997</v>
      </c>
      <c r="O39" s="2">
        <f>V39</f>
        <v>1.0198508699232884</v>
      </c>
      <c r="T39" s="2">
        <f>H39-$B$25*($T$30*SQRT(G39)/(1+1.5*SQRT(G39)))</f>
        <v>1.0909763099232885</v>
      </c>
      <c r="U39" s="2">
        <f t="shared" si="10"/>
        <v>-7.1125439999999984E-2</v>
      </c>
      <c r="V39" s="2">
        <f t="shared" si="11"/>
        <v>1.0198508699232884</v>
      </c>
      <c r="W39">
        <f t="shared" si="12"/>
        <v>37</v>
      </c>
      <c r="X39">
        <f t="shared" si="13"/>
        <v>310.14999999999998</v>
      </c>
      <c r="Y39">
        <f t="shared" si="14"/>
        <v>3.224246332419797E-3</v>
      </c>
      <c r="Z39">
        <f t="shared" si="15"/>
        <v>6.7783235966830469E-3</v>
      </c>
      <c r="AA39">
        <f t="shared" si="16"/>
        <v>4.0135033047841065E-2</v>
      </c>
      <c r="AJ39" s="31">
        <f t="shared" si="17"/>
        <v>44.444444444444443</v>
      </c>
      <c r="AK39" s="31">
        <f t="shared" si="18"/>
        <v>0.30125882651924651</v>
      </c>
      <c r="AL39" s="31">
        <f t="shared" si="19"/>
        <v>2.0420298125044534E-3</v>
      </c>
      <c r="AM39" s="31">
        <f t="shared" si="20"/>
        <v>45.326705329923932</v>
      </c>
      <c r="AN39" s="31">
        <f t="shared" si="21"/>
        <v>0.30723907629772262</v>
      </c>
    </row>
    <row r="40" spans="1:43" ht="14.4" x14ac:dyDescent="0.3">
      <c r="A40" s="24" t="s">
        <v>70</v>
      </c>
      <c r="B40" s="25" t="s">
        <v>68</v>
      </c>
      <c r="C40" s="37">
        <v>0.15</v>
      </c>
      <c r="E40" s="35">
        <v>0.48</v>
      </c>
      <c r="F40" s="27">
        <f>1.013+(1.03-1.013)/(0.25-0.1)*0.05</f>
        <v>1.0186666666666666</v>
      </c>
      <c r="G40" s="26">
        <f t="shared" si="6"/>
        <v>0.15279999999999999</v>
      </c>
      <c r="H40" s="27">
        <f t="shared" si="8"/>
        <v>0.47196790481601014</v>
      </c>
      <c r="J40" s="28">
        <v>0.2</v>
      </c>
      <c r="L40">
        <v>37</v>
      </c>
      <c r="M40">
        <f t="shared" si="9"/>
        <v>3.224246332419797E-3</v>
      </c>
      <c r="N40" s="2">
        <f t="shared" si="7"/>
        <v>0.15279999999999999</v>
      </c>
      <c r="Q40" s="2">
        <f>V40</f>
        <v>0.91880356328109691</v>
      </c>
      <c r="R40" s="2"/>
      <c r="T40" s="2">
        <f>H40-$B$25*($T$30*SQRT(G40)/(1+1.5*SQRT(G40)))</f>
        <v>0.9845075632810969</v>
      </c>
      <c r="U40" s="2">
        <f t="shared" si="10"/>
        <v>-6.5703999999999999E-2</v>
      </c>
      <c r="V40" s="2">
        <f t="shared" si="11"/>
        <v>0.91880356328109691</v>
      </c>
      <c r="W40">
        <f t="shared" si="12"/>
        <v>37</v>
      </c>
      <c r="X40">
        <f t="shared" si="13"/>
        <v>310.14999999999998</v>
      </c>
      <c r="Y40">
        <f t="shared" si="14"/>
        <v>3.224246332419797E-3</v>
      </c>
      <c r="Z40">
        <f t="shared" si="15"/>
        <v>6.7783235966830469E-3</v>
      </c>
      <c r="AA40">
        <f t="shared" si="16"/>
        <v>4.0135033047841065E-2</v>
      </c>
      <c r="AD40">
        <f>AD35*2</f>
        <v>7.1076409531064888</v>
      </c>
      <c r="AE40">
        <f>AE35*3</f>
        <v>7.0417324013476862E-2</v>
      </c>
      <c r="AJ40" s="31">
        <f t="shared" si="17"/>
        <v>24.999999999999996</v>
      </c>
      <c r="AK40" s="31">
        <f t="shared" si="18"/>
        <v>0.16945808991707614</v>
      </c>
      <c r="AL40" s="31">
        <f t="shared" si="19"/>
        <v>1.1486417695337548E-3</v>
      </c>
      <c r="AM40" s="31">
        <f t="shared" si="20"/>
        <v>22.970089082027421</v>
      </c>
      <c r="AN40" s="31">
        <f t="shared" si="21"/>
        <v>0.15569869684261808</v>
      </c>
    </row>
    <row r="41" spans="1:43" ht="14.4" x14ac:dyDescent="0.3">
      <c r="A41" s="24" t="s">
        <v>56</v>
      </c>
      <c r="B41" s="25" t="s">
        <v>55</v>
      </c>
      <c r="C41" s="33">
        <v>0.2</v>
      </c>
      <c r="D41" s="43">
        <v>1.2</v>
      </c>
      <c r="E41" s="39">
        <f>LOG(D41)</f>
        <v>7.9181246047624818E-2</v>
      </c>
      <c r="F41" s="27">
        <f>1.026+(1.065-1.026)/(0.25-0.1)*0.1</f>
        <v>1.052</v>
      </c>
      <c r="G41" s="26">
        <f t="shared" si="6"/>
        <v>0.21040000000000003</v>
      </c>
      <c r="H41" s="27">
        <f t="shared" si="8"/>
        <v>5.7165506229904538E-2</v>
      </c>
      <c r="I41" s="2">
        <f>(LOG(1.2+0.3)-LOG(1.2-0.3))/2</f>
        <v>0.11092437480817821</v>
      </c>
      <c r="J41" s="28">
        <v>0.4</v>
      </c>
      <c r="L41">
        <v>0</v>
      </c>
      <c r="M41">
        <f t="shared" si="9"/>
        <v>3.6609921288669233E-3</v>
      </c>
      <c r="N41" s="2">
        <f>G41</f>
        <v>0.21040000000000003</v>
      </c>
      <c r="P41" s="2">
        <f>V41</f>
        <v>0.50037413399116248</v>
      </c>
      <c r="T41" s="2">
        <f>H41-$B$25*($T$28*SQRT(G41)/(1+1.5*SQRT(G41)))</f>
        <v>0.59084613399116248</v>
      </c>
      <c r="U41" s="2">
        <f>$U$32*G41</f>
        <v>-9.0472000000000011E-2</v>
      </c>
      <c r="V41" s="2">
        <f t="shared" si="11"/>
        <v>0.50037413399116248</v>
      </c>
      <c r="W41">
        <f t="shared" si="12"/>
        <v>0</v>
      </c>
      <c r="X41">
        <f t="shared" si="13"/>
        <v>273.14999999999998</v>
      </c>
      <c r="Y41">
        <f t="shared" si="14"/>
        <v>3.6609921288669233E-3</v>
      </c>
      <c r="Z41">
        <f t="shared" si="15"/>
        <v>-1.6034360420947306E-2</v>
      </c>
      <c r="AA41">
        <f t="shared" si="16"/>
        <v>0.20627892266613621</v>
      </c>
      <c r="AB41" s="50" t="s">
        <v>17</v>
      </c>
      <c r="AD41" s="28">
        <v>7.3</v>
      </c>
      <c r="AE41" s="29">
        <v>0.08</v>
      </c>
      <c r="AJ41" s="31">
        <f t="shared" si="17"/>
        <v>6.2499999999999991</v>
      </c>
      <c r="AK41" s="31">
        <f t="shared" si="18"/>
        <v>-0.10021475263092065</v>
      </c>
      <c r="AL41" s="31">
        <f t="shared" si="19"/>
        <v>1.606879463180259E-3</v>
      </c>
      <c r="AM41" s="31">
        <f t="shared" si="20"/>
        <v>3.127338337444765</v>
      </c>
      <c r="AN41" s="31">
        <f t="shared" si="21"/>
        <v>-5.0144870060835491E-2</v>
      </c>
    </row>
    <row r="43" spans="1:43" x14ac:dyDescent="0.25">
      <c r="V43" s="44" t="s">
        <v>107</v>
      </c>
      <c r="AI43" s="15" t="s">
        <v>36</v>
      </c>
      <c r="AJ43">
        <f>SUM(AJ34:AJ41)</f>
        <v>259.02777777777777</v>
      </c>
      <c r="AK43">
        <f>SUM(AK34:AK41)</f>
        <v>0.37050216380540196</v>
      </c>
      <c r="AL43">
        <f>SUM(AL34:AL41)</f>
        <v>4.7975510452184676E-3</v>
      </c>
      <c r="AM43">
        <f>SUM(AM34:AM41)</f>
        <v>235.0497330378347</v>
      </c>
      <c r="AN43">
        <f>SUM(AN34:AN41)</f>
        <v>0.41279290307950517</v>
      </c>
    </row>
    <row r="44" spans="1:43" ht="15.6" x14ac:dyDescent="0.35">
      <c r="V44" s="44" t="s">
        <v>108</v>
      </c>
      <c r="W44" s="51" t="s">
        <v>109</v>
      </c>
      <c r="X44" s="51" t="s">
        <v>110</v>
      </c>
      <c r="AI44" s="15"/>
      <c r="AO44" s="54"/>
      <c r="AP44" s="55"/>
    </row>
    <row r="45" spans="1:43" ht="16.8" x14ac:dyDescent="0.35">
      <c r="A45" s="22" t="s">
        <v>67</v>
      </c>
      <c r="B45" s="3"/>
      <c r="C45" s="3"/>
      <c r="AI45" s="15"/>
      <c r="AL45" s="15" t="s">
        <v>37</v>
      </c>
      <c r="AM45">
        <f>AJ43*AL43-AK43^2</f>
        <v>1.1054271326339098</v>
      </c>
    </row>
    <row r="46" spans="1:43" ht="16.8" x14ac:dyDescent="0.35">
      <c r="B46" s="3"/>
      <c r="T46" s="52">
        <v>0</v>
      </c>
      <c r="U46">
        <f>1/(273.15+T46)</f>
        <v>3.6609921288669233E-3</v>
      </c>
      <c r="V46" s="2">
        <f>$AE$34+$AD$34*$Z41</f>
        <v>0.53324994310401685</v>
      </c>
      <c r="W46" s="2">
        <f>($AE$34+$AE$41+($AD$34-$AD$41)*$Z41)</f>
        <v>0.73030077417693218</v>
      </c>
      <c r="X46" s="2">
        <f>($AE$34-$AE$41+($AD$34+$AD$41)*$Z41)</f>
        <v>0.33619911203110153</v>
      </c>
      <c r="AI46" s="15"/>
      <c r="AL46" s="15" t="s">
        <v>38</v>
      </c>
      <c r="AM46">
        <f>AL43*AM43</f>
        <v>1.1276630924139857</v>
      </c>
    </row>
    <row r="47" spans="1:43" ht="16.8" x14ac:dyDescent="0.35">
      <c r="C47" s="3"/>
      <c r="T47">
        <v>25</v>
      </c>
      <c r="U47">
        <f>1/(273.15+T47)</f>
        <v>3.3540164346805303E-3</v>
      </c>
      <c r="V47" s="2">
        <f>$AE$34+$AD$34*$Z34</f>
        <v>0.8670864711174362</v>
      </c>
      <c r="W47" s="2">
        <f>($AE$34+$AE$41+($AD$34+$AD$41)*$Z34)</f>
        <v>0.94708647111743616</v>
      </c>
      <c r="X47" s="2">
        <f>($AE$34-$AE$41+($AD$34+$AD$41)*$Z34)</f>
        <v>0.78708647111743624</v>
      </c>
      <c r="AL47" s="15" t="s">
        <v>39</v>
      </c>
      <c r="AM47">
        <f>AK43*AN43</f>
        <v>0.15294066379447024</v>
      </c>
    </row>
    <row r="48" spans="1:43" ht="16.8" x14ac:dyDescent="0.35">
      <c r="A48" s="15" t="s">
        <v>30</v>
      </c>
      <c r="B48" s="23">
        <f>0^2-1^2-1^2</f>
        <v>-2</v>
      </c>
      <c r="T48">
        <v>37</v>
      </c>
      <c r="U48">
        <f>1/(273.15+T48)</f>
        <v>3.224246332419797E-3</v>
      </c>
      <c r="V48" s="2">
        <f>$AE$34+$AD$34*$Z40</f>
        <v>1.0082116520327853</v>
      </c>
      <c r="W48" s="2">
        <f>($AE$34+$AE$41+($AD$34+$AD$41)*$Z40)</f>
        <v>1.1376934142885715</v>
      </c>
      <c r="X48" s="2">
        <f>($AE$34-$AE$41+($AD$34-$AD$41)*$Z40)</f>
        <v>0.87872988977699906</v>
      </c>
      <c r="AD48" s="56" t="s">
        <v>115</v>
      </c>
      <c r="AE48" s="57" t="s">
        <v>84</v>
      </c>
      <c r="AF48" s="56" t="s">
        <v>116</v>
      </c>
      <c r="AG48" s="58" t="s">
        <v>109</v>
      </c>
      <c r="AH48" s="58" t="s">
        <v>110</v>
      </c>
      <c r="AI48" s="1" t="s">
        <v>40</v>
      </c>
      <c r="AL48" s="18" t="s">
        <v>111</v>
      </c>
      <c r="AM48" s="29">
        <f>(AM46-AM47)/AM45</f>
        <v>0.88176090476179714</v>
      </c>
      <c r="AP48" s="19" t="s">
        <v>112</v>
      </c>
      <c r="AQ48" s="29">
        <f>SQRT(AL43/AM45)</f>
        <v>6.5878657758682388E-2</v>
      </c>
    </row>
    <row r="49" spans="1:43" ht="16.8" x14ac:dyDescent="0.35">
      <c r="A49" s="15" t="s">
        <v>29</v>
      </c>
      <c r="B49" s="23">
        <f>1-1-1</f>
        <v>-1</v>
      </c>
      <c r="AD49" s="59">
        <v>-2</v>
      </c>
      <c r="AE49">
        <f>1/(273.15+AD49)</f>
        <v>3.687995574405311E-3</v>
      </c>
      <c r="AF49">
        <f>$AM$48+$AM$51/$X$29*(1/$X$26-$AE49)</f>
        <v>0.56868951790695665</v>
      </c>
      <c r="AG49">
        <f>($AM$48+$AQ$48)+($AM$51-$AQ$51)/$X$29*(1/$X$26-$AE49)</f>
        <v>0.90160742765839541</v>
      </c>
      <c r="AH49">
        <f>($AM$48-$AQ$48)+($AM$51+$AQ$51)/$X$29*(1/$X$26-$AE49)</f>
        <v>0.23577160815551779</v>
      </c>
      <c r="AL49" s="15" t="s">
        <v>43</v>
      </c>
      <c r="AM49">
        <f>AJ43*AN43</f>
        <v>106.92482836712182</v>
      </c>
    </row>
    <row r="50" spans="1:43" ht="16.8" x14ac:dyDescent="0.35">
      <c r="A50" s="15"/>
      <c r="B50" s="23"/>
      <c r="AD50">
        <v>25</v>
      </c>
      <c r="AE50">
        <f>1/(273.15+AD50)</f>
        <v>3.3540164346805303E-3</v>
      </c>
      <c r="AF50">
        <f>$AM$48+$AM$51/$X$29*(1/$X$26-$AE50)</f>
        <v>0.88176090476179714</v>
      </c>
      <c r="AG50">
        <f>($AM$48+$AQ$48)+($AM$51-$AQ$51)/$X$29*(1/$X$26-$AE50)</f>
        <v>0.94763956252047954</v>
      </c>
      <c r="AH50">
        <f>($AM$48-$AQ$48)+($AM$51+$AQ$51)/$X$29*(1/$X$26-$AE50)</f>
        <v>0.81588224700311474</v>
      </c>
      <c r="AL50" s="15" t="s">
        <v>44</v>
      </c>
      <c r="AM50">
        <f>AK43*AM43</f>
        <v>87.086434692399834</v>
      </c>
    </row>
    <row r="51" spans="1:43" ht="16.8" x14ac:dyDescent="0.35">
      <c r="C51" s="4" t="s">
        <v>3</v>
      </c>
      <c r="D51" s="5"/>
      <c r="T51">
        <v>0.49099999999999999</v>
      </c>
      <c r="AD51">
        <v>38.5</v>
      </c>
      <c r="AE51">
        <f>1/(273.15+AD51)</f>
        <v>3.2087277394513077E-3</v>
      </c>
      <c r="AF51">
        <f>$AM$48+$AM$51/$X$29*(1/$X$26-$AE51)</f>
        <v>1.017954241109768</v>
      </c>
      <c r="AG51">
        <f>($AM$48+$AQ$48)+($AM$51+$AQ$51)/$X$29*(1/$X$26-$AE51)</f>
        <v>1.2000011856931512</v>
      </c>
      <c r="AH51">
        <f>($AM$48-$AQ$48)+($AM$51-$AQ$51)/$X$29*(1/$X$26-$AE51)</f>
        <v>0.83590729652638462</v>
      </c>
      <c r="AI51" s="1" t="s">
        <v>45</v>
      </c>
      <c r="AL51" s="20" t="s">
        <v>113</v>
      </c>
      <c r="AM51" s="29">
        <f>(AM49-AM50)/AM45</f>
        <v>17.946360360680572</v>
      </c>
      <c r="AP51" s="19" t="s">
        <v>114</v>
      </c>
      <c r="AQ51" s="29">
        <f>SQRT(AJ43/AM45)</f>
        <v>15.307635408184529</v>
      </c>
    </row>
    <row r="52" spans="1:43" x14ac:dyDescent="0.25">
      <c r="C52" s="3" t="s">
        <v>4</v>
      </c>
      <c r="D52" s="3"/>
      <c r="S52" t="s">
        <v>2</v>
      </c>
      <c r="T52">
        <v>0.50900000000000001</v>
      </c>
    </row>
    <row r="53" spans="1:43" ht="13.8" x14ac:dyDescent="0.3">
      <c r="C53" s="4" t="s">
        <v>5</v>
      </c>
      <c r="D53" s="5"/>
      <c r="R53" s="6"/>
      <c r="T53" s="2">
        <v>0.52</v>
      </c>
    </row>
    <row r="54" spans="1:43" ht="15.6" x14ac:dyDescent="0.35">
      <c r="B54" t="s">
        <v>27</v>
      </c>
      <c r="C54" s="7" t="s">
        <v>8</v>
      </c>
      <c r="D54" s="7" t="s">
        <v>50</v>
      </c>
      <c r="E54" s="7" t="s">
        <v>9</v>
      </c>
      <c r="F54" s="7" t="s">
        <v>10</v>
      </c>
      <c r="G54" s="7" t="s">
        <v>11</v>
      </c>
      <c r="H54" s="7" t="s">
        <v>12</v>
      </c>
      <c r="I54" s="6" t="s">
        <v>13</v>
      </c>
      <c r="J54" s="8" t="s">
        <v>14</v>
      </c>
      <c r="L54" s="31" t="s">
        <v>69</v>
      </c>
      <c r="T54" s="7" t="s">
        <v>15</v>
      </c>
      <c r="U54" s="41" t="s">
        <v>82</v>
      </c>
    </row>
    <row r="55" spans="1:43" x14ac:dyDescent="0.25">
      <c r="A55" t="s">
        <v>7</v>
      </c>
      <c r="B55" t="s">
        <v>28</v>
      </c>
      <c r="C55" s="7" t="s">
        <v>18</v>
      </c>
      <c r="D55" s="7" t="s">
        <v>18</v>
      </c>
      <c r="E55" s="7" t="s">
        <v>18</v>
      </c>
      <c r="G55" s="7" t="s">
        <v>19</v>
      </c>
      <c r="H55" s="7" t="s">
        <v>19</v>
      </c>
      <c r="U55" s="32">
        <v>-0.245</v>
      </c>
    </row>
    <row r="56" spans="1:43" ht="16.8" x14ac:dyDescent="0.35">
      <c r="C56" s="4" t="s">
        <v>3</v>
      </c>
      <c r="D56" s="31" t="s">
        <v>49</v>
      </c>
      <c r="E56" s="31" t="s">
        <v>49</v>
      </c>
      <c r="F56" s="4" t="s">
        <v>3</v>
      </c>
      <c r="U56" s="41" t="s">
        <v>83</v>
      </c>
      <c r="V56" s="1" t="s">
        <v>26</v>
      </c>
    </row>
    <row r="57" spans="1:43" ht="14.4" x14ac:dyDescent="0.3">
      <c r="A57" s="24" t="s">
        <v>52</v>
      </c>
      <c r="B57" s="25" t="s">
        <v>53</v>
      </c>
      <c r="C57" s="33">
        <v>0.16</v>
      </c>
      <c r="E57" s="35">
        <v>7.0000000000000007E-2</v>
      </c>
      <c r="F57" s="27">
        <f>1.021+(1.052-1.02)/(0.25-0.1)*0.06</f>
        <v>1.0337999999999998</v>
      </c>
      <c r="G57" s="26">
        <f t="shared" ref="G57:G62" si="22">C57*F57</f>
        <v>0.16540799999999997</v>
      </c>
      <c r="H57" s="27">
        <f t="shared" ref="H57:H62" si="23">E57+$B$49*LOG(F57)</f>
        <v>5.5563472168327951E-2</v>
      </c>
      <c r="J57" s="28">
        <v>0.15</v>
      </c>
      <c r="L57">
        <v>25</v>
      </c>
      <c r="M57">
        <f t="shared" ref="M57:M62" si="24">1/(273.15+L57)</f>
        <v>3.3540164346805303E-3</v>
      </c>
      <c r="N57" s="2">
        <f t="shared" ref="N57:N62" si="25">G57</f>
        <v>0.16540799999999997</v>
      </c>
      <c r="O57" s="2">
        <f>V57</f>
        <v>0.27218767987724618</v>
      </c>
      <c r="T57" s="2">
        <f>H57-$B$48*($T$52*SQRT(G57)/(1+1.5*SQRT(G57)))</f>
        <v>0.31271263987724618</v>
      </c>
      <c r="U57" s="2">
        <f t="shared" ref="U57:U62" si="26">$U$55*G57</f>
        <v>-4.0524959999999992E-2</v>
      </c>
      <c r="V57" s="2">
        <f t="shared" ref="V57:V62" si="27">T57+U57</f>
        <v>0.27218767987724618</v>
      </c>
    </row>
    <row r="58" spans="1:43" ht="14.4" x14ac:dyDescent="0.3">
      <c r="A58" s="24" t="s">
        <v>52</v>
      </c>
      <c r="B58" s="25" t="s">
        <v>53</v>
      </c>
      <c r="C58" s="33">
        <v>0.64</v>
      </c>
      <c r="E58" s="35">
        <v>0.16</v>
      </c>
      <c r="F58" s="27">
        <f>1.107+(1.23-1.107)/(1-0.5)*0.14</f>
        <v>1.14144</v>
      </c>
      <c r="G58" s="26">
        <f t="shared" si="22"/>
        <v>0.73052159999999999</v>
      </c>
      <c r="H58" s="27">
        <f t="shared" si="23"/>
        <v>0.10254691234174</v>
      </c>
      <c r="J58" s="28">
        <v>0.15</v>
      </c>
      <c r="L58">
        <v>25</v>
      </c>
      <c r="M58">
        <f t="shared" si="24"/>
        <v>3.3540164346805303E-3</v>
      </c>
      <c r="N58" s="2">
        <f t="shared" si="25"/>
        <v>0.73052159999999999</v>
      </c>
      <c r="O58" s="2">
        <f>V58</f>
        <v>0.3048434490115326</v>
      </c>
      <c r="T58" s="2">
        <f>H58-$B$48*($T$52*SQRT(G58)/(1+1.5*SQRT(G58)))</f>
        <v>0.48382124101153262</v>
      </c>
      <c r="U58" s="2">
        <f t="shared" si="26"/>
        <v>-0.178977792</v>
      </c>
      <c r="V58" s="2">
        <f t="shared" si="27"/>
        <v>0.3048434490115326</v>
      </c>
    </row>
    <row r="59" spans="1:43" ht="14.4" x14ac:dyDescent="0.3">
      <c r="A59" s="24" t="s">
        <v>52</v>
      </c>
      <c r="B59" s="25" t="s">
        <v>53</v>
      </c>
      <c r="C59" s="34">
        <v>1</v>
      </c>
      <c r="E59" s="35">
        <v>0.24</v>
      </c>
      <c r="F59" s="29">
        <v>1.23</v>
      </c>
      <c r="G59" s="26">
        <f t="shared" si="22"/>
        <v>1.23</v>
      </c>
      <c r="H59" s="27">
        <f t="shared" si="23"/>
        <v>0.15009488856060205</v>
      </c>
      <c r="J59" s="28">
        <v>0.15</v>
      </c>
      <c r="L59">
        <v>25</v>
      </c>
      <c r="M59">
        <f t="shared" si="24"/>
        <v>3.3540164346805303E-3</v>
      </c>
      <c r="N59" s="2">
        <f t="shared" si="25"/>
        <v>1.23</v>
      </c>
      <c r="O59" s="2">
        <f>V59</f>
        <v>0.27261667563133551</v>
      </c>
      <c r="T59" s="2">
        <f>H59-$B$48*($T$52*SQRT(G59)/(1+1.5*SQRT(G59)))</f>
        <v>0.57396667563133552</v>
      </c>
      <c r="U59" s="2">
        <f t="shared" si="26"/>
        <v>-0.30135000000000001</v>
      </c>
      <c r="V59" s="2">
        <f t="shared" si="27"/>
        <v>0.27261667563133551</v>
      </c>
    </row>
    <row r="60" spans="1:43" ht="14.4" x14ac:dyDescent="0.3">
      <c r="A60" s="24" t="s">
        <v>70</v>
      </c>
      <c r="B60" s="25" t="s">
        <v>68</v>
      </c>
      <c r="C60" s="34">
        <v>0.5</v>
      </c>
      <c r="E60" s="35">
        <v>0.18</v>
      </c>
      <c r="F60" s="27">
        <v>1.06</v>
      </c>
      <c r="G60" s="26">
        <f t="shared" si="22"/>
        <v>0.53</v>
      </c>
      <c r="H60" s="27">
        <f t="shared" si="23"/>
        <v>0.15469413473522972</v>
      </c>
      <c r="J60" s="28">
        <v>0.6</v>
      </c>
      <c r="L60">
        <v>25</v>
      </c>
      <c r="M60">
        <f t="shared" si="24"/>
        <v>3.3540164346805303E-3</v>
      </c>
      <c r="N60" s="2">
        <f t="shared" si="25"/>
        <v>0.53</v>
      </c>
      <c r="Q60" s="2">
        <f>V60</f>
        <v>0.3791029049754544</v>
      </c>
      <c r="T60" s="2">
        <f>H60-$B$48*($T$52*SQRT(G60)/(1+1.5*SQRT(G60)))</f>
        <v>0.50895290497545442</v>
      </c>
      <c r="U60" s="2">
        <f t="shared" si="26"/>
        <v>-0.12984999999999999</v>
      </c>
      <c r="V60" s="2">
        <f t="shared" si="27"/>
        <v>0.3791029049754544</v>
      </c>
    </row>
    <row r="61" spans="1:43" ht="14.4" x14ac:dyDescent="0.3">
      <c r="A61" s="24" t="s">
        <v>52</v>
      </c>
      <c r="B61" s="25" t="s">
        <v>53</v>
      </c>
      <c r="C61" s="33">
        <v>0.16</v>
      </c>
      <c r="E61" s="35">
        <v>0.02</v>
      </c>
      <c r="F61" s="27">
        <f>1.021+(1.052-1.02)/(0.25-0.1)*0.06</f>
        <v>1.0337999999999998</v>
      </c>
      <c r="G61" s="26">
        <f t="shared" si="22"/>
        <v>0.16540799999999997</v>
      </c>
      <c r="H61" s="27">
        <f t="shared" si="23"/>
        <v>5.5634721683279469E-3</v>
      </c>
      <c r="J61" s="28">
        <v>0.15</v>
      </c>
      <c r="L61">
        <v>37</v>
      </c>
      <c r="M61">
        <f t="shared" si="24"/>
        <v>3.224246332419797E-3</v>
      </c>
      <c r="N61" s="2">
        <f t="shared" si="25"/>
        <v>0.16540799999999997</v>
      </c>
      <c r="O61" s="2">
        <f>V61</f>
        <v>0.22774493104580823</v>
      </c>
      <c r="T61" s="2">
        <f>H61-$B$48*($T$53*SQRT(G61)/(1+1.5*SQRT(G61)))</f>
        <v>0.26826989104580823</v>
      </c>
      <c r="U61" s="2">
        <f t="shared" si="26"/>
        <v>-4.0524959999999992E-2</v>
      </c>
      <c r="V61" s="2">
        <f t="shared" si="27"/>
        <v>0.22774493104580823</v>
      </c>
    </row>
    <row r="62" spans="1:43" ht="14.4" x14ac:dyDescent="0.3">
      <c r="A62" s="24" t="s">
        <v>70</v>
      </c>
      <c r="B62" s="25" t="s">
        <v>68</v>
      </c>
      <c r="C62" s="33">
        <v>0.3</v>
      </c>
      <c r="E62" s="35">
        <v>-0.2</v>
      </c>
      <c r="F62" s="27">
        <f>1.03+(1.06-1.03)/(0.5-0.25)*0.05</f>
        <v>1.036</v>
      </c>
      <c r="G62" s="26">
        <f t="shared" si="22"/>
        <v>0.31080000000000002</v>
      </c>
      <c r="H62" s="27">
        <f t="shared" si="23"/>
        <v>-0.21535975540921423</v>
      </c>
      <c r="J62" s="28">
        <v>0.6</v>
      </c>
      <c r="K62" s="1"/>
      <c r="L62">
        <v>37</v>
      </c>
      <c r="M62">
        <f t="shared" si="24"/>
        <v>3.224246332419797E-3</v>
      </c>
      <c r="N62" s="2">
        <f t="shared" si="25"/>
        <v>0.31080000000000002</v>
      </c>
      <c r="Q62" s="2">
        <f>V62</f>
        <v>2.4244728043663469E-2</v>
      </c>
      <c r="T62" s="2">
        <f>H62-$B$48*($T$53*SQRT(G62)/(1+1.5*SQRT(G62)))</f>
        <v>0.10039072804366347</v>
      </c>
      <c r="U62" s="2">
        <f t="shared" si="26"/>
        <v>-7.6146000000000005E-2</v>
      </c>
      <c r="V62" s="2">
        <f t="shared" si="27"/>
        <v>2.4244728043663469E-2</v>
      </c>
    </row>
    <row r="64" spans="1:43" ht="15.6" x14ac:dyDescent="0.35">
      <c r="V64" s="44" t="s">
        <v>107</v>
      </c>
      <c r="W64" s="45" t="s">
        <v>96</v>
      </c>
    </row>
    <row r="65" spans="19:23" ht="15.6" x14ac:dyDescent="0.35">
      <c r="S65" s="44" t="s">
        <v>85</v>
      </c>
      <c r="T65" s="42" t="s">
        <v>84</v>
      </c>
      <c r="U65" s="44" t="s">
        <v>86</v>
      </c>
      <c r="V65" s="44" t="s">
        <v>108</v>
      </c>
      <c r="W65" s="48" t="s">
        <v>99</v>
      </c>
    </row>
    <row r="66" spans="19:23" ht="13.8" x14ac:dyDescent="0.3">
      <c r="S66" s="44" t="s">
        <v>88</v>
      </c>
      <c r="V66" s="2">
        <v>0.28499999999999998</v>
      </c>
      <c r="W66" s="53">
        <v>5</v>
      </c>
    </row>
    <row r="67" spans="19:23" x14ac:dyDescent="0.25">
      <c r="S67">
        <v>23</v>
      </c>
      <c r="T67">
        <f>1/(273.15+S67)</f>
        <v>3.3766672294445383E-3</v>
      </c>
      <c r="U67">
        <f>(1/$X$26-$T67)/$X$29</f>
        <v>-1.1831262668193007E-3</v>
      </c>
      <c r="V67" s="2">
        <f>$V$66+$W$66*$U67</f>
        <v>0.27908436866590347</v>
      </c>
    </row>
    <row r="68" spans="19:23" x14ac:dyDescent="0.25">
      <c r="S68">
        <v>38.5</v>
      </c>
      <c r="T68">
        <f>1/(273.15+S68)</f>
        <v>3.2087277394513077E-3</v>
      </c>
      <c r="U68">
        <f>(1/$X$26-$T68)/$X$29</f>
        <v>7.5889112672875127E-3</v>
      </c>
      <c r="V68" s="2">
        <f>$V$66+$W$66*$U68</f>
        <v>0.32294455633643754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CalcK</vt:lpstr>
      <vt:lpstr>PlotK</vt:lpstr>
      <vt:lpstr>KTemp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I.Puigdomenech</dc:creator>
  <cp:lastModifiedBy>Josep Bonet</cp:lastModifiedBy>
  <cp:lastPrinted>2002-08-12T14:38:15Z</cp:lastPrinted>
  <dcterms:created xsi:type="dcterms:W3CDTF">2000-02-23T12:13:48Z</dcterms:created>
  <dcterms:modified xsi:type="dcterms:W3CDTF">2023-12-03T11:32:08Z</dcterms:modified>
</cp:coreProperties>
</file>