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4D51C980-524A-460F-97E6-E72FBBE2D3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gF" sheetId="1" r:id="rId1"/>
  </sheets>
  <definedNames>
    <definedName name="_Regression_Out" hidden="1">MgF!$B$129:$B$129</definedName>
    <definedName name="_Regression_X" hidden="1">MgF!$E$124:$E$126</definedName>
    <definedName name="_Regression_Y" hidden="1">MgF!$G$124:$G$126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6" i="1" s="1"/>
  <c r="B30" i="1"/>
  <c r="E30" i="1"/>
  <c r="W30" i="1"/>
  <c r="X30" i="1"/>
  <c r="B31" i="1"/>
  <c r="C31" i="1" s="1"/>
  <c r="E31" i="1"/>
  <c r="W31" i="1"/>
  <c r="B32" i="1"/>
  <c r="C32" i="1"/>
  <c r="E32" i="1"/>
  <c r="W32" i="1"/>
  <c r="B33" i="1"/>
  <c r="C33" i="1"/>
  <c r="E33" i="1"/>
  <c r="W33" i="1"/>
  <c r="B34" i="1"/>
  <c r="E34" i="1"/>
  <c r="W34" i="1"/>
  <c r="X34" i="1" s="1"/>
  <c r="B35" i="1"/>
  <c r="G35" i="1"/>
  <c r="W35" i="1"/>
  <c r="B36" i="1"/>
  <c r="C36" i="1"/>
  <c r="G36" i="1"/>
  <c r="W36" i="1"/>
  <c r="X36" i="1" s="1"/>
  <c r="B37" i="1"/>
  <c r="C37" i="1"/>
  <c r="G37" i="1"/>
  <c r="W37" i="1"/>
  <c r="B38" i="1"/>
  <c r="C38" i="1" s="1"/>
  <c r="I38" i="1"/>
  <c r="W38" i="1"/>
  <c r="X38" i="1" s="1"/>
  <c r="B39" i="1"/>
  <c r="C39" i="1" s="1"/>
  <c r="K39" i="1"/>
  <c r="W39" i="1"/>
  <c r="B40" i="1"/>
  <c r="C40" i="1" s="1"/>
  <c r="K40" i="1"/>
  <c r="W40" i="1"/>
  <c r="B41" i="1"/>
  <c r="C41" i="1" s="1"/>
  <c r="K41" i="1"/>
  <c r="W41" i="1"/>
  <c r="B42" i="1"/>
  <c r="M42" i="1"/>
  <c r="W42" i="1"/>
  <c r="X42" i="1" s="1"/>
  <c r="A43" i="1"/>
  <c r="B43" i="1" s="1"/>
  <c r="W43" i="1"/>
  <c r="X43" i="1" s="1"/>
  <c r="A44" i="1"/>
  <c r="B44" i="1" s="1"/>
  <c r="W44" i="1"/>
  <c r="X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61" i="1"/>
  <c r="B61" i="1" s="1"/>
  <c r="A62" i="1"/>
  <c r="B62" i="1" s="1"/>
  <c r="B63" i="1"/>
  <c r="C63" i="1" s="1"/>
  <c r="B82" i="1"/>
  <c r="C82" i="1" s="1"/>
  <c r="B83" i="1"/>
  <c r="C83" i="1" s="1"/>
  <c r="B84" i="1"/>
  <c r="D84" i="1" s="1"/>
  <c r="B85" i="1"/>
  <c r="C85" i="1" s="1"/>
  <c r="B86" i="1"/>
  <c r="C86" i="1" s="1"/>
  <c r="B93" i="1"/>
  <c r="C93" i="1" s="1"/>
  <c r="B94" i="1"/>
  <c r="D94" i="1" s="1"/>
  <c r="B95" i="1"/>
  <c r="C95" i="1" s="1"/>
  <c r="B102" i="1"/>
  <c r="C102" i="1" s="1"/>
  <c r="K106" i="1"/>
  <c r="K107" i="1"/>
  <c r="K108" i="1" s="1"/>
  <c r="B109" i="1"/>
  <c r="C109" i="1" s="1"/>
  <c r="B110" i="1"/>
  <c r="D110" i="1" s="1"/>
  <c r="C110" i="1"/>
  <c r="B111" i="1"/>
  <c r="C111" i="1" s="1"/>
  <c r="B118" i="1"/>
  <c r="D118" i="1" s="1"/>
  <c r="C118" i="1"/>
  <c r="B119" i="1"/>
  <c r="C119" i="1" s="1"/>
  <c r="B125" i="1"/>
  <c r="D43" i="1" s="1"/>
  <c r="O43" i="1" s="1"/>
  <c r="B126" i="1"/>
  <c r="D44" i="1" s="1"/>
  <c r="O44" i="1" s="1"/>
  <c r="B127" i="1"/>
  <c r="D45" i="1" s="1"/>
  <c r="O45" i="1" s="1"/>
  <c r="B128" i="1"/>
  <c r="D46" i="1" s="1"/>
  <c r="O46" i="1" s="1"/>
  <c r="D128" i="1"/>
  <c r="B129" i="1"/>
  <c r="D47" i="1" s="1"/>
  <c r="O47" i="1" s="1"/>
  <c r="B130" i="1"/>
  <c r="D48" i="1" s="1"/>
  <c r="O48" i="1" s="1"/>
  <c r="D130" i="1"/>
  <c r="B131" i="1"/>
  <c r="D49" i="1" s="1"/>
  <c r="O49" i="1" s="1"/>
  <c r="B132" i="1"/>
  <c r="D50" i="1" s="1"/>
  <c r="O50" i="1" s="1"/>
  <c r="B133" i="1"/>
  <c r="D51" i="1" s="1"/>
  <c r="O51" i="1" s="1"/>
  <c r="B134" i="1"/>
  <c r="D52" i="1" s="1"/>
  <c r="O52" i="1" s="1"/>
  <c r="D134" i="1"/>
  <c r="B135" i="1"/>
  <c r="D53" i="1" s="1"/>
  <c r="O53" i="1" s="1"/>
  <c r="B136" i="1"/>
  <c r="D54" i="1" s="1"/>
  <c r="O54" i="1" s="1"/>
  <c r="D136" i="1"/>
  <c r="B137" i="1"/>
  <c r="C137" i="1" s="1"/>
  <c r="B138" i="1"/>
  <c r="D56" i="1" s="1"/>
  <c r="O56" i="1" s="1"/>
  <c r="D138" i="1"/>
  <c r="B139" i="1"/>
  <c r="D57" i="1" s="1"/>
  <c r="O57" i="1" s="1"/>
  <c r="B140" i="1"/>
  <c r="D58" i="1" s="1"/>
  <c r="O58" i="1" s="1"/>
  <c r="B141" i="1"/>
  <c r="D59" i="1" s="1"/>
  <c r="O59" i="1" s="1"/>
  <c r="B142" i="1"/>
  <c r="D60" i="1" s="1"/>
  <c r="O60" i="1" s="1"/>
  <c r="D142" i="1"/>
  <c r="B143" i="1"/>
  <c r="D61" i="1" s="1"/>
  <c r="O61" i="1" s="1"/>
  <c r="B144" i="1"/>
  <c r="D62" i="1" s="1"/>
  <c r="O62" i="1" s="1"/>
  <c r="D144" i="1"/>
  <c r="E110" i="1" l="1"/>
  <c r="D119" i="1"/>
  <c r="E119" i="1" s="1"/>
  <c r="D140" i="1"/>
  <c r="D132" i="1"/>
  <c r="C30" i="1"/>
  <c r="E118" i="1"/>
  <c r="D125" i="1"/>
  <c r="D109" i="1"/>
  <c r="E109" i="1" s="1"/>
  <c r="D83" i="1"/>
  <c r="D143" i="1"/>
  <c r="D141" i="1"/>
  <c r="D139" i="1"/>
  <c r="D137" i="1"/>
  <c r="E137" i="1" s="1"/>
  <c r="P55" i="1" s="1"/>
  <c r="D135" i="1"/>
  <c r="D133" i="1"/>
  <c r="D131" i="1"/>
  <c r="D129" i="1"/>
  <c r="D127" i="1"/>
  <c r="C125" i="1"/>
  <c r="D126" i="1"/>
  <c r="D111" i="1"/>
  <c r="E111" i="1" s="1"/>
  <c r="C126" i="1"/>
  <c r="D55" i="1"/>
  <c r="O55" i="1" s="1"/>
  <c r="C144" i="1"/>
  <c r="E144" i="1" s="1"/>
  <c r="P62" i="1" s="1"/>
  <c r="C143" i="1"/>
  <c r="C142" i="1"/>
  <c r="E142" i="1" s="1"/>
  <c r="P60" i="1" s="1"/>
  <c r="C141" i="1"/>
  <c r="C140" i="1"/>
  <c r="E140" i="1" s="1"/>
  <c r="P58" i="1" s="1"/>
  <c r="C139" i="1"/>
  <c r="C138" i="1"/>
  <c r="E138" i="1" s="1"/>
  <c r="P56" i="1" s="1"/>
  <c r="C136" i="1"/>
  <c r="E136" i="1" s="1"/>
  <c r="P54" i="1" s="1"/>
  <c r="C135" i="1"/>
  <c r="C134" i="1"/>
  <c r="E134" i="1" s="1"/>
  <c r="P52" i="1" s="1"/>
  <c r="C133" i="1"/>
  <c r="C132" i="1"/>
  <c r="C131" i="1"/>
  <c r="E131" i="1" s="1"/>
  <c r="P49" i="1" s="1"/>
  <c r="C130" i="1"/>
  <c r="E130" i="1" s="1"/>
  <c r="P48" i="1" s="1"/>
  <c r="C129" i="1"/>
  <c r="E129" i="1" s="1"/>
  <c r="P47" i="1" s="1"/>
  <c r="C128" i="1"/>
  <c r="E128" i="1" s="1"/>
  <c r="P46" i="1" s="1"/>
  <c r="C127" i="1"/>
  <c r="D93" i="1"/>
  <c r="E93" i="1" s="1"/>
  <c r="C84" i="1"/>
  <c r="E84" i="1" s="1"/>
  <c r="C94" i="1"/>
  <c r="E94" i="1" s="1"/>
  <c r="D86" i="1"/>
  <c r="E86" i="1" s="1"/>
  <c r="C50" i="1"/>
  <c r="C62" i="1"/>
  <c r="C59" i="1"/>
  <c r="C52" i="1"/>
  <c r="C49" i="1"/>
  <c r="C46" i="1"/>
  <c r="C56" i="1"/>
  <c r="C53" i="1"/>
  <c r="C47" i="1"/>
  <c r="C61" i="1"/>
  <c r="C58" i="1"/>
  <c r="C55" i="1"/>
  <c r="C48" i="1"/>
  <c r="C45" i="1"/>
  <c r="C43" i="1"/>
  <c r="C60" i="1"/>
  <c r="C57" i="1"/>
  <c r="C54" i="1"/>
  <c r="C51" i="1"/>
  <c r="D95" i="1"/>
  <c r="E95" i="1" s="1"/>
  <c r="E83" i="1"/>
  <c r="C35" i="1"/>
  <c r="D102" i="1"/>
  <c r="E102" i="1" s="1"/>
  <c r="D82" i="1"/>
  <c r="E82" i="1" s="1"/>
  <c r="D85" i="1"/>
  <c r="E85" i="1" s="1"/>
  <c r="C42" i="1"/>
  <c r="X40" i="1"/>
  <c r="C34" i="1"/>
  <c r="X32" i="1"/>
  <c r="B25" i="1"/>
  <c r="S50" i="1" s="1"/>
  <c r="C44" i="1"/>
  <c r="X41" i="1"/>
  <c r="X39" i="1"/>
  <c r="X37" i="1"/>
  <c r="X35" i="1"/>
  <c r="X33" i="1"/>
  <c r="X31" i="1"/>
  <c r="S41" i="1"/>
  <c r="E132" i="1" l="1"/>
  <c r="P50" i="1" s="1"/>
  <c r="E133" i="1"/>
  <c r="P51" i="1" s="1"/>
  <c r="T32" i="1"/>
  <c r="E139" i="1"/>
  <c r="P57" i="1" s="1"/>
  <c r="E143" i="1"/>
  <c r="P61" i="1" s="1"/>
  <c r="E125" i="1"/>
  <c r="P43" i="1" s="1"/>
  <c r="E127" i="1"/>
  <c r="P45" i="1" s="1"/>
  <c r="T30" i="1"/>
  <c r="E135" i="1"/>
  <c r="P53" i="1" s="1"/>
  <c r="E141" i="1"/>
  <c r="P59" i="1" s="1"/>
  <c r="T36" i="1"/>
  <c r="T40" i="1"/>
  <c r="E126" i="1"/>
  <c r="P44" i="1" s="1"/>
  <c r="S33" i="1"/>
  <c r="S43" i="1"/>
  <c r="Y31" i="1"/>
  <c r="Y35" i="1"/>
  <c r="Y34" i="1"/>
  <c r="T57" i="1"/>
  <c r="S45" i="1"/>
  <c r="T47" i="1"/>
  <c r="S52" i="1"/>
  <c r="Z33" i="1"/>
  <c r="Z37" i="1"/>
  <c r="Z41" i="1"/>
  <c r="S35" i="1"/>
  <c r="Z43" i="1"/>
  <c r="T44" i="1"/>
  <c r="Y30" i="1"/>
  <c r="Y37" i="1"/>
  <c r="Z42" i="1"/>
  <c r="S34" i="1"/>
  <c r="T34" i="1"/>
  <c r="T38" i="1"/>
  <c r="T42" i="1"/>
  <c r="S37" i="1"/>
  <c r="S32" i="1"/>
  <c r="Y38" i="1"/>
  <c r="Y41" i="1"/>
  <c r="S54" i="1"/>
  <c r="S48" i="1"/>
  <c r="S61" i="1"/>
  <c r="T53" i="1"/>
  <c r="S49" i="1"/>
  <c r="Z31" i="1"/>
  <c r="Z35" i="1"/>
  <c r="Z39" i="1"/>
  <c r="S31" i="1"/>
  <c r="S39" i="1"/>
  <c r="S44" i="1"/>
  <c r="Y40" i="1"/>
  <c r="Y36" i="1"/>
  <c r="Y42" i="1"/>
  <c r="T51" i="1"/>
  <c r="T54" i="1"/>
  <c r="T45" i="1"/>
  <c r="S58" i="1"/>
  <c r="T61" i="1"/>
  <c r="S47" i="1"/>
  <c r="S46" i="1"/>
  <c r="T49" i="1"/>
  <c r="S62" i="1"/>
  <c r="Y44" i="1"/>
  <c r="T37" i="1"/>
  <c r="T33" i="1"/>
  <c r="T41" i="1"/>
  <c r="Z36" i="1"/>
  <c r="Y43" i="1"/>
  <c r="Z30" i="1"/>
  <c r="Z38" i="1"/>
  <c r="S40" i="1"/>
  <c r="Y39" i="1"/>
  <c r="S30" i="1"/>
  <c r="S38" i="1"/>
  <c r="T31" i="1"/>
  <c r="S36" i="1"/>
  <c r="Z44" i="1"/>
  <c r="S51" i="1"/>
  <c r="T60" i="1"/>
  <c r="T55" i="1"/>
  <c r="T58" i="1"/>
  <c r="T56" i="1"/>
  <c r="T46" i="1"/>
  <c r="T59" i="1"/>
  <c r="T62" i="1"/>
  <c r="T50" i="1"/>
  <c r="Z34" i="1"/>
  <c r="S42" i="1"/>
  <c r="Z32" i="1"/>
  <c r="Z40" i="1"/>
  <c r="Y32" i="1"/>
  <c r="Y33" i="1"/>
  <c r="T39" i="1"/>
  <c r="S57" i="1"/>
  <c r="S60" i="1"/>
  <c r="T43" i="1"/>
  <c r="T48" i="1"/>
  <c r="S55" i="1"/>
  <c r="T35" i="1"/>
  <c r="S53" i="1"/>
  <c r="S56" i="1"/>
  <c r="T52" i="1"/>
  <c r="S59" i="1"/>
  <c r="B68" i="1" l="1" a="1"/>
  <c r="B71" i="1" s="1"/>
  <c r="B68" i="1" l="1"/>
  <c r="C71" i="1"/>
  <c r="C68" i="1"/>
  <c r="AC42" i="1" s="1"/>
  <c r="C72" i="1"/>
  <c r="D68" i="1"/>
  <c r="D69" i="1"/>
  <c r="D74" i="1" s="1"/>
  <c r="C70" i="1"/>
  <c r="B70" i="1"/>
  <c r="D72" i="1"/>
  <c r="D70" i="1"/>
  <c r="D71" i="1"/>
  <c r="C69" i="1"/>
  <c r="C74" i="1" s="1"/>
  <c r="B72" i="1"/>
  <c r="B69" i="1"/>
  <c r="B74" i="1" s="1"/>
  <c r="AC32" i="1"/>
  <c r="AB43" i="1"/>
  <c r="AB35" i="1"/>
  <c r="AA37" i="1"/>
  <c r="AA36" i="1"/>
  <c r="AB33" i="1"/>
  <c r="AA34" i="1" l="1"/>
  <c r="AB34" i="1"/>
  <c r="AC37" i="1"/>
  <c r="AA33" i="1"/>
  <c r="AB42" i="1"/>
  <c r="AA31" i="1"/>
  <c r="AC39" i="1"/>
  <c r="AB37" i="1"/>
  <c r="AB41" i="1"/>
  <c r="AA35" i="1"/>
  <c r="AB36" i="1"/>
  <c r="AB32" i="1"/>
  <c r="AB31" i="1"/>
  <c r="AA38" i="1"/>
  <c r="AC43" i="1"/>
  <c r="AA39" i="1"/>
  <c r="AA30" i="1"/>
  <c r="AB40" i="1"/>
  <c r="AA43" i="1"/>
  <c r="AC30" i="1"/>
  <c r="AB44" i="1"/>
  <c r="AC35" i="1"/>
  <c r="AC40" i="1"/>
  <c r="AB30" i="1"/>
  <c r="AB38" i="1"/>
  <c r="AA41" i="1"/>
  <c r="AC33" i="1"/>
  <c r="AC44" i="1"/>
  <c r="AC31" i="1"/>
  <c r="AC36" i="1"/>
  <c r="AA40" i="1"/>
  <c r="AC41" i="1"/>
  <c r="AC38" i="1"/>
  <c r="AA42" i="1"/>
  <c r="AA44" i="1"/>
  <c r="AA32" i="1"/>
  <c r="AC34" i="1"/>
  <c r="AB39" i="1"/>
</calcChain>
</file>

<file path=xl/sharedStrings.xml><?xml version="1.0" encoding="utf-8"?>
<sst xmlns="http://schemas.openxmlformats.org/spreadsheetml/2006/main" count="141" uniqueCount="69">
  <si>
    <r>
      <t>Mg</t>
    </r>
    <r>
      <rPr>
        <b/>
        <vertAlign val="superscript"/>
        <sz val="10"/>
        <rFont val="Arial"/>
        <family val="2"/>
      </rPr>
      <t>2+</t>
    </r>
    <r>
      <rPr>
        <b/>
        <sz val="10"/>
        <rFont val="Arial"/>
        <family val="2"/>
      </rPr>
      <t xml:space="preserve"> + F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 xml:space="preserve"> = MgF</t>
    </r>
    <r>
      <rPr>
        <b/>
        <vertAlign val="superscript"/>
        <sz val="10"/>
        <rFont val="Arial"/>
        <family val="2"/>
      </rPr>
      <t>+</t>
    </r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</si>
  <si>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</si>
  <si>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</si>
  <si>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</si>
  <si>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K</t>
  </si>
  <si>
    <t>ln(10)</t>
  </si>
  <si>
    <t>R ln(10)</t>
  </si>
  <si>
    <t>R T ln(10)</t>
  </si>
  <si>
    <t>calc</t>
  </si>
  <si>
    <t>1 / T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</si>
  <si>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</si>
  <si>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X1</t>
  </si>
  <si>
    <t>X2</t>
  </si>
  <si>
    <t>+</t>
  </si>
  <si>
    <t>-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</si>
  <si>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</si>
  <si>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</si>
  <si>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</si>
  <si>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</si>
  <si>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</si>
  <si>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</si>
  <si>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</si>
  <si>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</si>
  <si>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</si>
  <si>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</si>
  <si>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</si>
  <si>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</si>
  <si>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</si>
  <si>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</si>
  <si>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±</t>
  </si>
  <si>
    <t>Majer &amp; Stulik (1982)</t>
  </si>
  <si>
    <t>Bond &amp; Hefter (1971)</t>
  </si>
  <si>
    <t>Elgquist (1970)</t>
  </si>
  <si>
    <r>
      <t>NaNO</t>
    </r>
    <r>
      <rPr>
        <vertAlign val="subscript"/>
        <sz val="10"/>
        <rFont val="Arial"/>
        <family val="2"/>
      </rPr>
      <t>3</t>
    </r>
  </si>
  <si>
    <r>
      <t>NaClO</t>
    </r>
    <r>
      <rPr>
        <vertAlign val="subscript"/>
        <sz val="10"/>
        <rFont val="Arial"/>
        <family val="2"/>
      </rPr>
      <t>4</t>
    </r>
  </si>
  <si>
    <t>NaCl</t>
  </si>
  <si>
    <t>Tanner et al. (1968)</t>
  </si>
  <si>
    <t>Bilal &amp; Mueller (1992)</t>
  </si>
  <si>
    <t>Gamsjäger et al. (1969)</t>
  </si>
  <si>
    <t>Average:</t>
  </si>
  <si>
    <t>STDEV:</t>
  </si>
  <si>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95%</t>
    </r>
  </si>
  <si>
    <t>Richardson &amp; Holland (1979)</t>
  </si>
  <si>
    <t>Hummel W. &amp; Thoenen T. (2023): The PSI Chemical Thermodynamic Database 2020 (TDB 2020), Nagra Technical Report NTB 21-03</t>
  </si>
  <si>
    <t>References</t>
  </si>
  <si>
    <t>1979RIC/HOL</t>
  </si>
  <si>
    <t>Chapter 4.1.4.1 Magnesium(II) fluoride complexes</t>
  </si>
  <si>
    <t>25°C Data</t>
  </si>
  <si>
    <r>
      <t>MgF</t>
    </r>
    <r>
      <rPr>
        <vertAlign val="superscript"/>
        <sz val="10"/>
        <rFont val="Arial"/>
        <family val="2"/>
      </rPr>
      <t>+</t>
    </r>
  </si>
  <si>
    <t>Least squares regression analysis of experimental data using the three-term temperature equation as described in NTB 21-03 Chapter 1.6.2 Constant heat capacity of reaction</t>
  </si>
  <si>
    <t xml:space="preserve">Tanner, S.P., Walker, J.B. &amp; Choppin, G.R. (1968): Thermodynamic parameters of the alkaline earth monofluorides. J. Inorg. Nucl. Chem., 30, 2067–2070. </t>
  </si>
  <si>
    <t>1968TAN/WAL</t>
  </si>
  <si>
    <t>Gamsjäger, H., Schindler, P. &amp; Kleinert, B. (1969): Potentiometrische Untersuchung der Komplexbildung im System Mg2+ – F– – H2O. Chimia, 23, 229–230.</t>
  </si>
  <si>
    <t>1969GAM/SCH</t>
  </si>
  <si>
    <t>Elgquist, B. (1970): Determination of the stability constants of MgF+ and CaF+ using a fluoride ion selective electrode. J. Inorg. Nucl. Chem., 32, 937–944.</t>
  </si>
  <si>
    <t>1970ELQ</t>
  </si>
  <si>
    <t>Bond, A.M. &amp; Hefter, G. (1971): Use of the fluoride ion-selective electrode for the detection of weak fluoride complexes. J. Inorg. Nucl. Chem., 33, 429–434.</t>
  </si>
  <si>
    <t>1971BON/HEF</t>
  </si>
  <si>
    <t>Richardson, C.K. &amp; Holland, H.D. (1979): The solubility of fluorite in hydrothermal solutions, an experimental study. Geochim. Cosmochim. Acta, 43, 1313–1325.</t>
  </si>
  <si>
    <t>Majer, V. &amp; Štulĭk, K. (1982): A study of the stability of alkaline-earth metal complexes with fluoride and chloride ions at various temperatures by potentiometry with ion-selective electrodes. Talanta, 29, 145–148.</t>
  </si>
  <si>
    <t>1982MAJ/STU</t>
  </si>
  <si>
    <t>Bilal, B.A. &amp; Müller, E. (1992): Potentiometric study of magnesium fluoro complexes in aqueous solutions up to 473 K and 1 kbar. Zeitschrift für Naturforschung, 47a, 1034–1038.</t>
  </si>
  <si>
    <t>1992BIL/MUL</t>
  </si>
  <si>
    <t>doi:10.1016/0022-1902(68)80198-8</t>
  </si>
  <si>
    <t>doi:10.1016/0022-1902(70)80072-0</t>
  </si>
  <si>
    <t>doi:10.1016/0022-1902(71)80385-8</t>
  </si>
  <si>
    <t>doi:10.1016/0016-7037(79)90121-2</t>
  </si>
  <si>
    <t>doi:10.1016/0039-9140(82)80039-8</t>
  </si>
  <si>
    <t>doi:10.1515/zna-1992-1005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</si>
</sst>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6" fillId="0" borderId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 applyAlignment="1">
      <alignment horizontal="center"/>
    </xf>
    <xf numFmtId="164" fontId="0" fillId="0" borderId="0" xfId="0" applyNumberFormat="1"/>
    <xf numFmtId="0" fontId="6" fillId="0" borderId="0" xfId="1" applyFont="1" applyAlignment="1">
      <alignment horizontal="right"/>
    </xf>
    <xf numFmtId="0" fontId="0" fillId="0" borderId="0" xfId="0" applyAlignment="1">
      <alignment horizontal="right"/>
    </xf>
    <xf numFmtId="0" fontId="7" fillId="0" borderId="0" xfId="2" applyFont="1" applyAlignment="1">
      <alignment horizontal="right"/>
    </xf>
    <xf numFmtId="0" fontId="3" fillId="0" borderId="0" xfId="1"/>
    <xf numFmtId="0" fontId="10" fillId="0" borderId="0" xfId="2" applyFont="1" applyAlignment="1">
      <alignment horizontal="right"/>
    </xf>
    <xf numFmtId="0" fontId="9" fillId="0" borderId="0" xfId="2" applyFont="1" applyAlignment="1">
      <alignment horizontal="right"/>
    </xf>
    <xf numFmtId="0" fontId="7" fillId="0" borderId="0" xfId="2" applyFont="1"/>
    <xf numFmtId="0" fontId="6" fillId="0" borderId="0" xfId="0" applyFont="1" applyAlignment="1">
      <alignment horizontal="center"/>
    </xf>
    <xf numFmtId="165" fontId="5" fillId="0" borderId="0" xfId="0" applyNumberFormat="1" applyFont="1"/>
    <xf numFmtId="0" fontId="3" fillId="0" borderId="0" xfId="0" quotePrefix="1" applyFont="1"/>
    <xf numFmtId="164" fontId="5" fillId="0" borderId="0" xfId="0" applyNumberFormat="1" applyFont="1"/>
    <xf numFmtId="0" fontId="15" fillId="0" borderId="0" xfId="0" applyFont="1"/>
    <xf numFmtId="0" fontId="4" fillId="0" borderId="0" xfId="0" applyFont="1" applyAlignment="1">
      <alignment horizontal="center"/>
    </xf>
    <xf numFmtId="0" fontId="17" fillId="0" borderId="0" xfId="3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62403697996918"/>
          <c:y val="3.7037037037037035E-2"/>
          <c:w val="0.80893682588597848"/>
          <c:h val="0.82788671023965144"/>
        </c:manualLayout>
      </c:layout>
      <c:scatterChart>
        <c:scatterStyle val="smoothMarker"/>
        <c:varyColors val="0"/>
        <c:ser>
          <c:idx val="8"/>
          <c:order val="0"/>
          <c:tx>
            <c:v>Bilal &amp; Müller (1992)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MgF!$P$43:$P$62</c:f>
                <c:numCache>
                  <c:formatCode>General</c:formatCode>
                  <c:ptCount val="20"/>
                  <c:pt idx="0">
                    <c:v>4.3905485699081703E-2</c:v>
                  </c:pt>
                  <c:pt idx="1">
                    <c:v>3.2638412629356628E-2</c:v>
                  </c:pt>
                  <c:pt idx="2">
                    <c:v>3.4349474891445686E-2</c:v>
                  </c:pt>
                  <c:pt idx="3">
                    <c:v>3.1484396497976075E-2</c:v>
                  </c:pt>
                  <c:pt idx="4">
                    <c:v>3.3531334006673186E-2</c:v>
                  </c:pt>
                  <c:pt idx="5">
                    <c:v>2.5038315240854425E-2</c:v>
                  </c:pt>
                  <c:pt idx="6">
                    <c:v>2.7510693143777409E-2</c:v>
                  </c:pt>
                  <c:pt idx="7">
                    <c:v>3.1764140604054525E-2</c:v>
                  </c:pt>
                  <c:pt idx="8">
                    <c:v>3.5074211541708866E-2</c:v>
                  </c:pt>
                  <c:pt idx="9">
                    <c:v>3.8629402356130882E-2</c:v>
                  </c:pt>
                  <c:pt idx="10">
                    <c:v>3.4013028958500557E-2</c:v>
                  </c:pt>
                  <c:pt idx="11">
                    <c:v>3.7788560889399747E-2</c:v>
                  </c:pt>
                  <c:pt idx="12">
                    <c:v>3.3076458801586162E-2</c:v>
                  </c:pt>
                  <c:pt idx="13">
                    <c:v>4.5984810367960316E-2</c:v>
                  </c:pt>
                  <c:pt idx="14">
                    <c:v>3.9126911661661934E-2</c:v>
                  </c:pt>
                  <c:pt idx="15">
                    <c:v>3.9993989965660282E-2</c:v>
                  </c:pt>
                  <c:pt idx="16">
                    <c:v>3.9211079298138163E-2</c:v>
                  </c:pt>
                  <c:pt idx="17">
                    <c:v>5.3013096289160178E-2</c:v>
                  </c:pt>
                  <c:pt idx="18">
                    <c:v>5.7079301823615758E-2</c:v>
                  </c:pt>
                  <c:pt idx="19">
                    <c:v>6.0164429694348209E-2</c:v>
                  </c:pt>
                </c:numCache>
              </c:numRef>
            </c:plus>
            <c:minus>
              <c:numRef>
                <c:f>MgF!$P$43:$P$62</c:f>
                <c:numCache>
                  <c:formatCode>General</c:formatCode>
                  <c:ptCount val="20"/>
                  <c:pt idx="0">
                    <c:v>4.3905485699081703E-2</c:v>
                  </c:pt>
                  <c:pt idx="1">
                    <c:v>3.2638412629356628E-2</c:v>
                  </c:pt>
                  <c:pt idx="2">
                    <c:v>3.4349474891445686E-2</c:v>
                  </c:pt>
                  <c:pt idx="3">
                    <c:v>3.1484396497976075E-2</c:v>
                  </c:pt>
                  <c:pt idx="4">
                    <c:v>3.3531334006673186E-2</c:v>
                  </c:pt>
                  <c:pt idx="5">
                    <c:v>2.5038315240854425E-2</c:v>
                  </c:pt>
                  <c:pt idx="6">
                    <c:v>2.7510693143777409E-2</c:v>
                  </c:pt>
                  <c:pt idx="7">
                    <c:v>3.1764140604054525E-2</c:v>
                  </c:pt>
                  <c:pt idx="8">
                    <c:v>3.5074211541708866E-2</c:v>
                  </c:pt>
                  <c:pt idx="9">
                    <c:v>3.8629402356130882E-2</c:v>
                  </c:pt>
                  <c:pt idx="10">
                    <c:v>3.4013028958500557E-2</c:v>
                  </c:pt>
                  <c:pt idx="11">
                    <c:v>3.7788560889399747E-2</c:v>
                  </c:pt>
                  <c:pt idx="12">
                    <c:v>3.3076458801586162E-2</c:v>
                  </c:pt>
                  <c:pt idx="13">
                    <c:v>4.5984810367960316E-2</c:v>
                  </c:pt>
                  <c:pt idx="14">
                    <c:v>3.9126911661661934E-2</c:v>
                  </c:pt>
                  <c:pt idx="15">
                    <c:v>3.9993989965660282E-2</c:v>
                  </c:pt>
                  <c:pt idx="16">
                    <c:v>3.9211079298138163E-2</c:v>
                  </c:pt>
                  <c:pt idx="17">
                    <c:v>5.3013096289160178E-2</c:v>
                  </c:pt>
                  <c:pt idx="18">
                    <c:v>5.7079301823615758E-2</c:v>
                  </c:pt>
                  <c:pt idx="19">
                    <c:v>6.0164429694348209E-2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MgF!$A$43:$A$62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MgF!$O$43:$O$62</c:f>
              <c:numCache>
                <c:formatCode>0.000</c:formatCode>
                <c:ptCount val="20"/>
                <c:pt idx="0">
                  <c:v>1.2966651902615312</c:v>
                </c:pt>
                <c:pt idx="1">
                  <c:v>1.3283796034387378</c:v>
                </c:pt>
                <c:pt idx="2">
                  <c:v>1.403120521175818</c:v>
                </c:pt>
                <c:pt idx="3">
                  <c:v>1.4409090820652177</c:v>
                </c:pt>
                <c:pt idx="4">
                  <c:v>1.4927603890268375</c:v>
                </c:pt>
                <c:pt idx="5">
                  <c:v>1.5403294747908738</c:v>
                </c:pt>
                <c:pt idx="6">
                  <c:v>1.5786392099680724</c:v>
                </c:pt>
                <c:pt idx="7">
                  <c:v>1.5831987739686226</c:v>
                </c:pt>
                <c:pt idx="8">
                  <c:v>1.6493348587121419</c:v>
                </c:pt>
                <c:pt idx="9">
                  <c:v>1.6946051989335686</c:v>
                </c:pt>
                <c:pt idx="10">
                  <c:v>1.7084209001347128</c:v>
                </c:pt>
                <c:pt idx="11">
                  <c:v>1.741939077729199</c:v>
                </c:pt>
                <c:pt idx="12">
                  <c:v>1.761927838420529</c:v>
                </c:pt>
                <c:pt idx="13">
                  <c:v>1.7817553746524688</c:v>
                </c:pt>
                <c:pt idx="14">
                  <c:v>1.7937903846908188</c:v>
                </c:pt>
                <c:pt idx="15">
                  <c:v>1.8142475957319202</c:v>
                </c:pt>
                <c:pt idx="16">
                  <c:v>1.8228216453031045</c:v>
                </c:pt>
                <c:pt idx="17">
                  <c:v>1.8382192219076259</c:v>
                </c:pt>
                <c:pt idx="18">
                  <c:v>1.8457180179666586</c:v>
                </c:pt>
                <c:pt idx="19">
                  <c:v>1.8591382972945307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67-4F1A-AD17-94858AE63218}"/>
            </c:ext>
          </c:extLst>
        </c:ser>
        <c:ser>
          <c:idx val="0"/>
          <c:order val="1"/>
          <c:tx>
            <c:v>Majer &amp; Stulik (1982)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MgF!$F$30:$F$34</c:f>
                <c:numCache>
                  <c:formatCode>General</c:formatCode>
                  <c:ptCount val="5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</c:numCache>
              </c:numRef>
            </c:plus>
            <c:minus>
              <c:numRef>
                <c:f>MgF!$F$30:$F$34</c:f>
                <c:numCache>
                  <c:formatCode>General</c:formatCode>
                  <c:ptCount val="5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MgF!$A$30:$A$41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MgF!$E$30:$E$41</c:f>
              <c:numCache>
                <c:formatCode>0.00</c:formatCode>
                <c:ptCount val="12"/>
                <c:pt idx="0">
                  <c:v>1.31</c:v>
                </c:pt>
                <c:pt idx="1">
                  <c:v>1.35</c:v>
                </c:pt>
                <c:pt idx="2">
                  <c:v>1.44</c:v>
                </c:pt>
                <c:pt idx="3">
                  <c:v>1.54</c:v>
                </c:pt>
                <c:pt idx="4">
                  <c:v>1.64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67-4F1A-AD17-94858AE63218}"/>
            </c:ext>
          </c:extLst>
        </c:ser>
        <c:ser>
          <c:idx val="7"/>
          <c:order val="2"/>
          <c:tx>
            <c:v>Richardson &amp; Holland (1979)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MgF!$N$29:$N$42</c:f>
                <c:numCache>
                  <c:formatCode>General</c:formatCode>
                  <c:ptCount val="14"/>
                  <c:pt idx="0">
                    <c:v>0</c:v>
                  </c:pt>
                  <c:pt idx="13">
                    <c:v>0.06</c:v>
                  </c:pt>
                </c:numCache>
              </c:numRef>
            </c:plus>
            <c:minus>
              <c:numRef>
                <c:f>MgF!$N$29:$N$42</c:f>
                <c:numCache>
                  <c:formatCode>General</c:formatCode>
                  <c:ptCount val="14"/>
                  <c:pt idx="0">
                    <c:v>0</c:v>
                  </c:pt>
                  <c:pt idx="13">
                    <c:v>0.06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MgF!$A$30:$A$42</c:f>
              <c:numCache>
                <c:formatCode>General</c:formatCode>
                <c:ptCount val="13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  <c:pt idx="12">
                  <c:v>200</c:v>
                </c:pt>
              </c:numCache>
            </c:numRef>
          </c:xVal>
          <c:yVal>
            <c:numRef>
              <c:f>MgF!$M$30:$M$42</c:f>
              <c:numCache>
                <c:formatCode>General</c:formatCode>
                <c:ptCount val="13"/>
                <c:pt idx="12" formatCode="0.00">
                  <c:v>1.85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67-4F1A-AD17-94858AE63218}"/>
            </c:ext>
          </c:extLst>
        </c:ser>
        <c:ser>
          <c:idx val="1"/>
          <c:order val="3"/>
          <c:tx>
            <c:v>Bond &amp; Hefter (1971)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C0C0C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MgF!$H$29:$H$37</c:f>
                <c:numCache>
                  <c:formatCode>General</c:formatCode>
                  <c:ptCount val="9"/>
                  <c:pt idx="0">
                    <c:v>0</c:v>
                  </c:pt>
                  <c:pt idx="6">
                    <c:v>0.06</c:v>
                  </c:pt>
                  <c:pt idx="7">
                    <c:v>0.04</c:v>
                  </c:pt>
                  <c:pt idx="8">
                    <c:v>0.04</c:v>
                  </c:pt>
                </c:numCache>
              </c:numRef>
            </c:plus>
            <c:minus>
              <c:numRef>
                <c:f>MgF!$H$29:$H$37</c:f>
                <c:numCache>
                  <c:formatCode>General</c:formatCode>
                  <c:ptCount val="9"/>
                  <c:pt idx="0">
                    <c:v>0</c:v>
                  </c:pt>
                  <c:pt idx="6">
                    <c:v>0.06</c:v>
                  </c:pt>
                  <c:pt idx="7">
                    <c:v>0.04</c:v>
                  </c:pt>
                  <c:pt idx="8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MgF!$A$30:$A$41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MgF!$G$30:$G$41</c:f>
              <c:numCache>
                <c:formatCode>General</c:formatCode>
                <c:ptCount val="12"/>
                <c:pt idx="5" formatCode="0.00">
                  <c:v>1.23</c:v>
                </c:pt>
                <c:pt idx="6" formatCode="0.00">
                  <c:v>1.38</c:v>
                </c:pt>
                <c:pt idx="7" formatCode="0.00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67-4F1A-AD17-94858AE63218}"/>
            </c:ext>
          </c:extLst>
        </c:ser>
        <c:ser>
          <c:idx val="6"/>
          <c:order val="4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MgF!$J$38</c:f>
                <c:numCache>
                  <c:formatCode>General</c:formatCode>
                  <c:ptCount val="1"/>
                  <c:pt idx="0">
                    <c:v>0.04</c:v>
                  </c:pt>
                </c:numCache>
              </c:numRef>
            </c:plus>
            <c:minus>
              <c:numRef>
                <c:f>MgF!$J$38</c:f>
                <c:numCache>
                  <c:formatCode>General</c:formatCode>
                  <c:ptCount val="1"/>
                  <c:pt idx="0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MgF!$A$30:$A$41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MgF!$I$30:$I$41</c:f>
              <c:numCache>
                <c:formatCode>General</c:formatCode>
                <c:ptCount val="12"/>
                <c:pt idx="8" formatCode="0.00">
                  <c:v>1.27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67-4F1A-AD17-94858AE63218}"/>
            </c:ext>
          </c:extLst>
        </c:ser>
        <c:ser>
          <c:idx val="9"/>
          <c:order val="5"/>
          <c:tx>
            <c:v>Gamsjäger et al. (1969)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MgF!$A$63</c:f>
              <c:numCache>
                <c:formatCode>General</c:formatCode>
                <c:ptCount val="1"/>
                <c:pt idx="0">
                  <c:v>25</c:v>
                </c:pt>
              </c:numCache>
            </c:numRef>
          </c:xVal>
          <c:yVal>
            <c:numRef>
              <c:f>MgF!$Q$63</c:f>
              <c:numCache>
                <c:formatCode>General</c:formatCode>
                <c:ptCount val="1"/>
                <c:pt idx="0">
                  <c:v>1.31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67-4F1A-AD17-94858AE63218}"/>
            </c:ext>
          </c:extLst>
        </c:ser>
        <c:ser>
          <c:idx val="2"/>
          <c:order val="6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MgF!$L$29:$L$41</c:f>
                <c:numCache>
                  <c:formatCode>General</c:formatCode>
                  <c:ptCount val="13"/>
                  <c:pt idx="0">
                    <c:v>0</c:v>
                  </c:pt>
                  <c:pt idx="10">
                    <c:v>0.04</c:v>
                  </c:pt>
                  <c:pt idx="11">
                    <c:v>0.04</c:v>
                  </c:pt>
                  <c:pt idx="12">
                    <c:v>0.04</c:v>
                  </c:pt>
                </c:numCache>
              </c:numRef>
            </c:plus>
            <c:minus>
              <c:numRef>
                <c:f>MgF!$L$29:$L$41</c:f>
                <c:numCache>
                  <c:formatCode>General</c:formatCode>
                  <c:ptCount val="13"/>
                  <c:pt idx="0">
                    <c:v>0</c:v>
                  </c:pt>
                  <c:pt idx="10">
                    <c:v>0.04</c:v>
                  </c:pt>
                  <c:pt idx="11">
                    <c:v>0.04</c:v>
                  </c:pt>
                  <c:pt idx="12">
                    <c:v>0.04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MgF!$A$30:$A$41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2</c:v>
                </c:pt>
                <c:pt idx="6">
                  <c:v>25</c:v>
                </c:pt>
                <c:pt idx="7">
                  <c:v>35</c:v>
                </c:pt>
                <c:pt idx="8">
                  <c:v>25</c:v>
                </c:pt>
                <c:pt idx="9">
                  <c:v>2</c:v>
                </c:pt>
                <c:pt idx="10">
                  <c:v>25</c:v>
                </c:pt>
                <c:pt idx="11">
                  <c:v>39</c:v>
                </c:pt>
              </c:numCache>
            </c:numRef>
          </c:xVal>
          <c:yVal>
            <c:numRef>
              <c:f>MgF!$K$30:$K$41</c:f>
              <c:numCache>
                <c:formatCode>General</c:formatCode>
                <c:ptCount val="12"/>
                <c:pt idx="9" formatCode="0.00">
                  <c:v>1.1499999999999999</c:v>
                </c:pt>
                <c:pt idx="10" formatCode="0.00">
                  <c:v>1.32</c:v>
                </c:pt>
                <c:pt idx="11" formatCode="0.00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67-4F1A-AD17-94858AE63218}"/>
            </c:ext>
          </c:extLst>
        </c:ser>
        <c:ser>
          <c:idx val="3"/>
          <c:order val="7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MgF!$V$30:$V$65</c:f>
              <c:numCache>
                <c:formatCode>General</c:formatCode>
                <c:ptCount val="3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125</c:v>
                </c:pt>
                <c:pt idx="12">
                  <c:v>150</c:v>
                </c:pt>
                <c:pt idx="13">
                  <c:v>175</c:v>
                </c:pt>
                <c:pt idx="14">
                  <c:v>202</c:v>
                </c:pt>
              </c:numCache>
            </c:numRef>
          </c:xVal>
          <c:yVal>
            <c:numRef>
              <c:f>MgF!$AA$30:$AA$65</c:f>
              <c:numCache>
                <c:formatCode>0.000</c:formatCode>
                <c:ptCount val="36"/>
                <c:pt idx="0">
                  <c:v>1.1638183447128272</c:v>
                </c:pt>
                <c:pt idx="1">
                  <c:v>1.1945595566730991</c:v>
                </c:pt>
                <c:pt idx="2">
                  <c:v>1.231309536014789</c:v>
                </c:pt>
                <c:pt idx="3">
                  <c:v>1.2662953905339511</c:v>
                </c:pt>
                <c:pt idx="4">
                  <c:v>1.2996157245644631</c:v>
                </c:pt>
                <c:pt idx="5">
                  <c:v>1.3313622483637177</c:v>
                </c:pt>
                <c:pt idx="6">
                  <c:v>1.3616203604899944</c:v>
                </c:pt>
                <c:pt idx="7">
                  <c:v>1.4179844830626926</c:v>
                </c:pt>
                <c:pt idx="8">
                  <c:v>1.4692837560504184</c:v>
                </c:pt>
                <c:pt idx="9">
                  <c:v>1.5785279505500427</c:v>
                </c:pt>
                <c:pt idx="10">
                  <c:v>1.6654540286800448</c:v>
                </c:pt>
                <c:pt idx="11">
                  <c:v>1.7347490617386048</c:v>
                </c:pt>
                <c:pt idx="12">
                  <c:v>1.7899352686294405</c:v>
                </c:pt>
                <c:pt idx="13">
                  <c:v>1.8337045174595803</c:v>
                </c:pt>
                <c:pt idx="14">
                  <c:v>1.870548660026309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567-4F1A-AD17-94858AE63218}"/>
            </c:ext>
          </c:extLst>
        </c:ser>
        <c:ser>
          <c:idx val="4"/>
          <c:order val="8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MgF!$V$30:$V$65</c:f>
              <c:numCache>
                <c:formatCode>General</c:formatCode>
                <c:ptCount val="3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125</c:v>
                </c:pt>
                <c:pt idx="12">
                  <c:v>150</c:v>
                </c:pt>
                <c:pt idx="13">
                  <c:v>175</c:v>
                </c:pt>
                <c:pt idx="14">
                  <c:v>202</c:v>
                </c:pt>
              </c:numCache>
            </c:numRef>
          </c:xVal>
          <c:yVal>
            <c:numRef>
              <c:f>MgF!$AB$30:$AB$65</c:f>
              <c:numCache>
                <c:formatCode>0.000</c:formatCode>
                <c:ptCount val="36"/>
                <c:pt idx="0">
                  <c:v>1.2277741015316035</c:v>
                </c:pt>
                <c:pt idx="1">
                  <c:v>1.256215604840996</c:v>
                </c:pt>
                <c:pt idx="2">
                  <c:v>1.2900735126069085</c:v>
                </c:pt>
                <c:pt idx="3">
                  <c:v>1.3221508207181998</c:v>
                </c:pt>
                <c:pt idx="4">
                  <c:v>1.3525489695660309</c:v>
                </c:pt>
                <c:pt idx="5">
                  <c:v>1.3813622483637178</c:v>
                </c:pt>
                <c:pt idx="6">
                  <c:v>1.4145623189446115</c:v>
                </c:pt>
                <c:pt idx="7">
                  <c:v>1.4768281471049725</c:v>
                </c:pt>
                <c:pt idx="8">
                  <c:v>1.5340407313252407</c:v>
                </c:pt>
                <c:pt idx="9">
                  <c:v>1.6580429410523485</c:v>
                </c:pt>
                <c:pt idx="10">
                  <c:v>1.7595855512477385</c:v>
                </c:pt>
                <c:pt idx="11">
                  <c:v>1.8432668216699641</c:v>
                </c:pt>
                <c:pt idx="12">
                  <c:v>1.9125548200227611</c:v>
                </c:pt>
                <c:pt idx="13">
                  <c:v>1.9701099619416105</c:v>
                </c:pt>
                <c:pt idx="14">
                  <c:v>2.0214693438992408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67-4F1A-AD17-94858AE63218}"/>
            </c:ext>
          </c:extLst>
        </c:ser>
        <c:ser>
          <c:idx val="5"/>
          <c:order val="9"/>
          <c:spPr>
            <a:ln w="25400">
              <a:solidFill>
                <a:srgbClr val="000000"/>
              </a:solidFill>
              <a:prstDash val="sysDot"/>
            </a:ln>
          </c:spPr>
          <c:marker>
            <c:symbol val="none"/>
          </c:marker>
          <c:xVal>
            <c:numRef>
              <c:f>MgF!$V$30:$V$65</c:f>
              <c:numCache>
                <c:formatCode>General</c:formatCode>
                <c:ptCount val="3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  <c:pt idx="11">
                  <c:v>125</c:v>
                </c:pt>
                <c:pt idx="12">
                  <c:v>150</c:v>
                </c:pt>
                <c:pt idx="13">
                  <c:v>175</c:v>
                </c:pt>
                <c:pt idx="14">
                  <c:v>202</c:v>
                </c:pt>
              </c:numCache>
            </c:numRef>
          </c:xVal>
          <c:yVal>
            <c:numRef>
              <c:f>MgF!$AC$30:$AC$65</c:f>
              <c:numCache>
                <c:formatCode>0.000</c:formatCode>
                <c:ptCount val="36"/>
                <c:pt idx="0">
                  <c:v>1.0998625878940507</c:v>
                </c:pt>
                <c:pt idx="1">
                  <c:v>1.1329035085052022</c:v>
                </c:pt>
                <c:pt idx="2">
                  <c:v>1.1725455594226695</c:v>
                </c:pt>
                <c:pt idx="3">
                  <c:v>1.2104399603497025</c:v>
                </c:pt>
                <c:pt idx="4">
                  <c:v>1.2466824795628955</c:v>
                </c:pt>
                <c:pt idx="5">
                  <c:v>1.2813622483637177</c:v>
                </c:pt>
                <c:pt idx="6">
                  <c:v>1.3086784020353772</c:v>
                </c:pt>
                <c:pt idx="7">
                  <c:v>1.3591408190204128</c:v>
                </c:pt>
                <c:pt idx="8">
                  <c:v>1.4045267807755961</c:v>
                </c:pt>
                <c:pt idx="9">
                  <c:v>1.4990129600477371</c:v>
                </c:pt>
                <c:pt idx="10">
                  <c:v>1.5713225061123515</c:v>
                </c:pt>
                <c:pt idx="11">
                  <c:v>1.6262313018072452</c:v>
                </c:pt>
                <c:pt idx="12">
                  <c:v>1.6673157172361193</c:v>
                </c:pt>
                <c:pt idx="13">
                  <c:v>1.6972990729775501</c:v>
                </c:pt>
                <c:pt idx="14">
                  <c:v>1.7196279761533775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567-4F1A-AD17-94858AE6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84064"/>
        <c:axId val="153385984"/>
      </c:scatterChart>
      <c:valAx>
        <c:axId val="153384064"/>
        <c:scaling>
          <c:orientation val="minMax"/>
          <c:max val="20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Calibri"/>
                    <a:cs typeface="Times New Roman" panose="02020603050405020304" pitchFamily="18" charset="0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 [°C]</a:t>
                </a:r>
              </a:p>
            </c:rich>
          </c:tx>
          <c:layout>
            <c:manualLayout>
              <c:xMode val="edge"/>
              <c:yMode val="edge"/>
              <c:x val="0.51155624036979974"/>
              <c:y val="0.9193899782135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3385984"/>
        <c:crossesAt val="-14"/>
        <c:crossBetween val="midCat"/>
        <c:majorUnit val="25"/>
      </c:valAx>
      <c:valAx>
        <c:axId val="153385984"/>
        <c:scaling>
          <c:orientation val="minMax"/>
          <c:max val="2.1"/>
          <c:min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CH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de-CH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de-CH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</c:rich>
          </c:tx>
          <c:layout>
            <c:manualLayout>
              <c:xMode val="edge"/>
              <c:yMode val="edge"/>
              <c:x val="1.6949152542372881E-2"/>
              <c:y val="0.39869281045751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3384064"/>
        <c:crosses val="autoZero"/>
        <c:crossBetween val="midCat"/>
        <c:majorUnit val="0.1"/>
        <c:minorUnit val="5.000000000000001E-2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3158705701078579"/>
          <c:y val="0.54030501089324623"/>
          <c:w val="0.4206471494607088"/>
          <c:h val="0.31372549019607843"/>
        </c:manualLayout>
      </c:layout>
      <c:overlay val="0"/>
      <c:spPr>
        <a:noFill/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41477391726713"/>
          <c:y val="3.255813953488372E-2"/>
          <c:w val="0.82893431190371147"/>
          <c:h val="0.8071822449638590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MgF!$C$30:$C$41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MgF!$E$30:$E$41</c:f>
              <c:numCache>
                <c:formatCode>0.00</c:formatCode>
                <c:ptCount val="12"/>
                <c:pt idx="0">
                  <c:v>1.31</c:v>
                </c:pt>
                <c:pt idx="1">
                  <c:v>1.35</c:v>
                </c:pt>
                <c:pt idx="2">
                  <c:v>1.44</c:v>
                </c:pt>
                <c:pt idx="3">
                  <c:v>1.54</c:v>
                </c:pt>
                <c:pt idx="4">
                  <c:v>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6-479D-A74F-9004AABABAF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2060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MgF!$C$30:$C$41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MgF!$G$30:$G$41</c:f>
              <c:numCache>
                <c:formatCode>General</c:formatCode>
                <c:ptCount val="12"/>
                <c:pt idx="5" formatCode="0.00">
                  <c:v>1.23</c:v>
                </c:pt>
                <c:pt idx="6" formatCode="0.00">
                  <c:v>1.38</c:v>
                </c:pt>
                <c:pt idx="7" formatCode="0.00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46-479D-A74F-9004AABABAF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969696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MgF!$C$30:$C$41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MgF!$K$30:$K$41</c:f>
              <c:numCache>
                <c:formatCode>General</c:formatCode>
                <c:ptCount val="12"/>
                <c:pt idx="9" formatCode="0.00">
                  <c:v>1.1499999999999999</c:v>
                </c:pt>
                <c:pt idx="10" formatCode="0.00">
                  <c:v>1.32</c:v>
                </c:pt>
                <c:pt idx="11" formatCode="0.00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46-479D-A74F-9004AABABAF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x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MgF!$C$30:$C$41</c:f>
              <c:numCache>
                <c:formatCode>General</c:formatCode>
                <c:ptCount val="12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</c:numCache>
            </c:numRef>
          </c:xVal>
          <c:yVal>
            <c:numRef>
              <c:f>MgF!$I$30:$I$41</c:f>
              <c:numCache>
                <c:formatCode>General</c:formatCode>
                <c:ptCount val="12"/>
                <c:pt idx="8" formatCode="0.00">
                  <c:v>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46-479D-A74F-9004AABABAF2}"/>
            </c:ext>
          </c:extLst>
        </c:ser>
        <c:ser>
          <c:idx val="4"/>
          <c:order val="4"/>
          <c:spPr>
            <a:ln w="28575">
              <a:noFill/>
            </a:ln>
          </c:spPr>
          <c:marker>
            <c:symbol val="star"/>
            <c:size val="5"/>
            <c:spPr>
              <a:solidFill>
                <a:srgbClr val="33CCCC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MgF!$C$30:$C$42</c:f>
              <c:numCache>
                <c:formatCode>General</c:formatCode>
                <c:ptCount val="13"/>
                <c:pt idx="0">
                  <c:v>3.4704147145583901E-3</c:v>
                </c:pt>
                <c:pt idx="1">
                  <c:v>3.3540164346805303E-3</c:v>
                </c:pt>
                <c:pt idx="2">
                  <c:v>3.1431714600031434E-3</c:v>
                </c:pt>
                <c:pt idx="3">
                  <c:v>2.9572674848440043E-3</c:v>
                </c:pt>
                <c:pt idx="4">
                  <c:v>2.7921262041044259E-3</c:v>
                </c:pt>
                <c:pt idx="5">
                  <c:v>3.6343812465927678E-3</c:v>
                </c:pt>
                <c:pt idx="6">
                  <c:v>3.3540164346805303E-3</c:v>
                </c:pt>
                <c:pt idx="7">
                  <c:v>3.2451728054518907E-3</c:v>
                </c:pt>
                <c:pt idx="8">
                  <c:v>3.3540164346805303E-3</c:v>
                </c:pt>
                <c:pt idx="9">
                  <c:v>3.6343812465927678E-3</c:v>
                </c:pt>
                <c:pt idx="10">
                  <c:v>3.3540164346805303E-3</c:v>
                </c:pt>
                <c:pt idx="11">
                  <c:v>3.2035880185808108E-3</c:v>
                </c:pt>
                <c:pt idx="12">
                  <c:v>2.1134946634259748E-3</c:v>
                </c:pt>
              </c:numCache>
            </c:numRef>
          </c:xVal>
          <c:yVal>
            <c:numRef>
              <c:f>MgF!$M$30:$M$42</c:f>
              <c:numCache>
                <c:formatCode>General</c:formatCode>
                <c:ptCount val="13"/>
                <c:pt idx="12" formatCode="0.00">
                  <c:v>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46-479D-A74F-9004AABABAF2}"/>
            </c:ext>
          </c:extLst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MgF!$X$30:$X$65</c:f>
              <c:numCache>
                <c:formatCode>General</c:formatCode>
                <c:ptCount val="36"/>
                <c:pt idx="0">
                  <c:v>3.6476381542950944E-3</c:v>
                </c:pt>
                <c:pt idx="1">
                  <c:v>3.5951824555096176E-3</c:v>
                </c:pt>
                <c:pt idx="2">
                  <c:v>3.5316969803990822E-3</c:v>
                </c:pt>
                <c:pt idx="3">
                  <c:v>3.4704147145583901E-3</c:v>
                </c:pt>
                <c:pt idx="4">
                  <c:v>3.4112229234180458E-3</c:v>
                </c:pt>
                <c:pt idx="5">
                  <c:v>3.3540164346805303E-3</c:v>
                </c:pt>
                <c:pt idx="6">
                  <c:v>3.298697014679202E-3</c:v>
                </c:pt>
                <c:pt idx="7">
                  <c:v>3.1933578157432542E-3</c:v>
                </c:pt>
                <c:pt idx="8">
                  <c:v>3.0945381401825778E-3</c:v>
                </c:pt>
                <c:pt idx="9">
                  <c:v>2.8723251472066642E-3</c:v>
                </c:pt>
                <c:pt idx="10">
                  <c:v>2.6798874447273215E-3</c:v>
                </c:pt>
                <c:pt idx="11">
                  <c:v>2.511616225040814E-3</c:v>
                </c:pt>
                <c:pt idx="12">
                  <c:v>2.3632281696797826E-3</c:v>
                </c:pt>
                <c:pt idx="13">
                  <c:v>2.2313957380341405E-3</c:v>
                </c:pt>
                <c:pt idx="14">
                  <c:v>2.1045985478270021E-3</c:v>
                </c:pt>
              </c:numCache>
            </c:numRef>
          </c:xVal>
          <c:yVal>
            <c:numRef>
              <c:f>MgF!$AA$30:$AA$65</c:f>
              <c:numCache>
                <c:formatCode>0.000</c:formatCode>
                <c:ptCount val="36"/>
                <c:pt idx="0">
                  <c:v>1.1638183447128272</c:v>
                </c:pt>
                <c:pt idx="1">
                  <c:v>1.1945595566730991</c:v>
                </c:pt>
                <c:pt idx="2">
                  <c:v>1.231309536014789</c:v>
                </c:pt>
                <c:pt idx="3">
                  <c:v>1.2662953905339511</c:v>
                </c:pt>
                <c:pt idx="4">
                  <c:v>1.2996157245644631</c:v>
                </c:pt>
                <c:pt idx="5">
                  <c:v>1.3313622483637177</c:v>
                </c:pt>
                <c:pt idx="6">
                  <c:v>1.3616203604899944</c:v>
                </c:pt>
                <c:pt idx="7">
                  <c:v>1.4179844830626926</c:v>
                </c:pt>
                <c:pt idx="8">
                  <c:v>1.4692837560504184</c:v>
                </c:pt>
                <c:pt idx="9">
                  <c:v>1.5785279505500427</c:v>
                </c:pt>
                <c:pt idx="10">
                  <c:v>1.6654540286800448</c:v>
                </c:pt>
                <c:pt idx="11">
                  <c:v>1.7347490617386048</c:v>
                </c:pt>
                <c:pt idx="12">
                  <c:v>1.7899352686294405</c:v>
                </c:pt>
                <c:pt idx="13">
                  <c:v>1.8337045174595803</c:v>
                </c:pt>
                <c:pt idx="14">
                  <c:v>1.870548660026309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46-479D-A74F-9004AABABAF2}"/>
            </c:ext>
          </c:extLst>
        </c:ser>
        <c:ser>
          <c:idx val="6"/>
          <c:order val="6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MgF!$X$30:$X$65</c:f>
              <c:numCache>
                <c:formatCode>General</c:formatCode>
                <c:ptCount val="36"/>
                <c:pt idx="0">
                  <c:v>3.6476381542950944E-3</c:v>
                </c:pt>
                <c:pt idx="1">
                  <c:v>3.5951824555096176E-3</c:v>
                </c:pt>
                <c:pt idx="2">
                  <c:v>3.5316969803990822E-3</c:v>
                </c:pt>
                <c:pt idx="3">
                  <c:v>3.4704147145583901E-3</c:v>
                </c:pt>
                <c:pt idx="4">
                  <c:v>3.4112229234180458E-3</c:v>
                </c:pt>
                <c:pt idx="5">
                  <c:v>3.3540164346805303E-3</c:v>
                </c:pt>
                <c:pt idx="6">
                  <c:v>3.298697014679202E-3</c:v>
                </c:pt>
                <c:pt idx="7">
                  <c:v>3.1933578157432542E-3</c:v>
                </c:pt>
                <c:pt idx="8">
                  <c:v>3.0945381401825778E-3</c:v>
                </c:pt>
                <c:pt idx="9">
                  <c:v>2.8723251472066642E-3</c:v>
                </c:pt>
                <c:pt idx="10">
                  <c:v>2.6798874447273215E-3</c:v>
                </c:pt>
                <c:pt idx="11">
                  <c:v>2.511616225040814E-3</c:v>
                </c:pt>
                <c:pt idx="12">
                  <c:v>2.3632281696797826E-3</c:v>
                </c:pt>
                <c:pt idx="13">
                  <c:v>2.2313957380341405E-3</c:v>
                </c:pt>
                <c:pt idx="14">
                  <c:v>2.1045985478270021E-3</c:v>
                </c:pt>
              </c:numCache>
            </c:numRef>
          </c:xVal>
          <c:yVal>
            <c:numRef>
              <c:f>MgF!$AB$30:$AB$65</c:f>
              <c:numCache>
                <c:formatCode>0.000</c:formatCode>
                <c:ptCount val="36"/>
                <c:pt idx="0">
                  <c:v>1.2277741015316035</c:v>
                </c:pt>
                <c:pt idx="1">
                  <c:v>1.256215604840996</c:v>
                </c:pt>
                <c:pt idx="2">
                  <c:v>1.2900735126069085</c:v>
                </c:pt>
                <c:pt idx="3">
                  <c:v>1.3221508207181998</c:v>
                </c:pt>
                <c:pt idx="4">
                  <c:v>1.3525489695660309</c:v>
                </c:pt>
                <c:pt idx="5">
                  <c:v>1.3813622483637178</c:v>
                </c:pt>
                <c:pt idx="6">
                  <c:v>1.4145623189446115</c:v>
                </c:pt>
                <c:pt idx="7">
                  <c:v>1.4768281471049725</c:v>
                </c:pt>
                <c:pt idx="8">
                  <c:v>1.5340407313252407</c:v>
                </c:pt>
                <c:pt idx="9">
                  <c:v>1.6580429410523485</c:v>
                </c:pt>
                <c:pt idx="10">
                  <c:v>1.7595855512477385</c:v>
                </c:pt>
                <c:pt idx="11">
                  <c:v>1.8432668216699641</c:v>
                </c:pt>
                <c:pt idx="12">
                  <c:v>1.9125548200227611</c:v>
                </c:pt>
                <c:pt idx="13">
                  <c:v>1.9701099619416105</c:v>
                </c:pt>
                <c:pt idx="14">
                  <c:v>2.0214693438992408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46-479D-A74F-9004AABABAF2}"/>
            </c:ext>
          </c:extLst>
        </c:ser>
        <c:ser>
          <c:idx val="7"/>
          <c:order val="7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MgF!$X$30:$X$65</c:f>
              <c:numCache>
                <c:formatCode>General</c:formatCode>
                <c:ptCount val="36"/>
                <c:pt idx="0">
                  <c:v>3.6476381542950944E-3</c:v>
                </c:pt>
                <c:pt idx="1">
                  <c:v>3.5951824555096176E-3</c:v>
                </c:pt>
                <c:pt idx="2">
                  <c:v>3.5316969803990822E-3</c:v>
                </c:pt>
                <c:pt idx="3">
                  <c:v>3.4704147145583901E-3</c:v>
                </c:pt>
                <c:pt idx="4">
                  <c:v>3.4112229234180458E-3</c:v>
                </c:pt>
                <c:pt idx="5">
                  <c:v>3.3540164346805303E-3</c:v>
                </c:pt>
                <c:pt idx="6">
                  <c:v>3.298697014679202E-3</c:v>
                </c:pt>
                <c:pt idx="7">
                  <c:v>3.1933578157432542E-3</c:v>
                </c:pt>
                <c:pt idx="8">
                  <c:v>3.0945381401825778E-3</c:v>
                </c:pt>
                <c:pt idx="9">
                  <c:v>2.8723251472066642E-3</c:v>
                </c:pt>
                <c:pt idx="10">
                  <c:v>2.6798874447273215E-3</c:v>
                </c:pt>
                <c:pt idx="11">
                  <c:v>2.511616225040814E-3</c:v>
                </c:pt>
                <c:pt idx="12">
                  <c:v>2.3632281696797826E-3</c:v>
                </c:pt>
                <c:pt idx="13">
                  <c:v>2.2313957380341405E-3</c:v>
                </c:pt>
                <c:pt idx="14">
                  <c:v>2.1045985478270021E-3</c:v>
                </c:pt>
              </c:numCache>
            </c:numRef>
          </c:xVal>
          <c:yVal>
            <c:numRef>
              <c:f>MgF!$AC$30:$AC$65</c:f>
              <c:numCache>
                <c:formatCode>0.000</c:formatCode>
                <c:ptCount val="36"/>
                <c:pt idx="0">
                  <c:v>1.0998625878940507</c:v>
                </c:pt>
                <c:pt idx="1">
                  <c:v>1.1329035085052022</c:v>
                </c:pt>
                <c:pt idx="2">
                  <c:v>1.1725455594226695</c:v>
                </c:pt>
                <c:pt idx="3">
                  <c:v>1.2104399603497025</c:v>
                </c:pt>
                <c:pt idx="4">
                  <c:v>1.2466824795628955</c:v>
                </c:pt>
                <c:pt idx="5">
                  <c:v>1.2813622483637177</c:v>
                </c:pt>
                <c:pt idx="6">
                  <c:v>1.3086784020353772</c:v>
                </c:pt>
                <c:pt idx="7">
                  <c:v>1.3591408190204128</c:v>
                </c:pt>
                <c:pt idx="8">
                  <c:v>1.4045267807755961</c:v>
                </c:pt>
                <c:pt idx="9">
                  <c:v>1.4990129600477371</c:v>
                </c:pt>
                <c:pt idx="10">
                  <c:v>1.5713225061123515</c:v>
                </c:pt>
                <c:pt idx="11">
                  <c:v>1.6262313018072452</c:v>
                </c:pt>
                <c:pt idx="12">
                  <c:v>1.6673157172361193</c:v>
                </c:pt>
                <c:pt idx="13">
                  <c:v>1.6972990729775501</c:v>
                </c:pt>
                <c:pt idx="14">
                  <c:v>1.7196279761533775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46-479D-A74F-9004AABABAF2}"/>
            </c:ext>
          </c:extLst>
        </c:ser>
        <c:ser>
          <c:idx val="8"/>
          <c:order val="8"/>
          <c:spPr>
            <a:ln w="28575">
              <a:noFill/>
            </a:ln>
          </c:spPr>
          <c:marker>
            <c:symbol val="dash"/>
            <c:size val="5"/>
            <c:spPr>
              <a:solidFill>
                <a:srgbClr val="CC9CCC"/>
              </a:solidFill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MgF!$C$43:$C$62</c:f>
              <c:numCache>
                <c:formatCode>General</c:formatCode>
                <c:ptCount val="20"/>
                <c:pt idx="0">
                  <c:v>3.3540164346805303E-3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2.8723251472066642E-3</c:v>
                </c:pt>
                <c:pt idx="7">
                  <c:v>2.831657935721365E-3</c:v>
                </c:pt>
                <c:pt idx="8">
                  <c:v>2.7536830510808208E-3</c:v>
                </c:pt>
                <c:pt idx="9">
                  <c:v>2.6798874447273215E-3</c:v>
                </c:pt>
                <c:pt idx="10">
                  <c:v>2.6099438862064468E-3</c:v>
                </c:pt>
                <c:pt idx="11">
                  <c:v>2.5435584382551188E-3</c:v>
                </c:pt>
                <c:pt idx="12">
                  <c:v>2.4804663276696021E-3</c:v>
                </c:pt>
                <c:pt idx="13">
                  <c:v>2.4204284158296022E-3</c:v>
                </c:pt>
                <c:pt idx="14">
                  <c:v>2.3632281696797826E-3</c:v>
                </c:pt>
                <c:pt idx="15">
                  <c:v>2.3086690522913541E-3</c:v>
                </c:pt>
                <c:pt idx="16">
                  <c:v>2.2565722667268421E-3</c:v>
                </c:pt>
                <c:pt idx="17">
                  <c:v>2.2067747986317999E-3</c:v>
                </c:pt>
                <c:pt idx="18">
                  <c:v>2.1591277124041889E-3</c:v>
                </c:pt>
                <c:pt idx="19">
                  <c:v>2.1134946634259748E-3</c:v>
                </c:pt>
              </c:numCache>
            </c:numRef>
          </c:xVal>
          <c:yVal>
            <c:numRef>
              <c:f>MgF!$O$43:$O$62</c:f>
              <c:numCache>
                <c:formatCode>0.000</c:formatCode>
                <c:ptCount val="20"/>
                <c:pt idx="0">
                  <c:v>1.2966651902615312</c:v>
                </c:pt>
                <c:pt idx="1">
                  <c:v>1.3283796034387378</c:v>
                </c:pt>
                <c:pt idx="2">
                  <c:v>1.403120521175818</c:v>
                </c:pt>
                <c:pt idx="3">
                  <c:v>1.4409090820652177</c:v>
                </c:pt>
                <c:pt idx="4">
                  <c:v>1.4927603890268375</c:v>
                </c:pt>
                <c:pt idx="5">
                  <c:v>1.5403294747908738</c:v>
                </c:pt>
                <c:pt idx="6">
                  <c:v>1.5786392099680724</c:v>
                </c:pt>
                <c:pt idx="7">
                  <c:v>1.5831987739686226</c:v>
                </c:pt>
                <c:pt idx="8">
                  <c:v>1.6493348587121419</c:v>
                </c:pt>
                <c:pt idx="9">
                  <c:v>1.6946051989335686</c:v>
                </c:pt>
                <c:pt idx="10">
                  <c:v>1.7084209001347128</c:v>
                </c:pt>
                <c:pt idx="11">
                  <c:v>1.741939077729199</c:v>
                </c:pt>
                <c:pt idx="12">
                  <c:v>1.761927838420529</c:v>
                </c:pt>
                <c:pt idx="13">
                  <c:v>1.7817553746524688</c:v>
                </c:pt>
                <c:pt idx="14">
                  <c:v>1.7937903846908188</c:v>
                </c:pt>
                <c:pt idx="15">
                  <c:v>1.8142475957319202</c:v>
                </c:pt>
                <c:pt idx="16">
                  <c:v>1.8228216453031045</c:v>
                </c:pt>
                <c:pt idx="17">
                  <c:v>1.8382192219076259</c:v>
                </c:pt>
                <c:pt idx="18">
                  <c:v>1.8457180179666586</c:v>
                </c:pt>
                <c:pt idx="19">
                  <c:v>1.8591382972945307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F46-479D-A74F-9004AABAB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77664"/>
        <c:axId val="153779584"/>
      </c:scatterChart>
      <c:valAx>
        <c:axId val="153777664"/>
        <c:scaling>
          <c:orientation val="minMax"/>
          <c:min val="2.0000000000000005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 / T [K]</a:t>
                </a:r>
              </a:p>
            </c:rich>
          </c:tx>
          <c:layout>
            <c:manualLayout>
              <c:xMode val="edge"/>
              <c:yMode val="edge"/>
              <c:x val="0.51286730924339041"/>
              <c:y val="0.915613154822524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3779584"/>
        <c:crosses val="autoZero"/>
        <c:crossBetween val="midCat"/>
      </c:valAx>
      <c:valAx>
        <c:axId val="153779584"/>
        <c:scaling>
          <c:orientation val="minMax"/>
          <c:max val="2.1"/>
          <c:min val="1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-25000"/>
                  <a:t>10</a:t>
                </a:r>
                <a:r>
                  <a:rPr lang="en-US"/>
                  <a:t>K</a:t>
                </a:r>
                <a:r>
                  <a:rPr lang="en-US" baseline="-25000"/>
                  <a:t>1</a:t>
                </a:r>
              </a:p>
            </c:rich>
          </c:tx>
          <c:layout>
            <c:manualLayout>
              <c:xMode val="edge"/>
              <c:yMode val="edge"/>
              <c:x val="1.4607970268572116E-2"/>
              <c:y val="0.38460344270846269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3777664"/>
        <c:crosses val="autoZero"/>
        <c:crossBetween val="midCat"/>
        <c:majorUnit val="0.1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65</xdr:row>
      <xdr:rowOff>152400</xdr:rowOff>
    </xdr:from>
    <xdr:to>
      <xdr:col>17</xdr:col>
      <xdr:colOff>133350</xdr:colOff>
      <xdr:row>91</xdr:row>
      <xdr:rowOff>152400</xdr:rowOff>
    </xdr:to>
    <xdr:graphicFrame macro="">
      <xdr:nvGraphicFramePr>
        <xdr:cNvPr id="1216" name="Chart 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60325</xdr:colOff>
      <xdr:row>66</xdr:row>
      <xdr:rowOff>22225</xdr:rowOff>
    </xdr:from>
    <xdr:to>
      <xdr:col>28</xdr:col>
      <xdr:colOff>127000</xdr:colOff>
      <xdr:row>90</xdr:row>
      <xdr:rowOff>123825</xdr:rowOff>
    </xdr:to>
    <xdr:graphicFrame macro="">
      <xdr:nvGraphicFramePr>
        <xdr:cNvPr id="1217" name="Chart 2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oi.org/10.1016/0022-1902(71)80385-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0022-1902(70)80072-0" TargetMode="External"/><Relationship Id="rId1" Type="http://schemas.openxmlformats.org/officeDocument/2006/relationships/hyperlink" Target="https://doi.org/10.1016/0022-1902(68)80198-8" TargetMode="External"/><Relationship Id="rId6" Type="http://schemas.openxmlformats.org/officeDocument/2006/relationships/hyperlink" Target="https://doi.org/10.1515/zna-1992-1005" TargetMode="External"/><Relationship Id="rId5" Type="http://schemas.openxmlformats.org/officeDocument/2006/relationships/hyperlink" Target="https://doi.org/10.1016/0039-9140(82)80039-8" TargetMode="External"/><Relationship Id="rId4" Type="http://schemas.openxmlformats.org/officeDocument/2006/relationships/hyperlink" Target="https://doi.org/10.1016/0016-7037(79)9012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4"/>
  <sheetViews>
    <sheetView tabSelected="1" workbookViewId="0">
      <selection activeCell="B15" sqref="B15"/>
    </sheetView>
  </sheetViews>
  <sheetFormatPr defaultColWidth="8.77734375" defaultRowHeight="13.2" x14ac:dyDescent="0.25"/>
  <cols>
    <col min="2" max="4" width="10.77734375" customWidth="1"/>
    <col min="13" max="13" width="12.44140625" customWidth="1"/>
    <col min="25" max="25" width="9.5546875" customWidth="1"/>
  </cols>
  <sheetData>
    <row r="1" spans="1:3" x14ac:dyDescent="0.25">
      <c r="A1" s="2" t="s">
        <v>43</v>
      </c>
    </row>
    <row r="3" spans="1:3" x14ac:dyDescent="0.25">
      <c r="A3" t="s">
        <v>46</v>
      </c>
    </row>
    <row r="6" spans="1:3" x14ac:dyDescent="0.25">
      <c r="A6" s="2" t="s">
        <v>49</v>
      </c>
    </row>
    <row r="8" spans="1:3" x14ac:dyDescent="0.25">
      <c r="A8" t="s">
        <v>44</v>
      </c>
    </row>
    <row r="9" spans="1:3" x14ac:dyDescent="0.25">
      <c r="A9" s="19" t="s">
        <v>51</v>
      </c>
      <c r="B9" s="21" t="s">
        <v>63</v>
      </c>
      <c r="C9" t="s">
        <v>50</v>
      </c>
    </row>
    <row r="10" spans="1:3" x14ac:dyDescent="0.25">
      <c r="A10" s="19" t="s">
        <v>53</v>
      </c>
      <c r="C10" t="s">
        <v>52</v>
      </c>
    </row>
    <row r="11" spans="1:3" x14ac:dyDescent="0.25">
      <c r="A11" s="19" t="s">
        <v>55</v>
      </c>
      <c r="B11" s="21" t="s">
        <v>64</v>
      </c>
      <c r="C11" t="s">
        <v>54</v>
      </c>
    </row>
    <row r="12" spans="1:3" x14ac:dyDescent="0.25">
      <c r="A12" s="19" t="s">
        <v>57</v>
      </c>
      <c r="B12" s="21" t="s">
        <v>65</v>
      </c>
      <c r="C12" t="s">
        <v>56</v>
      </c>
    </row>
    <row r="13" spans="1:3" x14ac:dyDescent="0.25">
      <c r="A13" s="19" t="s">
        <v>45</v>
      </c>
      <c r="B13" s="21" t="s">
        <v>66</v>
      </c>
      <c r="C13" t="s">
        <v>58</v>
      </c>
    </row>
    <row r="14" spans="1:3" x14ac:dyDescent="0.25">
      <c r="A14" s="19" t="s">
        <v>60</v>
      </c>
      <c r="B14" s="21" t="s">
        <v>67</v>
      </c>
      <c r="C14" t="s">
        <v>59</v>
      </c>
    </row>
    <row r="15" spans="1:3" x14ac:dyDescent="0.25">
      <c r="A15" s="19" t="s">
        <v>62</v>
      </c>
      <c r="B15" s="21" t="s">
        <v>68</v>
      </c>
      <c r="C15" t="s">
        <v>61</v>
      </c>
    </row>
    <row r="16" spans="1:3" x14ac:dyDescent="0.25">
      <c r="A16" s="19"/>
    </row>
    <row r="19" spans="1:29" ht="15.6" x14ac:dyDescent="0.25">
      <c r="A19" s="1" t="s">
        <v>0</v>
      </c>
    </row>
    <row r="21" spans="1:29" ht="15.6" x14ac:dyDescent="0.25">
      <c r="A21" t="s">
        <v>1</v>
      </c>
      <c r="B21">
        <v>8.3145100000000007E-3</v>
      </c>
      <c r="C21" s="2" t="s">
        <v>2</v>
      </c>
    </row>
    <row r="22" spans="1:29" x14ac:dyDescent="0.25">
      <c r="A22" t="s">
        <v>3</v>
      </c>
      <c r="B22">
        <v>298.14999999999998</v>
      </c>
      <c r="C22" s="2" t="s">
        <v>4</v>
      </c>
    </row>
    <row r="23" spans="1:29" x14ac:dyDescent="0.25">
      <c r="A23" t="s">
        <v>5</v>
      </c>
      <c r="B23">
        <f>LN(10)</f>
        <v>2.3025850929940459</v>
      </c>
    </row>
    <row r="25" spans="1:29" x14ac:dyDescent="0.25">
      <c r="A25" s="2" t="s">
        <v>6</v>
      </c>
      <c r="B25">
        <f>B21*B23</f>
        <v>1.9144866781549925E-2</v>
      </c>
    </row>
    <row r="26" spans="1:29" x14ac:dyDescent="0.25">
      <c r="A26" t="s">
        <v>7</v>
      </c>
      <c r="B26">
        <f>B21*B22*B23</f>
        <v>5.7080420309191107</v>
      </c>
      <c r="E26" s="2"/>
      <c r="F26" s="2"/>
    </row>
    <row r="27" spans="1:29" x14ac:dyDescent="0.25">
      <c r="AA27" s="4" t="s">
        <v>8</v>
      </c>
    </row>
    <row r="28" spans="1:29" ht="15.6" x14ac:dyDescent="0.35">
      <c r="A28" s="4" t="s">
        <v>3</v>
      </c>
      <c r="B28" s="4" t="s">
        <v>3</v>
      </c>
      <c r="C28" s="5" t="s">
        <v>9</v>
      </c>
      <c r="D28" s="4" t="s">
        <v>10</v>
      </c>
      <c r="E28" s="19" t="s">
        <v>60</v>
      </c>
      <c r="G28" s="19" t="s">
        <v>57</v>
      </c>
      <c r="I28" s="19" t="s">
        <v>55</v>
      </c>
      <c r="K28" s="19" t="s">
        <v>51</v>
      </c>
      <c r="M28" s="19" t="s">
        <v>45</v>
      </c>
      <c r="O28" s="19" t="s">
        <v>62</v>
      </c>
      <c r="Q28" s="19" t="s">
        <v>53</v>
      </c>
      <c r="S28" s="4" t="s">
        <v>11</v>
      </c>
      <c r="T28" s="4" t="s">
        <v>12</v>
      </c>
      <c r="V28" s="4" t="s">
        <v>3</v>
      </c>
      <c r="W28" s="4" t="s">
        <v>3</v>
      </c>
      <c r="X28" s="5" t="s">
        <v>9</v>
      </c>
      <c r="Y28" s="4" t="s">
        <v>11</v>
      </c>
      <c r="Z28" s="4" t="s">
        <v>12</v>
      </c>
      <c r="AA28" s="4" t="s">
        <v>10</v>
      </c>
      <c r="AB28" s="6" t="s">
        <v>13</v>
      </c>
      <c r="AC28" s="6" t="s">
        <v>14</v>
      </c>
    </row>
    <row r="29" spans="1:29" ht="16.2" x14ac:dyDescent="0.3">
      <c r="A29" s="4" t="s">
        <v>15</v>
      </c>
      <c r="B29" s="4" t="s">
        <v>16</v>
      </c>
      <c r="C29" s="4" t="s">
        <v>16</v>
      </c>
      <c r="F29" s="20" t="s">
        <v>29</v>
      </c>
      <c r="H29" s="20" t="s">
        <v>29</v>
      </c>
      <c r="J29" s="20" t="s">
        <v>29</v>
      </c>
      <c r="L29" s="20" t="s">
        <v>29</v>
      </c>
      <c r="N29" s="20" t="s">
        <v>29</v>
      </c>
      <c r="P29" s="20" t="s">
        <v>29</v>
      </c>
      <c r="R29" s="20" t="s">
        <v>29</v>
      </c>
      <c r="V29" s="4" t="s">
        <v>15</v>
      </c>
      <c r="W29" s="4" t="s">
        <v>16</v>
      </c>
      <c r="X29" s="4" t="s">
        <v>16</v>
      </c>
      <c r="AA29" s="4" t="s">
        <v>48</v>
      </c>
    </row>
    <row r="30" spans="1:29" x14ac:dyDescent="0.25">
      <c r="A30">
        <v>15</v>
      </c>
      <c r="B30">
        <f>273.15+$A30</f>
        <v>288.14999999999998</v>
      </c>
      <c r="C30">
        <f>1/B30</f>
        <v>3.4704147145583901E-3</v>
      </c>
      <c r="D30" s="3">
        <v>1.31</v>
      </c>
      <c r="E30" s="3">
        <f>D30</f>
        <v>1.31</v>
      </c>
      <c r="F30" s="3">
        <v>7.0000000000000007E-2</v>
      </c>
      <c r="S30">
        <f t="shared" ref="S30:S62" si="0">(1/$B$22-1/$B30)/$B$25</f>
        <v>-6.0798688863185945E-3</v>
      </c>
      <c r="T30">
        <f t="shared" ref="T30:T62" si="1">($B$22/$B30-1+LN($B30/$B$22))/$B$25</f>
        <v>3.0745027680825151E-2</v>
      </c>
      <c r="V30">
        <v>1</v>
      </c>
      <c r="W30">
        <f>273.15+$V30</f>
        <v>274.14999999999998</v>
      </c>
      <c r="X30">
        <f t="shared" ref="X30:X44" si="2">1/W30</f>
        <v>3.6476381542950944E-3</v>
      </c>
      <c r="Y30">
        <f t="shared" ref="Y30:Y44" si="3">(1/$B$22-1/$W30)/$B$25</f>
        <v>-1.5336837961052303E-2</v>
      </c>
      <c r="Z30">
        <f t="shared" ref="Z30:Z44" si="4">($B$22/$W30-1+LN($W30/$B$22))/$B$25</f>
        <v>0.18918919757203095</v>
      </c>
      <c r="AA30" s="7">
        <f>$D$68+$C$68*$Y30+$B$68*$Z30</f>
        <v>1.1638183447128272</v>
      </c>
      <c r="AB30" s="7">
        <f>($D$68+$D$75+($C$68-$C$75)*$Y30+($B$68-$B$75)*$Z30)</f>
        <v>1.2277741015316035</v>
      </c>
      <c r="AC30" s="7">
        <f>($D$68-$D$75+($C$68+$C$75)*$Y30+($B$68+$B$75)*$Z30)</f>
        <v>1.0998625878940507</v>
      </c>
    </row>
    <row r="31" spans="1:29" x14ac:dyDescent="0.25">
      <c r="A31">
        <v>25</v>
      </c>
      <c r="B31">
        <f>273.15+$A31</f>
        <v>298.14999999999998</v>
      </c>
      <c r="C31">
        <f t="shared" ref="C31:C42" si="5">1/B31</f>
        <v>3.3540164346805303E-3</v>
      </c>
      <c r="D31" s="3">
        <v>1.35</v>
      </c>
      <c r="E31" s="3">
        <f>D31</f>
        <v>1.35</v>
      </c>
      <c r="F31" s="3">
        <v>7.0000000000000007E-2</v>
      </c>
      <c r="S31">
        <f t="shared" si="0"/>
        <v>0</v>
      </c>
      <c r="T31">
        <f t="shared" si="1"/>
        <v>0</v>
      </c>
      <c r="V31">
        <v>5</v>
      </c>
      <c r="W31">
        <f>273.15+$V31</f>
        <v>278.14999999999998</v>
      </c>
      <c r="X31">
        <f t="shared" si="2"/>
        <v>3.5951824555096176E-3</v>
      </c>
      <c r="Y31">
        <f t="shared" si="3"/>
        <v>-1.2596902531675022E-2</v>
      </c>
      <c r="Z31">
        <f t="shared" si="4"/>
        <v>0.12888415942165576</v>
      </c>
      <c r="AA31" s="7">
        <f>$D$68+$C$68*$Y31+$B$68*$Z31</f>
        <v>1.1945595566730991</v>
      </c>
      <c r="AB31" s="7">
        <f>($D$68+$D$75+($C$68-$C$75)*$Y31+($B$68-$B$75)*$Z31)</f>
        <v>1.256215604840996</v>
      </c>
      <c r="AC31" s="7">
        <f>($D$68-$D$75+($C$68+$C$75)*$Y31+($B$68+$B$75)*$Z31)</f>
        <v>1.1329035085052022</v>
      </c>
    </row>
    <row r="32" spans="1:29" x14ac:dyDescent="0.25">
      <c r="A32">
        <v>45</v>
      </c>
      <c r="B32">
        <f t="shared" ref="B32:B42" si="6">273.15+$A32</f>
        <v>318.14999999999998</v>
      </c>
      <c r="C32">
        <f t="shared" si="5"/>
        <v>3.1431714600031434E-3</v>
      </c>
      <c r="D32" s="3">
        <v>1.44</v>
      </c>
      <c r="E32" s="3">
        <f>D32</f>
        <v>1.44</v>
      </c>
      <c r="F32" s="3">
        <v>7.0000000000000007E-2</v>
      </c>
      <c r="S32">
        <f t="shared" si="0"/>
        <v>1.1013133550794935E-2</v>
      </c>
      <c r="T32">
        <f t="shared" si="1"/>
        <v>0.10774819867701339</v>
      </c>
      <c r="V32">
        <v>10</v>
      </c>
      <c r="W32">
        <f t="shared" ref="W32:W44" si="7">273.15+$V32</f>
        <v>283.14999999999998</v>
      </c>
      <c r="X32">
        <f t="shared" si="2"/>
        <v>3.5316969803990822E-3</v>
      </c>
      <c r="Y32">
        <f t="shared" si="3"/>
        <v>-9.2808452388806473E-3</v>
      </c>
      <c r="Z32">
        <f t="shared" si="4"/>
        <v>7.0803924213856742E-2</v>
      </c>
      <c r="AA32" s="7">
        <f t="shared" ref="AA32:AA44" si="8">$D$68+$C$68*$Y32+$B$68*$Z32</f>
        <v>1.231309536014789</v>
      </c>
      <c r="AB32" s="7">
        <f>($D$68+$D$75+($C$68-$C$75)*$Y32+($B$68-$B$75)*$Z32)</f>
        <v>1.2900735126069085</v>
      </c>
      <c r="AC32" s="7">
        <f>($D$68-$D$75+($C$68+$C$75)*$Y32+($B$68+$B$75)*$Z32)</f>
        <v>1.1725455594226695</v>
      </c>
    </row>
    <row r="33" spans="1:29" x14ac:dyDescent="0.25">
      <c r="A33">
        <v>65</v>
      </c>
      <c r="B33">
        <f t="shared" si="6"/>
        <v>338.15</v>
      </c>
      <c r="C33">
        <f t="shared" si="5"/>
        <v>2.9572674848440043E-3</v>
      </c>
      <c r="D33" s="3">
        <v>1.54</v>
      </c>
      <c r="E33" s="3">
        <f>D33</f>
        <v>1.54</v>
      </c>
      <c r="F33" s="3">
        <v>7.0000000000000007E-2</v>
      </c>
      <c r="S33">
        <f t="shared" si="0"/>
        <v>2.0723515831349446E-2</v>
      </c>
      <c r="T33">
        <f t="shared" si="1"/>
        <v>0.39708654778419117</v>
      </c>
      <c r="V33">
        <v>15</v>
      </c>
      <c r="W33">
        <f t="shared" si="7"/>
        <v>288.14999999999998</v>
      </c>
      <c r="X33">
        <f t="shared" si="2"/>
        <v>3.4704147145583901E-3</v>
      </c>
      <c r="Y33">
        <f t="shared" si="3"/>
        <v>-6.0798688863185945E-3</v>
      </c>
      <c r="Z33">
        <f t="shared" si="4"/>
        <v>3.0745027680825151E-2</v>
      </c>
      <c r="AA33" s="7">
        <f t="shared" si="8"/>
        <v>1.2662953905339511</v>
      </c>
      <c r="AB33" s="7">
        <f>($D$68+$D$75+($C$68-$C$75)*$Y33+($B$68-$B$75)*$Z33)</f>
        <v>1.3221508207181998</v>
      </c>
      <c r="AC33" s="7">
        <f>($D$68-$D$75+($C$68+$C$75)*$Y33+($B$68+$B$75)*$Z33)</f>
        <v>1.2104399603497025</v>
      </c>
    </row>
    <row r="34" spans="1:29" x14ac:dyDescent="0.25">
      <c r="A34">
        <v>85</v>
      </c>
      <c r="B34">
        <f t="shared" si="6"/>
        <v>358.15</v>
      </c>
      <c r="C34">
        <f t="shared" si="5"/>
        <v>2.7921262041044259E-3</v>
      </c>
      <c r="D34" s="3">
        <v>1.64</v>
      </c>
      <c r="E34" s="3">
        <f>D34</f>
        <v>1.64</v>
      </c>
      <c r="F34" s="3">
        <v>7.0000000000000007E-2</v>
      </c>
      <c r="S34">
        <f t="shared" si="0"/>
        <v>2.9349393599207643E-2</v>
      </c>
      <c r="T34">
        <f t="shared" si="1"/>
        <v>0.82672840849082851</v>
      </c>
      <c r="V34">
        <v>20</v>
      </c>
      <c r="W34">
        <f t="shared" si="7"/>
        <v>293.14999999999998</v>
      </c>
      <c r="X34">
        <f t="shared" si="2"/>
        <v>3.4112229234180458E-3</v>
      </c>
      <c r="Y34">
        <f t="shared" si="3"/>
        <v>-2.9880849728683343E-3</v>
      </c>
      <c r="Z34">
        <f t="shared" si="4"/>
        <v>7.5123248357080062E-3</v>
      </c>
      <c r="AA34" s="7">
        <f t="shared" si="8"/>
        <v>1.2996157245644631</v>
      </c>
      <c r="AB34" s="7">
        <f>($D$68+$D$75+($C$68-$C$75)*$Y34+($B$68-$B$75)*$Z34)</f>
        <v>1.3525489695660309</v>
      </c>
      <c r="AC34" s="7">
        <f>($D$68-$D$75+($C$68+$C$75)*$Y34+($B$68+$B$75)*$Z34)</f>
        <v>1.2466824795628955</v>
      </c>
    </row>
    <row r="35" spans="1:29" x14ac:dyDescent="0.25">
      <c r="A35">
        <v>2</v>
      </c>
      <c r="B35">
        <f t="shared" si="6"/>
        <v>275.14999999999998</v>
      </c>
      <c r="C35">
        <f t="shared" si="5"/>
        <v>3.6343812465927678E-3</v>
      </c>
      <c r="D35" s="3">
        <v>1.23</v>
      </c>
      <c r="G35" s="3">
        <f>D35</f>
        <v>1.23</v>
      </c>
      <c r="H35" s="3">
        <v>0.06</v>
      </c>
      <c r="I35" s="3"/>
      <c r="J35" s="3"/>
      <c r="S35">
        <f t="shared" si="0"/>
        <v>-1.4644385626251914E-2</v>
      </c>
      <c r="T35">
        <f t="shared" si="1"/>
        <v>0.17291614750105794</v>
      </c>
      <c r="V35">
        <v>25</v>
      </c>
      <c r="W35">
        <f t="shared" si="7"/>
        <v>298.14999999999998</v>
      </c>
      <c r="X35">
        <f t="shared" si="2"/>
        <v>3.3540164346805303E-3</v>
      </c>
      <c r="Y35">
        <f t="shared" si="3"/>
        <v>0</v>
      </c>
      <c r="Z35">
        <f t="shared" si="4"/>
        <v>0</v>
      </c>
      <c r="AA35" s="7">
        <f t="shared" si="8"/>
        <v>1.3313622483637177</v>
      </c>
      <c r="AB35" s="7">
        <f t="shared" ref="AB35:AB44" si="9">($D$68+$D$75+($C$68+$C$75)*$Y35+($B$68+$B$75)*$Z35)</f>
        <v>1.3813622483637178</v>
      </c>
      <c r="AC35" s="7">
        <f t="shared" ref="AC35:AC44" si="10">($D$68-$D$75+($C$68-$C$75)*$Y35+($B$68-$B$75)*$Z35)</f>
        <v>1.2813622483637177</v>
      </c>
    </row>
    <row r="36" spans="1:29" x14ac:dyDescent="0.25">
      <c r="A36">
        <v>25</v>
      </c>
      <c r="B36">
        <f t="shared" si="6"/>
        <v>298.14999999999998</v>
      </c>
      <c r="C36">
        <f t="shared" si="5"/>
        <v>3.3540164346805303E-3</v>
      </c>
      <c r="D36" s="3">
        <v>1.38</v>
      </c>
      <c r="G36" s="3">
        <f>D36</f>
        <v>1.38</v>
      </c>
      <c r="H36" s="3">
        <v>0.04</v>
      </c>
      <c r="I36" s="3"/>
      <c r="J36" s="3"/>
      <c r="K36" s="3"/>
      <c r="L36" s="3"/>
      <c r="S36">
        <f t="shared" si="0"/>
        <v>0</v>
      </c>
      <c r="T36">
        <f t="shared" si="1"/>
        <v>0</v>
      </c>
      <c r="V36">
        <v>30</v>
      </c>
      <c r="W36">
        <f t="shared" si="7"/>
        <v>303.14999999999998</v>
      </c>
      <c r="X36">
        <f t="shared" si="2"/>
        <v>3.298697014679202E-3</v>
      </c>
      <c r="Y36">
        <f t="shared" si="3"/>
        <v>2.8895171030722494E-3</v>
      </c>
      <c r="Z36">
        <f t="shared" si="4"/>
        <v>7.1837467869668844E-3</v>
      </c>
      <c r="AA36" s="7">
        <f t="shared" si="8"/>
        <v>1.3616203604899944</v>
      </c>
      <c r="AB36" s="7">
        <f t="shared" si="9"/>
        <v>1.4145623189446115</v>
      </c>
      <c r="AC36" s="7">
        <f t="shared" si="10"/>
        <v>1.3086784020353772</v>
      </c>
    </row>
    <row r="37" spans="1:29" x14ac:dyDescent="0.25">
      <c r="A37">
        <v>35</v>
      </c>
      <c r="B37">
        <f t="shared" si="6"/>
        <v>308.14999999999998</v>
      </c>
      <c r="C37">
        <f t="shared" si="5"/>
        <v>3.2451728054518907E-3</v>
      </c>
      <c r="D37" s="3">
        <v>1.4</v>
      </c>
      <c r="G37" s="3">
        <f>D37</f>
        <v>1.4</v>
      </c>
      <c r="H37" s="3">
        <v>0.04</v>
      </c>
      <c r="I37" s="3"/>
      <c r="J37" s="3"/>
      <c r="K37" s="3"/>
      <c r="L37" s="3"/>
      <c r="S37">
        <f t="shared" si="0"/>
        <v>5.6852643829067113E-3</v>
      </c>
      <c r="T37">
        <f t="shared" si="1"/>
        <v>2.8113738829310959E-2</v>
      </c>
      <c r="V37">
        <v>40</v>
      </c>
      <c r="W37">
        <f t="shared" si="7"/>
        <v>313.14999999999998</v>
      </c>
      <c r="X37">
        <f t="shared" si="2"/>
        <v>3.1933578157432542E-3</v>
      </c>
      <c r="Y37">
        <f t="shared" si="3"/>
        <v>8.3917334484721641E-3</v>
      </c>
      <c r="Z37">
        <f t="shared" si="4"/>
        <v>6.1908300521596696E-2</v>
      </c>
      <c r="AA37" s="7">
        <f t="shared" si="8"/>
        <v>1.4179844830626926</v>
      </c>
      <c r="AB37" s="7">
        <f t="shared" si="9"/>
        <v>1.4768281471049725</v>
      </c>
      <c r="AC37" s="7">
        <f t="shared" si="10"/>
        <v>1.3591408190204128</v>
      </c>
    </row>
    <row r="38" spans="1:29" x14ac:dyDescent="0.25">
      <c r="A38">
        <v>25</v>
      </c>
      <c r="B38">
        <f t="shared" si="6"/>
        <v>298.14999999999998</v>
      </c>
      <c r="C38">
        <f t="shared" si="5"/>
        <v>3.3540164346805303E-3</v>
      </c>
      <c r="D38" s="3">
        <v>1.27</v>
      </c>
      <c r="G38" s="3"/>
      <c r="H38" s="3"/>
      <c r="I38" s="3">
        <f>D38</f>
        <v>1.27</v>
      </c>
      <c r="J38" s="3">
        <v>0.04</v>
      </c>
      <c r="K38" s="3"/>
      <c r="L38" s="3"/>
      <c r="S38">
        <f t="shared" si="0"/>
        <v>0</v>
      </c>
      <c r="T38">
        <f t="shared" si="1"/>
        <v>0</v>
      </c>
      <c r="V38">
        <v>50</v>
      </c>
      <c r="W38">
        <f t="shared" si="7"/>
        <v>323.14999999999998</v>
      </c>
      <c r="X38">
        <f t="shared" si="2"/>
        <v>3.0945381401825778E-3</v>
      </c>
      <c r="Y38">
        <f t="shared" si="3"/>
        <v>1.3553413427144556E-2</v>
      </c>
      <c r="Z38">
        <f t="shared" si="4"/>
        <v>0.16487148598323309</v>
      </c>
      <c r="AA38" s="7">
        <f t="shared" si="8"/>
        <v>1.4692837560504184</v>
      </c>
      <c r="AB38" s="7">
        <f t="shared" si="9"/>
        <v>1.5340407313252407</v>
      </c>
      <c r="AC38" s="7">
        <f t="shared" si="10"/>
        <v>1.4045267807755961</v>
      </c>
    </row>
    <row r="39" spans="1:29" x14ac:dyDescent="0.25">
      <c r="A39">
        <v>2</v>
      </c>
      <c r="B39">
        <f t="shared" si="6"/>
        <v>275.14999999999998</v>
      </c>
      <c r="C39">
        <f t="shared" si="5"/>
        <v>3.6343812465927678E-3</v>
      </c>
      <c r="D39" s="3">
        <v>1.1499999999999999</v>
      </c>
      <c r="K39" s="3">
        <f>D39</f>
        <v>1.1499999999999999</v>
      </c>
      <c r="L39" s="3">
        <v>0.04</v>
      </c>
      <c r="S39">
        <f t="shared" si="0"/>
        <v>-1.4644385626251914E-2</v>
      </c>
      <c r="T39">
        <f t="shared" si="1"/>
        <v>0.17291614750105794</v>
      </c>
      <c r="V39">
        <v>75</v>
      </c>
      <c r="W39">
        <f t="shared" si="7"/>
        <v>348.15</v>
      </c>
      <c r="X39">
        <f t="shared" si="2"/>
        <v>2.8723251472066642E-3</v>
      </c>
      <c r="Y39">
        <f t="shared" si="3"/>
        <v>2.516033634342529E-2</v>
      </c>
      <c r="Z39">
        <f t="shared" si="4"/>
        <v>0.59652796696990618</v>
      </c>
      <c r="AA39" s="7">
        <f t="shared" si="8"/>
        <v>1.5785279505500427</v>
      </c>
      <c r="AB39" s="7">
        <f t="shared" si="9"/>
        <v>1.6580429410523485</v>
      </c>
      <c r="AC39" s="7">
        <f t="shared" si="10"/>
        <v>1.4990129600477371</v>
      </c>
    </row>
    <row r="40" spans="1:29" x14ac:dyDescent="0.25">
      <c r="A40">
        <v>25</v>
      </c>
      <c r="B40">
        <f t="shared" si="6"/>
        <v>298.14999999999998</v>
      </c>
      <c r="C40">
        <f t="shared" si="5"/>
        <v>3.3540164346805303E-3</v>
      </c>
      <c r="D40" s="3">
        <v>1.32</v>
      </c>
      <c r="K40" s="3">
        <f>D40</f>
        <v>1.32</v>
      </c>
      <c r="L40" s="3">
        <v>0.04</v>
      </c>
      <c r="S40">
        <f t="shared" si="0"/>
        <v>0</v>
      </c>
      <c r="T40">
        <f t="shared" si="1"/>
        <v>0</v>
      </c>
      <c r="V40">
        <v>100</v>
      </c>
      <c r="W40">
        <f t="shared" si="7"/>
        <v>373.15</v>
      </c>
      <c r="X40">
        <f t="shared" si="2"/>
        <v>2.6798874447273215E-3</v>
      </c>
      <c r="Y40">
        <f t="shared" si="3"/>
        <v>3.5211996909943123E-2</v>
      </c>
      <c r="Z40">
        <f t="shared" si="4"/>
        <v>1.2218528298288194</v>
      </c>
      <c r="AA40" s="7">
        <f t="shared" si="8"/>
        <v>1.6654540286800448</v>
      </c>
      <c r="AB40" s="7">
        <f t="shared" si="9"/>
        <v>1.7595855512477385</v>
      </c>
      <c r="AC40" s="7">
        <f t="shared" si="10"/>
        <v>1.5713225061123515</v>
      </c>
    </row>
    <row r="41" spans="1:29" x14ac:dyDescent="0.25">
      <c r="A41">
        <v>39</v>
      </c>
      <c r="B41">
        <f t="shared" si="6"/>
        <v>312.14999999999998</v>
      </c>
      <c r="C41">
        <f t="shared" si="5"/>
        <v>3.2035880185808108E-3</v>
      </c>
      <c r="D41" s="3">
        <v>1.4</v>
      </c>
      <c r="K41" s="3">
        <f>D41</f>
        <v>1.4</v>
      </c>
      <c r="L41" s="3">
        <v>0.04</v>
      </c>
      <c r="S41">
        <f t="shared" si="0"/>
        <v>7.8573759648559536E-3</v>
      </c>
      <c r="T41">
        <f t="shared" si="1"/>
        <v>5.4160401863244195E-2</v>
      </c>
      <c r="V41">
        <v>125</v>
      </c>
      <c r="W41">
        <f t="shared" si="7"/>
        <v>398.15</v>
      </c>
      <c r="X41">
        <f t="shared" si="2"/>
        <v>2.511616225040814E-3</v>
      </c>
      <c r="Y41">
        <f t="shared" si="3"/>
        <v>4.400136178808748E-2</v>
      </c>
      <c r="Z41">
        <f t="shared" si="4"/>
        <v>1.9885476908591786</v>
      </c>
      <c r="AA41" s="7">
        <f t="shared" si="8"/>
        <v>1.7347490617386048</v>
      </c>
      <c r="AB41" s="7">
        <f t="shared" si="9"/>
        <v>1.8432668216699641</v>
      </c>
      <c r="AC41" s="7">
        <f t="shared" si="10"/>
        <v>1.6262313018072452</v>
      </c>
    </row>
    <row r="42" spans="1:29" x14ac:dyDescent="0.25">
      <c r="A42">
        <v>200</v>
      </c>
      <c r="B42">
        <f t="shared" si="6"/>
        <v>473.15</v>
      </c>
      <c r="C42">
        <f t="shared" si="5"/>
        <v>2.1134946634259748E-3</v>
      </c>
      <c r="D42" s="3">
        <v>1.85</v>
      </c>
      <c r="M42" s="3">
        <f>D42</f>
        <v>1.85</v>
      </c>
      <c r="N42">
        <v>0.06</v>
      </c>
      <c r="S42">
        <f t="shared" si="0"/>
        <v>6.4796573693062062E-2</v>
      </c>
      <c r="T42">
        <f t="shared" si="1"/>
        <v>4.8030724023735853</v>
      </c>
      <c r="V42">
        <v>150</v>
      </c>
      <c r="W42">
        <f t="shared" si="7"/>
        <v>423.15</v>
      </c>
      <c r="X42">
        <f t="shared" si="2"/>
        <v>2.3632281696797826E-3</v>
      </c>
      <c r="Y42">
        <f t="shared" si="3"/>
        <v>5.1752162932550617E-2</v>
      </c>
      <c r="Z42">
        <f t="shared" si="4"/>
        <v>2.8585463644890767</v>
      </c>
      <c r="AA42" s="7">
        <f t="shared" si="8"/>
        <v>1.7899352686294405</v>
      </c>
      <c r="AB42" s="7">
        <f t="shared" si="9"/>
        <v>1.9125548200227611</v>
      </c>
      <c r="AC42" s="7">
        <f t="shared" si="10"/>
        <v>1.6673157172361193</v>
      </c>
    </row>
    <row r="43" spans="1:29" x14ac:dyDescent="0.25">
      <c r="A43">
        <f t="shared" ref="A43:A62" si="11">A125</f>
        <v>25</v>
      </c>
      <c r="B43">
        <f t="shared" ref="B43:B63" si="12">273.15+$A43</f>
        <v>298.14999999999998</v>
      </c>
      <c r="C43">
        <f t="shared" ref="C43:C62" si="13">1/B43</f>
        <v>3.3540164346805303E-3</v>
      </c>
      <c r="D43" s="7">
        <f t="shared" ref="D43:D62" si="14">B125</f>
        <v>1.2966651902615312</v>
      </c>
      <c r="M43" s="3"/>
      <c r="O43" s="7">
        <f>D43</f>
        <v>1.2966651902615312</v>
      </c>
      <c r="P43" s="7">
        <f>E125*2</f>
        <v>4.3905485699081703E-2</v>
      </c>
      <c r="Q43" s="7"/>
      <c r="R43" s="7"/>
      <c r="S43">
        <f t="shared" si="0"/>
        <v>0</v>
      </c>
      <c r="T43">
        <f t="shared" si="1"/>
        <v>0</v>
      </c>
      <c r="V43">
        <v>175</v>
      </c>
      <c r="W43">
        <f t="shared" si="7"/>
        <v>448.15</v>
      </c>
      <c r="X43">
        <f t="shared" si="2"/>
        <v>2.2313957380341405E-3</v>
      </c>
      <c r="Y43">
        <f t="shared" si="3"/>
        <v>5.8638208845008477E-2</v>
      </c>
      <c r="Z43">
        <f t="shared" si="4"/>
        <v>3.8037309091810378</v>
      </c>
      <c r="AA43" s="7">
        <f t="shared" si="8"/>
        <v>1.8337045174595803</v>
      </c>
      <c r="AB43" s="7">
        <f t="shared" si="9"/>
        <v>1.9701099619416105</v>
      </c>
      <c r="AC43" s="7">
        <f t="shared" si="10"/>
        <v>1.6972990729775501</v>
      </c>
    </row>
    <row r="44" spans="1:29" x14ac:dyDescent="0.25">
      <c r="A44">
        <f t="shared" si="11"/>
        <v>30</v>
      </c>
      <c r="B44">
        <f t="shared" si="12"/>
        <v>303.14999999999998</v>
      </c>
      <c r="C44">
        <f t="shared" si="13"/>
        <v>3.298697014679202E-3</v>
      </c>
      <c r="D44" s="7">
        <f t="shared" si="14"/>
        <v>1.3283796034387378</v>
      </c>
      <c r="M44" s="3"/>
      <c r="O44" s="7">
        <f t="shared" ref="O44:O62" si="15">D44</f>
        <v>1.3283796034387378</v>
      </c>
      <c r="P44" s="7">
        <f t="shared" ref="P44:P62" si="16">E126*2</f>
        <v>3.2638412629356628E-2</v>
      </c>
      <c r="Q44" s="7"/>
      <c r="R44" s="7"/>
      <c r="S44">
        <f t="shared" si="0"/>
        <v>2.8895171030722494E-3</v>
      </c>
      <c r="T44">
        <f t="shared" si="1"/>
        <v>7.1837467869668844E-3</v>
      </c>
      <c r="V44">
        <v>202</v>
      </c>
      <c r="W44">
        <f t="shared" si="7"/>
        <v>475.15</v>
      </c>
      <c r="X44">
        <f t="shared" si="2"/>
        <v>2.1045985478270021E-3</v>
      </c>
      <c r="Y44">
        <f t="shared" si="3"/>
        <v>6.5261247367759331E-2</v>
      </c>
      <c r="Z44">
        <f t="shared" si="4"/>
        <v>4.8848543157770115</v>
      </c>
      <c r="AA44" s="7">
        <f t="shared" si="8"/>
        <v>1.870548660026309</v>
      </c>
      <c r="AB44" s="7">
        <f t="shared" si="9"/>
        <v>2.0214693438992408</v>
      </c>
      <c r="AC44" s="7">
        <f t="shared" si="10"/>
        <v>1.7196279761533775</v>
      </c>
    </row>
    <row r="45" spans="1:29" x14ac:dyDescent="0.25">
      <c r="A45">
        <f t="shared" si="11"/>
        <v>40</v>
      </c>
      <c r="B45">
        <f t="shared" si="12"/>
        <v>313.14999999999998</v>
      </c>
      <c r="C45">
        <f t="shared" si="13"/>
        <v>3.1933578157432542E-3</v>
      </c>
      <c r="D45" s="7">
        <f t="shared" si="14"/>
        <v>1.403120521175818</v>
      </c>
      <c r="M45" s="3"/>
      <c r="O45" s="7">
        <f t="shared" si="15"/>
        <v>1.403120521175818</v>
      </c>
      <c r="P45" s="7">
        <f t="shared" si="16"/>
        <v>3.4349474891445686E-2</v>
      </c>
      <c r="Q45" s="7"/>
      <c r="R45" s="7"/>
      <c r="S45">
        <f t="shared" si="0"/>
        <v>8.3917334484721641E-3</v>
      </c>
      <c r="T45">
        <f t="shared" si="1"/>
        <v>6.1908300521596696E-2</v>
      </c>
      <c r="AA45" s="7"/>
      <c r="AB45" s="7"/>
      <c r="AC45" s="7"/>
    </row>
    <row r="46" spans="1:29" x14ac:dyDescent="0.25">
      <c r="A46">
        <f t="shared" si="11"/>
        <v>50</v>
      </c>
      <c r="B46">
        <f t="shared" si="12"/>
        <v>323.14999999999998</v>
      </c>
      <c r="C46">
        <f t="shared" si="13"/>
        <v>3.0945381401825778E-3</v>
      </c>
      <c r="D46" s="7">
        <f t="shared" si="14"/>
        <v>1.4409090820652177</v>
      </c>
      <c r="M46" s="3"/>
      <c r="O46" s="7">
        <f t="shared" si="15"/>
        <v>1.4409090820652177</v>
      </c>
      <c r="P46" s="7">
        <f t="shared" si="16"/>
        <v>3.1484396497976075E-2</v>
      </c>
      <c r="Q46" s="7"/>
      <c r="R46" s="7"/>
      <c r="S46">
        <f t="shared" si="0"/>
        <v>1.3553413427144556E-2</v>
      </c>
      <c r="T46">
        <f t="shared" si="1"/>
        <v>0.16487148598323309</v>
      </c>
      <c r="AA46" s="7"/>
      <c r="AB46" s="7"/>
      <c r="AC46" s="7"/>
    </row>
    <row r="47" spans="1:29" x14ac:dyDescent="0.25">
      <c r="A47">
        <f t="shared" si="11"/>
        <v>60</v>
      </c>
      <c r="B47">
        <f t="shared" si="12"/>
        <v>333.15</v>
      </c>
      <c r="C47">
        <f t="shared" si="13"/>
        <v>3.0016509079993999E-3</v>
      </c>
      <c r="D47" s="7">
        <f t="shared" si="14"/>
        <v>1.4927603890268375</v>
      </c>
      <c r="M47" s="3"/>
      <c r="O47" s="7">
        <f t="shared" si="15"/>
        <v>1.4927603890268375</v>
      </c>
      <c r="P47" s="7">
        <f t="shared" si="16"/>
        <v>3.3531334006673186E-2</v>
      </c>
      <c r="Q47" s="7"/>
      <c r="R47" s="7"/>
      <c r="S47">
        <f t="shared" si="0"/>
        <v>1.8405222177921246E-2</v>
      </c>
      <c r="T47">
        <f t="shared" si="1"/>
        <v>0.3101793147589279</v>
      </c>
      <c r="AA47" s="7"/>
      <c r="AB47" s="7"/>
      <c r="AC47" s="7"/>
    </row>
    <row r="48" spans="1:29" x14ac:dyDescent="0.25">
      <c r="A48">
        <f t="shared" si="11"/>
        <v>70</v>
      </c>
      <c r="B48">
        <f t="shared" si="12"/>
        <v>343.15</v>
      </c>
      <c r="C48">
        <f t="shared" si="13"/>
        <v>2.9141774734081308E-3</v>
      </c>
      <c r="D48" s="7">
        <f t="shared" si="14"/>
        <v>1.5403294747908738</v>
      </c>
      <c r="M48" s="3"/>
      <c r="O48" s="7">
        <f t="shared" si="15"/>
        <v>1.5403294747908738</v>
      </c>
      <c r="P48" s="7">
        <f t="shared" si="16"/>
        <v>2.5038315240854425E-2</v>
      </c>
      <c r="Q48" s="7"/>
      <c r="R48" s="7"/>
      <c r="S48">
        <f t="shared" si="0"/>
        <v>2.2974250293361986E-2</v>
      </c>
      <c r="T48">
        <f t="shared" si="1"/>
        <v>0.4927152322236833</v>
      </c>
      <c r="AA48" s="7"/>
      <c r="AB48" s="7"/>
      <c r="AC48" s="7"/>
    </row>
    <row r="49" spans="1:29" x14ac:dyDescent="0.25">
      <c r="A49">
        <f t="shared" si="11"/>
        <v>75</v>
      </c>
      <c r="B49">
        <f t="shared" si="12"/>
        <v>348.15</v>
      </c>
      <c r="C49">
        <f t="shared" si="13"/>
        <v>2.8723251472066642E-3</v>
      </c>
      <c r="D49" s="7">
        <f t="shared" si="14"/>
        <v>1.5786392099680724</v>
      </c>
      <c r="M49" s="3"/>
      <c r="O49" s="7">
        <f t="shared" si="15"/>
        <v>1.5786392099680724</v>
      </c>
      <c r="P49" s="7">
        <f t="shared" si="16"/>
        <v>2.7510693143777409E-2</v>
      </c>
      <c r="Q49" s="7"/>
      <c r="R49" s="7"/>
      <c r="S49">
        <f t="shared" si="0"/>
        <v>2.516033634342529E-2</v>
      </c>
      <c r="T49">
        <f t="shared" si="1"/>
        <v>0.59652796696990618</v>
      </c>
      <c r="AA49" s="7"/>
      <c r="AB49" s="7"/>
      <c r="AC49" s="7"/>
    </row>
    <row r="50" spans="1:29" x14ac:dyDescent="0.25">
      <c r="A50">
        <f t="shared" si="11"/>
        <v>80</v>
      </c>
      <c r="B50">
        <f t="shared" si="12"/>
        <v>353.15</v>
      </c>
      <c r="C50">
        <f t="shared" si="13"/>
        <v>2.831657935721365E-3</v>
      </c>
      <c r="D50" s="7">
        <f t="shared" si="14"/>
        <v>1.5831987739686226</v>
      </c>
      <c r="M50" s="3"/>
      <c r="O50" s="7">
        <f t="shared" si="15"/>
        <v>1.5831987739686226</v>
      </c>
      <c r="P50" s="7">
        <f t="shared" si="16"/>
        <v>3.1764140604054525E-2</v>
      </c>
      <c r="Q50" s="7"/>
      <c r="R50" s="7"/>
      <c r="S50">
        <f t="shared" si="0"/>
        <v>2.7284519914370298E-2</v>
      </c>
      <c r="T50">
        <f t="shared" si="1"/>
        <v>0.70802236316444289</v>
      </c>
      <c r="AA50" s="7"/>
      <c r="AB50" s="7"/>
      <c r="AC50" s="7"/>
    </row>
    <row r="51" spans="1:29" x14ac:dyDescent="0.25">
      <c r="A51">
        <f t="shared" si="11"/>
        <v>90</v>
      </c>
      <c r="B51">
        <f t="shared" si="12"/>
        <v>363.15</v>
      </c>
      <c r="C51">
        <f t="shared" si="13"/>
        <v>2.7536830510808208E-3</v>
      </c>
      <c r="D51" s="7">
        <f t="shared" si="14"/>
        <v>1.6493348587121419</v>
      </c>
      <c r="M51" s="3"/>
      <c r="O51" s="7">
        <f t="shared" si="15"/>
        <v>1.6493348587121419</v>
      </c>
      <c r="P51" s="7">
        <f t="shared" si="16"/>
        <v>3.5074211541708866E-2</v>
      </c>
      <c r="Q51" s="7"/>
      <c r="R51" s="7"/>
      <c r="S51">
        <f t="shared" si="0"/>
        <v>3.1357407207359418E-2</v>
      </c>
      <c r="T51">
        <f t="shared" si="1"/>
        <v>0.95220605976622086</v>
      </c>
      <c r="AA51" s="7"/>
      <c r="AB51" s="7"/>
      <c r="AC51" s="7"/>
    </row>
    <row r="52" spans="1:29" x14ac:dyDescent="0.25">
      <c r="A52">
        <f t="shared" si="11"/>
        <v>100</v>
      </c>
      <c r="B52">
        <f t="shared" si="12"/>
        <v>373.15</v>
      </c>
      <c r="C52">
        <f t="shared" si="13"/>
        <v>2.6798874447273215E-3</v>
      </c>
      <c r="D52" s="7">
        <f t="shared" si="14"/>
        <v>1.6946051989335686</v>
      </c>
      <c r="M52" s="3"/>
      <c r="O52" s="7">
        <f t="shared" si="15"/>
        <v>1.6946051989335686</v>
      </c>
      <c r="P52" s="7">
        <f t="shared" si="16"/>
        <v>3.8629402356130882E-2</v>
      </c>
      <c r="Q52" s="7"/>
      <c r="R52" s="7"/>
      <c r="S52">
        <f t="shared" si="0"/>
        <v>3.5211996909943123E-2</v>
      </c>
      <c r="T52">
        <f t="shared" si="1"/>
        <v>1.2218528298288194</v>
      </c>
      <c r="AA52" s="7"/>
      <c r="AB52" s="7"/>
      <c r="AC52" s="7"/>
    </row>
    <row r="53" spans="1:29" x14ac:dyDescent="0.25">
      <c r="A53">
        <f t="shared" si="11"/>
        <v>110</v>
      </c>
      <c r="B53">
        <f t="shared" si="12"/>
        <v>383.15</v>
      </c>
      <c r="C53">
        <f t="shared" si="13"/>
        <v>2.6099438862064468E-3</v>
      </c>
      <c r="D53" s="7">
        <f t="shared" si="14"/>
        <v>1.7084209001347128</v>
      </c>
      <c r="M53" s="3"/>
      <c r="O53" s="7">
        <f t="shared" si="15"/>
        <v>1.7084209001347128</v>
      </c>
      <c r="P53" s="7">
        <f t="shared" si="16"/>
        <v>3.4013028958500557E-2</v>
      </c>
      <c r="Q53" s="7"/>
      <c r="R53" s="7"/>
      <c r="S53">
        <f t="shared" si="0"/>
        <v>3.886538135596497E-2</v>
      </c>
      <c r="T53">
        <f t="shared" si="1"/>
        <v>1.5139625598065338</v>
      </c>
      <c r="AA53" s="7"/>
      <c r="AB53" s="7"/>
      <c r="AC53" s="7"/>
    </row>
    <row r="54" spans="1:29" x14ac:dyDescent="0.25">
      <c r="A54">
        <f t="shared" si="11"/>
        <v>120</v>
      </c>
      <c r="B54">
        <f t="shared" si="12"/>
        <v>393.15</v>
      </c>
      <c r="C54">
        <f t="shared" si="13"/>
        <v>2.5435584382551188E-3</v>
      </c>
      <c r="D54" s="7">
        <f t="shared" si="14"/>
        <v>1.741939077729199</v>
      </c>
      <c r="M54" s="3"/>
      <c r="O54" s="7">
        <f t="shared" si="15"/>
        <v>1.741939077729199</v>
      </c>
      <c r="P54" s="7">
        <f t="shared" si="16"/>
        <v>3.7788560889399747E-2</v>
      </c>
      <c r="Q54" s="7"/>
      <c r="R54" s="7"/>
      <c r="S54">
        <f t="shared" si="0"/>
        <v>4.2332913865269453E-2</v>
      </c>
      <c r="T54">
        <f t="shared" si="1"/>
        <v>1.8258915892724665</v>
      </c>
      <c r="AA54" s="7"/>
      <c r="AB54" s="7"/>
      <c r="AC54" s="7"/>
    </row>
    <row r="55" spans="1:29" x14ac:dyDescent="0.25">
      <c r="A55">
        <f t="shared" si="11"/>
        <v>130</v>
      </c>
      <c r="B55">
        <f t="shared" si="12"/>
        <v>403.15</v>
      </c>
      <c r="C55">
        <f t="shared" si="13"/>
        <v>2.4804663276696021E-3</v>
      </c>
      <c r="D55" s="7">
        <f t="shared" si="14"/>
        <v>1.761927838420529</v>
      </c>
      <c r="M55" s="3"/>
      <c r="O55" s="7">
        <f t="shared" si="15"/>
        <v>1.761927838420529</v>
      </c>
      <c r="P55" s="7">
        <f t="shared" si="16"/>
        <v>3.3076458801586162E-2</v>
      </c>
      <c r="Q55" s="7"/>
      <c r="R55" s="7"/>
      <c r="S55">
        <f t="shared" si="0"/>
        <v>4.5628424421985322E-2</v>
      </c>
      <c r="T55">
        <f t="shared" si="1"/>
        <v>2.1553046896295687</v>
      </c>
      <c r="AA55" s="7"/>
      <c r="AB55" s="7"/>
      <c r="AC55" s="7"/>
    </row>
    <row r="56" spans="1:29" x14ac:dyDescent="0.25">
      <c r="A56">
        <f t="shared" si="11"/>
        <v>140</v>
      </c>
      <c r="B56">
        <f t="shared" si="12"/>
        <v>413.15</v>
      </c>
      <c r="C56">
        <f t="shared" si="13"/>
        <v>2.4204284158296022E-3</v>
      </c>
      <c r="D56" s="7">
        <f t="shared" si="14"/>
        <v>1.7817553746524688</v>
      </c>
      <c r="M56" s="3"/>
      <c r="O56" s="7">
        <f t="shared" si="15"/>
        <v>1.7817553746524688</v>
      </c>
      <c r="P56" s="7">
        <f t="shared" si="16"/>
        <v>4.5984810367960316E-2</v>
      </c>
      <c r="Q56" s="7"/>
      <c r="R56" s="7"/>
      <c r="S56">
        <f t="shared" si="0"/>
        <v>4.876440403077837E-2</v>
      </c>
      <c r="T56">
        <f t="shared" si="1"/>
        <v>2.5001343860904748</v>
      </c>
      <c r="AA56" s="7"/>
      <c r="AB56" s="7"/>
      <c r="AC56" s="7"/>
    </row>
    <row r="57" spans="1:29" x14ac:dyDescent="0.25">
      <c r="A57">
        <f t="shared" si="11"/>
        <v>150</v>
      </c>
      <c r="B57">
        <f t="shared" si="12"/>
        <v>423.15</v>
      </c>
      <c r="C57">
        <f t="shared" si="13"/>
        <v>2.3632281696797826E-3</v>
      </c>
      <c r="D57" s="7">
        <f t="shared" si="14"/>
        <v>1.7937903846908188</v>
      </c>
      <c r="M57" s="3"/>
      <c r="O57" s="7">
        <f t="shared" si="15"/>
        <v>1.7937903846908188</v>
      </c>
      <c r="P57" s="7">
        <f t="shared" si="16"/>
        <v>3.9126911661661934E-2</v>
      </c>
      <c r="Q57" s="7"/>
      <c r="R57" s="7"/>
      <c r="S57">
        <f t="shared" si="0"/>
        <v>5.1752162932550617E-2</v>
      </c>
      <c r="T57">
        <f t="shared" si="1"/>
        <v>2.8585463644890767</v>
      </c>
      <c r="AA57" s="7"/>
      <c r="AB57" s="7"/>
      <c r="AC57" s="7"/>
    </row>
    <row r="58" spans="1:29" x14ac:dyDescent="0.25">
      <c r="A58">
        <f t="shared" si="11"/>
        <v>160</v>
      </c>
      <c r="B58">
        <f t="shared" si="12"/>
        <v>433.15</v>
      </c>
      <c r="C58">
        <f t="shared" si="13"/>
        <v>2.3086690522913541E-3</v>
      </c>
      <c r="D58" s="7">
        <f t="shared" si="14"/>
        <v>1.8142475957319202</v>
      </c>
      <c r="M58" s="3"/>
      <c r="O58" s="7">
        <f t="shared" si="15"/>
        <v>1.8142475957319202</v>
      </c>
      <c r="P58" s="7">
        <f t="shared" si="16"/>
        <v>3.9993989965660282E-2</v>
      </c>
      <c r="Q58" s="7"/>
      <c r="R58" s="7"/>
      <c r="S58">
        <f t="shared" si="0"/>
        <v>5.4601966904078252E-2</v>
      </c>
      <c r="T58">
        <f t="shared" si="1"/>
        <v>3.2289099429657715</v>
      </c>
      <c r="AA58" s="7"/>
      <c r="AB58" s="7"/>
      <c r="AC58" s="7"/>
    </row>
    <row r="59" spans="1:29" x14ac:dyDescent="0.25">
      <c r="A59">
        <f t="shared" si="11"/>
        <v>170</v>
      </c>
      <c r="B59">
        <f t="shared" si="12"/>
        <v>443.15</v>
      </c>
      <c r="C59">
        <f t="shared" si="13"/>
        <v>2.2565722667268421E-3</v>
      </c>
      <c r="D59" s="7">
        <f t="shared" si="14"/>
        <v>1.8228216453031045</v>
      </c>
      <c r="M59" s="3"/>
      <c r="O59" s="7">
        <f t="shared" si="15"/>
        <v>1.8228216453031045</v>
      </c>
      <c r="P59" s="7">
        <f t="shared" si="16"/>
        <v>3.9211079298138163E-2</v>
      </c>
      <c r="Q59" s="7"/>
      <c r="R59" s="7"/>
      <c r="S59">
        <f t="shared" si="0"/>
        <v>5.7323155103450742E-2</v>
      </c>
      <c r="T59">
        <f t="shared" si="1"/>
        <v>3.6097727776565511</v>
      </c>
      <c r="AA59" s="7"/>
      <c r="AB59" s="7"/>
      <c r="AC59" s="7"/>
    </row>
    <row r="60" spans="1:29" x14ac:dyDescent="0.25">
      <c r="A60">
        <f t="shared" si="11"/>
        <v>180</v>
      </c>
      <c r="B60">
        <f t="shared" si="12"/>
        <v>453.15</v>
      </c>
      <c r="C60">
        <f t="shared" si="13"/>
        <v>2.2067747986317999E-3</v>
      </c>
      <c r="D60" s="7">
        <f t="shared" si="14"/>
        <v>1.8382192219076259</v>
      </c>
      <c r="M60" s="3"/>
      <c r="O60" s="7">
        <f t="shared" si="15"/>
        <v>1.8382192219076259</v>
      </c>
      <c r="P60" s="7">
        <f t="shared" si="16"/>
        <v>5.3013096289160178E-2</v>
      </c>
      <c r="Q60" s="7"/>
      <c r="R60" s="7"/>
      <c r="S60">
        <f t="shared" si="0"/>
        <v>5.9924242312009039E-2</v>
      </c>
      <c r="T60">
        <f t="shared" si="1"/>
        <v>3.9998391222833791</v>
      </c>
      <c r="AA60" s="7"/>
      <c r="AB60" s="7"/>
      <c r="AC60" s="7"/>
    </row>
    <row r="61" spans="1:29" x14ac:dyDescent="0.25">
      <c r="A61">
        <f t="shared" si="11"/>
        <v>190</v>
      </c>
      <c r="B61">
        <f t="shared" si="12"/>
        <v>463.15</v>
      </c>
      <c r="C61">
        <f t="shared" si="13"/>
        <v>2.1591277124041889E-3</v>
      </c>
      <c r="D61" s="7">
        <f t="shared" si="14"/>
        <v>1.8457180179666586</v>
      </c>
      <c r="M61" s="3"/>
      <c r="O61" s="7">
        <f t="shared" si="15"/>
        <v>1.8457180179666586</v>
      </c>
      <c r="P61" s="7">
        <f t="shared" si="16"/>
        <v>5.7079301823615758E-2</v>
      </c>
      <c r="Q61" s="7"/>
      <c r="R61" s="7"/>
      <c r="S61">
        <f t="shared" si="0"/>
        <v>6.2413007931079789E-2</v>
      </c>
      <c r="T61">
        <f t="shared" si="1"/>
        <v>4.3979510823952621</v>
      </c>
      <c r="AA61" s="7"/>
      <c r="AB61" s="7"/>
      <c r="AC61" s="7"/>
    </row>
    <row r="62" spans="1:29" x14ac:dyDescent="0.25">
      <c r="A62">
        <f t="shared" si="11"/>
        <v>200</v>
      </c>
      <c r="B62">
        <f t="shared" si="12"/>
        <v>473.15</v>
      </c>
      <c r="C62">
        <f t="shared" si="13"/>
        <v>2.1134946634259748E-3</v>
      </c>
      <c r="D62" s="7">
        <f t="shared" si="14"/>
        <v>1.8591382972945307</v>
      </c>
      <c r="M62" s="3"/>
      <c r="O62" s="7">
        <f t="shared" si="15"/>
        <v>1.8591382972945307</v>
      </c>
      <c r="P62" s="7">
        <f t="shared" si="16"/>
        <v>6.0164429694348209E-2</v>
      </c>
      <c r="Q62" s="7"/>
      <c r="R62" s="7"/>
      <c r="S62">
        <f t="shared" si="0"/>
        <v>6.4796573693062062E-2</v>
      </c>
      <c r="T62">
        <f t="shared" si="1"/>
        <v>4.8030724023735853</v>
      </c>
      <c r="AA62" s="7"/>
      <c r="AB62" s="7"/>
      <c r="AC62" s="7"/>
    </row>
    <row r="63" spans="1:29" x14ac:dyDescent="0.25">
      <c r="A63">
        <v>25</v>
      </c>
      <c r="B63">
        <f t="shared" si="12"/>
        <v>298.14999999999998</v>
      </c>
      <c r="C63">
        <f>1/B63</f>
        <v>3.3540164346805303E-3</v>
      </c>
      <c r="D63">
        <v>1.31</v>
      </c>
      <c r="Q63">
        <v>1.31</v>
      </c>
      <c r="R63">
        <v>0.06</v>
      </c>
      <c r="AA63" s="7"/>
      <c r="AB63" s="7"/>
      <c r="AC63" s="7"/>
    </row>
    <row r="64" spans="1:29" x14ac:dyDescent="0.25">
      <c r="AA64" s="7"/>
      <c r="AB64" s="7"/>
      <c r="AC64" s="7"/>
    </row>
    <row r="65" spans="1:12" x14ac:dyDescent="0.25">
      <c r="H65" s="3"/>
      <c r="I65" s="3"/>
      <c r="J65" s="3"/>
      <c r="K65" s="3"/>
      <c r="L65" s="3"/>
    </row>
    <row r="66" spans="1:12" ht="15.6" x14ac:dyDescent="0.35">
      <c r="B66" s="12" t="s">
        <v>17</v>
      </c>
      <c r="C66" s="12" t="s">
        <v>18</v>
      </c>
      <c r="D66" s="13" t="s">
        <v>19</v>
      </c>
    </row>
    <row r="67" spans="1:12" ht="15.6" x14ac:dyDescent="0.25">
      <c r="B67" s="11" t="s">
        <v>20</v>
      </c>
      <c r="C67" s="10" t="s">
        <v>21</v>
      </c>
      <c r="D67" s="11"/>
      <c r="E67" s="3"/>
      <c r="F67" s="3"/>
      <c r="G67" s="3"/>
    </row>
    <row r="68" spans="1:12" ht="15.6" x14ac:dyDescent="0.35">
      <c r="A68" s="10" t="s">
        <v>22</v>
      </c>
      <c r="B68" s="1">
        <f t="array" ref="B68:D72">LINEST(D30:D62,S30:T62,TRUE,TRUE)</f>
        <v>-3.0535853800124853E-2</v>
      </c>
      <c r="C68" s="1">
        <v>10.547601166816325</v>
      </c>
      <c r="D68" s="1">
        <v>1.3313622483637177</v>
      </c>
      <c r="E68" s="14" t="s">
        <v>23</v>
      </c>
      <c r="F68" s="14"/>
    </row>
    <row r="69" spans="1:12" x14ac:dyDescent="0.25">
      <c r="A69" s="10"/>
      <c r="B69">
        <v>7.3463949256357703E-3</v>
      </c>
      <c r="C69">
        <v>0.47716900687265634</v>
      </c>
      <c r="D69">
        <v>6.6595965033157808E-3</v>
      </c>
      <c r="E69" s="14"/>
      <c r="F69" s="14"/>
    </row>
    <row r="70" spans="1:12" x14ac:dyDescent="0.25">
      <c r="A70" s="10" t="s">
        <v>24</v>
      </c>
      <c r="B70">
        <v>0.98635459440492901</v>
      </c>
      <c r="C70">
        <v>2.6018574452566876E-2</v>
      </c>
      <c r="D70" t="e">
        <v>#N/A</v>
      </c>
      <c r="E70" s="14" t="s">
        <v>25</v>
      </c>
      <c r="F70" s="14"/>
    </row>
    <row r="71" spans="1:12" x14ac:dyDescent="0.25">
      <c r="A71" s="10" t="s">
        <v>26</v>
      </c>
      <c r="B71">
        <v>1084.2710986486434</v>
      </c>
      <c r="C71">
        <v>30</v>
      </c>
      <c r="D71" t="e">
        <v>#N/A</v>
      </c>
      <c r="E71" s="14" t="s">
        <v>27</v>
      </c>
      <c r="F71" s="14"/>
    </row>
    <row r="72" spans="1:12" x14ac:dyDescent="0.25">
      <c r="A72" s="9"/>
      <c r="B72">
        <v>1.4680298067198483</v>
      </c>
      <c r="C72">
        <v>2.0308986496312971E-2</v>
      </c>
      <c r="D72" t="e">
        <v>#N/A</v>
      </c>
      <c r="E72" s="14" t="s">
        <v>28</v>
      </c>
      <c r="F72" s="14"/>
    </row>
    <row r="74" spans="1:12" x14ac:dyDescent="0.25">
      <c r="B74">
        <f>B69*1.96</f>
        <v>1.439893405424611E-2</v>
      </c>
      <c r="C74">
        <f>C69*2</f>
        <v>0.95433801374531269</v>
      </c>
      <c r="D74">
        <f>D69*2</f>
        <v>1.3319193006631562E-2</v>
      </c>
    </row>
    <row r="75" spans="1:12" ht="13.8" x14ac:dyDescent="0.3">
      <c r="A75" s="8" t="s">
        <v>29</v>
      </c>
      <c r="B75" s="1">
        <v>7.3000000000000001E-3</v>
      </c>
      <c r="C75" s="16">
        <v>1</v>
      </c>
      <c r="D75" s="1">
        <v>0.05</v>
      </c>
    </row>
    <row r="78" spans="1:12" x14ac:dyDescent="0.25">
      <c r="A78" s="19" t="s">
        <v>60</v>
      </c>
      <c r="C78" s="2" t="s">
        <v>30</v>
      </c>
    </row>
    <row r="80" spans="1:12" ht="15.6" x14ac:dyDescent="0.35">
      <c r="A80" s="4" t="s">
        <v>3</v>
      </c>
      <c r="B80" s="4" t="s">
        <v>10</v>
      </c>
      <c r="C80" s="6" t="s">
        <v>13</v>
      </c>
      <c r="D80" s="6" t="s">
        <v>14</v>
      </c>
      <c r="E80" s="15" t="s">
        <v>29</v>
      </c>
      <c r="F80" s="15"/>
    </row>
    <row r="81" spans="1:6" ht="13.8" x14ac:dyDescent="0.3">
      <c r="A81" s="4" t="s">
        <v>15</v>
      </c>
    </row>
    <row r="82" spans="1:6" x14ac:dyDescent="0.25">
      <c r="A82">
        <v>15</v>
      </c>
      <c r="B82" s="7">
        <f>LOG(20.3)</f>
        <v>1.307496037913213</v>
      </c>
      <c r="C82" s="7">
        <f>-$B82+LOG(20.3+2*1.6)</f>
        <v>6.3571824358523266E-2</v>
      </c>
      <c r="D82" s="7">
        <f>-$B82+LOG(20.3-2*1.6)</f>
        <v>-7.4499927521059162E-2</v>
      </c>
      <c r="E82" s="7">
        <f>(C82-D82)/2</f>
        <v>6.9035875939791214E-2</v>
      </c>
      <c r="F82" s="7"/>
    </row>
    <row r="83" spans="1:6" x14ac:dyDescent="0.25">
      <c r="A83">
        <v>25</v>
      </c>
      <c r="B83" s="7">
        <f>LOG(22.5)</f>
        <v>1.3521825181113625</v>
      </c>
      <c r="C83" s="7">
        <f>-$B83+LOG(22.5+2*1.9)</f>
        <v>6.7773230378395333E-2</v>
      </c>
      <c r="D83" s="7">
        <f>-$B83+LOG(22.5-2*1.9)</f>
        <v>-8.0340911574863449E-2</v>
      </c>
      <c r="E83" s="7">
        <f>(C83-D83)/2</f>
        <v>7.4057070976629391E-2</v>
      </c>
      <c r="F83" s="7"/>
    </row>
    <row r="84" spans="1:6" x14ac:dyDescent="0.25">
      <c r="A84">
        <v>45</v>
      </c>
      <c r="B84" s="7">
        <f>LOG(27.8)</f>
        <v>1.4440447959180762</v>
      </c>
      <c r="C84" s="7">
        <f>-$B84+LOG(27.8+2*2.1)</f>
        <v>6.1105182401829827E-2</v>
      </c>
      <c r="D84" s="7">
        <f>-$B84+LOG(27.8-2*2.1)</f>
        <v>-7.1132792947969703E-2</v>
      </c>
      <c r="E84" s="7">
        <f>(C84-D84)/2</f>
        <v>6.6118987674899765E-2</v>
      </c>
      <c r="F84" s="7"/>
    </row>
    <row r="85" spans="1:6" x14ac:dyDescent="0.25">
      <c r="A85">
        <v>65</v>
      </c>
      <c r="B85" s="7">
        <f>LOG(34.6)</f>
        <v>1.5390760987927767</v>
      </c>
      <c r="C85" s="7">
        <f>-$B85+LOG(34.6+2*3.2)</f>
        <v>7.3707757926958717E-2</v>
      </c>
      <c r="D85" s="7">
        <f>-$B85+LOG(34.6-2*3.2)</f>
        <v>-8.8826990473415579E-2</v>
      </c>
      <c r="E85" s="7">
        <f>(C85-D85)/2</f>
        <v>8.1267374200187148E-2</v>
      </c>
      <c r="F85" s="7"/>
    </row>
    <row r="86" spans="1:6" x14ac:dyDescent="0.25">
      <c r="A86">
        <v>85</v>
      </c>
      <c r="B86" s="7">
        <f>LOG(43.9)</f>
        <v>1.6424645202421213</v>
      </c>
      <c r="C86" s="7">
        <f>-$B86+LOG(43.9+2*4.3)</f>
        <v>7.769478316383549E-2</v>
      </c>
      <c r="D86" s="7">
        <f>-$B86+LOG(43.9-2*4.3)</f>
        <v>-9.4689814854298726E-2</v>
      </c>
      <c r="E86" s="7">
        <f>(C86-D86)/2</f>
        <v>8.6192299009067108E-2</v>
      </c>
      <c r="F86" s="7"/>
    </row>
    <row r="89" spans="1:6" x14ac:dyDescent="0.25">
      <c r="A89" s="19" t="s">
        <v>57</v>
      </c>
      <c r="C89" s="2" t="s">
        <v>31</v>
      </c>
    </row>
    <row r="91" spans="1:6" ht="15.6" x14ac:dyDescent="0.35">
      <c r="A91" s="4" t="s">
        <v>3</v>
      </c>
      <c r="B91" s="4" t="s">
        <v>10</v>
      </c>
      <c r="C91" s="6" t="s">
        <v>13</v>
      </c>
      <c r="D91" s="6" t="s">
        <v>14</v>
      </c>
    </row>
    <row r="92" spans="1:6" ht="13.8" x14ac:dyDescent="0.3">
      <c r="A92" s="4" t="s">
        <v>15</v>
      </c>
    </row>
    <row r="93" spans="1:6" x14ac:dyDescent="0.25">
      <c r="A93">
        <v>2</v>
      </c>
      <c r="B93" s="7">
        <f>LOG(17)</f>
        <v>1.2304489213782739</v>
      </c>
      <c r="C93" s="7">
        <f>-$B93+LOG(17+1)</f>
        <v>2.4823583725032128E-2</v>
      </c>
      <c r="D93" s="7">
        <f>-$B93+LOG(17-1)</f>
        <v>-2.6328938722349093E-2</v>
      </c>
      <c r="E93" s="7">
        <f>(C93-D93)/2</f>
        <v>2.5576261223690611E-2</v>
      </c>
      <c r="F93" s="7"/>
    </row>
    <row r="94" spans="1:6" x14ac:dyDescent="0.25">
      <c r="A94">
        <v>25</v>
      </c>
      <c r="B94" s="7">
        <f>LOG(24)</f>
        <v>1.3802112417116059</v>
      </c>
      <c r="C94" s="7">
        <f>-$B94+LOG(24+1)</f>
        <v>1.7728766960431797E-2</v>
      </c>
      <c r="D94" s="7">
        <f>-$B94+LOG(24-1)</f>
        <v>-1.8483405694013078E-2</v>
      </c>
      <c r="E94" s="7">
        <f>(C94-D94)/2</f>
        <v>1.8106086327222437E-2</v>
      </c>
      <c r="F94" s="7"/>
    </row>
    <row r="95" spans="1:6" x14ac:dyDescent="0.25">
      <c r="A95">
        <v>35</v>
      </c>
      <c r="B95" s="7">
        <f>LOG(25)</f>
        <v>1.3979400086720377</v>
      </c>
      <c r="C95" s="7">
        <f>-$B95+LOG(25+1)</f>
        <v>1.7033339298780259E-2</v>
      </c>
      <c r="D95" s="7">
        <f>-$B95+LOG(25-1)</f>
        <v>-1.7728766960431797E-2</v>
      </c>
      <c r="E95" s="7">
        <f>(C95-D95)/2</f>
        <v>1.7381053129606028E-2</v>
      </c>
      <c r="F95" s="7"/>
    </row>
    <row r="97" spans="1:12" ht="15.6" x14ac:dyDescent="0.35">
      <c r="H97" t="s">
        <v>47</v>
      </c>
      <c r="K97" s="4" t="s">
        <v>10</v>
      </c>
    </row>
    <row r="98" spans="1:12" x14ac:dyDescent="0.25">
      <c r="A98" s="19" t="s">
        <v>55</v>
      </c>
      <c r="C98" s="2" t="s">
        <v>32</v>
      </c>
    </row>
    <row r="99" spans="1:12" ht="15.6" x14ac:dyDescent="0.35">
      <c r="H99" s="2" t="s">
        <v>30</v>
      </c>
      <c r="K99" s="3">
        <v>1.35</v>
      </c>
      <c r="L99" s="2" t="s">
        <v>33</v>
      </c>
    </row>
    <row r="100" spans="1:12" ht="15.6" x14ac:dyDescent="0.35">
      <c r="A100" s="4" t="s">
        <v>3</v>
      </c>
      <c r="B100" s="4" t="s">
        <v>10</v>
      </c>
      <c r="C100" s="6" t="s">
        <v>13</v>
      </c>
      <c r="D100" s="6" t="s">
        <v>14</v>
      </c>
      <c r="H100" s="2" t="s">
        <v>31</v>
      </c>
      <c r="K100" s="3">
        <v>1.38</v>
      </c>
      <c r="L100" s="2" t="s">
        <v>34</v>
      </c>
    </row>
    <row r="101" spans="1:12" ht="13.8" x14ac:dyDescent="0.3">
      <c r="A101" s="4" t="s">
        <v>15</v>
      </c>
      <c r="H101" s="2" t="s">
        <v>32</v>
      </c>
      <c r="K101" s="3">
        <v>1.27</v>
      </c>
      <c r="L101" s="2" t="s">
        <v>35</v>
      </c>
    </row>
    <row r="102" spans="1:12" ht="15.6" x14ac:dyDescent="0.35">
      <c r="A102">
        <v>25</v>
      </c>
      <c r="B102" s="7">
        <f>LOG(18.6)</f>
        <v>1.2695129442179163</v>
      </c>
      <c r="C102" s="7">
        <f>-$B102+LOG(18.6+2*0.8)</f>
        <v>3.5838425228707615E-2</v>
      </c>
      <c r="D102" s="7">
        <f>-$B102+LOG(18.6-2*0.8)</f>
        <v>-3.9064022839642387E-2</v>
      </c>
      <c r="E102" s="7">
        <f>(C102-D102)/2</f>
        <v>3.7451224034175001E-2</v>
      </c>
      <c r="H102" s="2" t="s">
        <v>36</v>
      </c>
      <c r="K102" s="3">
        <v>1.32</v>
      </c>
      <c r="L102" s="2" t="s">
        <v>34</v>
      </c>
    </row>
    <row r="103" spans="1:12" x14ac:dyDescent="0.25">
      <c r="B103" s="7"/>
      <c r="C103" s="7"/>
      <c r="D103" s="7"/>
      <c r="E103" s="7"/>
      <c r="H103" t="s">
        <v>37</v>
      </c>
      <c r="K103" s="3">
        <v>1.3</v>
      </c>
      <c r="L103" s="2" t="s">
        <v>35</v>
      </c>
    </row>
    <row r="104" spans="1:12" ht="15.6" x14ac:dyDescent="0.35">
      <c r="H104" t="s">
        <v>38</v>
      </c>
      <c r="K104" s="3">
        <v>1.31</v>
      </c>
      <c r="L104" s="2" t="s">
        <v>33</v>
      </c>
    </row>
    <row r="105" spans="1:12" x14ac:dyDescent="0.25">
      <c r="A105" s="19" t="s">
        <v>51</v>
      </c>
      <c r="C105" s="2" t="s">
        <v>36</v>
      </c>
    </row>
    <row r="106" spans="1:12" x14ac:dyDescent="0.25">
      <c r="J106" s="2" t="s">
        <v>39</v>
      </c>
      <c r="K106" s="18">
        <f>AVERAGE(K99:K104)</f>
        <v>1.3216666666666665</v>
      </c>
    </row>
    <row r="107" spans="1:12" ht="15.6" x14ac:dyDescent="0.35">
      <c r="A107" s="4" t="s">
        <v>3</v>
      </c>
      <c r="B107" s="4" t="s">
        <v>10</v>
      </c>
      <c r="C107" s="6" t="s">
        <v>13</v>
      </c>
      <c r="D107" s="6" t="s">
        <v>14</v>
      </c>
      <c r="J107" s="2" t="s">
        <v>40</v>
      </c>
      <c r="K107">
        <f>STDEV(K99:K104)</f>
        <v>3.8686776379877712E-2</v>
      </c>
    </row>
    <row r="108" spans="1:12" ht="13.8" x14ac:dyDescent="0.3">
      <c r="A108" s="4" t="s">
        <v>15</v>
      </c>
      <c r="J108" s="17" t="s">
        <v>41</v>
      </c>
      <c r="K108" s="1">
        <f>K107/SQRT(6)*2.57</f>
        <v>4.0590092524052081E-2</v>
      </c>
    </row>
    <row r="109" spans="1:12" x14ac:dyDescent="0.25">
      <c r="A109">
        <v>2</v>
      </c>
      <c r="B109" s="7">
        <f>LOG(14.1)</f>
        <v>1.1492191126553799</v>
      </c>
      <c r="C109" s="7">
        <f>-$B109+LOG(14.1+2*0.3)</f>
        <v>1.8098222092796101E-2</v>
      </c>
      <c r="D109" s="7">
        <f>-$B109+LOG(14.1-2*0.3)</f>
        <v>-1.8885344160373796E-2</v>
      </c>
      <c r="E109" s="7">
        <f>(C109-D109)/2</f>
        <v>1.8491783126584949E-2</v>
      </c>
      <c r="F109" s="7"/>
    </row>
    <row r="110" spans="1:12" x14ac:dyDescent="0.25">
      <c r="A110">
        <v>25</v>
      </c>
      <c r="B110" s="7">
        <f>LOG(20.8)</f>
        <v>1.3180633349627615</v>
      </c>
      <c r="C110" s="7">
        <f>-$B110+LOG(20.8+2*1)</f>
        <v>3.9871512037692236E-2</v>
      </c>
      <c r="D110" s="7">
        <f>-$B110+LOG(20.8-2*1)</f>
        <v>-4.3905485699081703E-2</v>
      </c>
      <c r="E110" s="7">
        <f>(C110-D110)/2</f>
        <v>4.188849886838697E-2</v>
      </c>
      <c r="F110" s="7"/>
    </row>
    <row r="111" spans="1:12" x14ac:dyDescent="0.25">
      <c r="A111">
        <v>39</v>
      </c>
      <c r="B111" s="7">
        <f>LOG(25.2)</f>
        <v>1.4014005407815442</v>
      </c>
      <c r="C111" s="7">
        <f>-$B111+LOG(25.2+2*0.6)</f>
        <v>2.0203386088286868E-2</v>
      </c>
      <c r="D111" s="7">
        <f>-$B111+LOG(25.2-2*0.6)</f>
        <v>-2.1189299069938272E-2</v>
      </c>
      <c r="E111" s="7">
        <f>(C111-D111)/2</f>
        <v>2.069634257911257E-2</v>
      </c>
      <c r="F111" s="7"/>
    </row>
    <row r="114" spans="1:5" x14ac:dyDescent="0.25">
      <c r="A114" s="19" t="s">
        <v>45</v>
      </c>
      <c r="C114" s="2" t="s">
        <v>42</v>
      </c>
    </row>
    <row r="116" spans="1:5" ht="15.6" x14ac:dyDescent="0.35">
      <c r="A116" s="4" t="s">
        <v>3</v>
      </c>
      <c r="B116" s="4" t="s">
        <v>10</v>
      </c>
      <c r="C116" s="6" t="s">
        <v>13</v>
      </c>
      <c r="D116" s="6" t="s">
        <v>14</v>
      </c>
    </row>
    <row r="117" spans="1:5" ht="13.8" x14ac:dyDescent="0.3">
      <c r="A117" s="4" t="s">
        <v>15</v>
      </c>
    </row>
    <row r="118" spans="1:5" x14ac:dyDescent="0.25">
      <c r="A118">
        <v>200</v>
      </c>
      <c r="B118" s="7">
        <f>LOG(70.9)</f>
        <v>1.8506462351830666</v>
      </c>
      <c r="C118" s="7">
        <f>-$B118+LOG(70.9+2*5.1)</f>
        <v>5.8374619028089381E-2</v>
      </c>
      <c r="D118" s="7">
        <f>-$B118+LOG(70.9-2*5.1)</f>
        <v>-6.7457544107808909E-2</v>
      </c>
      <c r="E118" s="7">
        <f>(C118-D118)/2</f>
        <v>6.2916081567949145E-2</v>
      </c>
    </row>
    <row r="119" spans="1:5" x14ac:dyDescent="0.25">
      <c r="A119">
        <v>260</v>
      </c>
      <c r="B119" s="7">
        <f>LOG(268)</f>
        <v>2.428134794028789</v>
      </c>
      <c r="C119" s="7">
        <f>-$B119+LOG(268+2*75)</f>
        <v>0.19304148774624608</v>
      </c>
      <c r="D119" s="7">
        <f>-$B119+LOG(268-2*75)</f>
        <v>-0.35625278672266347</v>
      </c>
      <c r="E119" s="7">
        <f>(C119-D119)/2</f>
        <v>0.27464713723445477</v>
      </c>
    </row>
    <row r="121" spans="1:5" x14ac:dyDescent="0.25">
      <c r="A121" s="19" t="s">
        <v>62</v>
      </c>
      <c r="C121" t="s">
        <v>37</v>
      </c>
    </row>
    <row r="123" spans="1:5" ht="15.6" x14ac:dyDescent="0.35">
      <c r="A123" s="4" t="s">
        <v>3</v>
      </c>
      <c r="B123" s="4" t="s">
        <v>10</v>
      </c>
      <c r="C123" s="6" t="s">
        <v>13</v>
      </c>
      <c r="D123" s="6" t="s">
        <v>14</v>
      </c>
    </row>
    <row r="124" spans="1:5" ht="13.8" x14ac:dyDescent="0.3">
      <c r="A124" s="4" t="s">
        <v>15</v>
      </c>
    </row>
    <row r="125" spans="1:5" x14ac:dyDescent="0.25">
      <c r="A125">
        <v>25</v>
      </c>
      <c r="B125" s="7">
        <f>LOG(19.8)</f>
        <v>1.2966651902615312</v>
      </c>
      <c r="C125" s="7">
        <f>-$B125+LOG(19.8+2*0.5)</f>
        <v>2.1398144701230359E-2</v>
      </c>
      <c r="D125" s="7">
        <f>-$B125+LOG(19.8-2*0.5)</f>
        <v>-2.2507340997851344E-2</v>
      </c>
      <c r="E125" s="7">
        <f>(C125-D125)/2</f>
        <v>2.1952742849540852E-2</v>
      </c>
    </row>
    <row r="126" spans="1:5" x14ac:dyDescent="0.25">
      <c r="A126">
        <v>30</v>
      </c>
      <c r="B126" s="7">
        <f>LOG(21.3)</f>
        <v>1.3283796034387378</v>
      </c>
      <c r="C126" s="7">
        <f>-$B126+LOG(21.3+2*0.4)</f>
        <v>1.6012670246372984E-2</v>
      </c>
      <c r="D126" s="7">
        <f>-$B126+LOG(21.3-2*0.4)</f>
        <v>-1.6625742382983644E-2</v>
      </c>
      <c r="E126" s="7">
        <f t="shared" ref="E126:E144" si="17">(C126-D126)/2</f>
        <v>1.6319206314678314E-2</v>
      </c>
    </row>
    <row r="127" spans="1:5" x14ac:dyDescent="0.25">
      <c r="A127">
        <v>40</v>
      </c>
      <c r="B127" s="7">
        <f>LOG(25.3)</f>
        <v>1.403120521175818</v>
      </c>
      <c r="C127" s="7">
        <f>-$B127+LOG(25.3+2*0.5)</f>
        <v>1.6835227313939827E-2</v>
      </c>
      <c r="D127" s="7">
        <f>-$B127+LOG(25.3-2*0.5)</f>
        <v>-1.7514247577505859E-2</v>
      </c>
      <c r="E127" s="7">
        <f t="shared" si="17"/>
        <v>1.7174737445722843E-2</v>
      </c>
    </row>
    <row r="128" spans="1:5" x14ac:dyDescent="0.25">
      <c r="A128">
        <v>50</v>
      </c>
      <c r="B128" s="7">
        <f>LOG(27.6)</f>
        <v>1.4409090820652177</v>
      </c>
      <c r="C128" s="7">
        <f>-$B128+LOG(27.6+2*0.5)</f>
        <v>1.5456951063825386E-2</v>
      </c>
      <c r="D128" s="7">
        <f>-$B128+LOG(27.6-2*0.5)</f>
        <v>-1.6027445434150689E-2</v>
      </c>
      <c r="E128" s="7">
        <f t="shared" si="17"/>
        <v>1.5742198248988037E-2</v>
      </c>
    </row>
    <row r="129" spans="1:5" x14ac:dyDescent="0.25">
      <c r="A129">
        <v>60</v>
      </c>
      <c r="B129" s="7">
        <f>LOG(31.1)</f>
        <v>1.4927603890268375</v>
      </c>
      <c r="C129" s="7">
        <f>-$B129+LOG(31.1+2*0.6)</f>
        <v>1.6442133304265472E-2</v>
      </c>
      <c r="D129" s="7">
        <f>-$B129+LOG(31.1-2*0.6)</f>
        <v>-1.7089200702407714E-2</v>
      </c>
      <c r="E129" s="7">
        <f t="shared" si="17"/>
        <v>1.6765667003336593E-2</v>
      </c>
    </row>
    <row r="130" spans="1:5" x14ac:dyDescent="0.25">
      <c r="A130">
        <v>70</v>
      </c>
      <c r="B130" s="7">
        <f>LOG(34.7)</f>
        <v>1.5403294747908738</v>
      </c>
      <c r="C130" s="7">
        <f>-$B130+LOG(34.7+2*0.5)</f>
        <v>1.2338741321319402E-2</v>
      </c>
      <c r="D130" s="7">
        <f>-$B130+LOG(34.7-2*0.5)</f>
        <v>-1.2699573919535023E-2</v>
      </c>
      <c r="E130" s="7">
        <f t="shared" si="17"/>
        <v>1.2519157620427213E-2</v>
      </c>
    </row>
    <row r="131" spans="1:5" x14ac:dyDescent="0.25">
      <c r="A131">
        <v>75</v>
      </c>
      <c r="B131" s="7">
        <f>LOG(37.9)</f>
        <v>1.5786392099680724</v>
      </c>
      <c r="C131" s="7">
        <f>-$B131+LOG(37.9+2*0.6)</f>
        <v>1.3537547427794339E-2</v>
      </c>
      <c r="D131" s="7">
        <f>-$B131+LOG(37.9-2*0.6)</f>
        <v>-1.3973145715983071E-2</v>
      </c>
      <c r="E131" s="7">
        <f>(C131-D131)/2</f>
        <v>1.3755346571888705E-2</v>
      </c>
    </row>
    <row r="132" spans="1:5" x14ac:dyDescent="0.25">
      <c r="A132">
        <v>80</v>
      </c>
      <c r="B132" s="7">
        <f>LOG(38.3)</f>
        <v>1.5831987739686226</v>
      </c>
      <c r="C132" s="7">
        <f>-$B132+LOG(38.3+2*0.7)</f>
        <v>1.559173279449233E-2</v>
      </c>
      <c r="D132" s="7">
        <f>-$B132+LOG(38.3-2*0.7)</f>
        <v>-1.6172407809562195E-2</v>
      </c>
      <c r="E132" s="7">
        <f t="shared" si="17"/>
        <v>1.5882070302027262E-2</v>
      </c>
    </row>
    <row r="133" spans="1:5" x14ac:dyDescent="0.25">
      <c r="A133">
        <v>90</v>
      </c>
      <c r="B133" s="7">
        <f>LOG(44.6)</f>
        <v>1.6493348587121419</v>
      </c>
      <c r="C133" s="7">
        <f>-$B133+LOG(44.6+2*0.9)</f>
        <v>1.7183121842738958E-2</v>
      </c>
      <c r="D133" s="7">
        <f>-$B133+LOG(44.6-2*0.9)</f>
        <v>-1.7891089698969909E-2</v>
      </c>
      <c r="E133" s="7">
        <f t="shared" si="17"/>
        <v>1.7537105770854433E-2</v>
      </c>
    </row>
    <row r="134" spans="1:5" x14ac:dyDescent="0.25">
      <c r="A134">
        <v>100</v>
      </c>
      <c r="B134" s="7">
        <f>LOG(49.5)</f>
        <v>1.6946051989335686</v>
      </c>
      <c r="C134" s="7">
        <f>-$B134+LOG(49.5+2*1.1)</f>
        <v>1.8885344160373796E-2</v>
      </c>
      <c r="D134" s="7">
        <f>-$B134+LOG(49.5-2*1.1)</f>
        <v>-1.9744058195757086E-2</v>
      </c>
      <c r="E134" s="7">
        <f t="shared" si="17"/>
        <v>1.9314701178065441E-2</v>
      </c>
    </row>
    <row r="135" spans="1:5" x14ac:dyDescent="0.25">
      <c r="A135">
        <v>110</v>
      </c>
      <c r="B135" s="7">
        <f>LOG(51.1)</f>
        <v>1.7084209001347128</v>
      </c>
      <c r="C135" s="7">
        <f>-$B135+LOG(51.1+2*1)</f>
        <v>1.6673620946756174E-2</v>
      </c>
      <c r="D135" s="7">
        <f>-$B135+LOG(51.1-2*1)</f>
        <v>-1.7339408011744384E-2</v>
      </c>
      <c r="E135" s="7">
        <f t="shared" si="17"/>
        <v>1.7006514479250279E-2</v>
      </c>
    </row>
    <row r="136" spans="1:5" x14ac:dyDescent="0.25">
      <c r="A136">
        <v>120</v>
      </c>
      <c r="B136" s="7">
        <f>LOG(55.2)</f>
        <v>1.741939077729199</v>
      </c>
      <c r="C136" s="7">
        <f>-$B136+LOG(55.2+2*1.2)</f>
        <v>1.8483405694013078E-2</v>
      </c>
      <c r="D136" s="7">
        <f>-$B136+LOG(55.2-2*1.2)</f>
        <v>-1.930515519538667E-2</v>
      </c>
      <c r="E136" s="7">
        <f t="shared" si="17"/>
        <v>1.8894280444699874E-2</v>
      </c>
    </row>
    <row r="137" spans="1:5" x14ac:dyDescent="0.25">
      <c r="A137">
        <v>130</v>
      </c>
      <c r="B137" s="7">
        <f>LOG(57.8)</f>
        <v>1.761927838420529</v>
      </c>
      <c r="C137" s="7">
        <f>-$B137+LOG(57.8+2*1.1)</f>
        <v>1.6223411963114609E-2</v>
      </c>
      <c r="D137" s="7">
        <f>-$B137+LOG(57.8-2*1.1)</f>
        <v>-1.6853046838471553E-2</v>
      </c>
      <c r="E137" s="7">
        <f t="shared" si="17"/>
        <v>1.6538229400793081E-2</v>
      </c>
    </row>
    <row r="138" spans="1:5" x14ac:dyDescent="0.25">
      <c r="A138">
        <v>140</v>
      </c>
      <c r="B138" s="7">
        <f>LOG(60.5)</f>
        <v>1.7817553746524688</v>
      </c>
      <c r="C138" s="7">
        <f>-$B138+LOG(60.5+2*1.6)</f>
        <v>2.2384057682881542E-2</v>
      </c>
      <c r="D138" s="7">
        <f>-$B138+LOG(60.5-2*1.6)</f>
        <v>-2.3600752685078774E-2</v>
      </c>
      <c r="E138" s="7">
        <f t="shared" si="17"/>
        <v>2.2992405183980158E-2</v>
      </c>
    </row>
    <row r="139" spans="1:5" x14ac:dyDescent="0.25">
      <c r="A139">
        <v>150</v>
      </c>
      <c r="B139" s="7">
        <f>LOG(62.2)</f>
        <v>1.7937903846908188</v>
      </c>
      <c r="C139" s="7">
        <f>-$B139+LOG(62.2+2*1.4)</f>
        <v>1.9122971952036716E-2</v>
      </c>
      <c r="D139" s="7">
        <f>-$B139+LOG(62.2-2*1.4)</f>
        <v>-2.0003939709625218E-2</v>
      </c>
      <c r="E139" s="7">
        <f t="shared" si="17"/>
        <v>1.9563455830830967E-2</v>
      </c>
    </row>
    <row r="140" spans="1:5" x14ac:dyDescent="0.25">
      <c r="A140">
        <v>160</v>
      </c>
      <c r="B140" s="7">
        <f>LOG(65.2)</f>
        <v>1.8142475957319202</v>
      </c>
      <c r="C140" s="7">
        <f>-$B140+LOG(65.2+2*1.5)</f>
        <v>1.9536778924558851E-2</v>
      </c>
      <c r="D140" s="7">
        <f>-$B140+LOG(65.2-2*1.5)</f>
        <v>-2.0457211041101431E-2</v>
      </c>
      <c r="E140" s="7">
        <f t="shared" si="17"/>
        <v>1.9996994982830141E-2</v>
      </c>
    </row>
    <row r="141" spans="1:5" x14ac:dyDescent="0.25">
      <c r="A141">
        <v>170</v>
      </c>
      <c r="B141" s="7">
        <f>LOG(66.5)</f>
        <v>1.8228216453031045</v>
      </c>
      <c r="C141" s="7">
        <f>-$B141+LOG(66.5+2*1.5)</f>
        <v>1.9163159287009401E-2</v>
      </c>
      <c r="D141" s="7">
        <f>-$B141+LOG(66.5-2*1.5)</f>
        <v>-2.0047920011128761E-2</v>
      </c>
      <c r="E141" s="7">
        <f t="shared" si="17"/>
        <v>1.9605539649069081E-2</v>
      </c>
    </row>
    <row r="142" spans="1:5" x14ac:dyDescent="0.25">
      <c r="A142">
        <v>180</v>
      </c>
      <c r="B142" s="7">
        <f>LOG(68.9)</f>
        <v>1.8382192219076259</v>
      </c>
      <c r="C142" s="7">
        <f>-$B142+LOG(68.9+2*2.1)</f>
        <v>2.569815505023465E-2</v>
      </c>
      <c r="D142" s="7">
        <f>-$B142+LOG(68.9-2*2.1)</f>
        <v>-2.7314941238925528E-2</v>
      </c>
      <c r="E142" s="7">
        <f t="shared" si="17"/>
        <v>2.6506548144580089E-2</v>
      </c>
    </row>
    <row r="143" spans="1:5" x14ac:dyDescent="0.25">
      <c r="A143">
        <v>190</v>
      </c>
      <c r="B143" s="7">
        <f>LOG(70.1)</f>
        <v>1.8457180179666586</v>
      </c>
      <c r="C143" s="7">
        <f>-$B143+LOG(70.1+2*2.3)</f>
        <v>2.7602583848740148E-2</v>
      </c>
      <c r="D143" s="7">
        <f>-$B143+LOG(70.1-2*2.3)</f>
        <v>-2.947671797487561E-2</v>
      </c>
      <c r="E143" s="7">
        <f t="shared" si="17"/>
        <v>2.8539650911807879E-2</v>
      </c>
    </row>
    <row r="144" spans="1:5" x14ac:dyDescent="0.25">
      <c r="A144">
        <v>200</v>
      </c>
      <c r="B144" s="7">
        <f>LOG(72.3)</f>
        <v>1.8591382972945307</v>
      </c>
      <c r="C144" s="7">
        <f>-$B144+LOG(72.3+2*2.5)</f>
        <v>2.904119662379423E-2</v>
      </c>
      <c r="D144" s="7">
        <f>-$B144+LOG(72.3-2*2.5)</f>
        <v>-3.1123233070553979E-2</v>
      </c>
      <c r="E144" s="7">
        <f t="shared" si="17"/>
        <v>3.0082214847174105E-2</v>
      </c>
    </row>
  </sheetData>
  <hyperlinks>
    <hyperlink ref="B9" r:id="rId1" xr:uid="{C04C1083-C7A0-4AF0-80CA-FD67A4B063EB}"/>
    <hyperlink ref="B11" r:id="rId2" xr:uid="{821D8A24-DD57-4C39-81B2-DD811E957FCA}"/>
    <hyperlink ref="B12" r:id="rId3" xr:uid="{C0B2B4F3-DFC4-4D4F-9344-CB6242AD8088}"/>
    <hyperlink ref="B13" r:id="rId4" xr:uid="{72FEC06E-6A53-45D3-A8E2-354E108094FC}"/>
    <hyperlink ref="B14" r:id="rId5" xr:uid="{517A5CBE-6EA3-4046-9390-112F390CAA51}"/>
    <hyperlink ref="B15" r:id="rId6" xr:uid="{E54EE380-499B-4E97-8571-9E5A056A4B01}"/>
  </hyperlinks>
  <pageMargins left="0.75" right="0.75" top="1" bottom="1" header="0.5" footer="0.5"/>
  <pageSetup paperSize="9" orientation="portrait" horizontalDpi="300" r:id="rId7"/>
  <headerFooter alignWithMargins="0">
    <oddHeader>&amp;A</oddHeader>
    <oddFooter>Page &amp;P</oddFooter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</vt:lpstr>
    </vt:vector>
  </TitlesOfParts>
  <Company>Paul Scherrer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Hummel</dc:creator>
  <cp:lastModifiedBy>Josep Bonet</cp:lastModifiedBy>
  <cp:lastPrinted>2001-11-28T13:26:59Z</cp:lastPrinted>
  <dcterms:created xsi:type="dcterms:W3CDTF">2001-11-28T13:43:01Z</dcterms:created>
  <dcterms:modified xsi:type="dcterms:W3CDTF">2023-11-26T16:57:49Z</dcterms:modified>
</cp:coreProperties>
</file>