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4B9CCDC2-9C2E-4088-BA21-0184975D3D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gCO3" sheetId="1" r:id="rId1"/>
    <sheet name="MgHCO3+" sheetId="2" r:id="rId2"/>
  </sheets>
  <definedNames>
    <definedName name="_Regression_Out" hidden="1">MgCO3!$B$97:$B$97</definedName>
    <definedName name="_Regression_X" hidden="1">MgCO3!$E$92:$E$94</definedName>
    <definedName name="_Regression_Y" hidden="1">MgCO3!$G$92:$G$94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C50" i="2"/>
  <c r="B48" i="2"/>
  <c r="C48" i="2" s="1"/>
  <c r="B19" i="1" l="1"/>
  <c r="B22" i="1" s="1"/>
  <c r="B21" i="1"/>
  <c r="B26" i="1"/>
  <c r="C26" i="1" s="1"/>
  <c r="E26" i="1"/>
  <c r="F26" i="1"/>
  <c r="S26" i="1"/>
  <c r="T26" i="1" s="1"/>
  <c r="B27" i="1"/>
  <c r="C27" i="1" s="1"/>
  <c r="E27" i="1"/>
  <c r="F27" i="1"/>
  <c r="S27" i="1"/>
  <c r="T27" i="1" s="1"/>
  <c r="B28" i="1"/>
  <c r="C28" i="1" s="1"/>
  <c r="E28" i="1"/>
  <c r="F28" i="1"/>
  <c r="S28" i="1"/>
  <c r="U28" i="1" s="1"/>
  <c r="B29" i="1"/>
  <c r="C29" i="1" s="1"/>
  <c r="E29" i="1"/>
  <c r="F29" i="1"/>
  <c r="S29" i="1"/>
  <c r="Z29" i="1" s="1"/>
  <c r="B30" i="1"/>
  <c r="C30" i="1"/>
  <c r="E30" i="1"/>
  <c r="F30" i="1"/>
  <c r="S30" i="1"/>
  <c r="B31" i="1"/>
  <c r="C31" i="1" s="1"/>
  <c r="E31" i="1"/>
  <c r="F31" i="1"/>
  <c r="S31" i="1"/>
  <c r="Z31" i="1" s="1"/>
  <c r="B19" i="2"/>
  <c r="B21" i="2" s="1"/>
  <c r="B26" i="2"/>
  <c r="C26" i="2"/>
  <c r="E26" i="2"/>
  <c r="F26" i="2"/>
  <c r="S26" i="2"/>
  <c r="Z26" i="2" s="1"/>
  <c r="B27" i="2"/>
  <c r="C27" i="2"/>
  <c r="E27" i="2"/>
  <c r="F27" i="2"/>
  <c r="S27" i="2"/>
  <c r="Z27" i="2" s="1"/>
  <c r="B28" i="2"/>
  <c r="C28" i="2"/>
  <c r="E28" i="2"/>
  <c r="F28" i="2"/>
  <c r="S28" i="2"/>
  <c r="Z28" i="2" s="1"/>
  <c r="B29" i="2"/>
  <c r="P29" i="2" s="1"/>
  <c r="E29" i="2"/>
  <c r="F29" i="2"/>
  <c r="S29" i="2"/>
  <c r="Z29" i="2" s="1"/>
  <c r="B30" i="2"/>
  <c r="C30" i="2" s="1"/>
  <c r="E30" i="2"/>
  <c r="F30" i="2"/>
  <c r="S30" i="2"/>
  <c r="Z30" i="2" s="1"/>
  <c r="B31" i="2"/>
  <c r="C31" i="2"/>
  <c r="E31" i="2"/>
  <c r="F31" i="2"/>
  <c r="S31" i="2"/>
  <c r="Z31" i="2" s="1"/>
  <c r="P29" i="1" l="1"/>
  <c r="P31" i="1"/>
  <c r="T30" i="1"/>
  <c r="Z30" i="1"/>
  <c r="C29" i="2"/>
  <c r="O26" i="2"/>
  <c r="O28" i="2"/>
  <c r="O30" i="2"/>
  <c r="T27" i="2"/>
  <c r="T29" i="2"/>
  <c r="P26" i="2"/>
  <c r="P28" i="2"/>
  <c r="P30" i="2"/>
  <c r="T31" i="2"/>
  <c r="U26" i="2"/>
  <c r="U28" i="2"/>
  <c r="U30" i="2"/>
  <c r="T28" i="2"/>
  <c r="U31" i="2"/>
  <c r="P27" i="2"/>
  <c r="T26" i="2"/>
  <c r="U29" i="2"/>
  <c r="O31" i="2"/>
  <c r="U27" i="2"/>
  <c r="T30" i="2"/>
  <c r="O29" i="1"/>
  <c r="P28" i="1"/>
  <c r="O28" i="1"/>
  <c r="P27" i="1"/>
  <c r="P26" i="1"/>
  <c r="P31" i="2"/>
  <c r="U31" i="1"/>
  <c r="O26" i="1"/>
  <c r="O29" i="2"/>
  <c r="O27" i="2"/>
  <c r="U30" i="1"/>
  <c r="Z27" i="1"/>
  <c r="B22" i="2"/>
  <c r="U29" i="1"/>
  <c r="Z28" i="1"/>
  <c r="O27" i="1"/>
  <c r="Z26" i="1"/>
  <c r="T31" i="1"/>
  <c r="T29" i="1"/>
  <c r="O31" i="1"/>
  <c r="P30" i="1"/>
  <c r="T28" i="1"/>
  <c r="U27" i="1"/>
  <c r="O30" i="1"/>
  <c r="U26" i="1"/>
  <c r="B36" i="2" l="1" a="1"/>
  <c r="B36" i="1" a="1"/>
  <c r="C36" i="1" l="1"/>
  <c r="B39" i="1"/>
  <c r="D38" i="1"/>
  <c r="D36" i="1"/>
  <c r="C39" i="1"/>
  <c r="B37" i="1"/>
  <c r="B42" i="1" s="1"/>
  <c r="D39" i="1"/>
  <c r="C40" i="1"/>
  <c r="B38" i="1"/>
  <c r="D40" i="1"/>
  <c r="C37" i="1"/>
  <c r="C42" i="1" s="1"/>
  <c r="B40" i="1"/>
  <c r="D37" i="1"/>
  <c r="D42" i="1" s="1"/>
  <c r="B36" i="1"/>
  <c r="C38" i="1"/>
  <c r="B37" i="2"/>
  <c r="B42" i="2" s="1"/>
  <c r="D39" i="2"/>
  <c r="B40" i="2"/>
  <c r="B39" i="2"/>
  <c r="D36" i="2"/>
  <c r="C37" i="2"/>
  <c r="C42" i="2" s="1"/>
  <c r="C36" i="2"/>
  <c r="C39" i="2"/>
  <c r="D37" i="2"/>
  <c r="D42" i="2" s="1"/>
  <c r="C40" i="2"/>
  <c r="B38" i="2"/>
  <c r="D40" i="2"/>
  <c r="B36" i="2"/>
  <c r="C38" i="2"/>
  <c r="D38" i="2"/>
  <c r="V27" i="2" l="1"/>
  <c r="V31" i="2"/>
  <c r="W26" i="2"/>
  <c r="W28" i="2"/>
  <c r="X28" i="2"/>
  <c r="X30" i="2"/>
  <c r="V29" i="2"/>
  <c r="W30" i="2"/>
  <c r="X26" i="2"/>
  <c r="W27" i="2"/>
  <c r="W29" i="2"/>
  <c r="W31" i="2"/>
  <c r="V28" i="2"/>
  <c r="V30" i="2"/>
  <c r="X27" i="2"/>
  <c r="X29" i="2"/>
  <c r="X31" i="2"/>
  <c r="V26" i="2"/>
  <c r="X30" i="1"/>
  <c r="W29" i="1"/>
  <c r="X28" i="1"/>
  <c r="W27" i="1"/>
  <c r="V31" i="1"/>
  <c r="W30" i="1"/>
  <c r="V28" i="1"/>
  <c r="V29" i="1"/>
  <c r="W28" i="1"/>
  <c r="V27" i="1"/>
  <c r="X31" i="1"/>
  <c r="V26" i="1"/>
  <c r="X29" i="1"/>
  <c r="W26" i="1"/>
  <c r="X27" i="1"/>
  <c r="X26" i="1"/>
  <c r="W31" i="1"/>
  <c r="V30" i="1"/>
</calcChain>
</file>

<file path=xl/sharedStrings.xml><?xml version="1.0" encoding="utf-8"?>
<sst xmlns="http://schemas.openxmlformats.org/spreadsheetml/2006/main" count="105" uniqueCount="46">
  <si>
    <r>
      <t>Mg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2-</t>
    </r>
    <r>
      <rPr>
        <b/>
        <sz val="10"/>
        <rFont val="Arial"/>
        <family val="2"/>
      </rPr>
      <t xml:space="preserve"> = MgCO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(aq)</t>
    </r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</si>
  <si>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</si>
  <si>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</si>
  <si>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</si>
  <si>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</si>
  <si>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</si>
  <si>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ln(10)</t>
  </si>
  <si>
    <t>R T ln(10)</t>
  </si>
  <si>
    <t>calc</t>
  </si>
  <si>
    <t>1 / T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</si>
  <si>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</si>
  <si>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X1</t>
  </si>
  <si>
    <t>X2</t>
  </si>
  <si>
    <t>+</t>
  </si>
  <si>
    <t>-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</si>
  <si>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</si>
  <si>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</si>
  <si>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</si>
  <si>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</si>
  <si>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</si>
  <si>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</si>
  <si>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</si>
  <si>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</si>
  <si>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</si>
  <si>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</si>
  <si>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</si>
  <si>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</si>
  <si>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</si>
  <si>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</si>
  <si>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±</t>
  </si>
  <si>
    <r>
      <t>Mg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HCO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 xml:space="preserve"> = MgHCO</t>
    </r>
    <r>
      <rPr>
        <b/>
        <vertAlign val="subscript"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+</t>
    </r>
  </si>
  <si>
    <t>Siebert &amp; Hostetler (1977b)</t>
  </si>
  <si>
    <t>Nordstrom et al. (1990)</t>
  </si>
  <si>
    <t>Hummel W. &amp; Thoenen T. (2023): The PSI Chemical Thermodynamic Database 2020 (TDB 2020), Nagra Technical Report NTB 21-03</t>
  </si>
  <si>
    <t>Least squares regression analysis of experimental data using the three-term temperature equation as described in NTB 21-03 Chapter 1.6.2 Constant heat capacity of reaction</t>
  </si>
  <si>
    <t>References</t>
  </si>
  <si>
    <t>Chapter 4.1.6.1 Magnesium(II) carbonate complexes</t>
  </si>
  <si>
    <t>Siebert, R.M. &amp; Hostetler, P.B. (1977b): The stability of the magnesium carbonate ion pair from 10° to 90°C. American Journal of Science, 277, 716–734.</t>
  </si>
  <si>
    <t>Siebert, R.M. &amp; Hostetler, P.B. (1977a): The stability of the magnesium bicarbonate ion pair from 10° to 90°C. American Journal of Science, 277, 697–715.</t>
  </si>
  <si>
    <t>1977SIE/HOSa</t>
  </si>
  <si>
    <t>1977SIE/HOSb</t>
  </si>
  <si>
    <t>Nordstrom, D.K., Plummer, L.N., Langmuir, D., Busenberg, E., May, H.M., Jones, B.F. &amp; Parkhurst, D.L. (1990): Revised Chemical Equilibrium Data for Major Water-Mineral Reactions and Their Limitations. In: Melchior, D.C., and Bassett, R.L. (eds.): Chemical Modeling of Aqueous Systems II. Washington, D.C., American Chemical Society, ACS Symposium Series 416, p. 398–413.</t>
  </si>
  <si>
    <t>1990NOR/PLU</t>
  </si>
  <si>
    <t>doi:10.2475/ajs.277.6.697</t>
  </si>
  <si>
    <t>doi:10.2475/ajs.277.6.716</t>
  </si>
  <si>
    <t>doi:10.1021/bk-1990-0416.ch031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</si>
</sst>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 x14ac:knownFonts="1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Symbol"/>
      <family val="1"/>
      <charset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4" fillId="0" borderId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 applyAlignment="1">
      <alignment horizontal="center"/>
    </xf>
    <xf numFmtId="164" fontId="0" fillId="0" borderId="0" xfId="0" applyNumberFormat="1"/>
    <xf numFmtId="0" fontId="5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2" applyFont="1" applyAlignment="1">
      <alignment horizontal="right"/>
    </xf>
    <xf numFmtId="0" fontId="3" fillId="0" borderId="0" xfId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right"/>
    </xf>
    <xf numFmtId="0" fontId="6" fillId="0" borderId="0" xfId="2" applyFont="1"/>
    <xf numFmtId="165" fontId="4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0" fontId="3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3"/>
  </cellXfs>
  <cellStyles count="4">
    <cellStyle name="Enllaç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62403697996918"/>
          <c:y val="3.7694013303769404E-2"/>
          <c:w val="0.80893682588597848"/>
          <c:h val="0.82483370288248337"/>
        </c:manualLayout>
      </c:layout>
      <c:scatterChart>
        <c:scatterStyle val="smoothMarker"/>
        <c:varyColors val="0"/>
        <c:ser>
          <c:idx val="0"/>
          <c:order val="0"/>
          <c:tx>
            <c:v>Siebert &amp; Hostetler(1977b)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MgCO3!$F$26:$F$31</c:f>
                <c:numCache>
                  <c:formatCode>General</c:formatCode>
                  <c:ptCount val="6"/>
                  <c:pt idx="0">
                    <c:v>3.7999999999999999E-2</c:v>
                  </c:pt>
                  <c:pt idx="1">
                    <c:v>5.5800000000000002E-2</c:v>
                  </c:pt>
                  <c:pt idx="2">
                    <c:v>4.2000000000000003E-2</c:v>
                  </c:pt>
                  <c:pt idx="3">
                    <c:v>5.1999999999999998E-2</c:v>
                  </c:pt>
                  <c:pt idx="4">
                    <c:v>8.4000000000000005E-2</c:v>
                  </c:pt>
                  <c:pt idx="5">
                    <c:v>0.13400000000000001</c:v>
                  </c:pt>
                </c:numCache>
              </c:numRef>
            </c:plus>
            <c:minus>
              <c:numRef>
                <c:f>MgCO3!$F$26:$F$31</c:f>
                <c:numCache>
                  <c:formatCode>General</c:formatCode>
                  <c:ptCount val="6"/>
                  <c:pt idx="0">
                    <c:v>3.7999999999999999E-2</c:v>
                  </c:pt>
                  <c:pt idx="1">
                    <c:v>5.5800000000000002E-2</c:v>
                  </c:pt>
                  <c:pt idx="2">
                    <c:v>4.2000000000000003E-2</c:v>
                  </c:pt>
                  <c:pt idx="3">
                    <c:v>5.1999999999999998E-2</c:v>
                  </c:pt>
                  <c:pt idx="4">
                    <c:v>8.4000000000000005E-2</c:v>
                  </c:pt>
                  <c:pt idx="5">
                    <c:v>0.13400000000000001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MgCO3!$A$26:$A$31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MgCO3!$E$26:$E$31</c:f>
              <c:numCache>
                <c:formatCode>0.00</c:formatCode>
                <c:ptCount val="6"/>
                <c:pt idx="0">
                  <c:v>2.89</c:v>
                </c:pt>
                <c:pt idx="1">
                  <c:v>2.984</c:v>
                </c:pt>
                <c:pt idx="2">
                  <c:v>3.07</c:v>
                </c:pt>
                <c:pt idx="3">
                  <c:v>3.19</c:v>
                </c:pt>
                <c:pt idx="4">
                  <c:v>3.28</c:v>
                </c:pt>
                <c:pt idx="5">
                  <c:v>3.41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9B-44AD-8600-BDFCE49FA7CB}"/>
            </c:ext>
          </c:extLst>
        </c:ser>
        <c:ser>
          <c:idx val="3"/>
          <c:order val="1"/>
          <c:spPr>
            <a:ln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MgCO3!$R$26:$R$33</c:f>
              <c:numCache>
                <c:formatCode>General</c:formatCode>
                <c:ptCount val="8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MgCO3!$V$26:$V$33</c:f>
              <c:numCache>
                <c:formatCode>0.000</c:formatCode>
                <c:ptCount val="8"/>
                <c:pt idx="0">
                  <c:v>2.8570982693535738</c:v>
                </c:pt>
                <c:pt idx="1">
                  <c:v>2.9835008301666845</c:v>
                </c:pt>
                <c:pt idx="2">
                  <c:v>3.0809555582871044</c:v>
                </c:pt>
                <c:pt idx="3">
                  <c:v>3.1797587951843047</c:v>
                </c:pt>
                <c:pt idx="4">
                  <c:v>3.2792849764421215</c:v>
                </c:pt>
                <c:pt idx="5">
                  <c:v>3.4455065037829335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9B-44AD-8600-BDFCE49FA7CB}"/>
            </c:ext>
          </c:extLst>
        </c:ser>
        <c:ser>
          <c:idx val="4"/>
          <c:order val="2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MgCO3!$R$26:$R$33</c:f>
              <c:numCache>
                <c:formatCode>General</c:formatCode>
                <c:ptCount val="8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MgCO3!$W$26:$W$33</c:f>
              <c:numCache>
                <c:formatCode>0.000</c:formatCode>
                <c:ptCount val="8"/>
                <c:pt idx="0">
                  <c:v>2.8952839591238635</c:v>
                </c:pt>
                <c:pt idx="1">
                  <c:v>3.0135008301666844</c:v>
                </c:pt>
                <c:pt idx="2">
                  <c:v>3.1229104303033735</c:v>
                </c:pt>
                <c:pt idx="3">
                  <c:v>3.2376097332197715</c:v>
                </c:pt>
                <c:pt idx="4">
                  <c:v>3.3562361219826613</c:v>
                </c:pt>
                <c:pt idx="5">
                  <c:v>3.5598463628117183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9B-44AD-8600-BDFCE49FA7CB}"/>
            </c:ext>
          </c:extLst>
        </c:ser>
        <c:ser>
          <c:idx val="5"/>
          <c:order val="3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MgCO3!$R$26:$R$33</c:f>
              <c:numCache>
                <c:formatCode>General</c:formatCode>
                <c:ptCount val="8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MgCO3!$X$26:$X$33</c:f>
              <c:numCache>
                <c:formatCode>0.000</c:formatCode>
                <c:ptCount val="8"/>
                <c:pt idx="0">
                  <c:v>2.8189125795832846</c:v>
                </c:pt>
                <c:pt idx="1">
                  <c:v>2.9535008301666847</c:v>
                </c:pt>
                <c:pt idx="2">
                  <c:v>3.0390006862708345</c:v>
                </c:pt>
                <c:pt idx="3">
                  <c:v>3.1219078571488383</c:v>
                </c:pt>
                <c:pt idx="4">
                  <c:v>3.2023338309015812</c:v>
                </c:pt>
                <c:pt idx="5">
                  <c:v>3.3311666447541484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9B-44AD-8600-BDFCE49FA7CB}"/>
            </c:ext>
          </c:extLst>
        </c:ser>
        <c:ser>
          <c:idx val="1"/>
          <c:order val="4"/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MgCO3!$R$26:$R$31</c:f>
              <c:numCache>
                <c:formatCode>General</c:formatCode>
                <c:ptCount val="6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MgCO3!$Z$26:$Z$31</c:f>
              <c:numCache>
                <c:formatCode>0.000</c:formatCode>
                <c:ptCount val="6"/>
                <c:pt idx="0">
                  <c:v>2.8462604999999996</c:v>
                </c:pt>
                <c:pt idx="1">
                  <c:v>2.9796604999999996</c:v>
                </c:pt>
                <c:pt idx="2">
                  <c:v>3.0797105</c:v>
                </c:pt>
                <c:pt idx="3">
                  <c:v>3.1797605</c:v>
                </c:pt>
                <c:pt idx="4">
                  <c:v>3.2798105</c:v>
                </c:pt>
                <c:pt idx="5">
                  <c:v>3.4465604999999999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9B-44AD-8600-BDFCE49FA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71872"/>
        <c:axId val="133886336"/>
      </c:scatterChart>
      <c:valAx>
        <c:axId val="13387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3004622496147924"/>
              <c:y val="0.917960088691796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3886336"/>
        <c:crossesAt val="0"/>
        <c:crossBetween val="midCat"/>
      </c:valAx>
      <c:valAx>
        <c:axId val="133886336"/>
        <c:scaling>
          <c:orientation val="minMax"/>
          <c:max val="3.7"/>
          <c:min val="2.7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1.6949152542372881E-2"/>
              <c:y val="0.399113082039911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3871872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085324232081918E-2"/>
          <c:y val="2.843601895734597E-2"/>
          <c:w val="0.87883959044368598"/>
          <c:h val="0.8862559241706161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MgCO3!$E$26:$E$31</c:f>
              <c:numCache>
                <c:formatCode>0.00</c:formatCode>
                <c:ptCount val="6"/>
                <c:pt idx="0">
                  <c:v>2.89</c:v>
                </c:pt>
                <c:pt idx="1">
                  <c:v>2.984</c:v>
                </c:pt>
                <c:pt idx="2">
                  <c:v>3.07</c:v>
                </c:pt>
                <c:pt idx="3">
                  <c:v>3.19</c:v>
                </c:pt>
                <c:pt idx="4">
                  <c:v>3.28</c:v>
                </c:pt>
                <c:pt idx="5">
                  <c:v>3.41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B-4CC1-A572-49F48BA064D1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MgCO3!$G$26:$G$31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B-4CC1-A572-49F48BA064D1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MgCO3!$K$26:$K$31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CB-4CC1-A572-49F48BA064D1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MgCO3!$I$26:$I$31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CB-4CC1-A572-49F48BA064D1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MgCO3!$C$26:$C$32</c:f>
              <c:numCache>
                <c:formatCode>General</c:formatCode>
                <c:ptCount val="7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MgCO3!$M$26:$M$32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CB-4CC1-A572-49F48BA06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9088"/>
        <c:axId val="136819456"/>
      </c:scatterChart>
      <c:valAx>
        <c:axId val="136809088"/>
        <c:scaling>
          <c:orientation val="minMax"/>
          <c:max val="3.700000000000001E-3"/>
          <c:min val="2.5000000000000005E-3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819456"/>
        <c:crosses val="autoZero"/>
        <c:crossBetween val="midCat"/>
      </c:valAx>
      <c:valAx>
        <c:axId val="136819456"/>
        <c:scaling>
          <c:orientation val="minMax"/>
          <c:max val="3.5"/>
          <c:min val="2.8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8090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0063897763578"/>
          <c:y val="3.5476718403547672E-2"/>
          <c:w val="0.83865814696485619"/>
          <c:h val="0.82705099778270508"/>
        </c:manualLayout>
      </c:layout>
      <c:scatterChart>
        <c:scatterStyle val="smoothMarker"/>
        <c:varyColors val="0"/>
        <c:ser>
          <c:idx val="0"/>
          <c:order val="0"/>
          <c:tx>
            <c:v>Siebert &amp; Hostetler (1977a)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'MgHCO3+'!$F$26:$F$31</c:f>
                <c:numCache>
                  <c:formatCode>General</c:formatCode>
                  <c:ptCount val="6"/>
                  <c:pt idx="0">
                    <c:v>3.5999999999999997E-2</c:v>
                  </c:pt>
                  <c:pt idx="1">
                    <c:v>2.4E-2</c:v>
                  </c:pt>
                  <c:pt idx="2">
                    <c:v>1.2E-2</c:v>
                  </c:pt>
                  <c:pt idx="3">
                    <c:v>2.1999999999999999E-2</c:v>
                  </c:pt>
                  <c:pt idx="4">
                    <c:v>3.4000000000000002E-2</c:v>
                  </c:pt>
                  <c:pt idx="5">
                    <c:v>1.4E-2</c:v>
                  </c:pt>
                </c:numCache>
              </c:numRef>
            </c:plus>
            <c:minus>
              <c:numRef>
                <c:f>'MgHCO3+'!$F$26:$F$31</c:f>
                <c:numCache>
                  <c:formatCode>General</c:formatCode>
                  <c:ptCount val="6"/>
                  <c:pt idx="0">
                    <c:v>3.5999999999999997E-2</c:v>
                  </c:pt>
                  <c:pt idx="1">
                    <c:v>2.4E-2</c:v>
                  </c:pt>
                  <c:pt idx="2">
                    <c:v>1.2E-2</c:v>
                  </c:pt>
                  <c:pt idx="3">
                    <c:v>2.1999999999999999E-2</c:v>
                  </c:pt>
                  <c:pt idx="4">
                    <c:v>3.4000000000000002E-2</c:v>
                  </c:pt>
                  <c:pt idx="5">
                    <c:v>1.4E-2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'MgHCO3+'!$A$26:$A$31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'MgHCO3+'!$E$26:$E$31</c:f>
              <c:numCache>
                <c:formatCode>0.000</c:formatCode>
                <c:ptCount val="6"/>
                <c:pt idx="0">
                  <c:v>1.0509999999999999</c:v>
                </c:pt>
                <c:pt idx="1">
                  <c:v>1.0660000000000001</c:v>
                </c:pt>
                <c:pt idx="2">
                  <c:v>1.1080000000000001</c:v>
                </c:pt>
                <c:pt idx="3">
                  <c:v>1.1599999999999999</c:v>
                </c:pt>
                <c:pt idx="4">
                  <c:v>1.23</c:v>
                </c:pt>
                <c:pt idx="5">
                  <c:v>1.337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E-48BB-931F-FF20B08DB668}"/>
            </c:ext>
          </c:extLst>
        </c:ser>
        <c:ser>
          <c:idx val="3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'MgHCO3+'!$R$26:$R$33</c:f>
              <c:numCache>
                <c:formatCode>General</c:formatCode>
                <c:ptCount val="8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'MgHCO3+'!$V$26:$V$33</c:f>
              <c:numCache>
                <c:formatCode>0.000</c:formatCode>
                <c:ptCount val="8"/>
                <c:pt idx="0">
                  <c:v>1.0496997137850022</c:v>
                </c:pt>
                <c:pt idx="1">
                  <c:v>1.0680048726644764</c:v>
                </c:pt>
                <c:pt idx="2">
                  <c:v>1.1061691602281321</c:v>
                </c:pt>
                <c:pt idx="3">
                  <c:v>1.160952082801415</c:v>
                </c:pt>
                <c:pt idx="4">
                  <c:v>1.2292947183186</c:v>
                </c:pt>
                <c:pt idx="5">
                  <c:v>1.3668268410417881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E-48BB-931F-FF20B08DB668}"/>
            </c:ext>
          </c:extLst>
        </c:ser>
        <c:ser>
          <c:idx val="4"/>
          <c:order val="2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'MgHCO3+'!$R$26:$R$33</c:f>
              <c:numCache>
                <c:formatCode>General</c:formatCode>
                <c:ptCount val="8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'MgHCO3+'!$W$26:$W$33</c:f>
              <c:numCache>
                <c:formatCode>0.000</c:formatCode>
                <c:ptCount val="8"/>
                <c:pt idx="0">
                  <c:v>1.08133685173906</c:v>
                </c:pt>
                <c:pt idx="1">
                  <c:v>1.0980048726644764</c:v>
                </c:pt>
                <c:pt idx="2">
                  <c:v>1.1385601346313861</c:v>
                </c:pt>
                <c:pt idx="3">
                  <c:v>1.1965222704085086</c:v>
                </c:pt>
                <c:pt idx="4">
                  <c:v>1.2686849474267083</c:v>
                </c:pt>
                <c:pt idx="5">
                  <c:v>1.4136948128475451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4E-48BB-931F-FF20B08DB668}"/>
            </c:ext>
          </c:extLst>
        </c:ser>
        <c:ser>
          <c:idx val="5"/>
          <c:order val="3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'MgHCO3+'!$R$26:$R$33</c:f>
              <c:numCache>
                <c:formatCode>General</c:formatCode>
                <c:ptCount val="8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'MgHCO3+'!$X$26:$X$33</c:f>
              <c:numCache>
                <c:formatCode>0.000</c:formatCode>
                <c:ptCount val="8"/>
                <c:pt idx="0">
                  <c:v>1.0180625758309443</c:v>
                </c:pt>
                <c:pt idx="1">
                  <c:v>1.0380048726644764</c:v>
                </c:pt>
                <c:pt idx="2">
                  <c:v>1.0737781858248781</c:v>
                </c:pt>
                <c:pt idx="3">
                  <c:v>1.1253818951943217</c:v>
                </c:pt>
                <c:pt idx="4">
                  <c:v>1.1899044892104922</c:v>
                </c:pt>
                <c:pt idx="5">
                  <c:v>1.3199588692360309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4E-48BB-931F-FF20B08DB668}"/>
            </c:ext>
          </c:extLst>
        </c:ser>
        <c:ser>
          <c:idx val="1"/>
          <c:order val="4"/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'MgHCO3+'!$R$26:$R$31</c:f>
              <c:numCache>
                <c:formatCode>General</c:formatCode>
                <c:ptCount val="6"/>
                <c:pt idx="0">
                  <c:v>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95</c:v>
                </c:pt>
              </c:numCache>
            </c:numRef>
          </c:xVal>
          <c:yVal>
            <c:numRef>
              <c:f>'MgHCO3+'!$Z$26:$Z$31</c:f>
              <c:numCache>
                <c:formatCode>0.000</c:formatCode>
                <c:ptCount val="6"/>
                <c:pt idx="0">
                  <c:v>1.0492156739283303</c:v>
                </c:pt>
                <c:pt idx="1">
                  <c:v>1.0682158902294319</c:v>
                </c:pt>
                <c:pt idx="2">
                  <c:v>1.1065796420474641</c:v>
                </c:pt>
                <c:pt idx="3">
                  <c:v>1.1613397230056037</c:v>
                </c:pt>
                <c:pt idx="4">
                  <c:v>1.2294752906188009</c:v>
                </c:pt>
                <c:pt idx="5">
                  <c:v>1.3663344007376281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4E-48BB-931F-FF20B08DB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67840"/>
        <c:axId val="136869760"/>
      </c:scatterChart>
      <c:valAx>
        <c:axId val="13686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T [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Calibri"/>
                    <a:cs typeface="Times New Roman"/>
                  </a:rPr>
                  <a:t>°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C]</a:t>
                </a:r>
              </a:p>
            </c:rich>
          </c:tx>
          <c:layout>
            <c:manualLayout>
              <c:xMode val="edge"/>
              <c:yMode val="edge"/>
              <c:x val="0.51437699680511184"/>
              <c:y val="0.917960088691796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6869760"/>
        <c:crossesAt val="0"/>
        <c:crossBetween val="midCat"/>
      </c:valAx>
      <c:valAx>
        <c:axId val="136869760"/>
        <c:scaling>
          <c:orientation val="minMax"/>
          <c:max val="1.5"/>
          <c:min val="0.9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7.9872204472843447E-3"/>
              <c:y val="0.3968957871396895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6867840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471698113207544E-2"/>
          <c:y val="2.843601895734597E-2"/>
          <c:w val="0.87650085763293306"/>
          <c:h val="0.8862559241706161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'MgHCO3+'!$C$26:$C$31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'MgHCO3+'!$E$26:$E$31</c:f>
              <c:numCache>
                <c:formatCode>0.000</c:formatCode>
                <c:ptCount val="6"/>
                <c:pt idx="0">
                  <c:v>1.0509999999999999</c:v>
                </c:pt>
                <c:pt idx="1">
                  <c:v>1.0660000000000001</c:v>
                </c:pt>
                <c:pt idx="2">
                  <c:v>1.1080000000000001</c:v>
                </c:pt>
                <c:pt idx="3">
                  <c:v>1.1599999999999999</c:v>
                </c:pt>
                <c:pt idx="4">
                  <c:v>1.23</c:v>
                </c:pt>
                <c:pt idx="5">
                  <c:v>1.337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E-4F1E-A9BA-3AFF0BA503E7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MgCO3!$G$26:$G$31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E-4F1E-A9BA-3AFF0BA503E7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MgCO3!$K$26:$K$31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9E-4F1E-A9BA-3AFF0BA503E7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MgCO3!$C$26:$C$31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MgCO3!$I$26:$I$31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9E-4F1E-A9BA-3AFF0BA503E7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MgCO3!$C$26:$C$32</c:f>
              <c:numCache>
                <c:formatCode>General</c:formatCode>
                <c:ptCount val="7"/>
                <c:pt idx="0">
                  <c:v>3.5316969803990822E-3</c:v>
                </c:pt>
                <c:pt idx="1">
                  <c:v>3.3540164346805303E-3</c:v>
                </c:pt>
                <c:pt idx="2">
                  <c:v>3.1933578157432542E-3</c:v>
                </c:pt>
                <c:pt idx="3">
                  <c:v>3.0473868657626088E-3</c:v>
                </c:pt>
                <c:pt idx="4">
                  <c:v>2.9141774734081308E-3</c:v>
                </c:pt>
                <c:pt idx="5">
                  <c:v>2.7536830510808208E-3</c:v>
                </c:pt>
              </c:numCache>
            </c:numRef>
          </c:xVal>
          <c:yVal>
            <c:numRef>
              <c:f>MgCO3!$M$26:$M$32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9E-4F1E-A9BA-3AFF0BA50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78816"/>
        <c:axId val="136980736"/>
      </c:scatterChart>
      <c:valAx>
        <c:axId val="136978816"/>
        <c:scaling>
          <c:orientation val="minMax"/>
          <c:max val="3.700000000000001E-3"/>
          <c:min val="2.5000000000000005E-3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980736"/>
        <c:crosses val="autoZero"/>
        <c:crossBetween val="midCat"/>
      </c:valAx>
      <c:valAx>
        <c:axId val="136980736"/>
        <c:scaling>
          <c:orientation val="minMax"/>
          <c:max val="1.4"/>
          <c:min val="1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978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36</xdr:row>
      <xdr:rowOff>142875</xdr:rowOff>
    </xdr:from>
    <xdr:to>
      <xdr:col>16</xdr:col>
      <xdr:colOff>561975</xdr:colOff>
      <xdr:row>63</xdr:row>
      <xdr:rowOff>66675</xdr:rowOff>
    </xdr:to>
    <xdr:graphicFrame macro="">
      <xdr:nvGraphicFramePr>
        <xdr:cNvPr id="1209" name="Chart 1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38</xdr:row>
      <xdr:rowOff>38100</xdr:rowOff>
    </xdr:from>
    <xdr:to>
      <xdr:col>26</xdr:col>
      <xdr:colOff>342900</xdr:colOff>
      <xdr:row>63</xdr:row>
      <xdr:rowOff>9525</xdr:rowOff>
    </xdr:to>
    <xdr:graphicFrame macro="">
      <xdr:nvGraphicFramePr>
        <xdr:cNvPr id="1210" name="Chart 2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36</xdr:row>
      <xdr:rowOff>142875</xdr:rowOff>
    </xdr:from>
    <xdr:to>
      <xdr:col>16</xdr:col>
      <xdr:colOff>561975</xdr:colOff>
      <xdr:row>63</xdr:row>
      <xdr:rowOff>66675</xdr:rowOff>
    </xdr:to>
    <xdr:graphicFrame macro="">
      <xdr:nvGraphicFramePr>
        <xdr:cNvPr id="2059" name="Chart 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38</xdr:row>
      <xdr:rowOff>38100</xdr:rowOff>
    </xdr:from>
    <xdr:to>
      <xdr:col>26</xdr:col>
      <xdr:colOff>342900</xdr:colOff>
      <xdr:row>63</xdr:row>
      <xdr:rowOff>9525</xdr:rowOff>
    </xdr:to>
    <xdr:graphicFrame macro="">
      <xdr:nvGraphicFramePr>
        <xdr:cNvPr id="2060" name="Chart 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bk-1990-0416.ch031" TargetMode="External"/><Relationship Id="rId2" Type="http://schemas.openxmlformats.org/officeDocument/2006/relationships/hyperlink" Target="https://doi.org/10.2475/ajs.277.6.716" TargetMode="External"/><Relationship Id="rId1" Type="http://schemas.openxmlformats.org/officeDocument/2006/relationships/hyperlink" Target="https://doi.org/10.2475/ajs.277.6.69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workbookViewId="0">
      <selection activeCell="B11" sqref="B11"/>
    </sheetView>
  </sheetViews>
  <sheetFormatPr defaultColWidth="8.77734375" defaultRowHeight="13.2" x14ac:dyDescent="0.25"/>
  <cols>
    <col min="2" max="4" width="10.77734375" customWidth="1"/>
    <col min="13" max="13" width="12.44140625" customWidth="1"/>
    <col min="21" max="21" width="9.5546875" customWidth="1"/>
  </cols>
  <sheetData>
    <row r="1" spans="1:3" x14ac:dyDescent="0.25">
      <c r="A1" s="2" t="s">
        <v>33</v>
      </c>
    </row>
    <row r="3" spans="1:3" x14ac:dyDescent="0.25">
      <c r="A3" t="s">
        <v>36</v>
      </c>
    </row>
    <row r="6" spans="1:3" x14ac:dyDescent="0.25">
      <c r="A6" s="2" t="s">
        <v>34</v>
      </c>
    </row>
    <row r="8" spans="1:3" x14ac:dyDescent="0.25">
      <c r="A8" t="s">
        <v>35</v>
      </c>
    </row>
    <row r="9" spans="1:3" x14ac:dyDescent="0.25">
      <c r="A9" s="20" t="s">
        <v>39</v>
      </c>
      <c r="B9" s="22" t="s">
        <v>43</v>
      </c>
      <c r="C9" t="s">
        <v>38</v>
      </c>
    </row>
    <row r="10" spans="1:3" x14ac:dyDescent="0.25">
      <c r="A10" s="20" t="s">
        <v>40</v>
      </c>
      <c r="B10" s="22" t="s">
        <v>44</v>
      </c>
      <c r="C10" t="s">
        <v>37</v>
      </c>
    </row>
    <row r="11" spans="1:3" x14ac:dyDescent="0.25">
      <c r="A11" s="20" t="s">
        <v>42</v>
      </c>
      <c r="B11" s="22" t="s">
        <v>45</v>
      </c>
      <c r="C11" t="s">
        <v>41</v>
      </c>
    </row>
    <row r="15" spans="1:3" ht="16.8" x14ac:dyDescent="0.35">
      <c r="A15" s="1" t="s">
        <v>0</v>
      </c>
    </row>
    <row r="17" spans="1:26" ht="15.6" x14ac:dyDescent="0.25">
      <c r="A17" t="s">
        <v>1</v>
      </c>
      <c r="B17">
        <v>8.3145100000000007E-3</v>
      </c>
      <c r="C17" s="2" t="s">
        <v>2</v>
      </c>
    </row>
    <row r="18" spans="1:26" x14ac:dyDescent="0.25">
      <c r="A18" t="s">
        <v>3</v>
      </c>
      <c r="B18">
        <v>298.14999999999998</v>
      </c>
      <c r="C18" s="2" t="s">
        <v>4</v>
      </c>
    </row>
    <row r="19" spans="1:26" x14ac:dyDescent="0.25">
      <c r="A19" t="s">
        <v>5</v>
      </c>
      <c r="B19">
        <f>LN(10)</f>
        <v>2.3025850929940459</v>
      </c>
    </row>
    <row r="21" spans="1:26" x14ac:dyDescent="0.25">
      <c r="A21" s="2" t="s">
        <v>6</v>
      </c>
      <c r="B21">
        <f>B17*B19</f>
        <v>1.9144866781549925E-2</v>
      </c>
    </row>
    <row r="22" spans="1:26" x14ac:dyDescent="0.25">
      <c r="A22" t="s">
        <v>7</v>
      </c>
      <c r="B22">
        <f>B17*B18*B19</f>
        <v>5.7080420309191107</v>
      </c>
      <c r="E22" s="2"/>
      <c r="F22" s="2"/>
    </row>
    <row r="23" spans="1:26" x14ac:dyDescent="0.25">
      <c r="V23" s="4" t="s">
        <v>8</v>
      </c>
      <c r="Z23" s="4" t="s">
        <v>8</v>
      </c>
    </row>
    <row r="24" spans="1:26" ht="15.6" x14ac:dyDescent="0.35">
      <c r="A24" s="4" t="s">
        <v>3</v>
      </c>
      <c r="B24" s="4" t="s">
        <v>3</v>
      </c>
      <c r="C24" s="5" t="s">
        <v>9</v>
      </c>
      <c r="D24" s="4" t="s">
        <v>10</v>
      </c>
      <c r="E24" s="20" t="s">
        <v>40</v>
      </c>
      <c r="O24" s="4" t="s">
        <v>11</v>
      </c>
      <c r="P24" s="4" t="s">
        <v>12</v>
      </c>
      <c r="R24" s="4" t="s">
        <v>3</v>
      </c>
      <c r="S24" s="4" t="s">
        <v>3</v>
      </c>
      <c r="T24" s="4" t="s">
        <v>11</v>
      </c>
      <c r="U24" s="4" t="s">
        <v>12</v>
      </c>
      <c r="V24" s="4" t="s">
        <v>10</v>
      </c>
      <c r="W24" s="6" t="s">
        <v>13</v>
      </c>
      <c r="X24" s="6" t="s">
        <v>14</v>
      </c>
      <c r="Z24" s="20" t="s">
        <v>40</v>
      </c>
    </row>
    <row r="25" spans="1:26" ht="13.8" x14ac:dyDescent="0.3">
      <c r="A25" s="4" t="s">
        <v>15</v>
      </c>
      <c r="B25" s="4" t="s">
        <v>16</v>
      </c>
      <c r="C25" s="4" t="s">
        <v>16</v>
      </c>
      <c r="F25" s="21" t="s">
        <v>29</v>
      </c>
      <c r="R25" s="4" t="s">
        <v>15</v>
      </c>
      <c r="S25" s="4" t="s">
        <v>16</v>
      </c>
    </row>
    <row r="26" spans="1:26" x14ac:dyDescent="0.25">
      <c r="A26">
        <v>10</v>
      </c>
      <c r="B26">
        <f>273.15+$A26</f>
        <v>283.14999999999998</v>
      </c>
      <c r="C26">
        <f>1/B26</f>
        <v>3.5316969803990822E-3</v>
      </c>
      <c r="D26" s="3">
        <v>2.89</v>
      </c>
      <c r="E26" s="3">
        <f t="shared" ref="E26:E31" si="0">D26</f>
        <v>2.89</v>
      </c>
      <c r="F26" s="16">
        <f>0.019*2</f>
        <v>3.7999999999999999E-2</v>
      </c>
      <c r="O26">
        <f t="shared" ref="O26:O31" si="1">(1/$B$18-1/$B26)/$B$21</f>
        <v>-9.2808452388806473E-3</v>
      </c>
      <c r="P26">
        <f t="shared" ref="P26:P31" si="2">($B$18/$B26-1+LN($B26/$B$18))/$B$21</f>
        <v>7.0803924213856742E-2</v>
      </c>
      <c r="R26">
        <v>5</v>
      </c>
      <c r="S26">
        <f t="shared" ref="S26:S31" si="3">273.15+$R26</f>
        <v>278.14999999999998</v>
      </c>
      <c r="T26">
        <f t="shared" ref="T26:T31" si="4">(1/$B$18-1/$S26)/$B$21</f>
        <v>-1.2596902531675022E-2</v>
      </c>
      <c r="U26">
        <f t="shared" ref="U26:U31" si="5">($B$18/$S26-1+LN($S26/$B$18))/$B$21</f>
        <v>0.12888415942165576</v>
      </c>
      <c r="V26" s="7">
        <f t="shared" ref="V26:V31" si="6">$D$36+$C$36*$T26+$B$36*$U26</f>
        <v>2.8570982693535738</v>
      </c>
      <c r="W26" s="7">
        <f>($D$36+$D$43+($C$36-$C$43)*$T26+($B$36-$B$43)*$U26)</f>
        <v>2.8952839591238635</v>
      </c>
      <c r="X26" s="7">
        <f>($D$36-$D$43+($C$36+$C$43)*$T26+($B$36+$B$43)*$U26)</f>
        <v>2.8189125795832846</v>
      </c>
      <c r="Z26" s="7">
        <f>0.991+0.00667*$S26</f>
        <v>2.8462604999999996</v>
      </c>
    </row>
    <row r="27" spans="1:26" x14ac:dyDescent="0.25">
      <c r="A27">
        <v>25</v>
      </c>
      <c r="B27">
        <f t="shared" ref="B27:B31" si="7">273.15+$A27</f>
        <v>298.14999999999998</v>
      </c>
      <c r="C27">
        <f t="shared" ref="C27:C31" si="8">1/B27</f>
        <v>3.3540164346805303E-3</v>
      </c>
      <c r="D27" s="7">
        <v>2.984</v>
      </c>
      <c r="E27" s="3">
        <f t="shared" si="0"/>
        <v>2.984</v>
      </c>
      <c r="F27" s="3">
        <f>0.0279*2</f>
        <v>5.5800000000000002E-2</v>
      </c>
      <c r="O27">
        <f t="shared" si="1"/>
        <v>0</v>
      </c>
      <c r="P27">
        <f t="shared" si="2"/>
        <v>0</v>
      </c>
      <c r="R27">
        <v>25</v>
      </c>
      <c r="S27">
        <f t="shared" si="3"/>
        <v>298.14999999999998</v>
      </c>
      <c r="T27">
        <f t="shared" si="4"/>
        <v>0</v>
      </c>
      <c r="U27">
        <f t="shared" si="5"/>
        <v>0</v>
      </c>
      <c r="V27" s="7">
        <f t="shared" si="6"/>
        <v>2.9835008301666845</v>
      </c>
      <c r="W27" s="7">
        <f>($D$36+$D$43+($C$36+$C$43)*$T27+($B$36+$B$43)*$U27)</f>
        <v>3.0135008301666844</v>
      </c>
      <c r="X27" s="7">
        <f>($D$36-$D$43+($C$36-$C$43)*$T27+($B$36-$B$43)*$U27)</f>
        <v>2.9535008301666847</v>
      </c>
      <c r="Z27" s="7">
        <f t="shared" ref="Z27:Z31" si="9">0.991+0.00667*$S27</f>
        <v>2.9796604999999996</v>
      </c>
    </row>
    <row r="28" spans="1:26" x14ac:dyDescent="0.25">
      <c r="A28">
        <v>40</v>
      </c>
      <c r="B28">
        <f t="shared" si="7"/>
        <v>313.14999999999998</v>
      </c>
      <c r="C28">
        <f t="shared" si="8"/>
        <v>3.1933578157432542E-3</v>
      </c>
      <c r="D28" s="3">
        <v>3.07</v>
      </c>
      <c r="E28" s="3">
        <f t="shared" si="0"/>
        <v>3.07</v>
      </c>
      <c r="F28" s="3">
        <f>0.021*2</f>
        <v>4.2000000000000003E-2</v>
      </c>
      <c r="O28">
        <f t="shared" si="1"/>
        <v>8.3917334484721641E-3</v>
      </c>
      <c r="P28">
        <f t="shared" si="2"/>
        <v>6.1908300521596696E-2</v>
      </c>
      <c r="R28">
        <v>40</v>
      </c>
      <c r="S28">
        <f t="shared" si="3"/>
        <v>313.14999999999998</v>
      </c>
      <c r="T28">
        <f t="shared" si="4"/>
        <v>8.3917334484721641E-3</v>
      </c>
      <c r="U28">
        <f t="shared" si="5"/>
        <v>6.1908300521596696E-2</v>
      </c>
      <c r="V28" s="7">
        <f t="shared" si="6"/>
        <v>3.0809555582871044</v>
      </c>
      <c r="W28" s="7">
        <f>($D$36+$D$43+($C$36+$C$43)*$T28+($B$36+$B$43)*$U28)</f>
        <v>3.1229104303033735</v>
      </c>
      <c r="X28" s="7">
        <f>($D$36-$D$43+($C$36-$C$43)*$T28+($B$36-$B$43)*$U28)</f>
        <v>3.0390006862708345</v>
      </c>
      <c r="Z28" s="7">
        <f t="shared" si="9"/>
        <v>3.0797105</v>
      </c>
    </row>
    <row r="29" spans="1:26" x14ac:dyDescent="0.25">
      <c r="A29">
        <v>55</v>
      </c>
      <c r="B29">
        <f t="shared" si="7"/>
        <v>328.15</v>
      </c>
      <c r="C29">
        <f t="shared" si="8"/>
        <v>3.0473868657626088E-3</v>
      </c>
      <c r="D29" s="3">
        <v>3.19</v>
      </c>
      <c r="E29" s="3">
        <f t="shared" si="0"/>
        <v>3.19</v>
      </c>
      <c r="F29" s="3">
        <f>0.026*2</f>
        <v>5.1999999999999998E-2</v>
      </c>
      <c r="O29">
        <f t="shared" si="1"/>
        <v>1.601628114818867E-2</v>
      </c>
      <c r="P29">
        <f t="shared" si="2"/>
        <v>0.23256883573771028</v>
      </c>
      <c r="R29">
        <v>55</v>
      </c>
      <c r="S29">
        <f t="shared" si="3"/>
        <v>328.15</v>
      </c>
      <c r="T29">
        <f t="shared" si="4"/>
        <v>1.601628114818867E-2</v>
      </c>
      <c r="U29">
        <f t="shared" si="5"/>
        <v>0.23256883573771028</v>
      </c>
      <c r="V29" s="7">
        <f t="shared" si="6"/>
        <v>3.1797587951843047</v>
      </c>
      <c r="W29" s="7">
        <f>($D$36+$D$43+($C$36+$C$43)*$T29+($B$36+$B$43)*$U29)</f>
        <v>3.2376097332197715</v>
      </c>
      <c r="X29" s="7">
        <f>($D$36-$D$43+($C$36-$C$43)*$T29+($B$36-$B$43)*$U29)</f>
        <v>3.1219078571488383</v>
      </c>
      <c r="Z29" s="7">
        <f t="shared" si="9"/>
        <v>3.1797605</v>
      </c>
    </row>
    <row r="30" spans="1:26" x14ac:dyDescent="0.25">
      <c r="A30">
        <v>70</v>
      </c>
      <c r="B30">
        <f t="shared" si="7"/>
        <v>343.15</v>
      </c>
      <c r="C30">
        <f t="shared" si="8"/>
        <v>2.9141774734081308E-3</v>
      </c>
      <c r="D30" s="3">
        <v>3.28</v>
      </c>
      <c r="E30" s="3">
        <f t="shared" si="0"/>
        <v>3.28</v>
      </c>
      <c r="F30" s="3">
        <f>0.042*2</f>
        <v>8.4000000000000005E-2</v>
      </c>
      <c r="O30">
        <f t="shared" si="1"/>
        <v>2.2974250293361986E-2</v>
      </c>
      <c r="P30">
        <f t="shared" si="2"/>
        <v>0.4927152322236833</v>
      </c>
      <c r="R30">
        <v>70</v>
      </c>
      <c r="S30">
        <f t="shared" si="3"/>
        <v>343.15</v>
      </c>
      <c r="T30">
        <f t="shared" si="4"/>
        <v>2.2974250293361986E-2</v>
      </c>
      <c r="U30">
        <f t="shared" si="5"/>
        <v>0.4927152322236833</v>
      </c>
      <c r="V30" s="7">
        <f t="shared" si="6"/>
        <v>3.2792849764421215</v>
      </c>
      <c r="W30" s="7">
        <f>($D$36+$D$43+($C$36+$C$43)*$T30+($B$36+$B$43)*$U30)</f>
        <v>3.3562361219826613</v>
      </c>
      <c r="X30" s="7">
        <f>($D$36-$D$43+($C$36-$C$43)*$T30+($B$36-$B$43)*$U30)</f>
        <v>3.2023338309015812</v>
      </c>
      <c r="Z30" s="7">
        <f t="shared" si="9"/>
        <v>3.2798105</v>
      </c>
    </row>
    <row r="31" spans="1:26" x14ac:dyDescent="0.25">
      <c r="A31">
        <v>90</v>
      </c>
      <c r="B31">
        <f t="shared" si="7"/>
        <v>363.15</v>
      </c>
      <c r="C31">
        <f t="shared" si="8"/>
        <v>2.7536830510808208E-3</v>
      </c>
      <c r="D31" s="3">
        <v>3.41</v>
      </c>
      <c r="E31" s="3">
        <f t="shared" si="0"/>
        <v>3.41</v>
      </c>
      <c r="F31" s="3">
        <f>0.067*2</f>
        <v>0.13400000000000001</v>
      </c>
      <c r="I31" s="3"/>
      <c r="J31" s="3"/>
      <c r="O31">
        <f t="shared" si="1"/>
        <v>3.1357407207359418E-2</v>
      </c>
      <c r="P31">
        <f t="shared" si="2"/>
        <v>0.95220605976622086</v>
      </c>
      <c r="R31">
        <v>95</v>
      </c>
      <c r="S31">
        <f t="shared" si="3"/>
        <v>368.15</v>
      </c>
      <c r="T31">
        <f t="shared" si="4"/>
        <v>3.3310877460678859E-2</v>
      </c>
      <c r="U31">
        <f t="shared" si="5"/>
        <v>1.0840430414099647</v>
      </c>
      <c r="V31" s="7">
        <f t="shared" si="6"/>
        <v>3.4455065037829335</v>
      </c>
      <c r="W31" s="7">
        <f>($D$36+$D$43+($C$36+$C$43)*$T31+($B$36+$B$43)*$U31)</f>
        <v>3.5598463628117183</v>
      </c>
      <c r="X31" s="7">
        <f>($D$36-$D$43+($C$36-$C$43)*$T31+($B$36-$B$43)*$U31)</f>
        <v>3.3311666447541484</v>
      </c>
      <c r="Z31" s="7">
        <f t="shared" si="9"/>
        <v>3.4465604999999999</v>
      </c>
    </row>
    <row r="34" spans="1:7" ht="15.6" x14ac:dyDescent="0.35">
      <c r="B34" s="12" t="s">
        <v>17</v>
      </c>
      <c r="C34" s="12" t="s">
        <v>18</v>
      </c>
      <c r="D34" s="13" t="s">
        <v>19</v>
      </c>
    </row>
    <row r="35" spans="1:7" ht="15.6" x14ac:dyDescent="0.25">
      <c r="B35" s="11" t="s">
        <v>20</v>
      </c>
      <c r="C35" s="10" t="s">
        <v>21</v>
      </c>
      <c r="D35" s="11"/>
      <c r="E35" s="3"/>
      <c r="F35" s="3"/>
      <c r="G35" s="3"/>
    </row>
    <row r="36" spans="1:7" ht="15.6" x14ac:dyDescent="0.35">
      <c r="A36" s="10" t="s">
        <v>22</v>
      </c>
      <c r="B36" s="1">
        <f t="array" ref="B36:D40">LINEST(D26:D31,O26:P31,TRUE,TRUE)</f>
        <v>8.9658229403342365E-2</v>
      </c>
      <c r="C36" s="1">
        <v>10.951746748702508</v>
      </c>
      <c r="D36" s="1">
        <v>2.9835008301666845</v>
      </c>
      <c r="E36" s="14" t="s">
        <v>23</v>
      </c>
      <c r="F36" s="14"/>
    </row>
    <row r="37" spans="1:7" x14ac:dyDescent="0.25">
      <c r="A37" s="10"/>
      <c r="B37">
        <v>2.2077061547351264E-2</v>
      </c>
      <c r="C37">
        <v>0.53843883311913143</v>
      </c>
      <c r="D37">
        <v>4.8839432215680208E-3</v>
      </c>
      <c r="E37" s="14"/>
      <c r="F37" s="14"/>
    </row>
    <row r="38" spans="1:7" x14ac:dyDescent="0.25">
      <c r="A38" s="10" t="s">
        <v>24</v>
      </c>
      <c r="B38">
        <v>0.99874588615358284</v>
      </c>
      <c r="C38">
        <v>8.834302356291325E-3</v>
      </c>
      <c r="D38" t="e">
        <v>#N/A</v>
      </c>
      <c r="E38" s="14" t="s">
        <v>25</v>
      </c>
      <c r="F38" s="14"/>
    </row>
    <row r="39" spans="1:7" x14ac:dyDescent="0.25">
      <c r="A39" s="10" t="s">
        <v>26</v>
      </c>
      <c r="B39">
        <v>1194.5636622306688</v>
      </c>
      <c r="C39">
        <v>3</v>
      </c>
      <c r="D39" t="e">
        <v>#N/A</v>
      </c>
      <c r="E39" s="14" t="s">
        <v>27</v>
      </c>
      <c r="F39" s="14"/>
    </row>
    <row r="40" spans="1:7" x14ac:dyDescent="0.25">
      <c r="A40" s="9"/>
      <c r="B40">
        <v>0.18645919863896621</v>
      </c>
      <c r="C40">
        <v>2.3413469436712342E-4</v>
      </c>
      <c r="D40" t="e">
        <v>#N/A</v>
      </c>
      <c r="E40" s="14" t="s">
        <v>28</v>
      </c>
      <c r="F40" s="14"/>
    </row>
    <row r="42" spans="1:7" x14ac:dyDescent="0.25">
      <c r="B42">
        <f>B37*2</f>
        <v>4.4154123094702527E-2</v>
      </c>
      <c r="C42">
        <f>C37*2</f>
        <v>1.0768776662382629</v>
      </c>
      <c r="D42">
        <f>D37*2</f>
        <v>9.7678864431360417E-3</v>
      </c>
    </row>
    <row r="43" spans="1:7" ht="13.8" x14ac:dyDescent="0.3">
      <c r="A43" s="8" t="s">
        <v>29</v>
      </c>
      <c r="B43" s="1">
        <v>4.3999999999999997E-2</v>
      </c>
      <c r="C43" s="15">
        <v>1.1000000000000001</v>
      </c>
      <c r="D43" s="1">
        <v>0.03</v>
      </c>
    </row>
    <row r="48" spans="1:7" x14ac:dyDescent="0.25">
      <c r="C48" s="17">
        <f>2.713*4.184</f>
        <v>11.351192000000001</v>
      </c>
      <c r="D48" s="2" t="s">
        <v>32</v>
      </c>
    </row>
  </sheetData>
  <hyperlinks>
    <hyperlink ref="B9" r:id="rId1" xr:uid="{5A1065B6-FAE3-4DBA-A6AD-351BAD5963F6}"/>
    <hyperlink ref="B10" r:id="rId2" xr:uid="{916A3215-4E62-4591-A02C-42B833C102FC}"/>
    <hyperlink ref="B11" r:id="rId3" xr:uid="{787B95FB-DC8D-4433-89AB-F88BC8353D21}"/>
  </hyperlinks>
  <pageMargins left="0.75" right="0.75" top="1" bottom="1" header="0.5" footer="0.5"/>
  <pageSetup paperSize="9" orientation="portrait" horizontalDpi="300" r:id="rId4"/>
  <headerFooter alignWithMargins="0">
    <oddHeader>&amp;A</oddHeader>
    <oddFooter>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Z50"/>
  <sheetViews>
    <sheetView workbookViewId="0">
      <selection activeCell="Z23" sqref="Z23"/>
    </sheetView>
  </sheetViews>
  <sheetFormatPr defaultColWidth="8.77734375" defaultRowHeight="13.2" x14ac:dyDescent="0.25"/>
  <sheetData>
    <row r="15" spans="1:1" ht="16.8" x14ac:dyDescent="0.35">
      <c r="A15" s="1" t="s">
        <v>30</v>
      </c>
    </row>
    <row r="17" spans="1:26" ht="15.6" x14ac:dyDescent="0.25">
      <c r="A17" t="s">
        <v>1</v>
      </c>
      <c r="B17">
        <v>8.3145100000000007E-3</v>
      </c>
      <c r="C17" s="2" t="s">
        <v>2</v>
      </c>
    </row>
    <row r="18" spans="1:26" x14ac:dyDescent="0.25">
      <c r="A18" t="s">
        <v>3</v>
      </c>
      <c r="B18">
        <v>298.14999999999998</v>
      </c>
      <c r="C18" s="2" t="s">
        <v>4</v>
      </c>
    </row>
    <row r="19" spans="1:26" x14ac:dyDescent="0.25">
      <c r="A19" t="s">
        <v>5</v>
      </c>
      <c r="B19">
        <f>LN(10)</f>
        <v>2.3025850929940459</v>
      </c>
    </row>
    <row r="21" spans="1:26" x14ac:dyDescent="0.25">
      <c r="A21" s="2" t="s">
        <v>6</v>
      </c>
      <c r="B21">
        <f>B17*B19</f>
        <v>1.9144866781549925E-2</v>
      </c>
    </row>
    <row r="22" spans="1:26" x14ac:dyDescent="0.25">
      <c r="A22" t="s">
        <v>7</v>
      </c>
      <c r="B22">
        <f>B17*B18*B19</f>
        <v>5.7080420309191107</v>
      </c>
      <c r="E22" s="2"/>
      <c r="F22" s="2"/>
    </row>
    <row r="23" spans="1:26" x14ac:dyDescent="0.25">
      <c r="V23" s="4" t="s">
        <v>8</v>
      </c>
      <c r="Z23" s="4" t="s">
        <v>8</v>
      </c>
    </row>
    <row r="24" spans="1:26" ht="15.6" x14ac:dyDescent="0.35">
      <c r="A24" s="4" t="s">
        <v>3</v>
      </c>
      <c r="B24" s="4" t="s">
        <v>3</v>
      </c>
      <c r="C24" s="5" t="s">
        <v>9</v>
      </c>
      <c r="D24" s="4" t="s">
        <v>10</v>
      </c>
      <c r="E24" s="20" t="s">
        <v>39</v>
      </c>
      <c r="O24" s="4" t="s">
        <v>11</v>
      </c>
      <c r="P24" s="4" t="s">
        <v>12</v>
      </c>
      <c r="R24" s="4" t="s">
        <v>3</v>
      </c>
      <c r="S24" s="4" t="s">
        <v>3</v>
      </c>
      <c r="T24" s="4" t="s">
        <v>11</v>
      </c>
      <c r="U24" s="4" t="s">
        <v>12</v>
      </c>
      <c r="V24" s="4" t="s">
        <v>10</v>
      </c>
      <c r="W24" s="6" t="s">
        <v>13</v>
      </c>
      <c r="X24" s="6" t="s">
        <v>14</v>
      </c>
      <c r="Z24" s="20" t="s">
        <v>39</v>
      </c>
    </row>
    <row r="25" spans="1:26" ht="13.8" x14ac:dyDescent="0.3">
      <c r="A25" s="4" t="s">
        <v>15</v>
      </c>
      <c r="B25" s="4" t="s">
        <v>16</v>
      </c>
      <c r="C25" s="4" t="s">
        <v>16</v>
      </c>
      <c r="F25" s="21" t="s">
        <v>29</v>
      </c>
      <c r="R25" s="4" t="s">
        <v>15</v>
      </c>
      <c r="S25" s="4" t="s">
        <v>16</v>
      </c>
    </row>
    <row r="26" spans="1:26" x14ac:dyDescent="0.25">
      <c r="A26">
        <v>10</v>
      </c>
      <c r="B26">
        <f>273.15+$A26</f>
        <v>283.14999999999998</v>
      </c>
      <c r="C26">
        <f>1/B26</f>
        <v>3.5316969803990822E-3</v>
      </c>
      <c r="D26" s="7">
        <v>1.0509999999999999</v>
      </c>
      <c r="E26" s="7">
        <f t="shared" ref="E26:E31" si="0">D26</f>
        <v>1.0509999999999999</v>
      </c>
      <c r="F26" s="16">
        <f>0.018*2</f>
        <v>3.5999999999999997E-2</v>
      </c>
      <c r="O26">
        <f t="shared" ref="O26:O31" si="1">(1/$B$18-1/$B26)/$B$21</f>
        <v>-9.2808452388806473E-3</v>
      </c>
      <c r="P26">
        <f t="shared" ref="P26:P31" si="2">($B$18/$B26-1+LN($B26/$B$18))/$B$21</f>
        <v>7.0803924213856742E-2</v>
      </c>
      <c r="R26">
        <v>5</v>
      </c>
      <c r="S26">
        <f t="shared" ref="S26:S31" si="3">273.15+$R26</f>
        <v>278.14999999999998</v>
      </c>
      <c r="T26">
        <f t="shared" ref="T26:T31" si="4">(1/$B$18-1/$S26)/$B$21</f>
        <v>-1.2596902531675022E-2</v>
      </c>
      <c r="U26">
        <f t="shared" ref="U26:U31" si="5">($B$18/$S26-1+LN($S26/$B$18))/$B$21</f>
        <v>0.12888415942165576</v>
      </c>
      <c r="V26" s="7">
        <f t="shared" ref="V26:V31" si="6">$D$36+$C$36*$T26+$B$36*$U26</f>
        <v>1.0496997137850022</v>
      </c>
      <c r="W26" s="7">
        <f>($D$36+$D$43+($C$36-$C$43)*$T26+($B$36-$B$43)*$U26)</f>
        <v>1.08133685173906</v>
      </c>
      <c r="X26" s="7">
        <f>($D$36-$D$43+($C$36+$C$43)*$T26+($B$36+$B$43)*$U26)</f>
        <v>1.0180625758309443</v>
      </c>
      <c r="Z26" s="7">
        <f>-59.215+2537.455/$S26+20.92298*LOG($S26)</f>
        <v>1.0492156739283303</v>
      </c>
    </row>
    <row r="27" spans="1:26" x14ac:dyDescent="0.25">
      <c r="A27">
        <v>25</v>
      </c>
      <c r="B27">
        <f t="shared" ref="B27:B31" si="7">273.15+$A27</f>
        <v>298.14999999999998</v>
      </c>
      <c r="C27">
        <f t="shared" ref="C27:C31" si="8">1/B27</f>
        <v>3.3540164346805303E-3</v>
      </c>
      <c r="D27" s="7">
        <v>1.0660000000000001</v>
      </c>
      <c r="E27" s="7">
        <f t="shared" si="0"/>
        <v>1.0660000000000001</v>
      </c>
      <c r="F27" s="3">
        <f>0.012*2</f>
        <v>2.4E-2</v>
      </c>
      <c r="O27">
        <f t="shared" si="1"/>
        <v>0</v>
      </c>
      <c r="P27">
        <f t="shared" si="2"/>
        <v>0</v>
      </c>
      <c r="R27">
        <v>25</v>
      </c>
      <c r="S27">
        <f t="shared" si="3"/>
        <v>298.14999999999998</v>
      </c>
      <c r="T27">
        <f t="shared" si="4"/>
        <v>0</v>
      </c>
      <c r="U27">
        <f t="shared" si="5"/>
        <v>0</v>
      </c>
      <c r="V27" s="7">
        <f t="shared" si="6"/>
        <v>1.0680048726644764</v>
      </c>
      <c r="W27" s="7">
        <f>($D$36+$D$43+($C$36+$C$43)*$T27+($B$36+$B$43)*$U27)</f>
        <v>1.0980048726644764</v>
      </c>
      <c r="X27" s="7">
        <f>($D$36-$D$43+($C$36-$C$43)*$T27+($B$36-$B$43)*$U27)</f>
        <v>1.0380048726644764</v>
      </c>
      <c r="Z27" s="7">
        <f t="shared" ref="Z27:Z31" si="9">-59.215+2537.455/$S27+20.92298*LOG($S27)</f>
        <v>1.0682158902294319</v>
      </c>
    </row>
    <row r="28" spans="1:26" x14ac:dyDescent="0.25">
      <c r="A28">
        <v>40</v>
      </c>
      <c r="B28">
        <f t="shared" si="7"/>
        <v>313.14999999999998</v>
      </c>
      <c r="C28">
        <f t="shared" si="8"/>
        <v>3.1933578157432542E-3</v>
      </c>
      <c r="D28" s="7">
        <v>1.1080000000000001</v>
      </c>
      <c r="E28" s="7">
        <f t="shared" si="0"/>
        <v>1.1080000000000001</v>
      </c>
      <c r="F28" s="3">
        <f>0.006*2</f>
        <v>1.2E-2</v>
      </c>
      <c r="O28">
        <f t="shared" si="1"/>
        <v>8.3917334484721641E-3</v>
      </c>
      <c r="P28">
        <f t="shared" si="2"/>
        <v>6.1908300521596696E-2</v>
      </c>
      <c r="R28">
        <v>40</v>
      </c>
      <c r="S28">
        <f t="shared" si="3"/>
        <v>313.14999999999998</v>
      </c>
      <c r="T28">
        <f t="shared" si="4"/>
        <v>8.3917334484721641E-3</v>
      </c>
      <c r="U28">
        <f t="shared" si="5"/>
        <v>6.1908300521596696E-2</v>
      </c>
      <c r="V28" s="7">
        <f t="shared" si="6"/>
        <v>1.1061691602281321</v>
      </c>
      <c r="W28" s="7">
        <f>($D$36+$D$43+($C$36+$C$43)*$T28+($B$36+$B$43)*$U28)</f>
        <v>1.1385601346313861</v>
      </c>
      <c r="X28" s="7">
        <f>($D$36-$D$43+($C$36-$C$43)*$T28+($B$36-$B$43)*$U28)</f>
        <v>1.0737781858248781</v>
      </c>
      <c r="Z28" s="7">
        <f t="shared" si="9"/>
        <v>1.1065796420474641</v>
      </c>
    </row>
    <row r="29" spans="1:26" x14ac:dyDescent="0.25">
      <c r="A29">
        <v>55</v>
      </c>
      <c r="B29">
        <f t="shared" si="7"/>
        <v>328.15</v>
      </c>
      <c r="C29">
        <f t="shared" si="8"/>
        <v>3.0473868657626088E-3</v>
      </c>
      <c r="D29" s="7">
        <v>1.1599999999999999</v>
      </c>
      <c r="E29" s="7">
        <f t="shared" si="0"/>
        <v>1.1599999999999999</v>
      </c>
      <c r="F29" s="3">
        <f>0.011*2</f>
        <v>2.1999999999999999E-2</v>
      </c>
      <c r="O29">
        <f t="shared" si="1"/>
        <v>1.601628114818867E-2</v>
      </c>
      <c r="P29">
        <f t="shared" si="2"/>
        <v>0.23256883573771028</v>
      </c>
      <c r="R29">
        <v>55</v>
      </c>
      <c r="S29">
        <f t="shared" si="3"/>
        <v>328.15</v>
      </c>
      <c r="T29">
        <f t="shared" si="4"/>
        <v>1.601628114818867E-2</v>
      </c>
      <c r="U29">
        <f t="shared" si="5"/>
        <v>0.23256883573771028</v>
      </c>
      <c r="V29" s="7">
        <f t="shared" si="6"/>
        <v>1.160952082801415</v>
      </c>
      <c r="W29" s="7">
        <f>($D$36+$D$43+($C$36+$C$43)*$T29+($B$36+$B$43)*$U29)</f>
        <v>1.1965222704085086</v>
      </c>
      <c r="X29" s="7">
        <f>($D$36-$D$43+($C$36-$C$43)*$T29+($B$36-$B$43)*$U29)</f>
        <v>1.1253818951943217</v>
      </c>
      <c r="Z29" s="7">
        <f t="shared" si="9"/>
        <v>1.1613397230056037</v>
      </c>
    </row>
    <row r="30" spans="1:26" x14ac:dyDescent="0.25">
      <c r="A30">
        <v>70</v>
      </c>
      <c r="B30">
        <f t="shared" si="7"/>
        <v>343.15</v>
      </c>
      <c r="C30">
        <f t="shared" si="8"/>
        <v>2.9141774734081308E-3</v>
      </c>
      <c r="D30" s="7">
        <v>1.23</v>
      </c>
      <c r="E30" s="7">
        <f t="shared" si="0"/>
        <v>1.23</v>
      </c>
      <c r="F30" s="3">
        <f>0.017*2</f>
        <v>3.4000000000000002E-2</v>
      </c>
      <c r="O30">
        <f t="shared" si="1"/>
        <v>2.2974250293361986E-2</v>
      </c>
      <c r="P30">
        <f t="shared" si="2"/>
        <v>0.4927152322236833</v>
      </c>
      <c r="R30">
        <v>70</v>
      </c>
      <c r="S30">
        <f t="shared" si="3"/>
        <v>343.15</v>
      </c>
      <c r="T30">
        <f t="shared" si="4"/>
        <v>2.2974250293361986E-2</v>
      </c>
      <c r="U30">
        <f t="shared" si="5"/>
        <v>0.4927152322236833</v>
      </c>
      <c r="V30" s="7">
        <f t="shared" si="6"/>
        <v>1.2292947183186</v>
      </c>
      <c r="W30" s="7">
        <f>($D$36+$D$43+($C$36+$C$43)*$T30+($B$36+$B$43)*$U30)</f>
        <v>1.2686849474267083</v>
      </c>
      <c r="X30" s="7">
        <f>($D$36-$D$43+($C$36-$C$43)*$T30+($B$36-$B$43)*$U30)</f>
        <v>1.1899044892104922</v>
      </c>
      <c r="Z30" s="7">
        <f t="shared" si="9"/>
        <v>1.2294752906188009</v>
      </c>
    </row>
    <row r="31" spans="1:26" x14ac:dyDescent="0.25">
      <c r="A31">
        <v>90</v>
      </c>
      <c r="B31">
        <f t="shared" si="7"/>
        <v>363.15</v>
      </c>
      <c r="C31">
        <f t="shared" si="8"/>
        <v>2.7536830510808208E-3</v>
      </c>
      <c r="D31" s="7">
        <v>1.337</v>
      </c>
      <c r="E31" s="7">
        <f t="shared" si="0"/>
        <v>1.337</v>
      </c>
      <c r="F31" s="3">
        <f>0.007*2</f>
        <v>1.4E-2</v>
      </c>
      <c r="I31" s="3"/>
      <c r="J31" s="3"/>
      <c r="O31">
        <f t="shared" si="1"/>
        <v>3.1357407207359418E-2</v>
      </c>
      <c r="P31">
        <f t="shared" si="2"/>
        <v>0.95220605976622086</v>
      </c>
      <c r="R31">
        <v>95</v>
      </c>
      <c r="S31">
        <f t="shared" si="3"/>
        <v>368.15</v>
      </c>
      <c r="T31">
        <f t="shared" si="4"/>
        <v>3.3310877460678859E-2</v>
      </c>
      <c r="U31">
        <f t="shared" si="5"/>
        <v>1.0840430414099647</v>
      </c>
      <c r="V31" s="7">
        <f t="shared" si="6"/>
        <v>1.3668268410417881</v>
      </c>
      <c r="W31" s="7">
        <f>($D$36+$D$43+($C$36+$C$43)*$T31+($B$36+$B$43)*$U31)</f>
        <v>1.4136948128475451</v>
      </c>
      <c r="X31" s="7">
        <f>($D$36-$D$43+($C$36-$C$43)*$T31+($B$36-$B$43)*$U31)</f>
        <v>1.3199588692360309</v>
      </c>
      <c r="Z31" s="7">
        <f t="shared" si="9"/>
        <v>1.3663344007376281</v>
      </c>
    </row>
    <row r="34" spans="1:7" ht="15.6" x14ac:dyDescent="0.35">
      <c r="B34" s="12" t="s">
        <v>17</v>
      </c>
      <c r="C34" s="12" t="s">
        <v>18</v>
      </c>
      <c r="D34" s="13" t="s">
        <v>19</v>
      </c>
    </row>
    <row r="35" spans="1:7" ht="15.6" x14ac:dyDescent="0.25">
      <c r="B35" s="11" t="s">
        <v>20</v>
      </c>
      <c r="C35" s="10" t="s">
        <v>21</v>
      </c>
      <c r="D35" s="11"/>
      <c r="E35" s="3"/>
      <c r="F35" s="3"/>
      <c r="G35" s="3"/>
    </row>
    <row r="36" spans="1:7" ht="15.6" x14ac:dyDescent="0.35">
      <c r="A36" s="10" t="s">
        <v>22</v>
      </c>
      <c r="B36" s="1">
        <f t="array" ref="B36:D40">LINEST(D26:D31,O26:P31,TRUE,TRUE)</f>
        <v>0.1757479727634042</v>
      </c>
      <c r="C36" s="1">
        <v>3.2512983660991832</v>
      </c>
      <c r="D36" s="1">
        <v>1.0680048726644764</v>
      </c>
      <c r="E36" s="14" t="s">
        <v>23</v>
      </c>
      <c r="F36" s="14"/>
    </row>
    <row r="37" spans="1:7" x14ac:dyDescent="0.25">
      <c r="A37" s="10"/>
      <c r="B37">
        <v>4.4226576390881244E-3</v>
      </c>
      <c r="C37">
        <v>0.10786447342045513</v>
      </c>
      <c r="D37">
        <v>9.7839147440035874E-4</v>
      </c>
      <c r="E37" s="14"/>
      <c r="F37" s="14"/>
    </row>
    <row r="38" spans="1:7" x14ac:dyDescent="0.25">
      <c r="A38" s="10" t="s">
        <v>24</v>
      </c>
      <c r="B38">
        <v>0.99984245047464526</v>
      </c>
      <c r="C38">
        <v>1.7697597444417904E-3</v>
      </c>
      <c r="D38" t="e">
        <v>#N/A</v>
      </c>
      <c r="E38" s="14" t="s">
        <v>25</v>
      </c>
      <c r="F38" s="14"/>
    </row>
    <row r="39" spans="1:7" x14ac:dyDescent="0.25">
      <c r="A39" s="10" t="s">
        <v>26</v>
      </c>
      <c r="B39">
        <v>9519.3157347510205</v>
      </c>
      <c r="C39">
        <v>3</v>
      </c>
      <c r="D39" t="e">
        <v>#N/A</v>
      </c>
      <c r="E39" s="14" t="s">
        <v>27</v>
      </c>
      <c r="F39" s="14"/>
    </row>
    <row r="40" spans="1:7" x14ac:dyDescent="0.25">
      <c r="A40" s="9"/>
      <c r="B40">
        <v>5.9629937184674166E-2</v>
      </c>
      <c r="C40">
        <v>9.3961486591400138E-6</v>
      </c>
      <c r="D40" t="e">
        <v>#N/A</v>
      </c>
      <c r="E40" s="14" t="s">
        <v>28</v>
      </c>
      <c r="F40" s="14"/>
    </row>
    <row r="42" spans="1:7" x14ac:dyDescent="0.25">
      <c r="B42">
        <f>B37*2</f>
        <v>8.8453152781762488E-3</v>
      </c>
      <c r="C42">
        <f>C37*2</f>
        <v>0.21572894684091026</v>
      </c>
      <c r="D42">
        <f>D37*2</f>
        <v>1.9567829488007175E-3</v>
      </c>
    </row>
    <row r="43" spans="1:7" ht="13.8" x14ac:dyDescent="0.3">
      <c r="A43" s="8" t="s">
        <v>29</v>
      </c>
      <c r="B43" s="1">
        <v>8.8000000000000005E-3</v>
      </c>
      <c r="C43" s="17">
        <v>0.22</v>
      </c>
      <c r="D43" s="1">
        <v>0.03</v>
      </c>
    </row>
    <row r="46" spans="1:7" x14ac:dyDescent="0.25">
      <c r="A46" t="s">
        <v>31</v>
      </c>
    </row>
    <row r="48" spans="1:7" x14ac:dyDescent="0.25">
      <c r="B48" s="18">
        <f>20.92298*$B$17</f>
        <v>0.1739643264398</v>
      </c>
      <c r="C48" s="17">
        <f>-2537.455*$B$17*LN(10)+$B48*$B$18</f>
        <v>3.2882259888486018</v>
      </c>
    </row>
    <row r="50" spans="2:4" x14ac:dyDescent="0.25">
      <c r="B50" s="19" t="s">
        <v>14</v>
      </c>
      <c r="C50" s="17">
        <f>0.79*4.184</f>
        <v>3.3053600000000003</v>
      </c>
      <c r="D50" s="2" t="s">
        <v>32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MgCO3</vt:lpstr>
      <vt:lpstr>MgHCO3+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2023-11-30T13:35:16Z</dcterms:modified>
</cp:coreProperties>
</file>