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13_ncr:1_{FE222062-D34C-47EB-8DEE-7ECC46D9EE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gPO4" sheetId="1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" l="1"/>
  <c r="D95" i="1"/>
  <c r="E95" i="1"/>
  <c r="D96" i="1"/>
  <c r="E96" i="1"/>
  <c r="D97" i="1"/>
  <c r="E97" i="1"/>
  <c r="D98" i="1"/>
  <c r="E98" i="1"/>
  <c r="D99" i="1"/>
  <c r="P30" i="1" l="1"/>
  <c r="M31" i="1"/>
  <c r="N31" i="1"/>
  <c r="M32" i="1"/>
  <c r="N32" i="1"/>
  <c r="W32" i="1"/>
  <c r="W35" i="1" s="1"/>
  <c r="M33" i="1"/>
  <c r="N33" i="1"/>
  <c r="M34" i="1"/>
  <c r="N34" i="1"/>
  <c r="W34" i="1"/>
  <c r="W40" i="1" s="1"/>
  <c r="B35" i="1"/>
  <c r="B36" i="1"/>
  <c r="M36" i="1"/>
  <c r="G40" i="1"/>
  <c r="Q40" i="1"/>
  <c r="V40" i="1"/>
  <c r="Y40" i="1"/>
  <c r="AA40" i="1"/>
  <c r="G41" i="1"/>
  <c r="H41" i="1" s="1"/>
  <c r="K41" i="1" s="1"/>
  <c r="Q41" i="1"/>
  <c r="V41" i="1"/>
  <c r="AA41" i="1"/>
  <c r="H42" i="1"/>
  <c r="K42" i="1" s="1"/>
  <c r="Q42" i="1"/>
  <c r="V42" i="1"/>
  <c r="Y42" i="1"/>
  <c r="AA42" i="1" s="1"/>
  <c r="H43" i="1"/>
  <c r="K43" i="1" s="1"/>
  <c r="I43" i="1"/>
  <c r="Q43" i="1"/>
  <c r="V43" i="1"/>
  <c r="W43" i="1" s="1"/>
  <c r="Y43" i="1"/>
  <c r="AA43" i="1" s="1"/>
  <c r="H44" i="1"/>
  <c r="K44" i="1" s="1"/>
  <c r="I44" i="1"/>
  <c r="Q44" i="1"/>
  <c r="V44" i="1"/>
  <c r="W44" i="1" s="1"/>
  <c r="AB44" i="1" s="1"/>
  <c r="Y44" i="1"/>
  <c r="AA44" i="1" s="1"/>
  <c r="H45" i="1"/>
  <c r="K45" i="1" s="1"/>
  <c r="I45" i="1"/>
  <c r="Q45" i="1"/>
  <c r="V45" i="1"/>
  <c r="Y45" i="1"/>
  <c r="AA45" i="1" s="1"/>
  <c r="H46" i="1"/>
  <c r="K46" i="1" s="1"/>
  <c r="Q46" i="1"/>
  <c r="V46" i="1"/>
  <c r="Y46" i="1"/>
  <c r="AA46" i="1"/>
  <c r="F47" i="1"/>
  <c r="G47" i="1"/>
  <c r="J47" i="1"/>
  <c r="Q47" i="1"/>
  <c r="V47" i="1"/>
  <c r="Y47" i="1"/>
  <c r="AA47" i="1" s="1"/>
  <c r="F48" i="1"/>
  <c r="G48" i="1"/>
  <c r="H48" i="1" s="1"/>
  <c r="J48" i="1"/>
  <c r="Q48" i="1"/>
  <c r="V48" i="1"/>
  <c r="W48" i="1"/>
  <c r="Y48" i="1"/>
  <c r="AA48" i="1" s="1"/>
  <c r="F49" i="1"/>
  <c r="I49" i="1" s="1"/>
  <c r="H49" i="1"/>
  <c r="K49" i="1" s="1"/>
  <c r="J49" i="1"/>
  <c r="Q49" i="1"/>
  <c r="V49" i="1"/>
  <c r="Y49" i="1"/>
  <c r="AA49" i="1" s="1"/>
  <c r="G50" i="1"/>
  <c r="H50" i="1" s="1"/>
  <c r="K50" i="1" s="1"/>
  <c r="Q50" i="1"/>
  <c r="V50" i="1"/>
  <c r="Y50" i="1"/>
  <c r="AA50" i="1" s="1"/>
  <c r="F51" i="1"/>
  <c r="G51" i="1"/>
  <c r="H51" i="1" s="1"/>
  <c r="K51" i="1" s="1"/>
  <c r="Q51" i="1"/>
  <c r="V51" i="1"/>
  <c r="Y51" i="1"/>
  <c r="AA51" i="1" s="1"/>
  <c r="H52" i="1"/>
  <c r="I52" i="1"/>
  <c r="Q52" i="1"/>
  <c r="V52" i="1"/>
  <c r="F53" i="1"/>
  <c r="I53" i="1" s="1"/>
  <c r="H53" i="1"/>
  <c r="K53" i="1" s="1"/>
  <c r="J53" i="1"/>
  <c r="Q53" i="1"/>
  <c r="V53" i="1"/>
  <c r="Y53" i="1"/>
  <c r="AA53" i="1" s="1"/>
  <c r="H54" i="1"/>
  <c r="K54" i="1" s="1"/>
  <c r="I54" i="1"/>
  <c r="Q54" i="1"/>
  <c r="V54" i="1"/>
  <c r="H55" i="1"/>
  <c r="K55" i="1" s="1"/>
  <c r="I55" i="1"/>
  <c r="Q55" i="1"/>
  <c r="V55" i="1"/>
  <c r="Y55" i="1"/>
  <c r="AA55" i="1" s="1"/>
  <c r="M61" i="1"/>
  <c r="N61" i="1"/>
  <c r="V61" i="1"/>
  <c r="M62" i="1"/>
  <c r="N62" i="1"/>
  <c r="V62" i="1"/>
  <c r="V63" i="1"/>
  <c r="B64" i="1"/>
  <c r="B65" i="1"/>
  <c r="G69" i="1"/>
  <c r="H69" i="1" s="1"/>
  <c r="K69" i="1" s="1"/>
  <c r="Q69" i="1"/>
  <c r="U69" i="1"/>
  <c r="H70" i="1"/>
  <c r="Q70" i="1"/>
  <c r="F71" i="1"/>
  <c r="I71" i="1" s="1"/>
  <c r="H71" i="1"/>
  <c r="K71" i="1" s="1"/>
  <c r="J71" i="1"/>
  <c r="Q71" i="1"/>
  <c r="U71" i="1"/>
  <c r="H72" i="1"/>
  <c r="K72" i="1" s="1"/>
  <c r="L72" i="1" s="1"/>
  <c r="Q72" i="1"/>
  <c r="M79" i="1"/>
  <c r="N79" i="1"/>
  <c r="B81" i="1"/>
  <c r="B82" i="1"/>
  <c r="G86" i="1"/>
  <c r="H86" i="1" s="1"/>
  <c r="O54" i="1" l="1"/>
  <c r="Y54" i="1" s="1"/>
  <c r="AA54" i="1" s="1"/>
  <c r="L69" i="1"/>
  <c r="W53" i="1"/>
  <c r="AC53" i="1" s="1"/>
  <c r="I47" i="1"/>
  <c r="M43" i="1"/>
  <c r="AC43" i="1"/>
  <c r="I51" i="1"/>
  <c r="I50" i="1"/>
  <c r="W47" i="1"/>
  <c r="AC47" i="1" s="1"/>
  <c r="AC48" i="1"/>
  <c r="M46" i="1"/>
  <c r="W45" i="1"/>
  <c r="AB45" i="1" s="1"/>
  <c r="M54" i="1"/>
  <c r="M69" i="1"/>
  <c r="H47" i="1"/>
  <c r="M47" i="1" s="1"/>
  <c r="L55" i="1"/>
  <c r="M49" i="1"/>
  <c r="M86" i="1"/>
  <c r="M72" i="1"/>
  <c r="M52" i="1"/>
  <c r="W50" i="1"/>
  <c r="AB50" i="1" s="1"/>
  <c r="W49" i="1"/>
  <c r="AC49" i="1" s="1"/>
  <c r="W46" i="1"/>
  <c r="M55" i="1"/>
  <c r="AC44" i="1"/>
  <c r="AB47" i="1"/>
  <c r="W55" i="1"/>
  <c r="AC55" i="1" s="1"/>
  <c r="N55" i="1"/>
  <c r="R55" i="1" s="1"/>
  <c r="M44" i="1"/>
  <c r="O86" i="1"/>
  <c r="K86" i="1"/>
  <c r="L86" i="1" s="1"/>
  <c r="I69" i="1"/>
  <c r="N69" i="1" s="1"/>
  <c r="I72" i="1"/>
  <c r="I70" i="1"/>
  <c r="M48" i="1"/>
  <c r="K48" i="1"/>
  <c r="L48" i="1" s="1"/>
  <c r="AB40" i="1"/>
  <c r="AC40" i="1"/>
  <c r="AB55" i="1"/>
  <c r="T55" i="1"/>
  <c r="L44" i="1"/>
  <c r="L51" i="1"/>
  <c r="L54" i="1"/>
  <c r="N54" i="1" s="1"/>
  <c r="I86" i="1"/>
  <c r="L71" i="1"/>
  <c r="AB49" i="1"/>
  <c r="K47" i="1"/>
  <c r="L47" i="1" s="1"/>
  <c r="L46" i="1"/>
  <c r="M42" i="1"/>
  <c r="H40" i="1"/>
  <c r="K40" i="1" s="1"/>
  <c r="L40" i="1" s="1"/>
  <c r="I40" i="1"/>
  <c r="M71" i="1"/>
  <c r="O72" i="1"/>
  <c r="U72" i="1" s="1"/>
  <c r="K70" i="1"/>
  <c r="L70" i="1" s="1"/>
  <c r="O70" i="1"/>
  <c r="U70" i="1" s="1"/>
  <c r="W54" i="1"/>
  <c r="M53" i="1"/>
  <c r="W52" i="1"/>
  <c r="W51" i="1"/>
  <c r="M51" i="1"/>
  <c r="M50" i="1"/>
  <c r="L49" i="1"/>
  <c r="AB48" i="1"/>
  <c r="I48" i="1"/>
  <c r="M45" i="1"/>
  <c r="AB43" i="1"/>
  <c r="L43" i="1"/>
  <c r="N43" i="1" s="1"/>
  <c r="W42" i="1"/>
  <c r="L42" i="1"/>
  <c r="M41" i="1"/>
  <c r="M70" i="1"/>
  <c r="L53" i="1"/>
  <c r="K52" i="1"/>
  <c r="L52" i="1" s="1"/>
  <c r="O52" i="1"/>
  <c r="Y52" i="1" s="1"/>
  <c r="AA52" i="1" s="1"/>
  <c r="AA56" i="1" s="1"/>
  <c r="L50" i="1"/>
  <c r="L45" i="1"/>
  <c r="W41" i="1"/>
  <c r="L41" i="1"/>
  <c r="I41" i="1"/>
  <c r="I46" i="1"/>
  <c r="I42" i="1"/>
  <c r="N47" i="1" l="1"/>
  <c r="N52" i="1"/>
  <c r="AB53" i="1"/>
  <c r="N45" i="1"/>
  <c r="X45" i="1" s="1"/>
  <c r="N53" i="1"/>
  <c r="AC45" i="1"/>
  <c r="X55" i="1"/>
  <c r="AD55" i="1" s="1"/>
  <c r="N41" i="1"/>
  <c r="X41" i="1" s="1"/>
  <c r="AD41" i="1" s="1"/>
  <c r="N49" i="1"/>
  <c r="R49" i="1" s="1"/>
  <c r="AC50" i="1"/>
  <c r="N44" i="1"/>
  <c r="R44" i="1" s="1"/>
  <c r="N51" i="1"/>
  <c r="R51" i="1" s="1"/>
  <c r="AB46" i="1"/>
  <c r="AC46" i="1"/>
  <c r="N50" i="1"/>
  <c r="X50" i="1" s="1"/>
  <c r="N71" i="1"/>
  <c r="R71" i="1" s="1"/>
  <c r="N72" i="1"/>
  <c r="V72" i="1" s="1"/>
  <c r="N46" i="1"/>
  <c r="R46" i="1" s="1"/>
  <c r="M40" i="1"/>
  <c r="N40" i="1" s="1"/>
  <c r="R43" i="1"/>
  <c r="X43" i="1"/>
  <c r="X47" i="1"/>
  <c r="R47" i="1"/>
  <c r="R52" i="1"/>
  <c r="X52" i="1"/>
  <c r="AD52" i="1" s="1"/>
  <c r="T52" i="1"/>
  <c r="T54" i="1"/>
  <c r="X54" i="1"/>
  <c r="AD54" i="1" s="1"/>
  <c r="R54" i="1"/>
  <c r="T53" i="1"/>
  <c r="R53" i="1"/>
  <c r="X53" i="1"/>
  <c r="X51" i="1"/>
  <c r="AD51" i="1" s="1"/>
  <c r="X49" i="1"/>
  <c r="T49" i="1"/>
  <c r="N48" i="1"/>
  <c r="N70" i="1"/>
  <c r="N42" i="1"/>
  <c r="AB42" i="1"/>
  <c r="AC42" i="1"/>
  <c r="N86" i="1"/>
  <c r="R72" i="1"/>
  <c r="U74" i="1"/>
  <c r="V78" i="1" s="1"/>
  <c r="AB52" i="1"/>
  <c r="AC52" i="1"/>
  <c r="AC41" i="1"/>
  <c r="AB41" i="1"/>
  <c r="AB51" i="1"/>
  <c r="AC51" i="1"/>
  <c r="AB54" i="1"/>
  <c r="AC54" i="1"/>
  <c r="V69" i="1"/>
  <c r="R69" i="1"/>
  <c r="V71" i="1" l="1"/>
  <c r="R45" i="1"/>
  <c r="R41" i="1"/>
  <c r="AE55" i="1"/>
  <c r="X44" i="1"/>
  <c r="AE54" i="1"/>
  <c r="X46" i="1"/>
  <c r="AE46" i="1" s="1"/>
  <c r="AE41" i="1"/>
  <c r="X40" i="1"/>
  <c r="AD40" i="1" s="1"/>
  <c r="R40" i="1"/>
  <c r="T40" i="1"/>
  <c r="N56" i="1"/>
  <c r="AE52" i="1"/>
  <c r="R50" i="1"/>
  <c r="AC56" i="1"/>
  <c r="AB56" i="1"/>
  <c r="AD50" i="1"/>
  <c r="AE50" i="1"/>
  <c r="AD49" i="1"/>
  <c r="AE49" i="1"/>
  <c r="AD53" i="1"/>
  <c r="AE53" i="1"/>
  <c r="AD47" i="1"/>
  <c r="AE47" i="1"/>
  <c r="AD45" i="1"/>
  <c r="AE45" i="1"/>
  <c r="AD43" i="1"/>
  <c r="AE43" i="1"/>
  <c r="V70" i="1"/>
  <c r="V74" i="1" s="1"/>
  <c r="V76" i="1" s="1"/>
  <c r="R70" i="1"/>
  <c r="T48" i="1"/>
  <c r="T56" i="1" s="1"/>
  <c r="R48" i="1"/>
  <c r="X48" i="1"/>
  <c r="AE51" i="1"/>
  <c r="X42" i="1"/>
  <c r="R42" i="1"/>
  <c r="N57" i="1"/>
  <c r="AD44" i="1"/>
  <c r="AE44" i="1"/>
  <c r="T57" i="1" l="1"/>
  <c r="AD46" i="1"/>
  <c r="AE40" i="1"/>
  <c r="AD58" i="1"/>
  <c r="AH64" i="1" s="1"/>
  <c r="W71" i="1"/>
  <c r="W72" i="1"/>
  <c r="W69" i="1"/>
  <c r="W70" i="1"/>
  <c r="AD42" i="1"/>
  <c r="AE42" i="1"/>
  <c r="AD48" i="1"/>
  <c r="AE48" i="1"/>
  <c r="AH61" i="1" l="1"/>
  <c r="AD56" i="1"/>
  <c r="AD63" i="1" s="1"/>
  <c r="AE56" i="1"/>
  <c r="AD60" i="1" s="1"/>
  <c r="AD62" i="1"/>
  <c r="X74" i="1"/>
  <c r="W74" i="1"/>
  <c r="AD59" i="1"/>
  <c r="V77" i="1" l="1"/>
  <c r="AD61" i="1"/>
  <c r="Y62" i="1" s="1"/>
  <c r="Y61" i="1"/>
  <c r="W61" i="1"/>
  <c r="AD64" i="1"/>
  <c r="Y63" i="1" l="1"/>
  <c r="X62" i="1"/>
  <c r="W63" i="1"/>
  <c r="X61" i="1"/>
  <c r="X63" i="1"/>
  <c r="W62" i="1"/>
</calcChain>
</file>

<file path=xl/sharedStrings.xml><?xml version="1.0" encoding="utf-8"?>
<sst xmlns="http://schemas.openxmlformats.org/spreadsheetml/2006/main" count="229" uniqueCount="134">
  <si>
    <r>
      <rPr>
        <sz val="10"/>
        <rFont val="Symbol"/>
        <family val="1"/>
        <charset val="2"/>
      </rPr>
      <t>e</t>
    </r>
    <r>
      <rPr>
        <sz val="10"/>
        <rFont val="Arial"/>
      </rPr>
      <t>(Mg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</si>
  <si>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</si>
  <si>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(Mg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, ClO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</si>
  <si>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</si>
  <si>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(Mg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, 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</si>
  <si>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</si>
  <si>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(MgHPO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(aq), NaCl, KNO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, NaClO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) = 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</si>
  <si>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</si>
  <si>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(MgH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 xml:space="preserve">)= 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</si>
  <si>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</si>
  <si>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MgPO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>) =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</si>
  <si>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</rPr>
      <t>) =</t>
    </r>
  </si>
  <si>
    <t>R</t>
  </si>
  <si>
    <r>
      <t>MgHPO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>(aq)</t>
    </r>
  </si>
  <si>
    <r>
      <rPr>
        <sz val="10"/>
        <rFont val="Symbol"/>
        <family val="1"/>
        <charset val="2"/>
      </rPr>
      <t>e</t>
    </r>
    <r>
      <rPr>
        <sz val="10"/>
        <rFont val="Arial"/>
      </rPr>
      <t>(MgH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, ClO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 xml:space="preserve">)= </t>
    </r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</si>
  <si>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(KCl) =</t>
    </r>
  </si>
  <si>
    <t>T</t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</si>
  <si>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(NaCl) =</t>
    </r>
  </si>
  <si>
    <t>ln(10)</t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</si>
  <si>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 xml:space="preserve"> = MgHPO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(aq)</t>
    </r>
  </si>
  <si>
    <t>A (0 C) =</t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</si>
  <si>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(NaClO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 =</t>
    </r>
  </si>
  <si>
    <t>-------------------------------------------</t>
  </si>
  <si>
    <t>A (15C) =</t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</si>
  <si>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(KNO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 =</t>
    </r>
  </si>
  <si>
    <t>R ln(10)</t>
  </si>
  <si>
    <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</si>
  <si>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 xml:space="preserve">   Experimental</t>
  </si>
  <si>
    <t>A (25C) =</t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</si>
  <si>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(Pr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NCl) =</t>
    </r>
  </si>
  <si>
    <t>R T ln(10)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</si>
  <si>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</si>
  <si>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------ Data -------------------------------</t>
  </si>
  <si>
    <t>A (37C) =</t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</si>
  <si>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>(NaNO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 =</t>
    </r>
  </si>
  <si>
    <t>Backgrnd</t>
  </si>
  <si>
    <t>I</t>
  </si>
  <si>
    <t>Temp</t>
  </si>
  <si>
    <t>log K</t>
  </si>
  <si>
    <t>rho</t>
  </si>
  <si>
    <t>Im</t>
  </si>
  <si>
    <t>log Km</t>
  </si>
  <si>
    <t>±</t>
  </si>
  <si>
    <t>Electrolyte</t>
  </si>
  <si>
    <t>(molar)</t>
  </si>
  <si>
    <r>
      <t>(</t>
    </r>
    <r>
      <rPr>
        <sz val="10"/>
        <rFont val="Calibri"/>
        <family val="2"/>
      </rPr>
      <t>°</t>
    </r>
    <r>
      <rPr>
        <sz val="10"/>
        <rFont val="Arial"/>
        <family val="2"/>
      </rPr>
      <t>C)</t>
    </r>
  </si>
  <si>
    <t>(molal)</t>
  </si>
  <si>
    <t>D</t>
  </si>
  <si>
    <r>
      <t>-D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</si>
  <si>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 xml:space="preserve"> Im</t>
    </r>
  </si>
  <si>
    <r>
      <t>log K</t>
    </r>
    <r>
      <rPr>
        <sz val="10"/>
        <rFont val="Symbol"/>
        <family val="1"/>
        <charset val="2"/>
      </rPr>
      <t>°</t>
    </r>
    <r>
      <rPr>
        <sz val="10"/>
        <rFont val="Arial"/>
        <family val="2"/>
      </rPr>
      <t xml:space="preserve"> = log Km + 4 D + </t>
    </r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 xml:space="preserve"> Im</t>
    </r>
  </si>
  <si>
    <t>1 / T [K]</t>
  </si>
  <si>
    <t>X1</t>
  </si>
  <si>
    <r>
      <t>log K</t>
    </r>
    <r>
      <rPr>
        <sz val="10"/>
        <rFont val="Symbol"/>
        <family val="1"/>
        <charset val="2"/>
      </rPr>
      <t>°</t>
    </r>
  </si>
  <si>
    <t>[K]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</si>
  <si>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</si>
  <si>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</si>
  <si>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</si>
  <si>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</si>
  <si>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</si>
  <si>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t>1940GRE/RED</t>
  </si>
  <si>
    <t>KCl</t>
  </si>
  <si>
    <t>1943TAB/HAS</t>
  </si>
  <si>
    <t>NaCl</t>
  </si>
  <si>
    <t>1954CLA/CUS</t>
  </si>
  <si>
    <r>
      <t>Pr</t>
    </r>
    <r>
      <rPr>
        <b/>
        <vertAlign val="subscript"/>
        <sz val="10"/>
        <rFont val="Times New Roman"/>
        <family val="1"/>
      </rPr>
      <t>4</t>
    </r>
    <r>
      <rPr>
        <b/>
        <sz val="10"/>
        <rFont val="Times New Roman"/>
        <family val="1"/>
      </rPr>
      <t>NCl</t>
    </r>
  </si>
  <si>
    <t>1963TAY/FRA</t>
  </si>
  <si>
    <t>1970CHI</t>
  </si>
  <si>
    <r>
      <t>KNO</t>
    </r>
    <r>
      <rPr>
        <b/>
        <vertAlign val="subscript"/>
        <sz val="10"/>
        <rFont val="Times New Roman"/>
        <family val="1"/>
      </rPr>
      <t>3</t>
    </r>
  </si>
  <si>
    <t>1972FRE/STU</t>
  </si>
  <si>
    <t>1974HAV/HOG</t>
  </si>
  <si>
    <r>
      <t>NaClO</t>
    </r>
    <r>
      <rPr>
        <b/>
        <vertAlign val="subscript"/>
        <sz val="10"/>
        <rFont val="Times New Roman"/>
        <family val="1"/>
      </rPr>
      <t>4</t>
    </r>
  </si>
  <si>
    <t>1984VER/BRU</t>
  </si>
  <si>
    <t>1994CIA</t>
  </si>
  <si>
    <t>1996SAH/SAH</t>
  </si>
  <si>
    <r>
      <t>NaNO</t>
    </r>
    <r>
      <rPr>
        <b/>
        <vertAlign val="subscript"/>
        <sz val="10"/>
        <rFont val="Times New Roman"/>
        <family val="1"/>
      </rPr>
      <t>3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</si>
  <si>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</si>
  <si>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</si>
  <si>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</si>
  <si>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MgH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PO</t>
    </r>
    <r>
      <rPr>
        <b/>
        <vertAlign val="subscript"/>
        <sz val="10"/>
        <rFont val="Arial"/>
        <family val="2"/>
      </rPr>
      <t>4</t>
    </r>
    <r>
      <rPr>
        <b/>
        <vertAlign val="superscript"/>
        <sz val="10"/>
        <rFont val="Arial"/>
        <family val="2"/>
      </rPr>
      <t>+</t>
    </r>
  </si>
  <si>
    <r>
      <t>Temp (</t>
    </r>
    <r>
      <rPr>
        <sz val="10"/>
        <rFont val="Calibri"/>
        <family val="2"/>
      </rPr>
      <t>°</t>
    </r>
    <r>
      <rPr>
        <sz val="10"/>
        <rFont val="Arial"/>
        <family val="2"/>
      </rPr>
      <t>C)</t>
    </r>
  </si>
  <si>
    <t>+</t>
  </si>
  <si>
    <t>-</t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</si>
  <si>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</si>
  <si>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</si>
  <si>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K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</si>
  <si>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</t>
    </r>
    <r>
      <rPr>
        <b/>
        <sz val="10"/>
        <rFont val="Arial"/>
        <family val="2"/>
      </rPr>
      <t>(log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K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</t>
    </r>
    <r>
      <rPr>
        <sz val="10"/>
        <rFont val="Arial"/>
      </rPr>
      <t>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</si>
  <si>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MgH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</si>
  <si>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</si>
  <si>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</si>
  <si>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</si>
  <si>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D</t>
    </r>
    <r>
      <rPr>
        <b/>
        <vertAlign val="subscript"/>
        <sz val="10"/>
        <rFont val="Arial"/>
        <family val="2"/>
      </rPr>
      <t>r</t>
    </r>
    <r>
      <rPr>
        <b/>
        <sz val="10"/>
        <rFont val="Arial"/>
        <family val="2"/>
      </rPr>
      <t>H</t>
    </r>
    <r>
      <rPr>
        <b/>
        <vertAlign val="subscript"/>
        <sz val="10"/>
        <rFont val="Arial"/>
        <family val="2"/>
      </rPr>
      <t>m</t>
    </r>
    <r>
      <rPr>
        <b/>
        <sz val="10"/>
        <rFont val="Calibri"/>
        <family val="2"/>
      </rPr>
      <t xml:space="preserve">°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</si>
  <si>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r>
      <t>s</t>
    </r>
    <r>
      <rPr>
        <b/>
        <sz val="10"/>
        <rFont val="Arial"/>
        <family val="2"/>
      </rPr>
      <t>(slope)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</si>
  <si>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1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(X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- X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</si>
  <si>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t>(0.61)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</si>
  <si>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</t>
    </r>
    <r>
      <rPr>
        <sz val="10"/>
        <rFont val="Symbol"/>
        <family val="1"/>
        <charset val="2"/>
      </rPr>
      <t>S2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S1</t>
    </r>
    <r>
      <rPr>
        <sz val="10"/>
        <rFont val="Arial"/>
      </rPr>
      <t xml:space="preserve"> =  </t>
    </r>
  </si>
  <si>
    <r>
      <t>MgPO</t>
    </r>
    <r>
      <rPr>
        <b/>
        <vertAlign val="subscript"/>
        <sz val="10"/>
        <rFont val="Arial"/>
        <family val="2"/>
      </rPr>
      <t>4</t>
    </r>
    <r>
      <rPr>
        <b/>
        <vertAlign val="superscript"/>
        <sz val="10"/>
        <rFont val="Arial"/>
        <family val="2"/>
      </rPr>
      <t>-</t>
    </r>
  </si>
  <si>
    <r>
      <t>s</t>
    </r>
    <r>
      <rPr>
        <b/>
        <sz val="10"/>
        <rFont val="Arial"/>
        <family val="2"/>
      </rPr>
      <t>(average)</t>
    </r>
    <r>
      <rPr>
        <sz val="10"/>
        <rFont val="Arial"/>
      </rPr>
      <t xml:space="preserve"> = </t>
    </r>
  </si>
  <si>
    <r>
      <t>s</t>
    </r>
    <r>
      <rPr>
        <b/>
        <sz val="10"/>
        <rFont val="Arial"/>
        <family val="2"/>
      </rPr>
      <t>(weights)</t>
    </r>
    <r>
      <rPr>
        <sz val="10"/>
        <rFont val="Arial"/>
      </rPr>
      <t xml:space="preserve"> = </t>
    </r>
  </si>
  <si>
    <r>
      <t>Mg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3-</t>
    </r>
    <r>
      <rPr>
        <sz val="10"/>
        <rFont val="Arial"/>
        <family val="2"/>
      </rPr>
      <t xml:space="preserve"> = MgPO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</si>
  <si>
    <t>Clarke et al. (1954), Table 5</t>
  </si>
  <si>
    <r>
      <t>Temp (</t>
    </r>
    <r>
      <rPr>
        <sz val="10"/>
        <rFont val="Calibri"/>
        <family val="2"/>
      </rPr>
      <t>°</t>
    </r>
    <r>
      <rPr>
        <sz val="10"/>
        <rFont val="Arial"/>
      </rPr>
      <t>C)</t>
    </r>
  </si>
  <si>
    <t>Difference</t>
  </si>
  <si>
    <t>Average</t>
  </si>
  <si>
    <t>Set 1</t>
  </si>
  <si>
    <t>Set 2</t>
  </si>
  <si>
    <r>
      <t>log K</t>
    </r>
    <r>
      <rPr>
        <sz val="10"/>
        <rFont val="Symbol"/>
        <family val="1"/>
        <charset val="2"/>
      </rPr>
      <t>°</t>
    </r>
    <r>
      <rPr>
        <sz val="10"/>
        <rFont val="Arial"/>
        <family val="2"/>
      </rPr>
      <t xml:space="preserve"> = log Km + 8 D + </t>
    </r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 xml:space="preserve"> Im</t>
    </r>
  </si>
  <si>
    <r>
      <t>log K</t>
    </r>
    <r>
      <rPr>
        <sz val="10"/>
        <rFont val="Symbol"/>
        <family val="1"/>
        <charset val="2"/>
      </rPr>
      <t>°</t>
    </r>
    <r>
      <rPr>
        <sz val="10"/>
        <rFont val="Arial"/>
        <family val="2"/>
      </rPr>
      <t xml:space="preserve"> = log Km + 12 D + </t>
    </r>
    <r>
      <rPr>
        <sz val="10"/>
        <rFont val="Symbol"/>
        <family val="1"/>
        <charset val="2"/>
      </rPr>
      <t>De</t>
    </r>
    <r>
      <rPr>
        <sz val="10"/>
        <rFont val="Arial"/>
        <family val="2"/>
      </rPr>
      <t xml:space="preserve"> Im</t>
    </r>
  </si>
  <si>
    <t>Hummel W. &amp; Thoenen T. (2023): The PSI Chemical Thermodynamic Database 2020 (TDB 2020), Nagra Technical Report NTB 21-03</t>
  </si>
  <si>
    <t>1) Extrapolation of reported stability constants to I = 0 using SIT as described in NTB 21-03 Chapter 1.5 Medium effects</t>
  </si>
  <si>
    <t>References</t>
  </si>
  <si>
    <t>Chapter 4.1.8.1 Magnesium(II) phosphate complexes</t>
  </si>
  <si>
    <r>
      <t>2) MgHPO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(aq): The extrapolated constants at dfferent temperatures have been used for a weighted linear regression according to Grenthe et al. (1992), p.704</t>
    </r>
  </si>
  <si>
    <r>
      <t>3) MgH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: The extrapolated constants at dfferent temperatures have been used for a weighted average according to Grenthe et al. (1992), p.704</t>
    </r>
  </si>
  <si>
    <t>Greenwald, I., Redish, J. &amp; Kibrick, A.C. (1940): The dissociation of calcium and magnesium phosphates. J. Biol. Chem., 135, 65-76.</t>
  </si>
  <si>
    <t>Tabor, H. &amp; Hastings, A.B. (1943): The ionization constant of secondary magnesium phosphate. J. Biol. Chem., 148, 627-632.</t>
  </si>
  <si>
    <t>Clarke, H.B., Cusworth, D.C. &amp; Datta, S.P. (1954): Thermodynamic quantities for the dissociation equilibria of biologically important compounds. 3. The dissociations of the magnesium salts of phosphoric acid, glucose 1-phosphoric acid and glycerol 2-phosphoric acid. Biochem. J., 58, 146-154.</t>
  </si>
  <si>
    <t>Taylor, A.W., Frazier, A.W., Gurney, E.L. &amp; Smith, J.P. (1963): Solubility products of di- and trimagnesium phosphates and the dissociation of magnesium phosphate solutions. Trans. Farad. Soc., 59, 1585-1589.</t>
  </si>
  <si>
    <t>1956SMI/ALBb</t>
  </si>
  <si>
    <t>Childs, C.W. (1970): A potentiometric study of equilibria in aqueous divalent metal orthophosphate solutions. Inorg. Chem., 9, 2465-2469.</t>
  </si>
  <si>
    <t>Frey, C.M. &amp; Stuehr, J.E. (1972): Interaction of divalent metal ions with inorganic and nucleoside phosphates. I. Thermodynamics. J. Amer. Chem. Soc., 94, 8898-8904.</t>
  </si>
  <si>
    <r>
      <t>Havel, J. &amp; Högfeldt, E. (1974): On some phosphate equilibria. V. The system magnesium-phosphoric acid in 3M (Na, Mg) ClO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. Chemica Scripta, 5, 164-169.</t>
    </r>
  </si>
  <si>
    <r>
      <t>Verbeeck, R.M.H., De Bruyne, P.A.M., Driessens, F.C.M &amp; Verbeek, F. (1984): Solubility of magnesium hydrogen phosphate trihydrate and ion-pair formation in the system Mg(OH)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-H</t>
    </r>
    <r>
      <rPr>
        <vertAlign val="subscript"/>
        <sz val="10"/>
        <rFont val="Arial"/>
        <family val="2"/>
      </rPr>
      <t>3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>-H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O at 25°C. Inorg. Chem., 23, 1922-1926.</t>
    </r>
  </si>
  <si>
    <t>Ciavatta, L., Iuliano, M. &amp; Porto, R. (1994): Complex formation equilibria in magnesium orthophosphate aqueous solutions. Annali di Chimica, 84, 95–112.</t>
  </si>
  <si>
    <t>Saha, A., Saha, N., Ji, L., Zhao, J., Gregáň, F., Sajadi, S.A., Song, B. &amp; Sigel, H. (1996): Stability of metal ion complexes formed with methyl phosphate and hydrogen phosphate. Journal of Biological Inorganic Chemistry, 1, 231-238.</t>
  </si>
  <si>
    <t>doi:10.1016/s0021-9258(18)73159-1</t>
  </si>
  <si>
    <t>doi:10.1042%2Fbj0580146</t>
  </si>
  <si>
    <t>doi:10.1039/TF9635901585</t>
  </si>
  <si>
    <t>doi:10.1021/ic50093a017</t>
  </si>
  <si>
    <t>doi:10.1021/ja00780a042</t>
  </si>
  <si>
    <t>doi:10.1021/ic00181a026</t>
  </si>
  <si>
    <t>doi:10.1007/s007750050048</t>
  </si>
  <si>
    <t>Smith, R.M. &amp; Alberty, R.A. (1956b): The apparent stability constants of ionic complexes of various adenosine phosphates with divalent cations. J. Phys. Chem., 78, 2376–2380.</t>
  </si>
  <si>
    <t>doi:10.1021/j150536a010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</si>
</sst>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4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color indexed="10"/>
      <name val="Arial"/>
      <family val="2"/>
    </font>
    <font>
      <sz val="10"/>
      <name val="Arial"/>
      <family val="1"/>
      <charset val="2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Symbol"/>
      <family val="1"/>
      <charset val="2"/>
    </font>
    <font>
      <b/>
      <sz val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2" fillId="0" borderId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1"/>
    <xf numFmtId="0" fontId="5" fillId="0" borderId="0" xfId="1" applyAlignment="1">
      <alignment horizontal="left"/>
    </xf>
    <xf numFmtId="49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0" fontId="5" fillId="0" borderId="0" xfId="1" applyAlignment="1">
      <alignment horizontal="center"/>
    </xf>
    <xf numFmtId="0" fontId="9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5" fillId="0" borderId="0" xfId="1" applyAlignment="1">
      <alignment horizontal="right"/>
    </xf>
    <xf numFmtId="2" fontId="0" fillId="0" borderId="0" xfId="0" applyNumberFormat="1"/>
    <xf numFmtId="0" fontId="9" fillId="0" borderId="0" xfId="0" applyFont="1"/>
    <xf numFmtId="164" fontId="5" fillId="0" borderId="0" xfId="1" applyNumberFormat="1" applyAlignment="1">
      <alignment horizontal="center"/>
    </xf>
    <xf numFmtId="2" fontId="11" fillId="0" borderId="0" xfId="0" applyNumberFormat="1" applyFont="1"/>
    <xf numFmtId="0" fontId="11" fillId="0" borderId="0" xfId="0" applyFont="1"/>
    <xf numFmtId="2" fontId="11" fillId="0" borderId="0" xfId="1" applyNumberFormat="1" applyFont="1"/>
    <xf numFmtId="0" fontId="13" fillId="0" borderId="0" xfId="1" applyFont="1" applyAlignment="1">
      <alignment horizontal="center"/>
    </xf>
    <xf numFmtId="2" fontId="14" fillId="0" borderId="0" xfId="0" applyNumberFormat="1" applyFont="1"/>
    <xf numFmtId="0" fontId="15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4" fillId="0" borderId="0" xfId="0" quotePrefix="1" applyFont="1"/>
    <xf numFmtId="2" fontId="14" fillId="0" borderId="0" xfId="0" quotePrefix="1" applyNumberFormat="1" applyFont="1"/>
    <xf numFmtId="166" fontId="5" fillId="0" borderId="0" xfId="0" applyNumberFormat="1" applyFont="1"/>
    <xf numFmtId="0" fontId="6" fillId="0" borderId="0" xfId="1" quotePrefix="1" applyFont="1" applyAlignment="1">
      <alignment horizontal="right"/>
    </xf>
    <xf numFmtId="0" fontId="14" fillId="0" borderId="0" xfId="0" applyFont="1"/>
    <xf numFmtId="0" fontId="5" fillId="0" borderId="0" xfId="0" quotePrefix="1" applyFont="1" applyAlignment="1">
      <alignment horizontal="right"/>
    </xf>
    <xf numFmtId="164" fontId="1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2" fontId="17" fillId="0" borderId="0" xfId="0" applyNumberFormat="1" applyFont="1"/>
    <xf numFmtId="164" fontId="11" fillId="0" borderId="0" xfId="1" applyNumberFormat="1" applyFont="1"/>
    <xf numFmtId="164" fontId="17" fillId="0" borderId="0" xfId="0" applyNumberFormat="1" applyFont="1"/>
    <xf numFmtId="164" fontId="14" fillId="0" borderId="0" xfId="0" applyNumberFormat="1" applyFont="1"/>
    <xf numFmtId="0" fontId="1" fillId="0" borderId="0" xfId="0" quotePrefix="1" applyFont="1"/>
    <xf numFmtId="0" fontId="0" fillId="0" borderId="0" xfId="0" quotePrefix="1" applyAlignment="1">
      <alignment horizontal="right"/>
    </xf>
    <xf numFmtId="2" fontId="12" fillId="0" borderId="0" xfId="0" applyNumberFormat="1" applyFont="1"/>
    <xf numFmtId="0" fontId="1" fillId="0" borderId="0" xfId="1" applyFont="1" applyAlignment="1">
      <alignment horizont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19" fillId="0" borderId="0" xfId="0" applyFont="1" applyAlignment="1">
      <alignment horizontal="right"/>
    </xf>
    <xf numFmtId="0" fontId="19" fillId="0" borderId="0" xfId="0" quotePrefix="1" applyFont="1" applyAlignment="1">
      <alignment horizontal="right" vertical="center"/>
    </xf>
    <xf numFmtId="0" fontId="0" fillId="0" borderId="0" xfId="0" quotePrefix="1" applyAlignment="1">
      <alignment horizontal="center"/>
    </xf>
    <xf numFmtId="0" fontId="21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23" fillId="0" borderId="0" xfId="3"/>
  </cellXfs>
  <cellStyles count="4">
    <cellStyle name="Enllaç" xfId="3" builtinId="8"/>
    <cellStyle name="Normal" xfId="0" builtinId="0"/>
    <cellStyle name="Normal 2" xfId="1" xr:uid="{00000000-0005-0000-0000-000000000000}"/>
    <cellStyle name="Normal 3" xfId="2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8629585704857"/>
          <c:y val="2.3376667848267266E-2"/>
          <c:w val="0.82723659334170296"/>
          <c:h val="0.853248376461755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MgPO4!$Y$40:$Y$54</c:f>
                <c:numCache>
                  <c:formatCode>General</c:formatCode>
                  <c:ptCount val="15"/>
                  <c:pt idx="0">
                    <c:v>0.32</c:v>
                  </c:pt>
                  <c:pt idx="1">
                    <c:v>0.3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0.3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0.42293057068507123</c:v>
                  </c:pt>
                  <c:pt idx="13">
                    <c:v>0.3</c:v>
                  </c:pt>
                  <c:pt idx="14">
                    <c:v>0.42481792290344816</c:v>
                  </c:pt>
                </c:numCache>
              </c:numRef>
            </c:plus>
            <c:minus>
              <c:numRef>
                <c:f>MgPO4!$Y$40:$Y$54</c:f>
                <c:numCache>
                  <c:formatCode>General</c:formatCode>
                  <c:ptCount val="15"/>
                  <c:pt idx="0">
                    <c:v>0.32</c:v>
                  </c:pt>
                  <c:pt idx="1">
                    <c:v>0.3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0.3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0.42293057068507123</c:v>
                  </c:pt>
                  <c:pt idx="13">
                    <c:v>0.3</c:v>
                  </c:pt>
                  <c:pt idx="14">
                    <c:v>0.42481792290344816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MgPO4!$Q$40:$Q$55</c:f>
              <c:numCache>
                <c:formatCode>General</c:formatCode>
                <c:ptCount val="16"/>
                <c:pt idx="0">
                  <c:v>3.3540164346805303E-3</c:v>
                </c:pt>
                <c:pt idx="1">
                  <c:v>3.2138839787883662E-3</c:v>
                </c:pt>
                <c:pt idx="2">
                  <c:v>3.5316969803990822E-3</c:v>
                </c:pt>
                <c:pt idx="3">
                  <c:v>3.4112229234180458E-3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3.6609921288669233E-3</c:v>
                </c:pt>
                <c:pt idx="8">
                  <c:v>3.3540164346805303E-3</c:v>
                </c:pt>
                <c:pt idx="9">
                  <c:v>3.3540164346805303E-3</c:v>
                </c:pt>
                <c:pt idx="10">
                  <c:v>3.224246332419797E-3</c:v>
                </c:pt>
                <c:pt idx="11">
                  <c:v>3.4704147145583901E-3</c:v>
                </c:pt>
                <c:pt idx="12">
                  <c:v>3.3540164346805303E-3</c:v>
                </c:pt>
                <c:pt idx="13">
                  <c:v>3.3540164346805303E-3</c:v>
                </c:pt>
                <c:pt idx="14">
                  <c:v>3.3540164346805303E-3</c:v>
                </c:pt>
                <c:pt idx="15">
                  <c:v>3.3540164346805303E-3</c:v>
                </c:pt>
              </c:numCache>
            </c:numRef>
          </c:xVal>
          <c:yVal>
            <c:numRef>
              <c:f>MgPO4!$R$40:$R$55</c:f>
              <c:numCache>
                <c:formatCode>0.00</c:formatCode>
                <c:ptCount val="16"/>
                <c:pt idx="0">
                  <c:v>2.7208488335171377</c:v>
                </c:pt>
                <c:pt idx="1">
                  <c:v>2.6529222955437062</c:v>
                </c:pt>
                <c:pt idx="2">
                  <c:v>2.6131000000000002</c:v>
                </c:pt>
                <c:pt idx="3">
                  <c:v>2.6726000000000001</c:v>
                </c:pt>
                <c:pt idx="4">
                  <c:v>2.7450000000000001</c:v>
                </c:pt>
                <c:pt idx="5">
                  <c:v>2.82795</c:v>
                </c:pt>
                <c:pt idx="6">
                  <c:v>2.9153000000000002</c:v>
                </c:pt>
                <c:pt idx="7">
                  <c:v>2.4751816849613619</c:v>
                </c:pt>
                <c:pt idx="8">
                  <c:v>2.8894659237546518</c:v>
                </c:pt>
                <c:pt idx="9">
                  <c:v>2.9065783148377649</c:v>
                </c:pt>
                <c:pt idx="10">
                  <c:v>2.8075149127781494</c:v>
                </c:pt>
                <c:pt idx="11">
                  <c:v>2.6297733885176346</c:v>
                </c:pt>
                <c:pt idx="12">
                  <c:v>2.7247272260132087</c:v>
                </c:pt>
                <c:pt idx="13">
                  <c:v>2.8524799936368566</c:v>
                </c:pt>
                <c:pt idx="14">
                  <c:v>2.5337272260132089</c:v>
                </c:pt>
                <c:pt idx="15">
                  <c:v>2.7006112930939357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E-442F-8263-32CECBB1E1D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MgPO4!$V$61:$V$63</c:f>
              <c:numCache>
                <c:formatCode>General</c:formatCode>
                <c:ptCount val="3"/>
                <c:pt idx="0">
                  <c:v>3.687995574405311E-3</c:v>
                </c:pt>
                <c:pt idx="1">
                  <c:v>3.3540164346805303E-3</c:v>
                </c:pt>
                <c:pt idx="2">
                  <c:v>3.0567018187375823E-3</c:v>
                </c:pt>
              </c:numCache>
            </c:numRef>
          </c:xVal>
          <c:yVal>
            <c:numRef>
              <c:f>MgPO4!$W$61:$W$63</c:f>
              <c:numCache>
                <c:formatCode>General</c:formatCode>
                <c:ptCount val="3"/>
                <c:pt idx="0">
                  <c:v>2.4994646525513304</c:v>
                </c:pt>
                <c:pt idx="1">
                  <c:v>2.7316820933846917</c:v>
                </c:pt>
                <c:pt idx="2">
                  <c:v>2.9384064992668062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E-442F-8263-32CECBB1E1D5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MgPO4!$V$61:$V$63</c:f>
              <c:numCache>
                <c:formatCode>General</c:formatCode>
                <c:ptCount val="3"/>
                <c:pt idx="0">
                  <c:v>3.687995574405311E-3</c:v>
                </c:pt>
                <c:pt idx="1">
                  <c:v>3.3540164346805303E-3</c:v>
                </c:pt>
                <c:pt idx="2">
                  <c:v>3.0567018187375823E-3</c:v>
                </c:pt>
              </c:numCache>
            </c:numRef>
          </c:xVal>
          <c:yVal>
            <c:numRef>
              <c:f>MgPO4!$X$61:$X$63</c:f>
              <c:numCache>
                <c:formatCode>General</c:formatCode>
                <c:ptCount val="3"/>
                <c:pt idx="0">
                  <c:v>2.6867036557923347</c:v>
                </c:pt>
                <c:pt idx="1">
                  <c:v>2.7890150403289371</c:v>
                </c:pt>
                <c:pt idx="2">
                  <c:v>3.111384301360872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E-442F-8263-32CECBB1E1D5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MgPO4!$V$61:$V$63</c:f>
              <c:numCache>
                <c:formatCode>General</c:formatCode>
                <c:ptCount val="3"/>
                <c:pt idx="0">
                  <c:v>3.687995574405311E-3</c:v>
                </c:pt>
                <c:pt idx="1">
                  <c:v>3.3540164346805303E-3</c:v>
                </c:pt>
                <c:pt idx="2">
                  <c:v>3.0567018187375823E-3</c:v>
                </c:pt>
              </c:numCache>
            </c:numRef>
          </c:xVal>
          <c:yVal>
            <c:numRef>
              <c:f>MgPO4!$Y$61:$Y$63</c:f>
              <c:numCache>
                <c:formatCode>General</c:formatCode>
                <c:ptCount val="3"/>
                <c:pt idx="0">
                  <c:v>2.3122256493103261</c:v>
                </c:pt>
                <c:pt idx="1">
                  <c:v>2.6743491464404463</c:v>
                </c:pt>
                <c:pt idx="2">
                  <c:v>2.7654286971727404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AE-442F-8263-32CECBB1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4040"/>
        <c:axId val="1"/>
      </c:scatterChart>
      <c:valAx>
        <c:axId val="437904040"/>
        <c:scaling>
          <c:orientation val="minMax"/>
          <c:max val="3.700000000000001E-3"/>
          <c:min val="3.0000000000000009E-3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1 / T [K]</a:t>
                </a:r>
              </a:p>
            </c:rich>
          </c:tx>
          <c:layout>
            <c:manualLayout>
              <c:xMode val="edge"/>
              <c:yMode val="edge"/>
              <c:x val="0.48983788450946047"/>
              <c:y val="0.925975787545253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424242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inorUnit val="2.5000000000000011E-5"/>
      </c:valAx>
      <c:valAx>
        <c:axId val="1"/>
        <c:scaling>
          <c:orientation val="minMax"/>
          <c:max val="3.4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°</a:t>
                </a:r>
              </a:p>
            </c:rich>
          </c:tx>
          <c:layout>
            <c:manualLayout>
              <c:xMode val="edge"/>
              <c:yMode val="edge"/>
              <c:x val="8.1300893694516256E-3"/>
              <c:y val="0.4000007609592398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424242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7904040"/>
        <c:crosses val="autoZero"/>
        <c:crossBetween val="midCat"/>
        <c:minorUnit val="5.000000000000001E-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628650</xdr:colOff>
      <xdr:row>34</xdr:row>
      <xdr:rowOff>6350</xdr:rowOff>
    </xdr:from>
    <xdr:to>
      <xdr:col>43</xdr:col>
      <xdr:colOff>527050</xdr:colOff>
      <xdr:row>60</xdr:row>
      <xdr:rowOff>177800</xdr:rowOff>
    </xdr:to>
    <xdr:graphicFrame macro="">
      <xdr:nvGraphicFramePr>
        <xdr:cNvPr id="1092" name="Diagramm 1">
          <a:extLst>
            <a:ext uri="{FF2B5EF4-FFF2-40B4-BE49-F238E27FC236}">
              <a16:creationId xmlns:a16="http://schemas.microsoft.com/office/drawing/2014/main" id="{02BB18FB-8D5C-AF61-5166-CFE893DF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0.19061</cdr:x>
      <cdr:y>0.80822</cdr:y>
    </cdr:from>
    <cdr:to>
      <cdr:x>0.2971</cdr:x>
      <cdr:y>0.86967</cdr:y>
    </cdr:to>
    <cdr:sp macro="" textlink="">
      <cdr:nvSpPr>
        <cdr:cNvPr id="2049" name="Textfeld 1">
          <a:extLst xmlns:a="http://schemas.openxmlformats.org/drawingml/2006/main">
            <a:ext uri="{FF2B5EF4-FFF2-40B4-BE49-F238E27FC236}">
              <a16:creationId xmlns:a16="http://schemas.microsoft.com/office/drawing/2014/main" id="{32E7B6B5-65BD-2C04-8749-6C6B2D6AD11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92209" y="3956915"/>
          <a:ext cx="666079" cy="300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50°C</a:t>
          </a:r>
        </a:p>
      </cdr:txBody>
    </cdr:sp>
  </cdr:relSizeAnchor>
  <cdr:relSizeAnchor xmlns:cdr="http://schemas.openxmlformats.org/drawingml/2006/chartDrawing">
    <cdr:from>
      <cdr:x>0.49803</cdr:x>
      <cdr:y>0.81336</cdr:y>
    </cdr:from>
    <cdr:to>
      <cdr:x>0.59961</cdr:x>
      <cdr:y>0.87481</cdr:y>
    </cdr:to>
    <cdr:sp macro="" textlink="">
      <cdr:nvSpPr>
        <cdr:cNvPr id="2050" name="Textfeld 1">
          <a:extLst xmlns:a="http://schemas.openxmlformats.org/drawingml/2006/main">
            <a:ext uri="{FF2B5EF4-FFF2-40B4-BE49-F238E27FC236}">
              <a16:creationId xmlns:a16="http://schemas.microsoft.com/office/drawing/2014/main" id="{76E77BFB-6619-C95E-4C28-DDCF7DB206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5069" y="3982085"/>
          <a:ext cx="635312" cy="300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25°C</a:t>
          </a:r>
        </a:p>
      </cdr:txBody>
    </cdr:sp>
  </cdr:relSizeAnchor>
  <cdr:relSizeAnchor xmlns:cdr="http://schemas.openxmlformats.org/drawingml/2006/chartDrawing">
    <cdr:from>
      <cdr:x>0.87235</cdr:x>
      <cdr:y>0.80993</cdr:y>
    </cdr:from>
    <cdr:to>
      <cdr:x>0.95154</cdr:x>
      <cdr:y>0.87211</cdr:y>
    </cdr:to>
    <cdr:sp macro="" textlink="">
      <cdr:nvSpPr>
        <cdr:cNvPr id="2051" name="Textfeld 1">
          <a:extLst xmlns:a="http://schemas.openxmlformats.org/drawingml/2006/main">
            <a:ext uri="{FF2B5EF4-FFF2-40B4-BE49-F238E27FC236}">
              <a16:creationId xmlns:a16="http://schemas.microsoft.com/office/drawing/2014/main" id="{D71A6D81-C7BC-8D24-0248-D6F6DB03CD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6342" y="3965305"/>
          <a:ext cx="495329" cy="304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0°C</a:t>
          </a:r>
        </a:p>
      </cdr:txBody>
    </cdr:sp>
  </cdr:relSizeAnchor>
</c:userShape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36a010" TargetMode="External"/><Relationship Id="rId3" Type="http://schemas.openxmlformats.org/officeDocument/2006/relationships/hyperlink" Target="https://doi.org/10.1039/TF9635901585" TargetMode="External"/><Relationship Id="rId7" Type="http://schemas.openxmlformats.org/officeDocument/2006/relationships/hyperlink" Target="https://doi.org/10.1007/s007750050048" TargetMode="External"/><Relationship Id="rId2" Type="http://schemas.openxmlformats.org/officeDocument/2006/relationships/hyperlink" Target="https://doi.org/10.1042%2Fbj0580146" TargetMode="External"/><Relationship Id="rId1" Type="http://schemas.openxmlformats.org/officeDocument/2006/relationships/hyperlink" Target="https://doi.org/10.1016/s0021-9258(18)73159-1" TargetMode="External"/><Relationship Id="rId6" Type="http://schemas.openxmlformats.org/officeDocument/2006/relationships/hyperlink" Target="https://doi.org/10.1021/ic00181a026" TargetMode="External"/><Relationship Id="rId5" Type="http://schemas.openxmlformats.org/officeDocument/2006/relationships/hyperlink" Target="https://doi.org/10.1021/ja00780a042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oi.org/10.1021/ic50093a01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"/>
  <sheetViews>
    <sheetView tabSelected="1" zoomScale="90" workbookViewId="0">
      <selection activeCell="B14" sqref="B14"/>
    </sheetView>
  </sheetViews>
  <sheetFormatPr defaultColWidth="9.109375" defaultRowHeight="13.2"/>
  <cols>
    <col min="21" max="21" width="8.88671875" customWidth="1"/>
  </cols>
  <sheetData>
    <row r="1" spans="1:3">
      <c r="A1" s="33" t="s">
        <v>108</v>
      </c>
    </row>
    <row r="3" spans="1:3">
      <c r="A3" t="s">
        <v>111</v>
      </c>
    </row>
    <row r="6" spans="1:3">
      <c r="A6" s="33" t="s">
        <v>109</v>
      </c>
    </row>
    <row r="7" spans="1:3" ht="15.6">
      <c r="A7" s="33" t="s">
        <v>112</v>
      </c>
    </row>
    <row r="8" spans="1:3" ht="16.8">
      <c r="A8" s="33" t="s">
        <v>113</v>
      </c>
    </row>
    <row r="10" spans="1:3">
      <c r="A10" t="s">
        <v>110</v>
      </c>
    </row>
    <row r="11" spans="1:3">
      <c r="A11" s="15" t="s">
        <v>60</v>
      </c>
      <c r="B11" s="59" t="s">
        <v>125</v>
      </c>
      <c r="C11" t="s">
        <v>114</v>
      </c>
    </row>
    <row r="12" spans="1:3">
      <c r="A12" s="15" t="s">
        <v>62</v>
      </c>
      <c r="C12" t="s">
        <v>115</v>
      </c>
    </row>
    <row r="13" spans="1:3">
      <c r="A13" s="15" t="s">
        <v>64</v>
      </c>
      <c r="B13" s="59" t="s">
        <v>126</v>
      </c>
      <c r="C13" t="s">
        <v>116</v>
      </c>
    </row>
    <row r="14" spans="1:3">
      <c r="A14" s="15" t="s">
        <v>118</v>
      </c>
      <c r="B14" s="59" t="s">
        <v>133</v>
      </c>
      <c r="C14" t="s">
        <v>132</v>
      </c>
    </row>
    <row r="15" spans="1:3">
      <c r="A15" s="15" t="s">
        <v>66</v>
      </c>
      <c r="B15" s="59" t="s">
        <v>127</v>
      </c>
      <c r="C15" t="s">
        <v>117</v>
      </c>
    </row>
    <row r="16" spans="1:3">
      <c r="A16" s="15" t="s">
        <v>67</v>
      </c>
      <c r="B16" s="59" t="s">
        <v>128</v>
      </c>
      <c r="C16" t="s">
        <v>119</v>
      </c>
    </row>
    <row r="17" spans="1:23">
      <c r="A17" s="15" t="s">
        <v>69</v>
      </c>
      <c r="B17" s="59" t="s">
        <v>129</v>
      </c>
      <c r="C17" t="s">
        <v>120</v>
      </c>
    </row>
    <row r="18" spans="1:23" ht="15.6">
      <c r="A18" s="15" t="s">
        <v>70</v>
      </c>
      <c r="C18" s="33" t="s">
        <v>121</v>
      </c>
    </row>
    <row r="19" spans="1:23" ht="15.6">
      <c r="A19" s="15" t="s">
        <v>72</v>
      </c>
      <c r="B19" s="59" t="s">
        <v>130</v>
      </c>
      <c r="C19" s="33" t="s">
        <v>122</v>
      </c>
    </row>
    <row r="20" spans="1:23">
      <c r="A20" s="15" t="s">
        <v>73</v>
      </c>
      <c r="C20" t="s">
        <v>123</v>
      </c>
    </row>
    <row r="21" spans="1:23">
      <c r="A21" s="15" t="s">
        <v>74</v>
      </c>
      <c r="B21" s="59" t="s">
        <v>131</v>
      </c>
      <c r="C21" t="s">
        <v>124</v>
      </c>
    </row>
    <row r="25" spans="1:23" ht="16.8">
      <c r="H25" s="22" t="s">
        <v>0</v>
      </c>
      <c r="I25" s="18">
        <v>0.19</v>
      </c>
      <c r="J25" s="18">
        <v>0.02</v>
      </c>
      <c r="L25" s="22" t="s">
        <v>1</v>
      </c>
      <c r="M25" s="18">
        <v>-0.08</v>
      </c>
      <c r="N25" s="18">
        <v>0.04</v>
      </c>
    </row>
    <row r="26" spans="1:23" ht="16.8">
      <c r="H26" s="22" t="s">
        <v>2</v>
      </c>
      <c r="I26" s="18">
        <v>0.33</v>
      </c>
      <c r="J26" s="18">
        <v>0.03</v>
      </c>
      <c r="L26" s="22" t="s">
        <v>3</v>
      </c>
      <c r="M26" s="25">
        <v>-0.14000000000000001</v>
      </c>
      <c r="N26" s="18">
        <v>0.04</v>
      </c>
    </row>
    <row r="27" spans="1:23" ht="16.8">
      <c r="H27" s="22" t="s">
        <v>4</v>
      </c>
      <c r="I27" s="18">
        <v>0.17</v>
      </c>
      <c r="J27" s="18">
        <v>0.01</v>
      </c>
      <c r="L27" s="22" t="s">
        <v>5</v>
      </c>
      <c r="M27" s="18">
        <v>-0.15</v>
      </c>
      <c r="N27" s="18">
        <v>0.06</v>
      </c>
    </row>
    <row r="28" spans="1:23" ht="16.8">
      <c r="H28" s="22" t="s">
        <v>6</v>
      </c>
      <c r="I28" s="27">
        <v>0</v>
      </c>
      <c r="J28" s="2">
        <v>0.1</v>
      </c>
      <c r="L28" s="22" t="s">
        <v>7</v>
      </c>
      <c r="M28" s="26">
        <v>-0.1</v>
      </c>
      <c r="N28" s="18">
        <v>0.06</v>
      </c>
    </row>
    <row r="29" spans="1:23" ht="16.8">
      <c r="H29" s="22" t="s">
        <v>8</v>
      </c>
      <c r="I29" s="33">
        <v>0.05</v>
      </c>
      <c r="J29" s="33">
        <v>0.1</v>
      </c>
      <c r="L29" s="22" t="s">
        <v>9</v>
      </c>
      <c r="M29" s="18">
        <v>-0.25</v>
      </c>
      <c r="N29" s="18">
        <v>0.03</v>
      </c>
    </row>
    <row r="30" spans="1:23" ht="16.8">
      <c r="H30" s="22" t="s">
        <v>10</v>
      </c>
      <c r="I30" s="39">
        <v>-0.05</v>
      </c>
      <c r="J30" s="33">
        <v>0.1</v>
      </c>
      <c r="L30" s="22" t="s">
        <v>11</v>
      </c>
      <c r="M30" s="18">
        <v>-0.09</v>
      </c>
      <c r="N30" s="18">
        <v>0.02</v>
      </c>
      <c r="P30">
        <f>SQRT(0.16)</f>
        <v>0.4</v>
      </c>
      <c r="V30" t="s">
        <v>12</v>
      </c>
      <c r="W30">
        <v>8.3145100000000007E-3</v>
      </c>
    </row>
    <row r="31" spans="1:23" ht="16.8">
      <c r="A31" s="1" t="s">
        <v>13</v>
      </c>
      <c r="B31" s="1"/>
      <c r="H31" s="22" t="s">
        <v>14</v>
      </c>
      <c r="I31" s="33">
        <v>0.2</v>
      </c>
      <c r="J31" s="33">
        <v>0.1</v>
      </c>
      <c r="L31" s="22" t="s">
        <v>15</v>
      </c>
      <c r="M31" s="14">
        <f>$I$28-$M$28-$I$25</f>
        <v>-0.09</v>
      </c>
      <c r="N31" s="14">
        <f>SQRT($J$28^2+$N$28^2+$J$25^2)</f>
        <v>0.11832159566199232</v>
      </c>
      <c r="V31" t="s">
        <v>16</v>
      </c>
      <c r="W31">
        <v>298.14999999999998</v>
      </c>
    </row>
    <row r="32" spans="1:23">
      <c r="L32" s="22" t="s">
        <v>17</v>
      </c>
      <c r="M32" s="14">
        <f>$I$28-$M$27-$I$25</f>
        <v>-4.0000000000000008E-2</v>
      </c>
      <c r="N32" s="14">
        <f>SQRT($J$28^2+$N$27^2+$J$25^2)</f>
        <v>0.11832159566199232</v>
      </c>
      <c r="V32" t="s">
        <v>18</v>
      </c>
      <c r="W32">
        <f>LN(10)</f>
        <v>2.3025850929940459</v>
      </c>
    </row>
    <row r="33" spans="1:31" ht="16.8">
      <c r="A33" s="2" t="s">
        <v>19</v>
      </c>
      <c r="B33" s="2"/>
      <c r="J33" s="13" t="s">
        <v>20</v>
      </c>
      <c r="K33" s="5">
        <v>0.49099999999999999</v>
      </c>
      <c r="L33" s="22" t="s">
        <v>21</v>
      </c>
      <c r="M33" s="14">
        <f>$I$28-$M$27-$I$26</f>
        <v>-0.18000000000000002</v>
      </c>
      <c r="N33" s="14">
        <f>SQRT($J$28^2+$N$27^2+$J$26^2)</f>
        <v>0.12041594578792296</v>
      </c>
    </row>
    <row r="34" spans="1:31" ht="15.6">
      <c r="A34" s="2"/>
      <c r="B34" s="2"/>
      <c r="D34" s="7" t="s">
        <v>22</v>
      </c>
      <c r="E34" s="8"/>
      <c r="F34" s="5"/>
      <c r="G34" s="5"/>
      <c r="H34" s="5"/>
      <c r="I34" s="5"/>
      <c r="J34" s="13" t="s">
        <v>23</v>
      </c>
      <c r="K34" s="5">
        <v>0.501</v>
      </c>
      <c r="L34" s="22" t="s">
        <v>24</v>
      </c>
      <c r="M34" s="14">
        <f>$I$28-$M$28-$I$27</f>
        <v>-7.0000000000000007E-2</v>
      </c>
      <c r="N34" s="14">
        <f>SQRT($J$28^2+$N$28^2+$J$27^2)</f>
        <v>0.11704699910719625</v>
      </c>
      <c r="V34" s="2" t="s">
        <v>25</v>
      </c>
      <c r="W34">
        <f>W30*W32</f>
        <v>1.9144866781549925E-2</v>
      </c>
    </row>
    <row r="35" spans="1:31" ht="16.8">
      <c r="A35" s="11" t="s">
        <v>26</v>
      </c>
      <c r="B35" s="12">
        <f>0^2-2^2-2^2</f>
        <v>-8</v>
      </c>
      <c r="D35" s="6" t="s">
        <v>27</v>
      </c>
      <c r="E35" s="6"/>
      <c r="F35" s="5"/>
      <c r="G35" s="5"/>
      <c r="H35" s="5"/>
      <c r="J35" s="13" t="s">
        <v>28</v>
      </c>
      <c r="K35" s="5">
        <v>0.50900000000000001</v>
      </c>
      <c r="L35" s="22" t="s">
        <v>29</v>
      </c>
      <c r="M35">
        <v>-0.4</v>
      </c>
      <c r="V35" t="s">
        <v>30</v>
      </c>
      <c r="W35">
        <f>W30*W31*W32</f>
        <v>5.7080420309191107</v>
      </c>
    </row>
    <row r="36" spans="1:31" ht="15.6">
      <c r="A36" s="11" t="s">
        <v>31</v>
      </c>
      <c r="B36" s="12">
        <f>1-1-1</f>
        <v>-1</v>
      </c>
      <c r="D36" s="7" t="s">
        <v>32</v>
      </c>
      <c r="E36" s="8"/>
      <c r="F36" s="5"/>
      <c r="G36" s="5"/>
      <c r="H36" s="5"/>
      <c r="I36" s="5"/>
      <c r="J36" s="13" t="s">
        <v>33</v>
      </c>
      <c r="K36" s="23">
        <v>0.52</v>
      </c>
      <c r="L36" s="22" t="s">
        <v>34</v>
      </c>
      <c r="M36" s="14">
        <f>$I$28-$M$27-$I$27</f>
        <v>-2.0000000000000018E-2</v>
      </c>
    </row>
    <row r="37" spans="1:31" ht="13.8">
      <c r="A37" s="5"/>
      <c r="B37" s="5"/>
      <c r="C37" s="5" t="s">
        <v>35</v>
      </c>
      <c r="D37" s="9" t="s">
        <v>36</v>
      </c>
      <c r="E37" s="9" t="s">
        <v>37</v>
      </c>
      <c r="F37" s="9" t="s">
        <v>38</v>
      </c>
      <c r="G37" s="9" t="s">
        <v>39</v>
      </c>
      <c r="H37" s="9" t="s">
        <v>40</v>
      </c>
      <c r="I37" s="9" t="s">
        <v>41</v>
      </c>
      <c r="J37" s="20" t="s">
        <v>42</v>
      </c>
    </row>
    <row r="38" spans="1:31" ht="16.2">
      <c r="C38" s="5" t="s">
        <v>43</v>
      </c>
      <c r="D38" s="9" t="s">
        <v>44</v>
      </c>
      <c r="E38" s="9" t="s">
        <v>45</v>
      </c>
      <c r="G38" s="5"/>
      <c r="H38" s="9" t="s">
        <v>46</v>
      </c>
      <c r="I38" s="9" t="s">
        <v>46</v>
      </c>
      <c r="J38" s="9"/>
      <c r="K38" s="9" t="s">
        <v>47</v>
      </c>
      <c r="L38" s="28" t="s">
        <v>48</v>
      </c>
      <c r="M38" s="4" t="s">
        <v>49</v>
      </c>
      <c r="N38" s="58" t="s">
        <v>106</v>
      </c>
      <c r="Q38" s="30" t="s">
        <v>51</v>
      </c>
      <c r="R38" s="30"/>
      <c r="V38" s="3" t="s">
        <v>16</v>
      </c>
      <c r="W38" s="3" t="s">
        <v>52</v>
      </c>
      <c r="X38" s="42" t="s">
        <v>53</v>
      </c>
      <c r="Y38" s="20" t="s">
        <v>42</v>
      </c>
    </row>
    <row r="39" spans="1:31" ht="16.8">
      <c r="C39" s="5"/>
      <c r="D39" s="7" t="s">
        <v>22</v>
      </c>
      <c r="F39" s="7" t="s">
        <v>22</v>
      </c>
      <c r="H39" s="5"/>
      <c r="I39" s="5"/>
      <c r="J39" s="5"/>
      <c r="V39" s="3" t="s">
        <v>54</v>
      </c>
      <c r="AA39" s="43" t="s">
        <v>55</v>
      </c>
      <c r="AB39" s="43" t="s">
        <v>56</v>
      </c>
      <c r="AC39" s="43" t="s">
        <v>57</v>
      </c>
      <c r="AD39" s="43" t="s">
        <v>58</v>
      </c>
      <c r="AE39" s="43" t="s">
        <v>59</v>
      </c>
    </row>
    <row r="40" spans="1:31">
      <c r="A40" s="15" t="s">
        <v>60</v>
      </c>
      <c r="C40" s="10" t="s">
        <v>61</v>
      </c>
      <c r="D40" s="1">
        <v>0.2</v>
      </c>
      <c r="E40" s="5">
        <v>25</v>
      </c>
      <c r="F40" s="21">
        <v>1.65</v>
      </c>
      <c r="G40" s="24">
        <f>1.0057+(1.0099-1.0057)/0.15*0.1</f>
        <v>1.0085</v>
      </c>
      <c r="H40" s="16">
        <f t="shared" ref="H40:H55" si="0">D40*G40</f>
        <v>0.20169999999999999</v>
      </c>
      <c r="I40" s="36">
        <f t="shared" ref="I40:I55" si="1">F40+$B$36*LOG(G40)</f>
        <v>1.6463240974512157</v>
      </c>
      <c r="J40" s="19">
        <v>0.16</v>
      </c>
      <c r="K40">
        <f>$K$35*SQRT($H40)/(1+1.5*SQRT($H40))</f>
        <v>0.13658471700824024</v>
      </c>
      <c r="L40">
        <f t="shared" ref="L40:L52" si="2">-$B$35*K40</f>
        <v>1.0926777360659219</v>
      </c>
      <c r="M40">
        <f>$M$31*$H40</f>
        <v>-1.8152999999999999E-2</v>
      </c>
      <c r="N40" s="17">
        <f t="shared" ref="N40:N54" si="3">I40+L40+M40</f>
        <v>2.7208488335171377</v>
      </c>
      <c r="O40" s="41">
        <v>0.32</v>
      </c>
      <c r="Q40">
        <f>1/(273.15+$E40)</f>
        <v>3.3540164346805303E-3</v>
      </c>
      <c r="R40" s="17">
        <f>N40</f>
        <v>2.7208488335171377</v>
      </c>
      <c r="T40" s="14">
        <f>N40</f>
        <v>2.7208488335171377</v>
      </c>
      <c r="V40">
        <f>273.15+$E40</f>
        <v>298.14999999999998</v>
      </c>
      <c r="W40">
        <f>(1/$W$31-1/$V40)/$W$34</f>
        <v>0</v>
      </c>
      <c r="X40" s="14">
        <f>N40</f>
        <v>2.7208488335171377</v>
      </c>
      <c r="Y40" s="14">
        <f t="shared" ref="Y40:Y54" si="4">O40</f>
        <v>0.32</v>
      </c>
      <c r="AA40" s="33">
        <f>1/Y40^2</f>
        <v>9.765625</v>
      </c>
      <c r="AB40" s="33">
        <f>W40*AA40</f>
        <v>0</v>
      </c>
      <c r="AC40" s="33">
        <f>W40*W40*AA40</f>
        <v>0</v>
      </c>
      <c r="AD40" s="33">
        <f>X40*AA40</f>
        <v>26.570789389815797</v>
      </c>
      <c r="AE40" s="33">
        <f>W40*X40*AA40</f>
        <v>0</v>
      </c>
    </row>
    <row r="41" spans="1:31">
      <c r="A41" s="15" t="s">
        <v>62</v>
      </c>
      <c r="C41" s="10" t="s">
        <v>63</v>
      </c>
      <c r="D41" s="1">
        <v>0.16</v>
      </c>
      <c r="E41">
        <v>38</v>
      </c>
      <c r="F41" s="21">
        <v>1.62</v>
      </c>
      <c r="G41" s="24">
        <f>1.0046+(1.0078-1.0046)/0.15*0.06</f>
        <v>1.0058799999999999</v>
      </c>
      <c r="H41" s="16">
        <f t="shared" si="0"/>
        <v>0.16094079999999999</v>
      </c>
      <c r="I41" s="36">
        <f t="shared" si="1"/>
        <v>1.6174538268808334</v>
      </c>
      <c r="J41" s="19">
        <v>0</v>
      </c>
      <c r="K41">
        <f t="shared" ref="K41:K46" si="5">$K$36*SQRT($H41)/(1+1.5*SQRT($H41))</f>
        <v>0.13023826258285906</v>
      </c>
      <c r="L41">
        <f t="shared" ref="L41:L47" si="6">-$B$35*K41</f>
        <v>1.0419061006628725</v>
      </c>
      <c r="M41">
        <f t="shared" ref="M41:M46" si="7">$M$32*$H41</f>
        <v>-6.4376320000000013E-3</v>
      </c>
      <c r="N41" s="17">
        <f t="shared" si="3"/>
        <v>2.6529222955437062</v>
      </c>
      <c r="O41" s="41">
        <v>0.2</v>
      </c>
      <c r="Q41">
        <f t="shared" ref="Q41:Q55" si="8">1/(273.15+$E41)</f>
        <v>3.2138839787883662E-3</v>
      </c>
      <c r="R41" s="17">
        <f t="shared" ref="R41:R54" si="9">N41</f>
        <v>2.6529222955437062</v>
      </c>
      <c r="V41">
        <f t="shared" ref="V41:V55" si="10">273.15+$E41</f>
        <v>311.14999999999998</v>
      </c>
      <c r="W41">
        <f t="shared" ref="W41:W55" si="11">(1/$W$31-1/$V41)/$W$34</f>
        <v>7.3195837553286609E-3</v>
      </c>
      <c r="X41" s="14">
        <f t="shared" ref="X41:X54" si="12">N41</f>
        <v>2.6529222955437062</v>
      </c>
      <c r="Y41" s="14">
        <v>0.3</v>
      </c>
      <c r="AA41" s="33">
        <f t="shared" ref="AA41:AA54" si="13">1/Y41^2</f>
        <v>11.111111111111111</v>
      </c>
      <c r="AB41" s="33">
        <f t="shared" ref="AB41:AB54" si="14">W41*AA41</f>
        <v>8.132870839254068E-2</v>
      </c>
      <c r="AC41" s="33">
        <f t="shared" ref="AC41:AC54" si="15">W41*W41*AA41</f>
        <v>5.9529229279190246E-4</v>
      </c>
      <c r="AD41" s="33">
        <f t="shared" ref="AD41:AD54" si="16">X41*AA41</f>
        <v>29.476914394930066</v>
      </c>
      <c r="AE41" s="33">
        <f t="shared" ref="AE41:AE54" si="17">W41*X41*AA41</f>
        <v>0.21575874376234369</v>
      </c>
    </row>
    <row r="42" spans="1:31">
      <c r="A42" s="15" t="s">
        <v>64</v>
      </c>
      <c r="C42" s="10"/>
      <c r="D42" s="1">
        <v>0</v>
      </c>
      <c r="E42">
        <v>10</v>
      </c>
      <c r="F42" s="35">
        <v>2.6131000000000002</v>
      </c>
      <c r="G42">
        <v>1</v>
      </c>
      <c r="H42" s="16">
        <f t="shared" si="0"/>
        <v>0</v>
      </c>
      <c r="I42" s="19">
        <f t="shared" si="1"/>
        <v>2.6131000000000002</v>
      </c>
      <c r="J42" s="19"/>
      <c r="K42">
        <f t="shared" si="5"/>
        <v>0</v>
      </c>
      <c r="L42">
        <f t="shared" si="6"/>
        <v>0</v>
      </c>
      <c r="M42">
        <f t="shared" si="7"/>
        <v>0</v>
      </c>
      <c r="N42" s="17">
        <f t="shared" si="3"/>
        <v>2.6131000000000002</v>
      </c>
      <c r="O42" s="41">
        <v>0.2</v>
      </c>
      <c r="Q42">
        <f t="shared" si="8"/>
        <v>3.5316969803990822E-3</v>
      </c>
      <c r="R42" s="17">
        <f t="shared" ref="R42:R47" si="18">N42</f>
        <v>2.6131000000000002</v>
      </c>
      <c r="V42">
        <f t="shared" si="10"/>
        <v>283.14999999999998</v>
      </c>
      <c r="W42">
        <f t="shared" si="11"/>
        <v>-9.2808452388806473E-3</v>
      </c>
      <c r="X42" s="14">
        <f t="shared" si="12"/>
        <v>2.6131000000000002</v>
      </c>
      <c r="Y42" s="14">
        <f t="shared" si="4"/>
        <v>0.2</v>
      </c>
      <c r="AA42" s="33">
        <f>1/Y42^2</f>
        <v>24.999999999999996</v>
      </c>
      <c r="AB42" s="33">
        <f>W42*AA42</f>
        <v>-0.23202113097201615</v>
      </c>
      <c r="AC42" s="33">
        <f>W42*W42*AA42</f>
        <v>2.1533522087013391E-3</v>
      </c>
      <c r="AD42" s="33">
        <f>X42*AA42</f>
        <v>65.327500000000001</v>
      </c>
      <c r="AE42" s="33">
        <f>W42*X42*AA42</f>
        <v>-0.60629441734297551</v>
      </c>
    </row>
    <row r="43" spans="1:31">
      <c r="A43" s="15" t="s">
        <v>64</v>
      </c>
      <c r="C43" s="10"/>
      <c r="D43" s="1">
        <v>0</v>
      </c>
      <c r="E43">
        <v>20</v>
      </c>
      <c r="F43" s="35">
        <v>2.6726000000000001</v>
      </c>
      <c r="G43">
        <v>1</v>
      </c>
      <c r="H43" s="16">
        <f t="shared" si="0"/>
        <v>0</v>
      </c>
      <c r="I43" s="19">
        <f t="shared" si="1"/>
        <v>2.6726000000000001</v>
      </c>
      <c r="J43" s="19"/>
      <c r="K43">
        <f t="shared" si="5"/>
        <v>0</v>
      </c>
      <c r="L43">
        <f t="shared" si="6"/>
        <v>0</v>
      </c>
      <c r="M43">
        <f t="shared" si="7"/>
        <v>0</v>
      </c>
      <c r="N43" s="17">
        <f t="shared" si="3"/>
        <v>2.6726000000000001</v>
      </c>
      <c r="O43" s="41">
        <v>0.2</v>
      </c>
      <c r="Q43">
        <f t="shared" si="8"/>
        <v>3.4112229234180458E-3</v>
      </c>
      <c r="R43" s="17">
        <f t="shared" si="18"/>
        <v>2.6726000000000001</v>
      </c>
      <c r="V43">
        <f t="shared" si="10"/>
        <v>293.14999999999998</v>
      </c>
      <c r="W43">
        <f t="shared" si="11"/>
        <v>-2.9880849728683343E-3</v>
      </c>
      <c r="X43" s="14">
        <f t="shared" si="12"/>
        <v>2.6726000000000001</v>
      </c>
      <c r="Y43" s="14">
        <f t="shared" si="4"/>
        <v>0.2</v>
      </c>
      <c r="AA43" s="33">
        <f t="shared" si="13"/>
        <v>24.999999999999996</v>
      </c>
      <c r="AB43" s="33">
        <f t="shared" si="14"/>
        <v>-7.4702124321708349E-2</v>
      </c>
      <c r="AC43" s="33">
        <f t="shared" si="15"/>
        <v>2.2321629512703881E-4</v>
      </c>
      <c r="AD43" s="33">
        <f t="shared" si="16"/>
        <v>66.814999999999998</v>
      </c>
      <c r="AE43" s="33">
        <f t="shared" si="17"/>
        <v>-0.19964889746219772</v>
      </c>
    </row>
    <row r="44" spans="1:31">
      <c r="A44" s="15" t="s">
        <v>64</v>
      </c>
      <c r="C44" s="10"/>
      <c r="D44" s="1">
        <v>0</v>
      </c>
      <c r="E44">
        <v>30</v>
      </c>
      <c r="F44" s="35">
        <v>2.7450000000000001</v>
      </c>
      <c r="G44">
        <v>1</v>
      </c>
      <c r="H44" s="16">
        <f t="shared" si="0"/>
        <v>0</v>
      </c>
      <c r="I44" s="19">
        <f t="shared" si="1"/>
        <v>2.7450000000000001</v>
      </c>
      <c r="J44" s="19"/>
      <c r="K44">
        <f t="shared" si="5"/>
        <v>0</v>
      </c>
      <c r="L44">
        <f t="shared" si="6"/>
        <v>0</v>
      </c>
      <c r="M44">
        <f t="shared" si="7"/>
        <v>0</v>
      </c>
      <c r="N44" s="17">
        <f t="shared" si="3"/>
        <v>2.7450000000000001</v>
      </c>
      <c r="O44" s="41">
        <v>0.2</v>
      </c>
      <c r="Q44">
        <f t="shared" si="8"/>
        <v>3.298697014679202E-3</v>
      </c>
      <c r="R44" s="17">
        <f t="shared" si="18"/>
        <v>2.7450000000000001</v>
      </c>
      <c r="V44">
        <f t="shared" si="10"/>
        <v>303.14999999999998</v>
      </c>
      <c r="W44">
        <f t="shared" si="11"/>
        <v>2.8895171030722494E-3</v>
      </c>
      <c r="X44" s="14">
        <f t="shared" si="12"/>
        <v>2.7450000000000001</v>
      </c>
      <c r="Y44" s="14">
        <f t="shared" si="4"/>
        <v>0.2</v>
      </c>
      <c r="AA44" s="33">
        <f t="shared" si="13"/>
        <v>24.999999999999996</v>
      </c>
      <c r="AB44" s="33">
        <f t="shared" si="14"/>
        <v>7.2237927576806221E-2</v>
      </c>
      <c r="AC44" s="33">
        <f t="shared" si="15"/>
        <v>2.0873272722367607E-4</v>
      </c>
      <c r="AD44" s="33">
        <f t="shared" si="16"/>
        <v>68.625</v>
      </c>
      <c r="AE44" s="33">
        <f t="shared" si="17"/>
        <v>0.19829311119833309</v>
      </c>
    </row>
    <row r="45" spans="1:31">
      <c r="A45" s="15" t="s">
        <v>64</v>
      </c>
      <c r="D45" s="1">
        <v>0</v>
      </c>
      <c r="E45">
        <v>40</v>
      </c>
      <c r="F45" s="35">
        <v>2.82795</v>
      </c>
      <c r="G45">
        <v>1</v>
      </c>
      <c r="H45" s="16">
        <f t="shared" si="0"/>
        <v>0</v>
      </c>
      <c r="I45" s="19">
        <f t="shared" si="1"/>
        <v>2.82795</v>
      </c>
      <c r="K45">
        <f t="shared" si="5"/>
        <v>0</v>
      </c>
      <c r="L45">
        <f t="shared" si="6"/>
        <v>0</v>
      </c>
      <c r="M45">
        <f t="shared" si="7"/>
        <v>0</v>
      </c>
      <c r="N45" s="17">
        <f t="shared" si="3"/>
        <v>2.82795</v>
      </c>
      <c r="O45" s="41">
        <v>0.2</v>
      </c>
      <c r="Q45">
        <f t="shared" si="8"/>
        <v>3.1933578157432542E-3</v>
      </c>
      <c r="R45" s="17">
        <f t="shared" si="18"/>
        <v>2.82795</v>
      </c>
      <c r="V45">
        <f t="shared" si="10"/>
        <v>313.14999999999998</v>
      </c>
      <c r="W45">
        <f t="shared" si="11"/>
        <v>8.3917334484721641E-3</v>
      </c>
      <c r="X45" s="14">
        <f t="shared" si="12"/>
        <v>2.82795</v>
      </c>
      <c r="Y45" s="14">
        <f t="shared" si="4"/>
        <v>0.2</v>
      </c>
      <c r="AA45" s="33">
        <f t="shared" si="13"/>
        <v>24.999999999999996</v>
      </c>
      <c r="AB45" s="33">
        <f t="shared" si="14"/>
        <v>0.20979333621180407</v>
      </c>
      <c r="AC45" s="33">
        <f t="shared" si="15"/>
        <v>1.7605297567551627E-3</v>
      </c>
      <c r="AD45" s="33">
        <f t="shared" si="16"/>
        <v>70.69874999999999</v>
      </c>
      <c r="AE45" s="33">
        <f t="shared" si="17"/>
        <v>0.59328506514017132</v>
      </c>
    </row>
    <row r="46" spans="1:31">
      <c r="A46" s="15" t="s">
        <v>64</v>
      </c>
      <c r="C46" s="10"/>
      <c r="D46" s="1">
        <v>0</v>
      </c>
      <c r="E46">
        <v>50</v>
      </c>
      <c r="F46" s="35">
        <v>2.9153000000000002</v>
      </c>
      <c r="G46">
        <v>1</v>
      </c>
      <c r="H46" s="16">
        <f t="shared" si="0"/>
        <v>0</v>
      </c>
      <c r="I46" s="19">
        <f t="shared" si="1"/>
        <v>2.9153000000000002</v>
      </c>
      <c r="J46" s="19">
        <v>0.06</v>
      </c>
      <c r="K46">
        <f t="shared" si="5"/>
        <v>0</v>
      </c>
      <c r="L46">
        <f t="shared" si="6"/>
        <v>0</v>
      </c>
      <c r="M46">
        <f t="shared" si="7"/>
        <v>0</v>
      </c>
      <c r="N46" s="17">
        <f t="shared" si="3"/>
        <v>2.9153000000000002</v>
      </c>
      <c r="O46" s="41">
        <v>0.2</v>
      </c>
      <c r="Q46">
        <f t="shared" si="8"/>
        <v>3.0945381401825778E-3</v>
      </c>
      <c r="R46" s="17">
        <f t="shared" si="18"/>
        <v>2.9153000000000002</v>
      </c>
      <c r="V46">
        <f t="shared" si="10"/>
        <v>323.14999999999998</v>
      </c>
      <c r="W46">
        <f t="shared" si="11"/>
        <v>1.3553413427144556E-2</v>
      </c>
      <c r="X46" s="14">
        <f t="shared" si="12"/>
        <v>2.9153000000000002</v>
      </c>
      <c r="Y46" s="14">
        <f t="shared" si="4"/>
        <v>0.2</v>
      </c>
      <c r="AA46" s="33">
        <f t="shared" si="13"/>
        <v>24.999999999999996</v>
      </c>
      <c r="AB46" s="33">
        <f t="shared" si="14"/>
        <v>0.33883533567861385</v>
      </c>
      <c r="AC46" s="33">
        <f t="shared" si="15"/>
        <v>4.5923753881775579E-3</v>
      </c>
      <c r="AD46" s="33">
        <f t="shared" si="16"/>
        <v>72.882499999999993</v>
      </c>
      <c r="AE46" s="33">
        <f t="shared" si="17"/>
        <v>0.98780665410386304</v>
      </c>
    </row>
    <row r="47" spans="1:31" ht="14.4">
      <c r="A47" s="15" t="s">
        <v>118</v>
      </c>
      <c r="C47" s="10" t="s">
        <v>65</v>
      </c>
      <c r="D47" s="1">
        <v>0.2</v>
      </c>
      <c r="E47">
        <v>0</v>
      </c>
      <c r="F47" s="37">
        <f>LOG(32)</f>
        <v>1.505149978319906</v>
      </c>
      <c r="G47" s="24">
        <f>1.0046+(1.0078-1.0046)/0.15*0.1</f>
        <v>1.0067333333333333</v>
      </c>
      <c r="H47" s="16">
        <f t="shared" si="0"/>
        <v>0.20134666666666667</v>
      </c>
      <c r="I47" s="36">
        <f t="shared" si="1"/>
        <v>1.5022355298107672</v>
      </c>
      <c r="J47" s="19">
        <f>(LOG(32+2)-LOG(32-2))/2</f>
        <v>2.717883116129638E-2</v>
      </c>
      <c r="K47">
        <f>$K$33*SQRT($H47)/(1+1.5*SQRT($H47))</f>
        <v>0.13168560272715765</v>
      </c>
      <c r="L47">
        <f t="shared" si="6"/>
        <v>1.0534848218172612</v>
      </c>
      <c r="M47">
        <f>$M$35*$H47</f>
        <v>-8.0538666666666675E-2</v>
      </c>
      <c r="N47" s="17">
        <f>I47+L47+M47</f>
        <v>2.4751816849613619</v>
      </c>
      <c r="O47" s="41">
        <v>0.2</v>
      </c>
      <c r="Q47">
        <f t="shared" si="8"/>
        <v>3.6609921288669233E-3</v>
      </c>
      <c r="R47" s="17">
        <f t="shared" si="18"/>
        <v>2.4751816849613619</v>
      </c>
      <c r="T47" s="14"/>
      <c r="V47">
        <f t="shared" si="10"/>
        <v>273.14999999999998</v>
      </c>
      <c r="W47">
        <f t="shared" si="11"/>
        <v>-1.6034360420947306E-2</v>
      </c>
      <c r="X47" s="14">
        <f t="shared" si="12"/>
        <v>2.4751816849613619</v>
      </c>
      <c r="Y47" s="14">
        <f t="shared" si="4"/>
        <v>0.2</v>
      </c>
      <c r="AA47" s="33">
        <f t="shared" si="13"/>
        <v>24.999999999999996</v>
      </c>
      <c r="AB47" s="33">
        <f t="shared" si="14"/>
        <v>-0.40085901052368261</v>
      </c>
      <c r="AC47" s="33">
        <f t="shared" si="15"/>
        <v>6.4275178527210359E-3</v>
      </c>
      <c r="AD47" s="33">
        <f t="shared" si="16"/>
        <v>61.879542124034039</v>
      </c>
      <c r="AE47" s="33">
        <f t="shared" si="17"/>
        <v>-0.99219888109995291</v>
      </c>
    </row>
    <row r="48" spans="1:31" ht="14.4">
      <c r="A48" s="15" t="s">
        <v>118</v>
      </c>
      <c r="C48" s="10" t="s">
        <v>65</v>
      </c>
      <c r="D48" s="1">
        <v>0.2</v>
      </c>
      <c r="E48">
        <v>25</v>
      </c>
      <c r="F48" s="37">
        <f>LOG(76)</f>
        <v>1.8808135922807914</v>
      </c>
      <c r="G48" s="24">
        <f>1.0046+(1.0078-1.0046)/0.15*0.1</f>
        <v>1.0067333333333333</v>
      </c>
      <c r="H48" s="16">
        <f t="shared" si="0"/>
        <v>0.20134666666666667</v>
      </c>
      <c r="I48" s="36">
        <f t="shared" si="1"/>
        <v>1.8778991437716526</v>
      </c>
      <c r="J48" s="19">
        <f>(LOG(76+2)-LOG(76-2))/2</f>
        <v>1.1431441479752058E-2</v>
      </c>
      <c r="K48">
        <f>$K$35*SQRT($H48)/(1+1.5*SQRT($H48))</f>
        <v>0.13651318083120825</v>
      </c>
      <c r="L48">
        <f t="shared" si="2"/>
        <v>1.092105446649666</v>
      </c>
      <c r="M48">
        <f>$M$35*$H48</f>
        <v>-8.0538666666666675E-2</v>
      </c>
      <c r="N48" s="17">
        <f t="shared" si="3"/>
        <v>2.8894659237546518</v>
      </c>
      <c r="O48" s="41">
        <v>0.2</v>
      </c>
      <c r="Q48">
        <f t="shared" si="8"/>
        <v>3.3540164346805303E-3</v>
      </c>
      <c r="R48" s="17">
        <f t="shared" si="9"/>
        <v>2.8894659237546518</v>
      </c>
      <c r="T48" s="14">
        <f>N48</f>
        <v>2.8894659237546518</v>
      </c>
      <c r="V48">
        <f t="shared" si="10"/>
        <v>298.14999999999998</v>
      </c>
      <c r="W48">
        <f t="shared" si="11"/>
        <v>0</v>
      </c>
      <c r="X48" s="14">
        <f t="shared" si="12"/>
        <v>2.8894659237546518</v>
      </c>
      <c r="Y48" s="14">
        <f t="shared" si="4"/>
        <v>0.2</v>
      </c>
      <c r="AA48" s="33">
        <f t="shared" si="13"/>
        <v>24.999999999999996</v>
      </c>
      <c r="AB48" s="33">
        <f t="shared" si="14"/>
        <v>0</v>
      </c>
      <c r="AC48" s="33">
        <f t="shared" si="15"/>
        <v>0</v>
      </c>
      <c r="AD48" s="33">
        <f t="shared" si="16"/>
        <v>72.236648093866279</v>
      </c>
      <c r="AE48" s="33">
        <f t="shared" si="17"/>
        <v>0</v>
      </c>
    </row>
    <row r="49" spans="1:34">
      <c r="A49" s="15" t="s">
        <v>66</v>
      </c>
      <c r="C49" s="10"/>
      <c r="D49" s="1">
        <v>0</v>
      </c>
      <c r="E49">
        <v>25</v>
      </c>
      <c r="F49" s="38">
        <f>-LOG(0.00124)</f>
        <v>2.9065783148377649</v>
      </c>
      <c r="G49">
        <v>1</v>
      </c>
      <c r="H49" s="16">
        <f t="shared" si="0"/>
        <v>0</v>
      </c>
      <c r="I49" s="19">
        <f t="shared" si="1"/>
        <v>2.9065783148377649</v>
      </c>
      <c r="J49" s="19">
        <f>(LOG(76+2)-LOG(76-2))/2</f>
        <v>1.1431441479752058E-2</v>
      </c>
      <c r="K49">
        <f>$K$35*SQRT($H49)/(1+1.5*SQRT($H49))</f>
        <v>0</v>
      </c>
      <c r="L49">
        <f t="shared" si="2"/>
        <v>0</v>
      </c>
      <c r="M49">
        <f>$M$33*$H49</f>
        <v>0</v>
      </c>
      <c r="N49" s="17">
        <f t="shared" si="3"/>
        <v>2.9065783148377649</v>
      </c>
      <c r="O49" s="41">
        <v>0.3</v>
      </c>
      <c r="Q49">
        <f t="shared" si="8"/>
        <v>3.3540164346805303E-3</v>
      </c>
      <c r="R49" s="17">
        <f t="shared" si="9"/>
        <v>2.9065783148377649</v>
      </c>
      <c r="T49" s="14">
        <f>N49</f>
        <v>2.9065783148377649</v>
      </c>
      <c r="V49">
        <f t="shared" si="10"/>
        <v>298.14999999999998</v>
      </c>
      <c r="W49">
        <f t="shared" si="11"/>
        <v>0</v>
      </c>
      <c r="X49" s="14">
        <f t="shared" si="12"/>
        <v>2.9065783148377649</v>
      </c>
      <c r="Y49" s="14">
        <f t="shared" si="4"/>
        <v>0.3</v>
      </c>
      <c r="AA49" s="33">
        <f t="shared" si="13"/>
        <v>11.111111111111111</v>
      </c>
      <c r="AB49" s="33">
        <f t="shared" si="14"/>
        <v>0</v>
      </c>
      <c r="AC49" s="33">
        <f t="shared" si="15"/>
        <v>0</v>
      </c>
      <c r="AD49" s="33">
        <f t="shared" si="16"/>
        <v>32.295314609308498</v>
      </c>
      <c r="AE49" s="33">
        <f t="shared" si="17"/>
        <v>0</v>
      </c>
    </row>
    <row r="50" spans="1:34" ht="14.4">
      <c r="A50" s="15" t="s">
        <v>67</v>
      </c>
      <c r="C50" s="10" t="s">
        <v>68</v>
      </c>
      <c r="D50" s="1">
        <v>0.15</v>
      </c>
      <c r="E50">
        <v>37</v>
      </c>
      <c r="F50" s="29">
        <v>1.8</v>
      </c>
      <c r="G50">
        <f>1.007+(1.013-1.007)/0.15*0.05</f>
        <v>1.0089999999999999</v>
      </c>
      <c r="H50" s="16">
        <f t="shared" si="0"/>
        <v>0.15134999999999998</v>
      </c>
      <c r="I50" s="36">
        <f t="shared" si="1"/>
        <v>1.7961088337630895</v>
      </c>
      <c r="J50" s="19">
        <v>0.1</v>
      </c>
      <c r="K50">
        <f>$K$36*SQRT($H50)/(1+1.5*SQRT($H50))</f>
        <v>0.12775007237688246</v>
      </c>
      <c r="L50">
        <f t="shared" si="2"/>
        <v>1.0220005790150597</v>
      </c>
      <c r="M50">
        <f>$M$34*$H50</f>
        <v>-1.05945E-2</v>
      </c>
      <c r="N50" s="17">
        <f t="shared" si="3"/>
        <v>2.8075149127781494</v>
      </c>
      <c r="O50" s="41">
        <v>0.2</v>
      </c>
      <c r="Q50">
        <f t="shared" si="8"/>
        <v>3.224246332419797E-3</v>
      </c>
      <c r="R50" s="17">
        <f t="shared" si="9"/>
        <v>2.8075149127781494</v>
      </c>
      <c r="V50">
        <f t="shared" si="10"/>
        <v>310.14999999999998</v>
      </c>
      <c r="W50">
        <f t="shared" si="11"/>
        <v>6.7783235966830469E-3</v>
      </c>
      <c r="X50" s="14">
        <f t="shared" si="12"/>
        <v>2.8075149127781494</v>
      </c>
      <c r="Y50" s="14">
        <f t="shared" si="4"/>
        <v>0.2</v>
      </c>
      <c r="AA50" s="33">
        <f t="shared" si="13"/>
        <v>24.999999999999996</v>
      </c>
      <c r="AB50" s="33">
        <f t="shared" si="14"/>
        <v>0.16945808991707614</v>
      </c>
      <c r="AC50" s="33">
        <f t="shared" si="15"/>
        <v>1.1486417695337548E-3</v>
      </c>
      <c r="AD50" s="33">
        <f t="shared" si="16"/>
        <v>70.18787281945373</v>
      </c>
      <c r="AE50" s="33">
        <f t="shared" si="17"/>
        <v>0.4757561145330918</v>
      </c>
    </row>
    <row r="51" spans="1:34" ht="14.4">
      <c r="A51" s="15" t="s">
        <v>69</v>
      </c>
      <c r="C51" s="10" t="s">
        <v>68</v>
      </c>
      <c r="D51" s="1">
        <v>0.1</v>
      </c>
      <c r="E51">
        <v>15</v>
      </c>
      <c r="F51" s="38">
        <f>LOG(60)</f>
        <v>1.7781512503836436</v>
      </c>
      <c r="G51">
        <f>1.007</f>
        <v>1.0069999999999999</v>
      </c>
      <c r="H51" s="16">
        <f t="shared" si="0"/>
        <v>0.1007</v>
      </c>
      <c r="I51" s="36">
        <f t="shared" si="1"/>
        <v>1.7751217798300256</v>
      </c>
      <c r="J51" s="19">
        <v>0.06</v>
      </c>
      <c r="K51">
        <f>$K$34*SQRT($H51)/(1+1.5*SQRT($H51))</f>
        <v>0.10771257608595114</v>
      </c>
      <c r="L51">
        <f t="shared" si="2"/>
        <v>0.86170060868760912</v>
      </c>
      <c r="M51">
        <f>$M$34*$H51</f>
        <v>-7.0490000000000006E-3</v>
      </c>
      <c r="N51" s="17">
        <f t="shared" si="3"/>
        <v>2.6297733885176346</v>
      </c>
      <c r="O51" s="41">
        <v>0.2</v>
      </c>
      <c r="Q51">
        <f t="shared" si="8"/>
        <v>3.4704147145583901E-3</v>
      </c>
      <c r="R51" s="17">
        <f t="shared" si="9"/>
        <v>2.6297733885176346</v>
      </c>
      <c r="V51">
        <f t="shared" si="10"/>
        <v>288.14999999999998</v>
      </c>
      <c r="W51">
        <f t="shared" si="11"/>
        <v>-6.0798688863185945E-3</v>
      </c>
      <c r="X51" s="14">
        <f t="shared" si="12"/>
        <v>2.6297733885176346</v>
      </c>
      <c r="Y51" s="14">
        <f t="shared" si="4"/>
        <v>0.2</v>
      </c>
      <c r="AA51" s="33">
        <f t="shared" si="13"/>
        <v>24.999999999999996</v>
      </c>
      <c r="AB51" s="33">
        <f t="shared" si="14"/>
        <v>-0.15199672215796484</v>
      </c>
      <c r="AC51" s="33">
        <f t="shared" si="15"/>
        <v>9.2412014187062252E-4</v>
      </c>
      <c r="AD51" s="33">
        <f t="shared" si="16"/>
        <v>65.744334712940855</v>
      </c>
      <c r="AE51" s="33">
        <f t="shared" si="17"/>
        <v>-0.39971693507292466</v>
      </c>
    </row>
    <row r="52" spans="1:34" ht="14.4">
      <c r="A52" s="15" t="s">
        <v>70</v>
      </c>
      <c r="B52" s="1"/>
      <c r="C52" s="10" t="s">
        <v>71</v>
      </c>
      <c r="D52" s="1">
        <v>3</v>
      </c>
      <c r="E52">
        <v>25</v>
      </c>
      <c r="F52" s="21">
        <v>1.421</v>
      </c>
      <c r="G52">
        <v>1.1677999999999999</v>
      </c>
      <c r="H52" s="16">
        <f t="shared" si="0"/>
        <v>3.5034000000000001</v>
      </c>
      <c r="I52" s="36">
        <f t="shared" si="1"/>
        <v>1.3536315290847316</v>
      </c>
      <c r="J52" s="19">
        <v>0.03</v>
      </c>
      <c r="K52">
        <f>$K$35*SQRT($H52)/(1+1.5*SQRT($H52))</f>
        <v>0.25021346211605966</v>
      </c>
      <c r="L52">
        <f t="shared" si="2"/>
        <v>2.0017076969284773</v>
      </c>
      <c r="M52">
        <f>$M$33*$H52</f>
        <v>-0.63061200000000006</v>
      </c>
      <c r="N52" s="17">
        <f t="shared" si="3"/>
        <v>2.7247272260132087</v>
      </c>
      <c r="O52" s="41">
        <f>SQRT(J52^2+(H52*$N$33)^2)</f>
        <v>0.42293057068507123</v>
      </c>
      <c r="Q52">
        <f t="shared" si="8"/>
        <v>3.3540164346805303E-3</v>
      </c>
      <c r="R52" s="17">
        <f t="shared" si="9"/>
        <v>2.7247272260132087</v>
      </c>
      <c r="T52" s="14">
        <f>N52</f>
        <v>2.7247272260132087</v>
      </c>
      <c r="V52">
        <f t="shared" si="10"/>
        <v>298.14999999999998</v>
      </c>
      <c r="W52">
        <f t="shared" si="11"/>
        <v>0</v>
      </c>
      <c r="X52" s="14">
        <f t="shared" si="12"/>
        <v>2.7247272260132087</v>
      </c>
      <c r="Y52" s="14">
        <f t="shared" si="4"/>
        <v>0.42293057068507123</v>
      </c>
      <c r="AA52" s="33">
        <f t="shared" si="13"/>
        <v>5.5906440645822961</v>
      </c>
      <c r="AB52" s="33">
        <f t="shared" si="14"/>
        <v>0</v>
      </c>
      <c r="AC52" s="33">
        <f t="shared" si="15"/>
        <v>0</v>
      </c>
      <c r="AD52" s="33">
        <f t="shared" si="16"/>
        <v>15.232980093716529</v>
      </c>
      <c r="AE52" s="33">
        <f t="shared" si="17"/>
        <v>0</v>
      </c>
    </row>
    <row r="53" spans="1:34">
      <c r="A53" s="15" t="s">
        <v>72</v>
      </c>
      <c r="B53" s="1"/>
      <c r="C53" s="10"/>
      <c r="D53" s="1">
        <v>0</v>
      </c>
      <c r="E53">
        <v>25</v>
      </c>
      <c r="F53" s="21">
        <f>LOG(712)</f>
        <v>2.8524799936368566</v>
      </c>
      <c r="G53">
        <v>1</v>
      </c>
      <c r="H53" s="16">
        <f>D53*G53</f>
        <v>0</v>
      </c>
      <c r="I53" s="19">
        <f t="shared" si="1"/>
        <v>2.8524799936368566</v>
      </c>
      <c r="J53" s="19">
        <f>(LOG(712+23)-LOG(712-23))/2</f>
        <v>1.4034058588284548E-2</v>
      </c>
      <c r="K53">
        <f>$K$35*SQRT($H53)/(1+1.5*SQRT($H53))</f>
        <v>0</v>
      </c>
      <c r="L53">
        <f>-$B$35*K53</f>
        <v>0</v>
      </c>
      <c r="M53">
        <f>$M$33*$H53</f>
        <v>0</v>
      </c>
      <c r="N53" s="17">
        <f>I53+L53+M53</f>
        <v>2.8524799936368566</v>
      </c>
      <c r="O53" s="41">
        <v>0.3</v>
      </c>
      <c r="Q53">
        <f t="shared" si="8"/>
        <v>3.3540164346805303E-3</v>
      </c>
      <c r="R53" s="17">
        <f t="shared" si="9"/>
        <v>2.8524799936368566</v>
      </c>
      <c r="T53" s="14">
        <f>N53</f>
        <v>2.8524799936368566</v>
      </c>
      <c r="V53">
        <f t="shared" si="10"/>
        <v>298.14999999999998</v>
      </c>
      <c r="W53">
        <f t="shared" si="11"/>
        <v>0</v>
      </c>
      <c r="X53" s="14">
        <f t="shared" si="12"/>
        <v>2.8524799936368566</v>
      </c>
      <c r="Y53" s="14">
        <f t="shared" si="4"/>
        <v>0.3</v>
      </c>
      <c r="AA53" s="33">
        <f t="shared" si="13"/>
        <v>11.111111111111111</v>
      </c>
      <c r="AB53" s="33">
        <f t="shared" si="14"/>
        <v>0</v>
      </c>
      <c r="AC53" s="33">
        <f t="shared" si="15"/>
        <v>0</v>
      </c>
      <c r="AD53" s="33">
        <f t="shared" si="16"/>
        <v>31.694222151520627</v>
      </c>
      <c r="AE53" s="33">
        <f t="shared" si="17"/>
        <v>0</v>
      </c>
    </row>
    <row r="54" spans="1:34" ht="14.4">
      <c r="A54" s="15" t="s">
        <v>73</v>
      </c>
      <c r="B54" s="1"/>
      <c r="C54" s="10" t="s">
        <v>71</v>
      </c>
      <c r="D54" s="1">
        <v>3</v>
      </c>
      <c r="E54">
        <v>25</v>
      </c>
      <c r="F54" s="21">
        <v>1.23</v>
      </c>
      <c r="G54">
        <v>1.1677999999999999</v>
      </c>
      <c r="H54" s="16">
        <f t="shared" si="0"/>
        <v>3.5034000000000001</v>
      </c>
      <c r="I54" s="36">
        <f t="shared" si="1"/>
        <v>1.1626315290847316</v>
      </c>
      <c r="J54" s="19">
        <v>0.05</v>
      </c>
      <c r="K54">
        <f>$K$35*SQRT($H54)/(1+1.5*SQRT($H54))</f>
        <v>0.25021346211605966</v>
      </c>
      <c r="L54">
        <f>-$B$35*K54</f>
        <v>2.0017076969284773</v>
      </c>
      <c r="M54">
        <f>$M$33*$H54</f>
        <v>-0.63061200000000006</v>
      </c>
      <c r="N54" s="17">
        <f t="shared" si="3"/>
        <v>2.5337272260132089</v>
      </c>
      <c r="O54" s="41">
        <f>SQRT(J54^2+(H54*$N$33)^2)</f>
        <v>0.42481792290344816</v>
      </c>
      <c r="Q54">
        <f t="shared" si="8"/>
        <v>3.3540164346805303E-3</v>
      </c>
      <c r="R54" s="17">
        <f t="shared" si="9"/>
        <v>2.5337272260132089</v>
      </c>
      <c r="T54" s="14">
        <f>N54</f>
        <v>2.5337272260132089</v>
      </c>
      <c r="V54">
        <f t="shared" si="10"/>
        <v>298.14999999999998</v>
      </c>
      <c r="W54">
        <f t="shared" si="11"/>
        <v>0</v>
      </c>
      <c r="X54" s="14">
        <f t="shared" si="12"/>
        <v>2.5337272260132089</v>
      </c>
      <c r="Y54" s="14">
        <f t="shared" si="4"/>
        <v>0.42481792290344816</v>
      </c>
      <c r="AA54" s="33">
        <f t="shared" si="13"/>
        <v>5.5410789444032398</v>
      </c>
      <c r="AB54" s="33">
        <f t="shared" si="14"/>
        <v>0</v>
      </c>
      <c r="AC54" s="33">
        <f t="shared" si="15"/>
        <v>0</v>
      </c>
      <c r="AD54" s="33">
        <f t="shared" si="16"/>
        <v>14.039582582923021</v>
      </c>
      <c r="AE54" s="33">
        <f t="shared" si="17"/>
        <v>0</v>
      </c>
    </row>
    <row r="55" spans="1:34" ht="14.4">
      <c r="A55" s="15" t="s">
        <v>74</v>
      </c>
      <c r="C55" s="10" t="s">
        <v>75</v>
      </c>
      <c r="D55" s="1">
        <v>0.1</v>
      </c>
      <c r="E55">
        <v>25</v>
      </c>
      <c r="F55" s="17">
        <v>1.83</v>
      </c>
      <c r="G55">
        <v>1.0056</v>
      </c>
      <c r="H55" s="57">
        <f t="shared" si="0"/>
        <v>0.10056000000000001</v>
      </c>
      <c r="I55" s="36">
        <f t="shared" si="1"/>
        <v>1.8275747353220988</v>
      </c>
      <c r="J55" s="19">
        <v>0.03</v>
      </c>
      <c r="K55">
        <f>$K$35*SQRT($H55)/(1+1.5*SQRT($H55))</f>
        <v>0.10938096972147963</v>
      </c>
      <c r="L55">
        <f>-$B$35*K55</f>
        <v>0.87504775777183708</v>
      </c>
      <c r="M55">
        <f>$M$36*$H55</f>
        <v>-2.011200000000002E-3</v>
      </c>
      <c r="N55" s="17">
        <f>I55+L55+M55</f>
        <v>2.7006112930939357</v>
      </c>
      <c r="O55" s="41">
        <v>0.2</v>
      </c>
      <c r="Q55">
        <f t="shared" si="8"/>
        <v>3.3540164346805303E-3</v>
      </c>
      <c r="R55" s="17">
        <f>N55</f>
        <v>2.7006112930939357</v>
      </c>
      <c r="T55" s="14">
        <f>N55</f>
        <v>2.7006112930939357</v>
      </c>
      <c r="V55">
        <f t="shared" si="10"/>
        <v>298.14999999999998</v>
      </c>
      <c r="W55">
        <f t="shared" si="11"/>
        <v>0</v>
      </c>
      <c r="X55" s="14">
        <f>N55</f>
        <v>2.7006112930939357</v>
      </c>
      <c r="Y55" s="14">
        <f>O55</f>
        <v>0.2</v>
      </c>
      <c r="AA55" s="33">
        <f>1/Y55^2</f>
        <v>24.999999999999996</v>
      </c>
      <c r="AB55" s="33">
        <f>W55*AA55</f>
        <v>0</v>
      </c>
      <c r="AC55" s="33">
        <f>W55*W55*AA55</f>
        <v>0</v>
      </c>
      <c r="AD55" s="33">
        <f>X55*AA55</f>
        <v>67.515282327348388</v>
      </c>
      <c r="AE55" s="33">
        <f>W55*X55*AA55</f>
        <v>0</v>
      </c>
    </row>
    <row r="56" spans="1:34">
      <c r="N56" s="31">
        <f>AVERAGE(N40:N54)</f>
        <v>2.731144653304912</v>
      </c>
      <c r="T56" s="31">
        <f>AVERAGE(T40:T55)</f>
        <v>2.7612055444095378</v>
      </c>
      <c r="Z56" s="44" t="s">
        <v>76</v>
      </c>
      <c r="AA56">
        <f>SUM(AA40:AA55)</f>
        <v>304.2306813423188</v>
      </c>
      <c r="AB56">
        <f>SUM(AB40:AB55)</f>
        <v>1.2074409801469038E-2</v>
      </c>
      <c r="AC56">
        <f>SUM(AC40:AC55)</f>
        <v>1.8033778432902093E-2</v>
      </c>
      <c r="AD56">
        <f>SUM(AD40:AD55)</f>
        <v>831.22223329985763</v>
      </c>
      <c r="AE56">
        <f>SUM(AE40:AE55)</f>
        <v>0.27304055775975206</v>
      </c>
    </row>
    <row r="57" spans="1:34">
      <c r="B57" s="1"/>
      <c r="D57" s="1"/>
      <c r="N57">
        <f>STDEV(N40:N54)</f>
        <v>0.13582248639333128</v>
      </c>
      <c r="T57" s="23">
        <f>STDEV(T40:T54)</f>
        <v>0.14142755435833304</v>
      </c>
      <c r="Z57" s="44"/>
      <c r="AF57" s="45"/>
      <c r="AG57" s="46"/>
    </row>
    <row r="58" spans="1:34" ht="16.8">
      <c r="D58" s="1"/>
      <c r="Z58" s="44"/>
      <c r="AC58" s="44" t="s">
        <v>77</v>
      </c>
      <c r="AD58">
        <f>AA56*AC56-AB56^2</f>
        <v>5.4862829084461637</v>
      </c>
    </row>
    <row r="59" spans="1:34" ht="16.8">
      <c r="Z59" s="44"/>
      <c r="AC59" s="44" t="s">
        <v>78</v>
      </c>
      <c r="AD59">
        <f>AC56*AD56</f>
        <v>14.990077583831685</v>
      </c>
    </row>
    <row r="60" spans="1:34" ht="16.8">
      <c r="A60" s="1" t="s">
        <v>79</v>
      </c>
      <c r="B60" s="1"/>
      <c r="U60" s="9" t="s">
        <v>80</v>
      </c>
      <c r="V60" s="40" t="s">
        <v>51</v>
      </c>
      <c r="W60" s="9" t="s">
        <v>53</v>
      </c>
      <c r="X60" s="50" t="s">
        <v>81</v>
      </c>
      <c r="Y60" s="50" t="s">
        <v>82</v>
      </c>
      <c r="AC60" s="44" t="s">
        <v>83</v>
      </c>
      <c r="AD60">
        <f>AB56*AE56</f>
        <v>3.2968035868129234E-3</v>
      </c>
    </row>
    <row r="61" spans="1:34" ht="16.8">
      <c r="L61" s="22" t="s">
        <v>21</v>
      </c>
      <c r="M61" s="14">
        <f>$I$31-$M$25-$I$26</f>
        <v>-4.9999999999999989E-2</v>
      </c>
      <c r="N61" s="14">
        <f>SQRT($J$28^2+$N$27^2+$J$26^2)</f>
        <v>0.12041594578792296</v>
      </c>
      <c r="U61">
        <v>-2</v>
      </c>
      <c r="V61">
        <f>1/(273.15+U61)</f>
        <v>3.687995574405311E-3</v>
      </c>
      <c r="W61">
        <f>$AD$61+$AD$64/$W$34*(1/$W$31-$V61)</f>
        <v>2.4994646525513304</v>
      </c>
      <c r="X61">
        <f>($AD$61+$AH$61)+($AD$64-$AH$64)/$W$34*(1/$W$31-$V61)</f>
        <v>2.6867036557923347</v>
      </c>
      <c r="Y61">
        <f>($AD$61-$AH$61)+($AD$64+$AH$64)/$W$34*(1/$W$31-$V61)</f>
        <v>2.3122256493103261</v>
      </c>
      <c r="Z61" s="32" t="s">
        <v>84</v>
      </c>
      <c r="AC61" s="47" t="s">
        <v>85</v>
      </c>
      <c r="AD61" s="1">
        <f>(AD59-AD60)/AD58</f>
        <v>2.7316820933846917</v>
      </c>
      <c r="AG61" s="48" t="s">
        <v>86</v>
      </c>
      <c r="AH61" s="1">
        <f>SQRT(AC56/AD58)</f>
        <v>5.7332946944245414E-2</v>
      </c>
    </row>
    <row r="62" spans="1:34" ht="16.8">
      <c r="A62" s="2" t="s">
        <v>87</v>
      </c>
      <c r="B62" s="2"/>
      <c r="L62" s="22" t="s">
        <v>24</v>
      </c>
      <c r="M62" s="14">
        <f>$I$29-$M$26-$I$27</f>
        <v>1.999999999999999E-2</v>
      </c>
      <c r="N62" s="14">
        <f>SQRT($J$28^2+$N$28^2+$J$27^2)</f>
        <v>0.11704699910719625</v>
      </c>
      <c r="U62">
        <v>25</v>
      </c>
      <c r="V62">
        <f>1/(273.15+U62)</f>
        <v>3.3540164346805303E-3</v>
      </c>
      <c r="W62">
        <f>$AD$61+$AD$64/$W$34*(1/$W$31-$V62)</f>
        <v>2.7316820933846917</v>
      </c>
      <c r="X62">
        <f>($AD$61+$AH$61)+($AD$64-$AH$64)/$W$34*(1/$W$31-$V62)</f>
        <v>2.7890150403289371</v>
      </c>
      <c r="Y62">
        <f>($AD$61-$AH$61)+($AD$64+$AH$64)/$W$34*(1/$W$31-$V62)</f>
        <v>2.6743491464404463</v>
      </c>
      <c r="AC62" s="44" t="s">
        <v>88</v>
      </c>
      <c r="AD62">
        <f>AA56*AE56</f>
        <v>83.06731492133612</v>
      </c>
    </row>
    <row r="63" spans="1:34" ht="16.8">
      <c r="A63" s="2"/>
      <c r="B63" s="2"/>
      <c r="D63" s="7" t="s">
        <v>22</v>
      </c>
      <c r="E63" s="8"/>
      <c r="F63" s="5"/>
      <c r="G63" s="5"/>
      <c r="H63" s="5"/>
      <c r="I63" s="5"/>
      <c r="U63">
        <v>54</v>
      </c>
      <c r="V63">
        <f>1/(273.15+U63)</f>
        <v>3.0567018187375823E-3</v>
      </c>
      <c r="W63">
        <f>$AD$61+$AD$64/$W$34*(1/$W$31-$V63)</f>
        <v>2.9384064992668062</v>
      </c>
      <c r="X63">
        <f>($AD$61+$AH$61)+($AD$64+$AH$64)/$W$34*(1/$W$31-$V63)</f>
        <v>3.111384301360872</v>
      </c>
      <c r="Y63">
        <f>($AD$61-$AH$61)+($AD$64-$AH$64)/$W$34*(1/$W$31-$V63)</f>
        <v>2.7654286971727404</v>
      </c>
      <c r="AC63" s="44" t="s">
        <v>89</v>
      </c>
      <c r="AD63">
        <f>AB56*AD56</f>
        <v>10.036517880954785</v>
      </c>
    </row>
    <row r="64" spans="1:34" ht="16.8">
      <c r="A64" s="11" t="s">
        <v>26</v>
      </c>
      <c r="B64" s="12">
        <f>1^2-1^2-2^2</f>
        <v>-4</v>
      </c>
      <c r="D64" s="6" t="s">
        <v>27</v>
      </c>
      <c r="E64" s="6"/>
      <c r="F64" s="5"/>
      <c r="G64" s="5"/>
      <c r="H64" s="5"/>
      <c r="J64" s="13" t="s">
        <v>28</v>
      </c>
      <c r="K64" s="5">
        <v>0.50900000000000001</v>
      </c>
      <c r="Z64" s="32" t="s">
        <v>90</v>
      </c>
      <c r="AC64" s="49" t="s">
        <v>91</v>
      </c>
      <c r="AD64" s="1">
        <f>(AD62-AD63)/AD58</f>
        <v>13.311525901799559</v>
      </c>
      <c r="AG64" s="48" t="s">
        <v>92</v>
      </c>
      <c r="AH64" s="1">
        <f>SQRT(AA56/AD58)</f>
        <v>7.4466750946404714</v>
      </c>
    </row>
    <row r="65" spans="1:24" ht="15.6">
      <c r="A65" s="11" t="s">
        <v>31</v>
      </c>
      <c r="B65" s="12">
        <f>1-1-1</f>
        <v>-1</v>
      </c>
      <c r="D65" s="7" t="s">
        <v>32</v>
      </c>
      <c r="E65" s="8"/>
      <c r="F65" s="5"/>
      <c r="G65" s="5"/>
      <c r="H65" s="5"/>
      <c r="I65" s="5"/>
      <c r="J65" s="13" t="s">
        <v>33</v>
      </c>
      <c r="K65" s="23">
        <v>0.52</v>
      </c>
    </row>
    <row r="66" spans="1:24" ht="13.8">
      <c r="A66" s="5"/>
      <c r="B66" s="5"/>
      <c r="C66" s="5" t="s">
        <v>35</v>
      </c>
      <c r="D66" s="9" t="s">
        <v>36</v>
      </c>
      <c r="E66" s="9" t="s">
        <v>37</v>
      </c>
      <c r="F66" s="9" t="s">
        <v>38</v>
      </c>
      <c r="G66" s="9" t="s">
        <v>39</v>
      </c>
      <c r="H66" s="9" t="s">
        <v>40</v>
      </c>
      <c r="I66" s="9" t="s">
        <v>41</v>
      </c>
      <c r="J66" s="20" t="s">
        <v>42</v>
      </c>
    </row>
    <row r="67" spans="1:24" ht="16.2">
      <c r="C67" s="5" t="s">
        <v>43</v>
      </c>
      <c r="D67" s="9" t="s">
        <v>44</v>
      </c>
      <c r="E67" s="9" t="s">
        <v>45</v>
      </c>
      <c r="G67" s="5"/>
      <c r="H67" s="9" t="s">
        <v>46</v>
      </c>
      <c r="I67" s="9" t="s">
        <v>46</v>
      </c>
      <c r="J67" s="9"/>
      <c r="K67" s="9" t="s">
        <v>47</v>
      </c>
      <c r="L67" s="28" t="s">
        <v>48</v>
      </c>
      <c r="M67" s="4" t="s">
        <v>49</v>
      </c>
      <c r="N67" s="6" t="s">
        <v>50</v>
      </c>
      <c r="Q67" s="30" t="s">
        <v>51</v>
      </c>
      <c r="R67" s="30"/>
    </row>
    <row r="68" spans="1:24" ht="15.6">
      <c r="C68" s="5"/>
      <c r="D68" s="7" t="s">
        <v>22</v>
      </c>
      <c r="F68" s="7" t="s">
        <v>22</v>
      </c>
      <c r="H68" s="5"/>
      <c r="I68" s="5"/>
      <c r="J68" s="5"/>
      <c r="T68" s="51"/>
      <c r="U68" s="52" t="s">
        <v>55</v>
      </c>
      <c r="V68" s="52" t="s">
        <v>58</v>
      </c>
      <c r="W68" s="53" t="s">
        <v>93</v>
      </c>
      <c r="X68" s="51"/>
    </row>
    <row r="69" spans="1:24" ht="14.4">
      <c r="A69" s="15" t="s">
        <v>67</v>
      </c>
      <c r="C69" s="10" t="s">
        <v>68</v>
      </c>
      <c r="D69" s="1">
        <v>0.15</v>
      </c>
      <c r="E69">
        <v>37</v>
      </c>
      <c r="F69" s="29">
        <v>0.7</v>
      </c>
      <c r="G69">
        <f>1.007+(1.013-1.007)/0.15*0.05</f>
        <v>1.0089999999999999</v>
      </c>
      <c r="H69" s="16">
        <f>D69*G69</f>
        <v>0.15134999999999998</v>
      </c>
      <c r="I69" s="19">
        <f>F69+$B$65*LOG(G69)</f>
        <v>0.69610883376308952</v>
      </c>
      <c r="J69" s="19">
        <v>0.3</v>
      </c>
      <c r="K69">
        <f>$K$65*SQRT($H69)/(1+1.5*SQRT($H69))</f>
        <v>0.12775007237688246</v>
      </c>
      <c r="L69">
        <f>-$B$64*K69</f>
        <v>0.51100028950752985</v>
      </c>
      <c r="M69">
        <f>$M$62*$H69</f>
        <v>3.026999999999998E-3</v>
      </c>
      <c r="N69" s="17">
        <f>I69+L69+M69</f>
        <v>1.2101361232706194</v>
      </c>
      <c r="O69" s="41">
        <v>0.6</v>
      </c>
      <c r="Q69">
        <f>1/(273.15+$E69)</f>
        <v>3.224246332419797E-3</v>
      </c>
      <c r="R69" s="17">
        <f>N69</f>
        <v>1.2101361232706194</v>
      </c>
      <c r="T69" s="51"/>
      <c r="U69" s="54">
        <f>1/O69^2</f>
        <v>2.7777777777777777</v>
      </c>
      <c r="V69" s="54">
        <f>N69*U69</f>
        <v>3.3614892313072757</v>
      </c>
      <c r="W69" s="51">
        <f>U69*(N69-$V$76)^2</f>
        <v>2.777659623345537E-2</v>
      </c>
      <c r="X69" s="51"/>
    </row>
    <row r="70" spans="1:24" ht="14.4">
      <c r="A70" s="15" t="s">
        <v>70</v>
      </c>
      <c r="B70" s="1"/>
      <c r="C70" s="10" t="s">
        <v>71</v>
      </c>
      <c r="D70" s="1">
        <v>3</v>
      </c>
      <c r="E70">
        <v>25</v>
      </c>
      <c r="F70" s="21">
        <v>0.16</v>
      </c>
      <c r="G70">
        <v>1.1677999999999999</v>
      </c>
      <c r="H70" s="16">
        <f>D70*G70</f>
        <v>3.5034000000000001</v>
      </c>
      <c r="I70" s="19">
        <f>F70+$B$65*LOG(G70)</f>
        <v>9.2631529084731518E-2</v>
      </c>
      <c r="J70" s="19">
        <v>0.05</v>
      </c>
      <c r="K70">
        <f>$K$64*SQRT($H70)/(1+1.5*SQRT($H70))</f>
        <v>0.25021346211605966</v>
      </c>
      <c r="L70">
        <f>-$B$64*K70</f>
        <v>1.0008538484642386</v>
      </c>
      <c r="M70">
        <f>$M$61*$H70</f>
        <v>-0.17516999999999996</v>
      </c>
      <c r="N70" s="17">
        <f>I70+L70+M70</f>
        <v>0.91831537754897019</v>
      </c>
      <c r="O70" s="41">
        <f>SQRT(J70^2+(H70*$N$33)^2)</f>
        <v>0.42481792290344816</v>
      </c>
      <c r="Q70">
        <f>1/(273.15+$E70)</f>
        <v>3.3540164346805303E-3</v>
      </c>
      <c r="R70" s="17">
        <f>N70</f>
        <v>0.91831537754897019</v>
      </c>
      <c r="T70" s="51"/>
      <c r="U70" s="54">
        <f>1/O70^2</f>
        <v>5.5410789444032398</v>
      </c>
      <c r="V70" s="54">
        <f>N70*U70</f>
        <v>5.0884580028583102</v>
      </c>
      <c r="W70" s="51">
        <f>U70*(N70-$V$76)^2</f>
        <v>0.20388962075932882</v>
      </c>
      <c r="X70" s="51"/>
    </row>
    <row r="71" spans="1:24">
      <c r="A71" s="15" t="s">
        <v>72</v>
      </c>
      <c r="B71" s="1"/>
      <c r="C71" s="10"/>
      <c r="D71" s="1">
        <v>0</v>
      </c>
      <c r="E71">
        <v>25</v>
      </c>
      <c r="F71" s="21">
        <f>LOG(18.9)</f>
        <v>1.2764618041732441</v>
      </c>
      <c r="G71">
        <v>1</v>
      </c>
      <c r="H71" s="16">
        <f>D71*G71</f>
        <v>0</v>
      </c>
      <c r="I71" s="19">
        <f>F71+$B$36*LOG(G71)</f>
        <v>1.2764618041732441</v>
      </c>
      <c r="J71" s="19">
        <f>(LOG(18.9+1.7)-LOG(18.9-1.7))/2</f>
        <v>3.9169386730802169E-2</v>
      </c>
      <c r="K71">
        <f>$K$35*SQRT($H71)/(1+1.5*SQRT($H71))</f>
        <v>0</v>
      </c>
      <c r="L71">
        <f>-$B$35*K71</f>
        <v>0</v>
      </c>
      <c r="M71">
        <f>$M$33*$H71</f>
        <v>0</v>
      </c>
      <c r="N71" s="17">
        <f>I71+L71+M71</f>
        <v>1.2764618041732441</v>
      </c>
      <c r="O71" s="41">
        <v>0.3</v>
      </c>
      <c r="Q71">
        <f>1/(273.15+$E71)</f>
        <v>3.3540164346805303E-3</v>
      </c>
      <c r="R71" s="17">
        <f>N71</f>
        <v>1.2764618041732441</v>
      </c>
      <c r="T71" s="51"/>
      <c r="U71" s="54">
        <f>1/O71^2</f>
        <v>11.111111111111111</v>
      </c>
      <c r="V71" s="54">
        <f>N71*U71</f>
        <v>14.182908935258267</v>
      </c>
      <c r="W71" s="51">
        <f>U71*(N71-$V$76)^2</f>
        <v>0.30737249609479383</v>
      </c>
      <c r="X71" s="51"/>
    </row>
    <row r="72" spans="1:24" ht="14.4">
      <c r="A72" s="15" t="s">
        <v>73</v>
      </c>
      <c r="B72" s="1"/>
      <c r="C72" s="10" t="s">
        <v>71</v>
      </c>
      <c r="D72" s="1">
        <v>3</v>
      </c>
      <c r="E72">
        <v>25</v>
      </c>
      <c r="F72" s="21">
        <v>0.16</v>
      </c>
      <c r="G72">
        <v>1.1677999999999999</v>
      </c>
      <c r="H72" s="16">
        <f>D72*G72</f>
        <v>3.5034000000000001</v>
      </c>
      <c r="I72" s="19">
        <f>F72+$B$65*LOG(G72)</f>
        <v>9.2631529084731518E-2</v>
      </c>
      <c r="J72" s="19">
        <v>0.05</v>
      </c>
      <c r="K72">
        <f>$K$64*SQRT($H72)/(1+1.5*SQRT($H72))</f>
        <v>0.25021346211605966</v>
      </c>
      <c r="L72">
        <f>-$B$64*K72</f>
        <v>1.0008538484642386</v>
      </c>
      <c r="M72">
        <f>$M$61*$H72</f>
        <v>-0.17516999999999996</v>
      </c>
      <c r="N72" s="17">
        <f>I72+L72+M72</f>
        <v>0.91831537754897019</v>
      </c>
      <c r="O72" s="41">
        <f>SQRT(J72^2+(H72*$N$33)^2)</f>
        <v>0.42481792290344816</v>
      </c>
      <c r="Q72">
        <f>1/(273.15+$E72)</f>
        <v>3.3540164346805303E-3</v>
      </c>
      <c r="R72" s="17">
        <f>N72</f>
        <v>0.91831537754897019</v>
      </c>
      <c r="T72" s="51"/>
      <c r="U72" s="54">
        <f>1/O72^2</f>
        <v>5.5410789444032398</v>
      </c>
      <c r="V72" s="54">
        <f>N72*U72</f>
        <v>5.0884580028583102</v>
      </c>
      <c r="W72" s="51">
        <f>U72*(N72-$V$76)^2</f>
        <v>0.20388962075932882</v>
      </c>
      <c r="X72" s="51"/>
    </row>
    <row r="73" spans="1:24">
      <c r="A73" s="15"/>
      <c r="B73" s="1"/>
      <c r="C73" s="10"/>
      <c r="D73" s="1"/>
      <c r="F73" s="21"/>
      <c r="H73" s="16"/>
      <c r="I73" s="19"/>
      <c r="J73" s="19"/>
      <c r="N73" s="17"/>
      <c r="O73" s="41"/>
      <c r="R73" s="17"/>
      <c r="T73" s="51"/>
      <c r="U73" s="45"/>
      <c r="V73" s="45"/>
      <c r="W73" s="51"/>
      <c r="X73" s="51"/>
    </row>
    <row r="74" spans="1:24">
      <c r="N74" s="40" t="s">
        <v>94</v>
      </c>
      <c r="T74" s="55" t="s">
        <v>76</v>
      </c>
      <c r="U74" s="45">
        <f>SUM(U69:U73)</f>
        <v>24.971046777695367</v>
      </c>
      <c r="V74" s="45">
        <f>SUM(V69:V73)</f>
        <v>27.721314172282163</v>
      </c>
      <c r="W74" s="45">
        <f>SUM(W69:W73)</f>
        <v>0.74292833384690682</v>
      </c>
      <c r="X74" s="51">
        <f>COUNT(W69:W72)</f>
        <v>4</v>
      </c>
    </row>
    <row r="75" spans="1:24">
      <c r="T75" s="51"/>
      <c r="U75" s="51"/>
      <c r="V75" s="51"/>
      <c r="W75" s="51"/>
      <c r="X75" s="51"/>
    </row>
    <row r="76" spans="1:24" ht="15.6">
      <c r="T76" s="51"/>
      <c r="U76" s="47" t="s">
        <v>95</v>
      </c>
      <c r="V76" s="51">
        <f>V74/U74</f>
        <v>1.1101382500730161</v>
      </c>
      <c r="W76" s="51"/>
      <c r="X76" s="51"/>
    </row>
    <row r="77" spans="1:24" ht="16.8">
      <c r="A77" s="1" t="s">
        <v>96</v>
      </c>
      <c r="B77" s="1"/>
      <c r="T77" s="51"/>
      <c r="U77" s="56" t="s">
        <v>97</v>
      </c>
      <c r="V77" s="54">
        <f>SQRT(X74*W74/((X74-1)*U74))</f>
        <v>0.19917024385953033</v>
      </c>
      <c r="W77" s="51"/>
      <c r="X77" s="51"/>
    </row>
    <row r="78" spans="1:24">
      <c r="L78" s="22"/>
      <c r="M78" s="14"/>
      <c r="N78" s="14"/>
      <c r="T78" s="51"/>
      <c r="U78" s="56" t="s">
        <v>98</v>
      </c>
      <c r="V78" s="51">
        <f>SQRT(1/U74)</f>
        <v>0.20011591358109151</v>
      </c>
      <c r="W78" s="51"/>
      <c r="X78" s="51"/>
    </row>
    <row r="79" spans="1:24" ht="16.8">
      <c r="A79" s="2" t="s">
        <v>99</v>
      </c>
      <c r="B79" s="2"/>
      <c r="L79" s="22" t="s">
        <v>24</v>
      </c>
      <c r="M79" s="14">
        <f>$I$30-$M$30-$I$27</f>
        <v>-0.13</v>
      </c>
      <c r="N79" s="14">
        <f>SQRT($J$28^2+$N$28^2+$J$27^2)</f>
        <v>0.11704699910719625</v>
      </c>
    </row>
    <row r="80" spans="1:24" ht="13.8">
      <c r="A80" s="2"/>
      <c r="B80" s="2"/>
      <c r="D80" s="7" t="s">
        <v>22</v>
      </c>
      <c r="E80" s="8"/>
      <c r="F80" s="5"/>
      <c r="G80" s="5"/>
      <c r="H80" s="5"/>
      <c r="I80" s="5"/>
    </row>
    <row r="81" spans="1:15" ht="15.6">
      <c r="A81" s="11" t="s">
        <v>26</v>
      </c>
      <c r="B81" s="12">
        <f>1^2-3^2-2^2</f>
        <v>-12</v>
      </c>
      <c r="D81" s="6" t="s">
        <v>27</v>
      </c>
      <c r="E81" s="6"/>
      <c r="F81" s="5"/>
      <c r="G81" s="5"/>
      <c r="H81" s="5"/>
      <c r="J81" s="13" t="s">
        <v>28</v>
      </c>
      <c r="K81" s="5">
        <v>0.50900000000000001</v>
      </c>
    </row>
    <row r="82" spans="1:15" ht="15.6">
      <c r="A82" s="11" t="s">
        <v>31</v>
      </c>
      <c r="B82" s="12">
        <f>1-1-1</f>
        <v>-1</v>
      </c>
      <c r="D82" s="7" t="s">
        <v>32</v>
      </c>
      <c r="E82" s="8"/>
      <c r="F82" s="5"/>
      <c r="G82" s="5"/>
      <c r="H82" s="5"/>
      <c r="I82" s="5"/>
      <c r="J82" s="13" t="s">
        <v>33</v>
      </c>
      <c r="K82" s="23">
        <v>0.52</v>
      </c>
    </row>
    <row r="83" spans="1:15" ht="13.8">
      <c r="A83" s="5"/>
      <c r="B83" s="5"/>
      <c r="C83" s="5" t="s">
        <v>35</v>
      </c>
      <c r="D83" s="9" t="s">
        <v>36</v>
      </c>
      <c r="E83" s="9" t="s">
        <v>37</v>
      </c>
      <c r="F83" s="9" t="s">
        <v>38</v>
      </c>
      <c r="G83" s="9" t="s">
        <v>39</v>
      </c>
      <c r="H83" s="9" t="s">
        <v>40</v>
      </c>
      <c r="I83" s="9" t="s">
        <v>41</v>
      </c>
      <c r="J83" s="20" t="s">
        <v>42</v>
      </c>
    </row>
    <row r="84" spans="1:15" ht="16.2">
      <c r="C84" s="5" t="s">
        <v>43</v>
      </c>
      <c r="D84" s="9" t="s">
        <v>44</v>
      </c>
      <c r="E84" s="9" t="s">
        <v>45</v>
      </c>
      <c r="G84" s="5"/>
      <c r="H84" s="9" t="s">
        <v>46</v>
      </c>
      <c r="I84" s="9" t="s">
        <v>46</v>
      </c>
      <c r="J84" s="9"/>
      <c r="K84" s="9" t="s">
        <v>47</v>
      </c>
      <c r="L84" s="28" t="s">
        <v>48</v>
      </c>
      <c r="M84" s="4" t="s">
        <v>49</v>
      </c>
      <c r="N84" s="58" t="s">
        <v>107</v>
      </c>
    </row>
    <row r="85" spans="1:15" ht="13.8">
      <c r="C85" s="5"/>
      <c r="D85" s="7" t="s">
        <v>22</v>
      </c>
      <c r="F85" s="7" t="s">
        <v>22</v>
      </c>
      <c r="H85" s="5"/>
      <c r="I85" s="5"/>
      <c r="J85" s="5"/>
    </row>
    <row r="86" spans="1:15" ht="14.4">
      <c r="A86" s="15" t="s">
        <v>67</v>
      </c>
      <c r="C86" s="10" t="s">
        <v>68</v>
      </c>
      <c r="D86" s="1">
        <v>0.15</v>
      </c>
      <c r="E86">
        <v>37</v>
      </c>
      <c r="F86" s="29">
        <v>3.4</v>
      </c>
      <c r="G86">
        <f>1.007+(1.013-1.007)/0.15*0.05</f>
        <v>1.0089999999999999</v>
      </c>
      <c r="H86" s="16">
        <f>D86*G86</f>
        <v>0.15134999999999998</v>
      </c>
      <c r="I86" s="36">
        <f>F86+$B$82*LOG(G86)</f>
        <v>3.3961088337630896</v>
      </c>
      <c r="J86" s="19">
        <v>0.2</v>
      </c>
      <c r="K86">
        <f>$K$82*SQRT($H86)/(1+1.5*SQRT($H86))</f>
        <v>0.12775007237688246</v>
      </c>
      <c r="L86">
        <f>-$B$81*K86</f>
        <v>1.5330008685225895</v>
      </c>
      <c r="M86">
        <f>$M$79*$H86</f>
        <v>-1.9675499999999999E-2</v>
      </c>
      <c r="N86" s="17">
        <f>I86+L86+M86</f>
        <v>4.9094342022856789</v>
      </c>
      <c r="O86" s="41">
        <f>SQRT(J86^2+(H86*$N$33)^2)</f>
        <v>0.20082865564019992</v>
      </c>
    </row>
    <row r="91" spans="1:15">
      <c r="A91" s="15" t="s">
        <v>64</v>
      </c>
      <c r="C91" t="s">
        <v>100</v>
      </c>
    </row>
    <row r="93" spans="1:15" ht="13.8">
      <c r="A93" s="34" t="s">
        <v>101</v>
      </c>
      <c r="B93" s="34" t="s">
        <v>38</v>
      </c>
      <c r="C93" s="34" t="s">
        <v>38</v>
      </c>
      <c r="D93" s="34" t="s">
        <v>102</v>
      </c>
      <c r="E93" s="34" t="s">
        <v>103</v>
      </c>
    </row>
    <row r="94" spans="1:15">
      <c r="A94" s="32"/>
      <c r="B94" s="34" t="s">
        <v>104</v>
      </c>
      <c r="C94" s="34" t="s">
        <v>105</v>
      </c>
    </row>
    <row r="95" spans="1:15">
      <c r="A95">
        <v>10</v>
      </c>
      <c r="B95">
        <v>2.6032999999999999</v>
      </c>
      <c r="C95">
        <v>2.6229</v>
      </c>
      <c r="D95" s="24">
        <f>B95-C95</f>
        <v>-1.9600000000000062E-2</v>
      </c>
      <c r="E95" s="14">
        <f>AVERAGE(B95,C95)</f>
        <v>2.6131000000000002</v>
      </c>
    </row>
    <row r="96" spans="1:15">
      <c r="A96">
        <v>20</v>
      </c>
      <c r="B96">
        <v>2.6600999999999999</v>
      </c>
      <c r="C96">
        <v>2.6850999999999998</v>
      </c>
      <c r="D96" s="24">
        <f>B96-C96</f>
        <v>-2.4999999999999911E-2</v>
      </c>
      <c r="E96" s="14">
        <f>AVERAGE(B96,C96)</f>
        <v>2.6726000000000001</v>
      </c>
    </row>
    <row r="97" spans="1:5">
      <c r="A97">
        <v>30</v>
      </c>
      <c r="B97">
        <v>2.7317</v>
      </c>
      <c r="C97">
        <v>2.7583000000000002</v>
      </c>
      <c r="D97" s="24">
        <f>B97-C97</f>
        <v>-2.6600000000000179E-2</v>
      </c>
      <c r="E97" s="14">
        <f>AVERAGE(B97,C97)</f>
        <v>2.7450000000000001</v>
      </c>
    </row>
    <row r="98" spans="1:5">
      <c r="A98">
        <v>40</v>
      </c>
      <c r="B98">
        <v>2.8191999999999999</v>
      </c>
      <c r="C98">
        <v>2.8367</v>
      </c>
      <c r="D98" s="24">
        <f>B98-C98</f>
        <v>-1.7500000000000071E-2</v>
      </c>
      <c r="E98" s="14">
        <f>AVERAGE(B98,C98)</f>
        <v>2.82795</v>
      </c>
    </row>
    <row r="99" spans="1:5">
      <c r="A99">
        <v>50</v>
      </c>
      <c r="B99">
        <v>2.9081000000000001</v>
      </c>
      <c r="C99">
        <v>2.9224999999999999</v>
      </c>
      <c r="D99" s="24">
        <f>B99-C99</f>
        <v>-1.4399999999999746E-2</v>
      </c>
      <c r="E99" s="14">
        <f>AVERAGE(B99,C99)</f>
        <v>2.9153000000000002</v>
      </c>
    </row>
  </sheetData>
  <hyperlinks>
    <hyperlink ref="B11" r:id="rId1" xr:uid="{284CE2E9-6F43-496F-8EB3-E2F3A7DDBE15}"/>
    <hyperlink ref="B13" r:id="rId2" xr:uid="{C77B2B1A-1278-4E39-BB2F-5C448E299827}"/>
    <hyperlink ref="B15" r:id="rId3" xr:uid="{5E6E37C8-64B0-4D32-8AD8-3E74854DA099}"/>
    <hyperlink ref="B16" r:id="rId4" xr:uid="{92C0E507-0F2F-4374-8FBC-745D4A938D6B}"/>
    <hyperlink ref="B17" r:id="rId5" xr:uid="{6958E46B-618D-4716-8AD9-0523BC8DB572}"/>
    <hyperlink ref="B19" r:id="rId6" xr:uid="{8A135E8C-E03B-4110-A9CA-6E7922D2A52B}"/>
    <hyperlink ref="B21" r:id="rId7" xr:uid="{6FF2D665-307A-45A3-8E63-AFE0F40E0BFB}"/>
    <hyperlink ref="B14" r:id="rId8" xr:uid="{61F0ADCA-4F20-4D93-85DC-36432E9D2F25}"/>
  </hyperlinks>
  <pageMargins left="0.7" right="0.7" top="0.75" bottom="0.75" header="0.3" footer="0.3"/>
  <pageSetup paperSize="9" orientation="portrait" r:id="rId9"/>
  <headerFooter alignWithMargins="0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MgPO4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2023-12-03T11:36:19Z</dcterms:modified>
</cp:coreProperties>
</file>